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f85\AC\Temp\"/>
    </mc:Choice>
  </mc:AlternateContent>
  <xr:revisionPtr revIDLastSave="0" documentId="8_{5AC73FED-8F69-448C-9696-DDF752BA3DAB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tro" sheetId="9" r:id="rId1"/>
    <sheet name="CostModel Coef" sheetId="5" r:id="rId2"/>
    <sheet name="CFL &amp; Incand Cost Development" sheetId="4" r:id="rId3"/>
    <sheet name="Measure &amp; Standard CostIDs" sheetId="7" r:id="rId4"/>
    <sheet name="MeasureCost" sheetId="6" r:id="rId5"/>
    <sheet name="Measure" sheetId="8" r:id="rId6"/>
    <sheet name="Unit Cost Models" sheetId="2" state="hidden" r:id="rId7"/>
  </sheets>
  <externalReferences>
    <externalReference r:id="rId8"/>
  </externalReferences>
  <definedNames>
    <definedName name="_xlnm._FilterDatabase" localSheetId="2" hidden="1">'CFL &amp; Incand Cost Development'!$A$7:$U$290</definedName>
    <definedName name="_xlnm._FilterDatabase" localSheetId="5" hidden="1">Measure!$A$8:$AV$200</definedName>
    <definedName name="_xlnm._FilterDatabase" localSheetId="4" hidden="1">MeasureCost!$C$4:$AI$4</definedName>
    <definedName name="MaxTabs">[1]key!$D$1</definedName>
    <definedName name="NumParamIDrows">'[1]Param macro'!$U$5</definedName>
    <definedName name="t.HIDCodeBaseTable1">'[1]Code Baselines'!$G$31:$AU$47</definedName>
    <definedName name="t.LFCodeBaseTable1">'[1]Code Baselines'!$C$4:$BI$28</definedName>
    <definedName name="t.ShortParamDescriptions">[1]ParamLists!$F$12:$H$272</definedName>
    <definedName name="t_LFCodeBase">[1]LF_LmpBlst!$I$40:$BI$800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6" l="1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C1" i="7"/>
  <c r="O334" i="6"/>
  <c r="O333" i="6"/>
  <c r="O332" i="6"/>
  <c r="O331" i="6"/>
  <c r="O330" i="6"/>
  <c r="O329" i="6"/>
  <c r="O328" i="6"/>
  <c r="O327" i="6"/>
  <c r="O326" i="6"/>
  <c r="O325" i="6"/>
  <c r="O324" i="6"/>
  <c r="O323" i="6"/>
  <c r="O322" i="6"/>
  <c r="O321" i="6"/>
  <c r="O320" i="6"/>
  <c r="O319" i="6"/>
  <c r="O318" i="6"/>
  <c r="O317" i="6"/>
  <c r="O316" i="6"/>
  <c r="O315" i="6"/>
  <c r="O314" i="6"/>
  <c r="O313" i="6"/>
  <c r="O312" i="6"/>
  <c r="O311" i="6"/>
  <c r="O310" i="6"/>
  <c r="O309" i="6"/>
  <c r="O308" i="6"/>
  <c r="O307" i="6"/>
  <c r="O306" i="6"/>
  <c r="O305" i="6"/>
  <c r="O304" i="6"/>
  <c r="O303" i="6"/>
  <c r="O302" i="6"/>
  <c r="O301" i="6"/>
  <c r="O300" i="6"/>
  <c r="O299" i="6"/>
  <c r="O298" i="6"/>
  <c r="O297" i="6"/>
  <c r="O296" i="6"/>
  <c r="O295" i="6"/>
  <c r="O294" i="6"/>
  <c r="O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O256" i="6"/>
  <c r="O255" i="6"/>
  <c r="O254" i="6"/>
  <c r="O253" i="6"/>
  <c r="O252" i="6"/>
  <c r="O251" i="6"/>
  <c r="O250" i="6"/>
  <c r="O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D664" i="6"/>
  <c r="O664" i="6"/>
  <c r="D663" i="6"/>
  <c r="D662" i="6"/>
  <c r="O662" i="6"/>
  <c r="D661" i="6"/>
  <c r="D991" i="6"/>
  <c r="O991" i="6"/>
  <c r="D660" i="6"/>
  <c r="O660" i="6"/>
  <c r="D659" i="6"/>
  <c r="D658" i="6"/>
  <c r="D657" i="6"/>
  <c r="O657" i="6"/>
  <c r="D656" i="6"/>
  <c r="O656" i="6"/>
  <c r="D655" i="6"/>
  <c r="O655" i="6"/>
  <c r="D985" i="6"/>
  <c r="O985" i="6"/>
  <c r="D654" i="6"/>
  <c r="O654" i="6"/>
  <c r="D653" i="6"/>
  <c r="D652" i="6"/>
  <c r="O652" i="6"/>
  <c r="D651" i="6"/>
  <c r="D981" i="6"/>
  <c r="O651" i="6"/>
  <c r="O981" i="6"/>
  <c r="D650" i="6"/>
  <c r="D649" i="6"/>
  <c r="O649" i="6"/>
  <c r="D648" i="6"/>
  <c r="O648" i="6"/>
  <c r="D647" i="6"/>
  <c r="O647" i="6"/>
  <c r="D977" i="6"/>
  <c r="D646" i="6"/>
  <c r="D645" i="6"/>
  <c r="O645" i="6"/>
  <c r="D644" i="6"/>
  <c r="O644" i="6"/>
  <c r="D643" i="6"/>
  <c r="D642" i="6"/>
  <c r="O642" i="6"/>
  <c r="D641" i="6"/>
  <c r="O641" i="6"/>
  <c r="D640" i="6"/>
  <c r="D970" i="6"/>
  <c r="O970" i="6"/>
  <c r="D639" i="6"/>
  <c r="D638" i="6"/>
  <c r="O638" i="6"/>
  <c r="D637" i="6"/>
  <c r="O637" i="6"/>
  <c r="D636" i="6"/>
  <c r="O636" i="6"/>
  <c r="D635" i="6"/>
  <c r="O635" i="6"/>
  <c r="D634" i="6"/>
  <c r="O634" i="6"/>
  <c r="D633" i="6"/>
  <c r="O633" i="6"/>
  <c r="D632" i="6"/>
  <c r="O632" i="6"/>
  <c r="D631" i="6"/>
  <c r="O631" i="6"/>
  <c r="D961" i="6"/>
  <c r="D630" i="6"/>
  <c r="O630" i="6"/>
  <c r="D629" i="6"/>
  <c r="O629" i="6"/>
  <c r="D628" i="6"/>
  <c r="O628" i="6"/>
  <c r="D627" i="6"/>
  <c r="D957" i="6"/>
  <c r="O957" i="6"/>
  <c r="D626" i="6"/>
  <c r="D625" i="6"/>
  <c r="D624" i="6"/>
  <c r="O624" i="6"/>
  <c r="D623" i="6"/>
  <c r="D622" i="6"/>
  <c r="O622" i="6"/>
  <c r="D621" i="6"/>
  <c r="O621" i="6"/>
  <c r="D620" i="6"/>
  <c r="O620" i="6"/>
  <c r="D619" i="6"/>
  <c r="O619" i="6"/>
  <c r="D618" i="6"/>
  <c r="O618" i="6"/>
  <c r="D617" i="6"/>
  <c r="O617" i="6"/>
  <c r="D616" i="6"/>
  <c r="D946" i="6"/>
  <c r="D615" i="6"/>
  <c r="O615" i="6"/>
  <c r="D614" i="6"/>
  <c r="O614" i="6"/>
  <c r="D613" i="6"/>
  <c r="O613" i="6"/>
  <c r="D612" i="6"/>
  <c r="O612" i="6"/>
  <c r="D611" i="6"/>
  <c r="D941" i="6"/>
  <c r="O941" i="6"/>
  <c r="D610" i="6"/>
  <c r="D940" i="6"/>
  <c r="O940" i="6"/>
  <c r="D609" i="6"/>
  <c r="O609" i="6"/>
  <c r="D939" i="6"/>
  <c r="O939" i="6"/>
  <c r="D608" i="6"/>
  <c r="O608" i="6"/>
  <c r="D607" i="6"/>
  <c r="O607" i="6"/>
  <c r="D606" i="6"/>
  <c r="O606" i="6"/>
  <c r="D605" i="6"/>
  <c r="O605" i="6"/>
  <c r="D604" i="6"/>
  <c r="O604" i="6"/>
  <c r="D603" i="6"/>
  <c r="O603" i="6"/>
  <c r="D933" i="6"/>
  <c r="O933" i="6"/>
  <c r="D602" i="6"/>
  <c r="O602" i="6"/>
  <c r="D601" i="6"/>
  <c r="D600" i="6"/>
  <c r="D599" i="6"/>
  <c r="O599" i="6"/>
  <c r="D598" i="6"/>
  <c r="O598" i="6"/>
  <c r="D597" i="6"/>
  <c r="O597" i="6"/>
  <c r="D596" i="6"/>
  <c r="O596" i="6"/>
  <c r="D595" i="6"/>
  <c r="O595" i="6"/>
  <c r="D594" i="6"/>
  <c r="O594" i="6"/>
  <c r="D593" i="6"/>
  <c r="D592" i="6"/>
  <c r="O592" i="6"/>
  <c r="D591" i="6"/>
  <c r="O591" i="6"/>
  <c r="D590" i="6"/>
  <c r="O590" i="6"/>
  <c r="D589" i="6"/>
  <c r="O589" i="6"/>
  <c r="D588" i="6"/>
  <c r="O588" i="6"/>
  <c r="D587" i="6"/>
  <c r="D586" i="6"/>
  <c r="O586" i="6"/>
  <c r="D585" i="6"/>
  <c r="O585" i="6"/>
  <c r="D584" i="6"/>
  <c r="O584" i="6"/>
  <c r="D583" i="6"/>
  <c r="O583" i="6"/>
  <c r="D913" i="6"/>
  <c r="O913" i="6"/>
  <c r="D582" i="6"/>
  <c r="O582" i="6"/>
  <c r="D581" i="6"/>
  <c r="O581" i="6"/>
  <c r="D580" i="6"/>
  <c r="O580" i="6"/>
  <c r="D579" i="6"/>
  <c r="O579" i="6"/>
  <c r="D909" i="6"/>
  <c r="D578" i="6"/>
  <c r="O578" i="6"/>
  <c r="D577" i="6"/>
  <c r="O577" i="6"/>
  <c r="D576" i="6"/>
  <c r="O576" i="6"/>
  <c r="D575" i="6"/>
  <c r="O575" i="6"/>
  <c r="D574" i="6"/>
  <c r="O574" i="6"/>
  <c r="D573" i="6"/>
  <c r="O573" i="6"/>
  <c r="D572" i="6"/>
  <c r="O572" i="6"/>
  <c r="D571" i="6"/>
  <c r="D901" i="6"/>
  <c r="D570" i="6"/>
  <c r="O570" i="6"/>
  <c r="D569" i="6"/>
  <c r="O569" i="6"/>
  <c r="D568" i="6"/>
  <c r="O568" i="6"/>
  <c r="D567" i="6"/>
  <c r="O567" i="6"/>
  <c r="D566" i="6"/>
  <c r="O566" i="6"/>
  <c r="D565" i="6"/>
  <c r="D895" i="6"/>
  <c r="O895" i="6"/>
  <c r="O565" i="6"/>
  <c r="D564" i="6"/>
  <c r="O564" i="6"/>
  <c r="D563" i="6"/>
  <c r="O563" i="6"/>
  <c r="D562" i="6"/>
  <c r="O562" i="6"/>
  <c r="D561" i="6"/>
  <c r="D891" i="6"/>
  <c r="O891" i="6"/>
  <c r="D560" i="6"/>
  <c r="O560" i="6"/>
  <c r="D559" i="6"/>
  <c r="O559" i="6"/>
  <c r="D558" i="6"/>
  <c r="D557" i="6"/>
  <c r="O557" i="6"/>
  <c r="D556" i="6"/>
  <c r="O556" i="6"/>
  <c r="D555" i="6"/>
  <c r="D554" i="6"/>
  <c r="O554" i="6"/>
  <c r="D553" i="6"/>
  <c r="D552" i="6"/>
  <c r="O552" i="6"/>
  <c r="D551" i="6"/>
  <c r="D550" i="6"/>
  <c r="O550" i="6"/>
  <c r="D549" i="6"/>
  <c r="O549" i="6"/>
  <c r="D548" i="6"/>
  <c r="O548" i="6"/>
  <c r="D547" i="6"/>
  <c r="O547" i="6"/>
  <c r="D877" i="6"/>
  <c r="O877" i="6"/>
  <c r="D546" i="6"/>
  <c r="O546" i="6"/>
  <c r="D545" i="6"/>
  <c r="O545" i="6"/>
  <c r="D544" i="6"/>
  <c r="O544" i="6"/>
  <c r="D543" i="6"/>
  <c r="O543" i="6"/>
  <c r="D542" i="6"/>
  <c r="O542" i="6"/>
  <c r="D541" i="6"/>
  <c r="O541" i="6"/>
  <c r="D540" i="6"/>
  <c r="O540" i="6"/>
  <c r="D539" i="6"/>
  <c r="O539" i="6"/>
  <c r="D538" i="6"/>
  <c r="O538" i="6"/>
  <c r="D537" i="6"/>
  <c r="O537" i="6"/>
  <c r="D536" i="6"/>
  <c r="O536" i="6"/>
  <c r="D535" i="6"/>
  <c r="O535" i="6"/>
  <c r="D534" i="6"/>
  <c r="O534" i="6"/>
  <c r="D533" i="6"/>
  <c r="O533" i="6"/>
  <c r="D532" i="6"/>
  <c r="O532" i="6"/>
  <c r="D531" i="6"/>
  <c r="D530" i="6"/>
  <c r="O530" i="6"/>
  <c r="D529" i="6"/>
  <c r="O529" i="6"/>
  <c r="D528" i="6"/>
  <c r="O528" i="6"/>
  <c r="D527" i="6"/>
  <c r="D526" i="6"/>
  <c r="D525" i="6"/>
  <c r="O525" i="6"/>
  <c r="D524" i="6"/>
  <c r="O524" i="6"/>
  <c r="D523" i="6"/>
  <c r="O523" i="6"/>
  <c r="D522" i="6"/>
  <c r="O522" i="6"/>
  <c r="D521" i="6"/>
  <c r="O521" i="6"/>
  <c r="D520" i="6"/>
  <c r="O520" i="6"/>
  <c r="D519" i="6"/>
  <c r="O519" i="6"/>
  <c r="D518" i="6"/>
  <c r="O518" i="6"/>
  <c r="D517" i="6"/>
  <c r="O517" i="6"/>
  <c r="D516" i="6"/>
  <c r="O516" i="6"/>
  <c r="D515" i="6"/>
  <c r="D845" i="6"/>
  <c r="O845" i="6"/>
  <c r="D514" i="6"/>
  <c r="O514" i="6"/>
  <c r="D513" i="6"/>
  <c r="O513" i="6"/>
  <c r="D512" i="6"/>
  <c r="O512" i="6"/>
  <c r="D511" i="6"/>
  <c r="O511" i="6"/>
  <c r="D510" i="6"/>
  <c r="O510" i="6"/>
  <c r="D509" i="6"/>
  <c r="O509" i="6"/>
  <c r="D508" i="6"/>
  <c r="O508" i="6"/>
  <c r="D507" i="6"/>
  <c r="E507" i="6" s="1"/>
  <c r="D506" i="6"/>
  <c r="E506" i="6" s="1"/>
  <c r="O506" i="6"/>
  <c r="D505" i="6"/>
  <c r="E505" i="6" s="1"/>
  <c r="D504" i="6"/>
  <c r="E504" i="6" s="1"/>
  <c r="D503" i="6"/>
  <c r="E503" i="6" s="1"/>
  <c r="D502" i="6"/>
  <c r="E502" i="6" s="1"/>
  <c r="D501" i="6"/>
  <c r="E501" i="6" s="1"/>
  <c r="D500" i="6"/>
  <c r="E500" i="6" s="1"/>
  <c r="D499" i="6"/>
  <c r="E499" i="6" s="1"/>
  <c r="D498" i="6"/>
  <c r="E498" i="6" s="1"/>
  <c r="D497" i="6"/>
  <c r="E497" i="6" s="1"/>
  <c r="D496" i="6"/>
  <c r="E496" i="6" s="1"/>
  <c r="O496" i="6"/>
  <c r="D495" i="6"/>
  <c r="E495" i="6" s="1"/>
  <c r="D494" i="6"/>
  <c r="E494" i="6" s="1"/>
  <c r="D493" i="6"/>
  <c r="E493" i="6" s="1"/>
  <c r="D492" i="6"/>
  <c r="E492" i="6" s="1"/>
  <c r="D491" i="6"/>
  <c r="E491" i="6" s="1"/>
  <c r="O491" i="6"/>
  <c r="D490" i="6"/>
  <c r="E490" i="6" s="1"/>
  <c r="D489" i="6"/>
  <c r="E489" i="6" s="1"/>
  <c r="O489" i="6"/>
  <c r="D488" i="6"/>
  <c r="E488" i="6" s="1"/>
  <c r="D487" i="6"/>
  <c r="E487" i="6" s="1"/>
  <c r="D486" i="6"/>
  <c r="E486" i="6" s="1"/>
  <c r="O486" i="6"/>
  <c r="D485" i="6"/>
  <c r="E485" i="6" s="1"/>
  <c r="O485" i="6"/>
  <c r="D484" i="6"/>
  <c r="E484" i="6" s="1"/>
  <c r="D483" i="6"/>
  <c r="E483" i="6" s="1"/>
  <c r="D482" i="6"/>
  <c r="E482" i="6" s="1"/>
  <c r="O482" i="6"/>
  <c r="D481" i="6"/>
  <c r="E481" i="6" s="1"/>
  <c r="O481" i="6"/>
  <c r="D480" i="6"/>
  <c r="E480" i="6" s="1"/>
  <c r="D479" i="6"/>
  <c r="E479" i="6" s="1"/>
  <c r="O479" i="6"/>
  <c r="D478" i="6"/>
  <c r="E478" i="6" s="1"/>
  <c r="O478" i="6"/>
  <c r="D477" i="6"/>
  <c r="E477" i="6" s="1"/>
  <c r="D476" i="6"/>
  <c r="E476" i="6" s="1"/>
  <c r="D475" i="6"/>
  <c r="E475" i="6" s="1"/>
  <c r="D474" i="6"/>
  <c r="E474" i="6" s="1"/>
  <c r="D473" i="6"/>
  <c r="E473" i="6" s="1"/>
  <c r="O473" i="6"/>
  <c r="D472" i="6"/>
  <c r="E472" i="6" s="1"/>
  <c r="D471" i="6"/>
  <c r="E471" i="6" s="1"/>
  <c r="O471" i="6"/>
  <c r="D470" i="6"/>
  <c r="E470" i="6" s="1"/>
  <c r="O470" i="6"/>
  <c r="D469" i="6"/>
  <c r="E469" i="6" s="1"/>
  <c r="D468" i="6"/>
  <c r="E468" i="6" s="1"/>
  <c r="D467" i="6"/>
  <c r="E467" i="6" s="1"/>
  <c r="D466" i="6"/>
  <c r="E466" i="6" s="1"/>
  <c r="O466" i="6"/>
  <c r="D465" i="6"/>
  <c r="E465" i="6" s="1"/>
  <c r="D464" i="6"/>
  <c r="E464" i="6" s="1"/>
  <c r="D463" i="6"/>
  <c r="E463" i="6" s="1"/>
  <c r="O463" i="6"/>
  <c r="D462" i="6"/>
  <c r="E462" i="6" s="1"/>
  <c r="D461" i="6"/>
  <c r="E461" i="6" s="1"/>
  <c r="O461" i="6"/>
  <c r="D460" i="6"/>
  <c r="E460" i="6" s="1"/>
  <c r="O460" i="6"/>
  <c r="D459" i="6"/>
  <c r="E459" i="6" s="1"/>
  <c r="O459" i="6"/>
  <c r="D458" i="6"/>
  <c r="E458" i="6" s="1"/>
  <c r="O458" i="6"/>
  <c r="D457" i="6"/>
  <c r="E457" i="6" s="1"/>
  <c r="O457" i="6"/>
  <c r="D456" i="6"/>
  <c r="E456" i="6" s="1"/>
  <c r="O456" i="6"/>
  <c r="D455" i="6"/>
  <c r="E455" i="6" s="1"/>
  <c r="D454" i="6"/>
  <c r="E454" i="6" s="1"/>
  <c r="D453" i="6"/>
  <c r="E453" i="6" s="1"/>
  <c r="D452" i="6"/>
  <c r="E452" i="6" s="1"/>
  <c r="O452" i="6"/>
  <c r="D451" i="6"/>
  <c r="E451" i="6" s="1"/>
  <c r="D450" i="6"/>
  <c r="E450" i="6" s="1"/>
  <c r="D449" i="6"/>
  <c r="E449" i="6" s="1"/>
  <c r="O449" i="6"/>
  <c r="D448" i="6"/>
  <c r="E448" i="6" s="1"/>
  <c r="D447" i="6"/>
  <c r="E447" i="6" s="1"/>
  <c r="D446" i="6"/>
  <c r="E446" i="6" s="1"/>
  <c r="D445" i="6"/>
  <c r="E445" i="6" s="1"/>
  <c r="O445" i="6"/>
  <c r="D444" i="6"/>
  <c r="E444" i="6" s="1"/>
  <c r="O444" i="6"/>
  <c r="D443" i="6"/>
  <c r="E443" i="6" s="1"/>
  <c r="D442" i="6"/>
  <c r="E442" i="6" s="1"/>
  <c r="D441" i="6"/>
  <c r="E441" i="6" s="1"/>
  <c r="D440" i="6"/>
  <c r="E440" i="6" s="1"/>
  <c r="O440" i="6"/>
  <c r="A440" i="6"/>
  <c r="D439" i="6"/>
  <c r="E439" i="6" s="1"/>
  <c r="D438" i="6"/>
  <c r="E438" i="6" s="1"/>
  <c r="D437" i="6"/>
  <c r="E437" i="6" s="1"/>
  <c r="D436" i="6"/>
  <c r="E436" i="6" s="1"/>
  <c r="D435" i="6"/>
  <c r="E435" i="6" s="1"/>
  <c r="D434" i="6"/>
  <c r="E434" i="6" s="1"/>
  <c r="D433" i="6"/>
  <c r="E433" i="6" s="1"/>
  <c r="D432" i="6"/>
  <c r="E432" i="6" s="1"/>
  <c r="D431" i="6"/>
  <c r="E431" i="6" s="1"/>
  <c r="D430" i="6"/>
  <c r="E430" i="6" s="1"/>
  <c r="O430" i="6"/>
  <c r="D429" i="6"/>
  <c r="E429" i="6" s="1"/>
  <c r="D428" i="6"/>
  <c r="E428" i="6" s="1"/>
  <c r="D427" i="6"/>
  <c r="E427" i="6" s="1"/>
  <c r="O427" i="6"/>
  <c r="D426" i="6"/>
  <c r="E426" i="6" s="1"/>
  <c r="D425" i="6"/>
  <c r="E425" i="6" s="1"/>
  <c r="O425" i="6"/>
  <c r="D424" i="6"/>
  <c r="E424" i="6" s="1"/>
  <c r="A424" i="6"/>
  <c r="D423" i="6"/>
  <c r="E423" i="6" s="1"/>
  <c r="D422" i="6"/>
  <c r="E422" i="6" s="1"/>
  <c r="O422" i="6"/>
  <c r="D421" i="6"/>
  <c r="E421" i="6" s="1"/>
  <c r="O421" i="6"/>
  <c r="D420" i="6"/>
  <c r="E420" i="6" s="1"/>
  <c r="D419" i="6"/>
  <c r="E419" i="6" s="1"/>
  <c r="O419" i="6"/>
  <c r="D418" i="6"/>
  <c r="E418" i="6" s="1"/>
  <c r="D417" i="6"/>
  <c r="E417" i="6" s="1"/>
  <c r="D416" i="6"/>
  <c r="E416" i="6" s="1"/>
  <c r="D415" i="6"/>
  <c r="E415" i="6" s="1"/>
  <c r="O415" i="6"/>
  <c r="D414" i="6"/>
  <c r="E414" i="6" s="1"/>
  <c r="D413" i="6"/>
  <c r="E413" i="6" s="1"/>
  <c r="O413" i="6"/>
  <c r="D412" i="6"/>
  <c r="E412" i="6" s="1"/>
  <c r="O412" i="6"/>
  <c r="D411" i="6"/>
  <c r="E411" i="6" s="1"/>
  <c r="D410" i="6"/>
  <c r="E410" i="6" s="1"/>
  <c r="O410" i="6"/>
  <c r="D409" i="6"/>
  <c r="E409" i="6" s="1"/>
  <c r="D408" i="6"/>
  <c r="E408" i="6" s="1"/>
  <c r="O408" i="6"/>
  <c r="D407" i="6"/>
  <c r="E407" i="6" s="1"/>
  <c r="D406" i="6"/>
  <c r="E406" i="6" s="1"/>
  <c r="O406" i="6"/>
  <c r="D405" i="6"/>
  <c r="E405" i="6" s="1"/>
  <c r="O405" i="6"/>
  <c r="D404" i="6"/>
  <c r="E404" i="6" s="1"/>
  <c r="D403" i="6"/>
  <c r="E403" i="6" s="1"/>
  <c r="O403" i="6"/>
  <c r="D402" i="6"/>
  <c r="E402" i="6" s="1"/>
  <c r="O402" i="6"/>
  <c r="D401" i="6"/>
  <c r="E401" i="6" s="1"/>
  <c r="D400" i="6"/>
  <c r="E400" i="6" s="1"/>
  <c r="O400" i="6"/>
  <c r="D399" i="6"/>
  <c r="E399" i="6" s="1"/>
  <c r="O399" i="6"/>
  <c r="D398" i="6"/>
  <c r="E398" i="6" s="1"/>
  <c r="O398" i="6"/>
  <c r="D397" i="6"/>
  <c r="E397" i="6" s="1"/>
  <c r="D396" i="6"/>
  <c r="E396" i="6" s="1"/>
  <c r="D395" i="6"/>
  <c r="E395" i="6" s="1"/>
  <c r="D394" i="6"/>
  <c r="E394" i="6" s="1"/>
  <c r="D393" i="6"/>
  <c r="E393" i="6" s="1"/>
  <c r="O393" i="6"/>
  <c r="D392" i="6"/>
  <c r="E392" i="6" s="1"/>
  <c r="D391" i="6"/>
  <c r="E391" i="6" s="1"/>
  <c r="D390" i="6"/>
  <c r="E390" i="6" s="1"/>
  <c r="D389" i="6"/>
  <c r="E389" i="6" s="1"/>
  <c r="O389" i="6"/>
  <c r="D388" i="6"/>
  <c r="E388" i="6" s="1"/>
  <c r="D387" i="6"/>
  <c r="E387" i="6" s="1"/>
  <c r="D386" i="6"/>
  <c r="E386" i="6" s="1"/>
  <c r="D385" i="6"/>
  <c r="E385" i="6" s="1"/>
  <c r="D384" i="6"/>
  <c r="E384" i="6" s="1"/>
  <c r="D383" i="6"/>
  <c r="E383" i="6" s="1"/>
  <c r="D382" i="6"/>
  <c r="E382" i="6" s="1"/>
  <c r="O382" i="6"/>
  <c r="D381" i="6"/>
  <c r="E381" i="6" s="1"/>
  <c r="O381" i="6"/>
  <c r="D380" i="6"/>
  <c r="E380" i="6" s="1"/>
  <c r="D379" i="6"/>
  <c r="E379" i="6" s="1"/>
  <c r="D378" i="6"/>
  <c r="E378" i="6" s="1"/>
  <c r="D377" i="6"/>
  <c r="E377" i="6" s="1"/>
  <c r="O377" i="6"/>
  <c r="D376" i="6"/>
  <c r="E376" i="6" s="1"/>
  <c r="D375" i="6"/>
  <c r="E375" i="6" s="1"/>
  <c r="D374" i="6"/>
  <c r="E374" i="6" s="1"/>
  <c r="D373" i="6"/>
  <c r="E373" i="6" s="1"/>
  <c r="D372" i="6"/>
  <c r="E372" i="6" s="1"/>
  <c r="D371" i="6"/>
  <c r="E371" i="6" s="1"/>
  <c r="O371" i="6"/>
  <c r="D370" i="6"/>
  <c r="E370" i="6" s="1"/>
  <c r="O370" i="6"/>
  <c r="D369" i="6"/>
  <c r="E369" i="6" s="1"/>
  <c r="D368" i="6"/>
  <c r="E368" i="6" s="1"/>
  <c r="D367" i="6"/>
  <c r="E367" i="6" s="1"/>
  <c r="D366" i="6"/>
  <c r="E366" i="6" s="1"/>
  <c r="O366" i="6"/>
  <c r="D365" i="6"/>
  <c r="E365" i="6" s="1"/>
  <c r="O365" i="6"/>
  <c r="D364" i="6"/>
  <c r="E364" i="6" s="1"/>
  <c r="D363" i="6"/>
  <c r="E363" i="6" s="1"/>
  <c r="D362" i="6"/>
  <c r="E362" i="6" s="1"/>
  <c r="D361" i="6"/>
  <c r="E361" i="6" s="1"/>
  <c r="O361" i="6"/>
  <c r="D360" i="6"/>
  <c r="E360" i="6" s="1"/>
  <c r="D359" i="6"/>
  <c r="E359" i="6" s="1"/>
  <c r="D358" i="6"/>
  <c r="E358" i="6" s="1"/>
  <c r="D357" i="6"/>
  <c r="E357" i="6" s="1"/>
  <c r="D356" i="6"/>
  <c r="E356" i="6" s="1"/>
  <c r="D355" i="6"/>
  <c r="E355" i="6" s="1"/>
  <c r="D354" i="6"/>
  <c r="E354" i="6" s="1"/>
  <c r="D353" i="6"/>
  <c r="E353" i="6" s="1"/>
  <c r="D352" i="6"/>
  <c r="E352" i="6" s="1"/>
  <c r="O352" i="6"/>
  <c r="D351" i="6"/>
  <c r="E351" i="6" s="1"/>
  <c r="D350" i="6"/>
  <c r="E350" i="6" s="1"/>
  <c r="O350" i="6"/>
  <c r="D349" i="6"/>
  <c r="E349" i="6" s="1"/>
  <c r="O349" i="6"/>
  <c r="D348" i="6"/>
  <c r="E348" i="6" s="1"/>
  <c r="D347" i="6"/>
  <c r="E347" i="6" s="1"/>
  <c r="D346" i="6"/>
  <c r="E346" i="6" s="1"/>
  <c r="D345" i="6"/>
  <c r="E345" i="6" s="1"/>
  <c r="D344" i="6"/>
  <c r="E344" i="6" s="1"/>
  <c r="O344" i="6"/>
  <c r="A344" i="6"/>
  <c r="D343" i="6"/>
  <c r="E343" i="6" s="1"/>
  <c r="D342" i="6"/>
  <c r="E342" i="6" s="1"/>
  <c r="D341" i="6"/>
  <c r="E341" i="6" s="1"/>
  <c r="D340" i="6"/>
  <c r="E340" i="6" s="1"/>
  <c r="O340" i="6"/>
  <c r="D339" i="6"/>
  <c r="E339" i="6" s="1"/>
  <c r="O339" i="6"/>
  <c r="D338" i="6"/>
  <c r="E338" i="6" s="1"/>
  <c r="D337" i="6"/>
  <c r="E337" i="6" s="1"/>
  <c r="D336" i="6"/>
  <c r="E336" i="6" s="1"/>
  <c r="A506" i="6"/>
  <c r="A503" i="6"/>
  <c r="A502" i="6"/>
  <c r="A500" i="6"/>
  <c r="A499" i="6"/>
  <c r="A498" i="6"/>
  <c r="A497" i="6"/>
  <c r="A496" i="6"/>
  <c r="A493" i="6"/>
  <c r="A492" i="6"/>
  <c r="A491" i="6"/>
  <c r="A489" i="6"/>
  <c r="A487" i="6"/>
  <c r="A486" i="6"/>
  <c r="A482" i="6"/>
  <c r="A479" i="6"/>
  <c r="A476" i="6"/>
  <c r="A475" i="6"/>
  <c r="A473" i="6"/>
  <c r="A471" i="6"/>
  <c r="A470" i="6"/>
  <c r="A466" i="6"/>
  <c r="A463" i="6"/>
  <c r="A461" i="6"/>
  <c r="A460" i="6"/>
  <c r="A459" i="6"/>
  <c r="A458" i="6"/>
  <c r="A457" i="6"/>
  <c r="A454" i="6"/>
  <c r="A452" i="6"/>
  <c r="A451" i="6"/>
  <c r="A450" i="6"/>
  <c r="A449" i="6"/>
  <c r="A445" i="6"/>
  <c r="A442" i="6"/>
  <c r="A438" i="6"/>
  <c r="A436" i="6"/>
  <c r="A433" i="6"/>
  <c r="A431" i="6"/>
  <c r="A427" i="6"/>
  <c r="A423" i="6"/>
  <c r="A422" i="6"/>
  <c r="A420" i="6"/>
  <c r="A419" i="6"/>
  <c r="A418" i="6"/>
  <c r="A417" i="6"/>
  <c r="A415" i="6"/>
  <c r="A413" i="6"/>
  <c r="A412" i="6"/>
  <c r="A410" i="6"/>
  <c r="A409" i="6"/>
  <c r="A403" i="6"/>
  <c r="A402" i="6"/>
  <c r="A400" i="6"/>
  <c r="A399" i="6"/>
  <c r="A396" i="6"/>
  <c r="A395" i="6"/>
  <c r="A393" i="6"/>
  <c r="A388" i="6"/>
  <c r="A384" i="6"/>
  <c r="A383" i="6"/>
  <c r="A380" i="6"/>
  <c r="A377" i="6"/>
  <c r="A374" i="6"/>
  <c r="A371" i="6"/>
  <c r="A368" i="6"/>
  <c r="A364" i="6"/>
  <c r="A363" i="6"/>
  <c r="A362" i="6"/>
  <c r="A361" i="6"/>
  <c r="A359" i="6"/>
  <c r="A358" i="6"/>
  <c r="A352" i="6"/>
  <c r="A346" i="6"/>
  <c r="A340" i="6"/>
  <c r="A339" i="6"/>
  <c r="A337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S334" i="6"/>
  <c r="AO334" i="6"/>
  <c r="S333" i="6"/>
  <c r="AO333" i="6"/>
  <c r="S332" i="6"/>
  <c r="AO332" i="6"/>
  <c r="S331" i="6"/>
  <c r="AO331" i="6"/>
  <c r="S330" i="6"/>
  <c r="AO330" i="6"/>
  <c r="S329" i="6"/>
  <c r="AO329" i="6"/>
  <c r="S328" i="6"/>
  <c r="AO328" i="6"/>
  <c r="S327" i="6"/>
  <c r="AO327" i="6"/>
  <c r="S326" i="6"/>
  <c r="AO326" i="6"/>
  <c r="S325" i="6"/>
  <c r="AO325" i="6"/>
  <c r="S324" i="6"/>
  <c r="AO324" i="6"/>
  <c r="S323" i="6"/>
  <c r="AO323" i="6"/>
  <c r="S322" i="6"/>
  <c r="AO322" i="6"/>
  <c r="S321" i="6"/>
  <c r="AO321" i="6"/>
  <c r="S320" i="6"/>
  <c r="AO320" i="6"/>
  <c r="S319" i="6"/>
  <c r="AO319" i="6"/>
  <c r="S318" i="6"/>
  <c r="AO318" i="6"/>
  <c r="S317" i="6"/>
  <c r="AO317" i="6"/>
  <c r="S316" i="6"/>
  <c r="AO316" i="6"/>
  <c r="S315" i="6"/>
  <c r="AO315" i="6"/>
  <c r="S314" i="6"/>
  <c r="AO314" i="6"/>
  <c r="S313" i="6"/>
  <c r="AO313" i="6"/>
  <c r="S312" i="6"/>
  <c r="AO312" i="6"/>
  <c r="S311" i="6"/>
  <c r="AO311" i="6"/>
  <c r="S310" i="6"/>
  <c r="AO310" i="6"/>
  <c r="S309" i="6"/>
  <c r="AO309" i="6"/>
  <c r="S308" i="6"/>
  <c r="AO308" i="6"/>
  <c r="S307" i="6"/>
  <c r="AO307" i="6"/>
  <c r="S306" i="6"/>
  <c r="AO306" i="6"/>
  <c r="S305" i="6"/>
  <c r="AO305" i="6"/>
  <c r="S304" i="6"/>
  <c r="AO304" i="6"/>
  <c r="S303" i="6"/>
  <c r="AO303" i="6"/>
  <c r="S302" i="6"/>
  <c r="AO302" i="6"/>
  <c r="S301" i="6"/>
  <c r="AO301" i="6"/>
  <c r="S300" i="6"/>
  <c r="AO300" i="6"/>
  <c r="S299" i="6"/>
  <c r="AO299" i="6"/>
  <c r="S298" i="6"/>
  <c r="AO298" i="6"/>
  <c r="S297" i="6"/>
  <c r="AO297" i="6"/>
  <c r="S296" i="6"/>
  <c r="AO296" i="6"/>
  <c r="S295" i="6"/>
  <c r="AO295" i="6"/>
  <c r="S294" i="6"/>
  <c r="AO294" i="6"/>
  <c r="S293" i="6"/>
  <c r="AO293" i="6"/>
  <c r="S292" i="6"/>
  <c r="AO292" i="6"/>
  <c r="S291" i="6"/>
  <c r="AO291" i="6"/>
  <c r="S290" i="6"/>
  <c r="AO290" i="6"/>
  <c r="S289" i="6"/>
  <c r="AO289" i="6"/>
  <c r="S288" i="6"/>
  <c r="AO288" i="6"/>
  <c r="S287" i="6"/>
  <c r="AO287" i="6"/>
  <c r="S286" i="6"/>
  <c r="AO286" i="6"/>
  <c r="S285" i="6"/>
  <c r="AO285" i="6"/>
  <c r="S284" i="6"/>
  <c r="AO284" i="6"/>
  <c r="S283" i="6"/>
  <c r="AO283" i="6"/>
  <c r="S282" i="6"/>
  <c r="AO282" i="6"/>
  <c r="S281" i="6"/>
  <c r="AO281" i="6"/>
  <c r="S280" i="6"/>
  <c r="AO280" i="6"/>
  <c r="S279" i="6"/>
  <c r="AO279" i="6"/>
  <c r="S278" i="6"/>
  <c r="AO278" i="6"/>
  <c r="S277" i="6"/>
  <c r="AO277" i="6"/>
  <c r="S276" i="6"/>
  <c r="AO276" i="6"/>
  <c r="S275" i="6"/>
  <c r="AO275" i="6"/>
  <c r="S274" i="6"/>
  <c r="AO274" i="6"/>
  <c r="S273" i="6"/>
  <c r="AO273" i="6"/>
  <c r="S272" i="6"/>
  <c r="AO272" i="6"/>
  <c r="S271" i="6"/>
  <c r="AO271" i="6"/>
  <c r="S270" i="6"/>
  <c r="AO270" i="6"/>
  <c r="S269" i="6"/>
  <c r="AO269" i="6"/>
  <c r="S268" i="6"/>
  <c r="AO268" i="6"/>
  <c r="S267" i="6"/>
  <c r="AO267" i="6"/>
  <c r="S266" i="6"/>
  <c r="AO266" i="6"/>
  <c r="S265" i="6"/>
  <c r="AO265" i="6"/>
  <c r="S264" i="6"/>
  <c r="AO264" i="6"/>
  <c r="S263" i="6"/>
  <c r="AO263" i="6"/>
  <c r="S262" i="6"/>
  <c r="AO262" i="6"/>
  <c r="S261" i="6"/>
  <c r="AO261" i="6"/>
  <c r="S260" i="6"/>
  <c r="AO260" i="6"/>
  <c r="S259" i="6"/>
  <c r="AO259" i="6"/>
  <c r="S258" i="6"/>
  <c r="AO258" i="6"/>
  <c r="S257" i="6"/>
  <c r="AO257" i="6"/>
  <c r="S256" i="6"/>
  <c r="AO256" i="6"/>
  <c r="S255" i="6"/>
  <c r="AO255" i="6"/>
  <c r="S254" i="6"/>
  <c r="AO254" i="6"/>
  <c r="S253" i="6"/>
  <c r="AO253" i="6"/>
  <c r="S252" i="6"/>
  <c r="AO252" i="6"/>
  <c r="S251" i="6"/>
  <c r="AO251" i="6"/>
  <c r="S250" i="6"/>
  <c r="AO250" i="6"/>
  <c r="S249" i="6"/>
  <c r="AO249" i="6"/>
  <c r="S248" i="6"/>
  <c r="AO248" i="6"/>
  <c r="S247" i="6"/>
  <c r="AO247" i="6"/>
  <c r="S246" i="6"/>
  <c r="AO246" i="6"/>
  <c r="S245" i="6"/>
  <c r="AO245" i="6"/>
  <c r="S244" i="6"/>
  <c r="AO244" i="6"/>
  <c r="S243" i="6"/>
  <c r="AO243" i="6"/>
  <c r="S242" i="6"/>
  <c r="AO242" i="6"/>
  <c r="S241" i="6"/>
  <c r="AO241" i="6"/>
  <c r="S240" i="6"/>
  <c r="AO240" i="6"/>
  <c r="S239" i="6"/>
  <c r="AO239" i="6"/>
  <c r="S238" i="6"/>
  <c r="AO238" i="6"/>
  <c r="S237" i="6"/>
  <c r="AO237" i="6"/>
  <c r="S236" i="6"/>
  <c r="AO236" i="6"/>
  <c r="S235" i="6"/>
  <c r="AO235" i="6"/>
  <c r="S234" i="6"/>
  <c r="AO234" i="6"/>
  <c r="S233" i="6"/>
  <c r="AO233" i="6"/>
  <c r="S232" i="6"/>
  <c r="AO232" i="6"/>
  <c r="S231" i="6"/>
  <c r="AO231" i="6"/>
  <c r="S230" i="6"/>
  <c r="AO230" i="6"/>
  <c r="S229" i="6"/>
  <c r="AO229" i="6"/>
  <c r="S228" i="6"/>
  <c r="AO228" i="6"/>
  <c r="S227" i="6"/>
  <c r="AO227" i="6"/>
  <c r="S226" i="6"/>
  <c r="AO226" i="6"/>
  <c r="S225" i="6"/>
  <c r="AO225" i="6"/>
  <c r="S224" i="6"/>
  <c r="AO224" i="6"/>
  <c r="S223" i="6"/>
  <c r="AO223" i="6"/>
  <c r="S222" i="6"/>
  <c r="AO222" i="6"/>
  <c r="S221" i="6"/>
  <c r="AO221" i="6"/>
  <c r="S220" i="6"/>
  <c r="AO220" i="6"/>
  <c r="S219" i="6"/>
  <c r="AO219" i="6"/>
  <c r="S218" i="6"/>
  <c r="AO218" i="6"/>
  <c r="S217" i="6"/>
  <c r="AO217" i="6"/>
  <c r="S216" i="6"/>
  <c r="AO216" i="6"/>
  <c r="S215" i="6"/>
  <c r="AO215" i="6"/>
  <c r="S214" i="6"/>
  <c r="AO214" i="6"/>
  <c r="S213" i="6"/>
  <c r="AO213" i="6"/>
  <c r="S212" i="6"/>
  <c r="AO212" i="6"/>
  <c r="S211" i="6"/>
  <c r="AO211" i="6"/>
  <c r="S210" i="6"/>
  <c r="AO210" i="6"/>
  <c r="S209" i="6"/>
  <c r="AO209" i="6"/>
  <c r="S208" i="6"/>
  <c r="AO208" i="6"/>
  <c r="S207" i="6"/>
  <c r="AO207" i="6"/>
  <c r="S206" i="6"/>
  <c r="AO206" i="6"/>
  <c r="S205" i="6"/>
  <c r="AO205" i="6"/>
  <c r="S204" i="6"/>
  <c r="AO204" i="6"/>
  <c r="S203" i="6"/>
  <c r="AO203" i="6"/>
  <c r="S202" i="6"/>
  <c r="AO202" i="6"/>
  <c r="S201" i="6"/>
  <c r="AO201" i="6"/>
  <c r="S200" i="6"/>
  <c r="AO200" i="6"/>
  <c r="S199" i="6"/>
  <c r="AO199" i="6"/>
  <c r="S198" i="6"/>
  <c r="AO198" i="6"/>
  <c r="S197" i="6"/>
  <c r="AO197" i="6"/>
  <c r="S196" i="6"/>
  <c r="AO196" i="6"/>
  <c r="S195" i="6"/>
  <c r="AO195" i="6"/>
  <c r="S194" i="6"/>
  <c r="AO194" i="6"/>
  <c r="S193" i="6"/>
  <c r="AO193" i="6"/>
  <c r="S192" i="6"/>
  <c r="AO192" i="6"/>
  <c r="S191" i="6"/>
  <c r="AO191" i="6"/>
  <c r="S190" i="6"/>
  <c r="AO190" i="6"/>
  <c r="S189" i="6"/>
  <c r="AO189" i="6"/>
  <c r="S188" i="6"/>
  <c r="AO188" i="6"/>
  <c r="S187" i="6"/>
  <c r="AO187" i="6"/>
  <c r="S186" i="6"/>
  <c r="AO186" i="6"/>
  <c r="S185" i="6"/>
  <c r="AO185" i="6"/>
  <c r="S184" i="6"/>
  <c r="AO184" i="6"/>
  <c r="S183" i="6"/>
  <c r="AO183" i="6"/>
  <c r="S182" i="6"/>
  <c r="AO182" i="6"/>
  <c r="S181" i="6"/>
  <c r="AO181" i="6"/>
  <c r="S180" i="6"/>
  <c r="AO180" i="6"/>
  <c r="S179" i="6"/>
  <c r="AO179" i="6"/>
  <c r="S178" i="6"/>
  <c r="AO178" i="6"/>
  <c r="S177" i="6"/>
  <c r="AO177" i="6"/>
  <c r="S176" i="6"/>
  <c r="AO176" i="6"/>
  <c r="S175" i="6"/>
  <c r="AO175" i="6"/>
  <c r="S174" i="6"/>
  <c r="AO174" i="6"/>
  <c r="S173" i="6"/>
  <c r="AO173" i="6"/>
  <c r="S172" i="6"/>
  <c r="AO172" i="6"/>
  <c r="S171" i="6"/>
  <c r="AO171" i="6"/>
  <c r="S170" i="6"/>
  <c r="AO170" i="6"/>
  <c r="S169" i="6"/>
  <c r="AO169" i="6"/>
  <c r="S168" i="6"/>
  <c r="AO168" i="6"/>
  <c r="S167" i="6"/>
  <c r="AO167" i="6"/>
  <c r="S166" i="6"/>
  <c r="AO166" i="6"/>
  <c r="S165" i="6"/>
  <c r="AO165" i="6"/>
  <c r="S164" i="6"/>
  <c r="AO164" i="6"/>
  <c r="S163" i="6"/>
  <c r="AO163" i="6"/>
  <c r="S162" i="6"/>
  <c r="AO162" i="6"/>
  <c r="S161" i="6"/>
  <c r="AO161" i="6"/>
  <c r="S160" i="6"/>
  <c r="AO160" i="6"/>
  <c r="S159" i="6"/>
  <c r="AO159" i="6"/>
  <c r="S158" i="6"/>
  <c r="AO158" i="6"/>
  <c r="S157" i="6"/>
  <c r="AO157" i="6"/>
  <c r="S156" i="6"/>
  <c r="AO156" i="6"/>
  <c r="S155" i="6"/>
  <c r="AO155" i="6"/>
  <c r="S154" i="6"/>
  <c r="AO154" i="6"/>
  <c r="S153" i="6"/>
  <c r="AO153" i="6"/>
  <c r="S152" i="6"/>
  <c r="AO152" i="6"/>
  <c r="S151" i="6"/>
  <c r="AO151" i="6"/>
  <c r="S150" i="6"/>
  <c r="AO150" i="6"/>
  <c r="S149" i="6"/>
  <c r="AO149" i="6"/>
  <c r="S148" i="6"/>
  <c r="AO148" i="6"/>
  <c r="S147" i="6"/>
  <c r="AO147" i="6"/>
  <c r="S146" i="6"/>
  <c r="AO146" i="6"/>
  <c r="S145" i="6"/>
  <c r="AO145" i="6"/>
  <c r="S144" i="6"/>
  <c r="AO144" i="6"/>
  <c r="S143" i="6"/>
  <c r="AO143" i="6"/>
  <c r="S142" i="6"/>
  <c r="AO142" i="6"/>
  <c r="S141" i="6"/>
  <c r="AO141" i="6"/>
  <c r="S140" i="6"/>
  <c r="AO140" i="6"/>
  <c r="S139" i="6"/>
  <c r="AO139" i="6"/>
  <c r="S138" i="6"/>
  <c r="AO138" i="6"/>
  <c r="S137" i="6"/>
  <c r="AO137" i="6"/>
  <c r="S136" i="6"/>
  <c r="AO136" i="6"/>
  <c r="S135" i="6"/>
  <c r="AO135" i="6"/>
  <c r="S134" i="6"/>
  <c r="AO134" i="6"/>
  <c r="S133" i="6"/>
  <c r="AO133" i="6"/>
  <c r="S132" i="6"/>
  <c r="AO132" i="6"/>
  <c r="S131" i="6"/>
  <c r="AO131" i="6"/>
  <c r="S130" i="6"/>
  <c r="AO130" i="6"/>
  <c r="S129" i="6"/>
  <c r="AO129" i="6"/>
  <c r="S128" i="6"/>
  <c r="AO128" i="6"/>
  <c r="S127" i="6"/>
  <c r="AO127" i="6"/>
  <c r="S126" i="6"/>
  <c r="AO126" i="6"/>
  <c r="S125" i="6"/>
  <c r="AO125" i="6"/>
  <c r="S124" i="6"/>
  <c r="AO124" i="6"/>
  <c r="S123" i="6"/>
  <c r="AO123" i="6"/>
  <c r="S122" i="6"/>
  <c r="AO122" i="6"/>
  <c r="S121" i="6"/>
  <c r="AO121" i="6"/>
  <c r="S120" i="6"/>
  <c r="AO120" i="6"/>
  <c r="S119" i="6"/>
  <c r="AO119" i="6"/>
  <c r="S118" i="6"/>
  <c r="AO118" i="6"/>
  <c r="S117" i="6"/>
  <c r="AO117" i="6"/>
  <c r="S116" i="6"/>
  <c r="AO116" i="6"/>
  <c r="S115" i="6"/>
  <c r="AO115" i="6"/>
  <c r="S114" i="6"/>
  <c r="AO114" i="6"/>
  <c r="S113" i="6"/>
  <c r="AO113" i="6"/>
  <c r="S112" i="6"/>
  <c r="AO112" i="6"/>
  <c r="S111" i="6"/>
  <c r="AO111" i="6"/>
  <c r="S110" i="6"/>
  <c r="AO110" i="6"/>
  <c r="S109" i="6"/>
  <c r="AO109" i="6"/>
  <c r="S108" i="6"/>
  <c r="AO108" i="6"/>
  <c r="S107" i="6"/>
  <c r="AO107" i="6"/>
  <c r="S106" i="6"/>
  <c r="AO106" i="6"/>
  <c r="S105" i="6"/>
  <c r="AO105" i="6"/>
  <c r="S104" i="6"/>
  <c r="AO104" i="6"/>
  <c r="S103" i="6"/>
  <c r="AO103" i="6"/>
  <c r="S102" i="6"/>
  <c r="AO102" i="6"/>
  <c r="S101" i="6"/>
  <c r="AO101" i="6"/>
  <c r="S100" i="6"/>
  <c r="AO100" i="6"/>
  <c r="S99" i="6"/>
  <c r="AO99" i="6"/>
  <c r="S98" i="6"/>
  <c r="AO98" i="6"/>
  <c r="S97" i="6"/>
  <c r="AO97" i="6"/>
  <c r="S96" i="6"/>
  <c r="AO96" i="6"/>
  <c r="S95" i="6"/>
  <c r="AO95" i="6"/>
  <c r="S94" i="6"/>
  <c r="AO94" i="6"/>
  <c r="S93" i="6"/>
  <c r="AO93" i="6"/>
  <c r="S92" i="6"/>
  <c r="AO92" i="6"/>
  <c r="S91" i="6"/>
  <c r="AO91" i="6"/>
  <c r="S90" i="6"/>
  <c r="AO90" i="6"/>
  <c r="S89" i="6"/>
  <c r="AO89" i="6"/>
  <c r="S88" i="6"/>
  <c r="AO88" i="6"/>
  <c r="S87" i="6"/>
  <c r="AO87" i="6"/>
  <c r="S86" i="6"/>
  <c r="AO86" i="6"/>
  <c r="S85" i="6"/>
  <c r="AO85" i="6"/>
  <c r="S84" i="6"/>
  <c r="AO84" i="6"/>
  <c r="S83" i="6"/>
  <c r="AO83" i="6"/>
  <c r="S82" i="6"/>
  <c r="AO82" i="6"/>
  <c r="S81" i="6"/>
  <c r="AO81" i="6"/>
  <c r="S80" i="6"/>
  <c r="AO80" i="6"/>
  <c r="S79" i="6"/>
  <c r="AO79" i="6"/>
  <c r="S78" i="6"/>
  <c r="AO78" i="6"/>
  <c r="S77" i="6"/>
  <c r="AO77" i="6"/>
  <c r="S76" i="6"/>
  <c r="AO76" i="6"/>
  <c r="S75" i="6"/>
  <c r="AO75" i="6"/>
  <c r="S74" i="6"/>
  <c r="AO74" i="6"/>
  <c r="S73" i="6"/>
  <c r="AO73" i="6"/>
  <c r="S72" i="6"/>
  <c r="AO72" i="6"/>
  <c r="S71" i="6"/>
  <c r="AO71" i="6"/>
  <c r="S70" i="6"/>
  <c r="AO70" i="6"/>
  <c r="S69" i="6"/>
  <c r="AO69" i="6"/>
  <c r="S68" i="6"/>
  <c r="AO68" i="6"/>
  <c r="S67" i="6"/>
  <c r="AO67" i="6"/>
  <c r="S66" i="6"/>
  <c r="AO66" i="6"/>
  <c r="S65" i="6"/>
  <c r="AO65" i="6"/>
  <c r="S64" i="6"/>
  <c r="AO64" i="6"/>
  <c r="S63" i="6"/>
  <c r="AO63" i="6"/>
  <c r="S62" i="6"/>
  <c r="AO62" i="6"/>
  <c r="S61" i="6"/>
  <c r="AO61" i="6"/>
  <c r="S60" i="6"/>
  <c r="AO60" i="6"/>
  <c r="S59" i="6"/>
  <c r="AO59" i="6"/>
  <c r="S58" i="6"/>
  <c r="AO58" i="6"/>
  <c r="S57" i="6"/>
  <c r="AO57" i="6"/>
  <c r="S56" i="6"/>
  <c r="AO56" i="6"/>
  <c r="S55" i="6"/>
  <c r="AO55" i="6"/>
  <c r="S54" i="6"/>
  <c r="AO54" i="6"/>
  <c r="S53" i="6"/>
  <c r="AO53" i="6"/>
  <c r="S52" i="6"/>
  <c r="AO52" i="6"/>
  <c r="S51" i="6"/>
  <c r="AO51" i="6"/>
  <c r="S50" i="6"/>
  <c r="AO50" i="6"/>
  <c r="S49" i="6"/>
  <c r="AO49" i="6"/>
  <c r="S48" i="6"/>
  <c r="AO48" i="6"/>
  <c r="S47" i="6"/>
  <c r="AO47" i="6"/>
  <c r="S46" i="6"/>
  <c r="AO46" i="6"/>
  <c r="S45" i="6"/>
  <c r="AO45" i="6"/>
  <c r="S44" i="6"/>
  <c r="AO44" i="6"/>
  <c r="S43" i="6"/>
  <c r="AO43" i="6"/>
  <c r="S42" i="6"/>
  <c r="AO42" i="6"/>
  <c r="S41" i="6"/>
  <c r="AO41" i="6"/>
  <c r="S40" i="6"/>
  <c r="AO40" i="6"/>
  <c r="S39" i="6"/>
  <c r="AO39" i="6"/>
  <c r="S38" i="6"/>
  <c r="AO38" i="6"/>
  <c r="S37" i="6"/>
  <c r="AO37" i="6"/>
  <c r="S36" i="6"/>
  <c r="AO36" i="6"/>
  <c r="S35" i="6"/>
  <c r="AO35" i="6"/>
  <c r="S34" i="6"/>
  <c r="AO34" i="6"/>
  <c r="S33" i="6"/>
  <c r="AO33" i="6"/>
  <c r="S32" i="6"/>
  <c r="AO32" i="6"/>
  <c r="S31" i="6"/>
  <c r="AO31" i="6"/>
  <c r="S30" i="6"/>
  <c r="AO30" i="6"/>
  <c r="S29" i="6"/>
  <c r="AO29" i="6"/>
  <c r="S28" i="6"/>
  <c r="AO28" i="6"/>
  <c r="S27" i="6"/>
  <c r="AO27" i="6"/>
  <c r="S26" i="6"/>
  <c r="AO26" i="6"/>
  <c r="S25" i="6"/>
  <c r="AO25" i="6"/>
  <c r="S24" i="6"/>
  <c r="AO24" i="6"/>
  <c r="S23" i="6"/>
  <c r="AO23" i="6"/>
  <c r="S22" i="6"/>
  <c r="AO22" i="6"/>
  <c r="S21" i="6"/>
  <c r="AO21" i="6"/>
  <c r="S20" i="6"/>
  <c r="AO20" i="6"/>
  <c r="S19" i="6"/>
  <c r="AO19" i="6"/>
  <c r="S18" i="6"/>
  <c r="AO18" i="6"/>
  <c r="S17" i="6"/>
  <c r="AO17" i="6"/>
  <c r="S16" i="6"/>
  <c r="AO16" i="6"/>
  <c r="S15" i="6"/>
  <c r="AO15" i="6"/>
  <c r="S14" i="6"/>
  <c r="AO14" i="6"/>
  <c r="S13" i="6"/>
  <c r="AO13" i="6"/>
  <c r="S12" i="6"/>
  <c r="AO12" i="6"/>
  <c r="S11" i="6"/>
  <c r="AO11" i="6"/>
  <c r="S10" i="6"/>
  <c r="AO10" i="6"/>
  <c r="S9" i="6"/>
  <c r="AO9" i="6"/>
  <c r="S8" i="6"/>
  <c r="AO8" i="6"/>
  <c r="S7" i="6"/>
  <c r="AO7" i="6"/>
  <c r="S6" i="6"/>
  <c r="AO6" i="6"/>
  <c r="S5" i="6"/>
  <c r="AO5" i="6"/>
  <c r="D335" i="6"/>
  <c r="E335" i="6" s="1"/>
  <c r="O335" i="6"/>
  <c r="B664" i="6"/>
  <c r="B994" i="6" s="1"/>
  <c r="S664" i="6"/>
  <c r="AO664" i="6"/>
  <c r="B663" i="6"/>
  <c r="B662" i="6"/>
  <c r="B661" i="6"/>
  <c r="B660" i="6"/>
  <c r="B659" i="6"/>
  <c r="S659" i="6"/>
  <c r="AO659" i="6"/>
  <c r="B658" i="6"/>
  <c r="B988" i="6" s="1"/>
  <c r="S658" i="6"/>
  <c r="B657" i="6"/>
  <c r="B656" i="6"/>
  <c r="B986" i="6"/>
  <c r="S656" i="6"/>
  <c r="AO656" i="6"/>
  <c r="B655" i="6"/>
  <c r="S655" i="6"/>
  <c r="AO655" i="6"/>
  <c r="B654" i="6"/>
  <c r="B653" i="6"/>
  <c r="S653" i="6"/>
  <c r="AO653" i="6"/>
  <c r="B652" i="6"/>
  <c r="B651" i="6"/>
  <c r="S651" i="6"/>
  <c r="AO651" i="6"/>
  <c r="B650" i="6"/>
  <c r="B980" i="6"/>
  <c r="S650" i="6"/>
  <c r="B649" i="6"/>
  <c r="B648" i="6"/>
  <c r="B978" i="6"/>
  <c r="S648" i="6"/>
  <c r="AO648" i="6"/>
  <c r="B647" i="6"/>
  <c r="B646" i="6"/>
  <c r="B645" i="6"/>
  <c r="B644" i="6"/>
  <c r="B643" i="6"/>
  <c r="B973" i="6" s="1"/>
  <c r="S643" i="6"/>
  <c r="AO643" i="6"/>
  <c r="B642" i="6"/>
  <c r="B972" i="6" s="1"/>
  <c r="S642" i="6"/>
  <c r="AO642" i="6"/>
  <c r="B641" i="6"/>
  <c r="B640" i="6"/>
  <c r="B639" i="6"/>
  <c r="B638" i="6"/>
  <c r="B637" i="6"/>
  <c r="B636" i="6"/>
  <c r="B635" i="6"/>
  <c r="B634" i="6"/>
  <c r="B964" i="6"/>
  <c r="B633" i="6"/>
  <c r="B632" i="6"/>
  <c r="S632" i="6"/>
  <c r="AO632" i="6"/>
  <c r="B631" i="6"/>
  <c r="S631" i="6"/>
  <c r="AO631" i="6"/>
  <c r="B630" i="6"/>
  <c r="B629" i="6"/>
  <c r="B959" i="6" s="1"/>
  <c r="S629" i="6"/>
  <c r="AO629" i="6"/>
  <c r="B628" i="6"/>
  <c r="B627" i="6"/>
  <c r="S627" i="6"/>
  <c r="AO627" i="6"/>
  <c r="B626" i="6"/>
  <c r="B956" i="6" s="1"/>
  <c r="S626" i="6"/>
  <c r="B625" i="6"/>
  <c r="B624" i="6"/>
  <c r="B954" i="6" s="1"/>
  <c r="S624" i="6"/>
  <c r="AO624" i="6"/>
  <c r="B623" i="6"/>
  <c r="S623" i="6"/>
  <c r="AO623" i="6"/>
  <c r="B622" i="6"/>
  <c r="B621" i="6"/>
  <c r="B951" i="6"/>
  <c r="S951" i="6" s="1"/>
  <c r="B1281" i="6"/>
  <c r="S1281" i="6" s="1"/>
  <c r="B1611" i="6"/>
  <c r="S1611" i="6"/>
  <c r="S621" i="6"/>
  <c r="AO621" i="6"/>
  <c r="B620" i="6"/>
  <c r="S620" i="6"/>
  <c r="AO620" i="6"/>
  <c r="B619" i="6"/>
  <c r="S619" i="6"/>
  <c r="AO619" i="6"/>
  <c r="B618" i="6"/>
  <c r="B948" i="6"/>
  <c r="S618" i="6"/>
  <c r="AO618" i="6"/>
  <c r="B617" i="6"/>
  <c r="B616" i="6"/>
  <c r="B946" i="6"/>
  <c r="B615" i="6"/>
  <c r="B614" i="6"/>
  <c r="B613" i="6"/>
  <c r="B943" i="6"/>
  <c r="S613" i="6"/>
  <c r="AO613" i="6"/>
  <c r="B612" i="6"/>
  <c r="B611" i="6"/>
  <c r="S611" i="6"/>
  <c r="AO611" i="6"/>
  <c r="B610" i="6"/>
  <c r="B940" i="6" s="1"/>
  <c r="S610" i="6"/>
  <c r="AO610" i="6"/>
  <c r="B609" i="6"/>
  <c r="B608" i="6"/>
  <c r="B938" i="6" s="1"/>
  <c r="B1268" i="6" s="1"/>
  <c r="B1598" i="6" s="1"/>
  <c r="S1598" i="6" s="1"/>
  <c r="S608" i="6"/>
  <c r="AO608" i="6"/>
  <c r="B607" i="6"/>
  <c r="B606" i="6"/>
  <c r="B605" i="6"/>
  <c r="B604" i="6"/>
  <c r="B603" i="6"/>
  <c r="B602" i="6"/>
  <c r="B932" i="6"/>
  <c r="S602" i="6"/>
  <c r="AO602" i="6"/>
  <c r="B601" i="6"/>
  <c r="B600" i="6"/>
  <c r="B930" i="6"/>
  <c r="S600" i="6"/>
  <c r="AO600" i="6"/>
  <c r="B599" i="6"/>
  <c r="B598" i="6"/>
  <c r="B597" i="6"/>
  <c r="S597" i="6"/>
  <c r="AO597" i="6"/>
  <c r="B596" i="6"/>
  <c r="B595" i="6"/>
  <c r="S595" i="6"/>
  <c r="AO595" i="6"/>
  <c r="B594" i="6"/>
  <c r="B924" i="6" s="1"/>
  <c r="S594" i="6"/>
  <c r="AO594" i="6"/>
  <c r="B593" i="6"/>
  <c r="S593" i="6"/>
  <c r="B923" i="6"/>
  <c r="B592" i="6"/>
  <c r="B591" i="6"/>
  <c r="B921" i="6" s="1"/>
  <c r="S591" i="6"/>
  <c r="AO591" i="6"/>
  <c r="B590" i="6"/>
  <c r="B589" i="6"/>
  <c r="B588" i="6"/>
  <c r="B587" i="6"/>
  <c r="S587" i="6"/>
  <c r="AO587" i="6"/>
  <c r="B586" i="6"/>
  <c r="B916" i="6" s="1"/>
  <c r="S586" i="6"/>
  <c r="AO586" i="6"/>
  <c r="B585" i="6"/>
  <c r="B584" i="6"/>
  <c r="B583" i="6"/>
  <c r="B582" i="6"/>
  <c r="B581" i="6"/>
  <c r="B911" i="6"/>
  <c r="B580" i="6"/>
  <c r="B579" i="6"/>
  <c r="B909" i="6"/>
  <c r="S579" i="6"/>
  <c r="AO579" i="6"/>
  <c r="B578" i="6"/>
  <c r="B908" i="6" s="1"/>
  <c r="S578" i="6"/>
  <c r="AO578" i="6"/>
  <c r="B577" i="6"/>
  <c r="B576" i="6"/>
  <c r="B575" i="6"/>
  <c r="B574" i="6"/>
  <c r="B573" i="6"/>
  <c r="B903" i="6"/>
  <c r="B572" i="6"/>
  <c r="B571" i="6"/>
  <c r="B901" i="6"/>
  <c r="S571" i="6"/>
  <c r="AO571" i="6"/>
  <c r="B570" i="6"/>
  <c r="B900" i="6" s="1"/>
  <c r="S570" i="6"/>
  <c r="AO570" i="6"/>
  <c r="B569" i="6"/>
  <c r="B899" i="6"/>
  <c r="B568" i="6"/>
  <c r="B898" i="6"/>
  <c r="S568" i="6"/>
  <c r="AO568" i="6"/>
  <c r="B567" i="6"/>
  <c r="S567" i="6"/>
  <c r="AO567" i="6"/>
  <c r="B566" i="6"/>
  <c r="B565" i="6"/>
  <c r="S565" i="6"/>
  <c r="AO565" i="6"/>
  <c r="B564" i="6"/>
  <c r="B563" i="6"/>
  <c r="S563" i="6"/>
  <c r="AO563" i="6"/>
  <c r="B562" i="6"/>
  <c r="B561" i="6"/>
  <c r="B560" i="6"/>
  <c r="B890" i="6"/>
  <c r="S560" i="6"/>
  <c r="AO560" i="6"/>
  <c r="B559" i="6"/>
  <c r="B889" i="6"/>
  <c r="B558" i="6"/>
  <c r="B557" i="6"/>
  <c r="B887" i="6" s="1"/>
  <c r="S557" i="6"/>
  <c r="AO557" i="6"/>
  <c r="B556" i="6"/>
  <c r="B555" i="6"/>
  <c r="S555" i="6"/>
  <c r="AO555" i="6"/>
  <c r="B554" i="6"/>
  <c r="B884" i="6" s="1"/>
  <c r="S554" i="6"/>
  <c r="AO554" i="6"/>
  <c r="B553" i="6"/>
  <c r="S553" i="6"/>
  <c r="B883" i="6"/>
  <c r="B552" i="6"/>
  <c r="B882" i="6" s="1"/>
  <c r="S552" i="6"/>
  <c r="AO552" i="6"/>
  <c r="B551" i="6"/>
  <c r="B550" i="6"/>
  <c r="B549" i="6"/>
  <c r="B879" i="6"/>
  <c r="B548" i="6"/>
  <c r="B547" i="6"/>
  <c r="S547" i="6"/>
  <c r="AO547" i="6"/>
  <c r="B546" i="6"/>
  <c r="B876" i="6"/>
  <c r="S546" i="6"/>
  <c r="AO546" i="6"/>
  <c r="B545" i="6"/>
  <c r="B544" i="6"/>
  <c r="B874" i="6"/>
  <c r="B1204" i="6"/>
  <c r="B1534" i="6"/>
  <c r="S1534" i="6"/>
  <c r="B543" i="6"/>
  <c r="B542" i="6"/>
  <c r="B541" i="6"/>
  <c r="B871" i="6" s="1"/>
  <c r="S541" i="6"/>
  <c r="AO541" i="6"/>
  <c r="B540" i="6"/>
  <c r="B539" i="6"/>
  <c r="S539" i="6"/>
  <c r="AO539" i="6"/>
  <c r="B538" i="6"/>
  <c r="B868" i="6" s="1"/>
  <c r="S868" i="6" s="1"/>
  <c r="S538" i="6"/>
  <c r="AO538" i="6"/>
  <c r="B537" i="6"/>
  <c r="B536" i="6"/>
  <c r="B866" i="6"/>
  <c r="S536" i="6"/>
  <c r="AO536" i="6"/>
  <c r="B535" i="6"/>
  <c r="B534" i="6"/>
  <c r="B533" i="6"/>
  <c r="B863" i="6" s="1"/>
  <c r="S533" i="6"/>
  <c r="AO533" i="6"/>
  <c r="B532" i="6"/>
  <c r="B531" i="6"/>
  <c r="S531" i="6"/>
  <c r="AO531" i="6"/>
  <c r="B530" i="6"/>
  <c r="B860" i="6"/>
  <c r="S860" i="6"/>
  <c r="S530" i="6"/>
  <c r="AO530" i="6"/>
  <c r="B529" i="6"/>
  <c r="B528" i="6"/>
  <c r="B858" i="6" s="1"/>
  <c r="S528" i="6"/>
  <c r="AO528" i="6"/>
  <c r="B527" i="6"/>
  <c r="B526" i="6"/>
  <c r="B525" i="6"/>
  <c r="B855" i="6"/>
  <c r="B524" i="6"/>
  <c r="S524" i="6"/>
  <c r="B854" i="6"/>
  <c r="S854" i="6"/>
  <c r="B523" i="6"/>
  <c r="S523" i="6"/>
  <c r="AO523" i="6"/>
  <c r="B522" i="6"/>
  <c r="B852" i="6" s="1"/>
  <c r="S852" i="6" s="1"/>
  <c r="S522" i="6"/>
  <c r="AO522" i="6"/>
  <c r="B521" i="6"/>
  <c r="B520" i="6"/>
  <c r="S520" i="6"/>
  <c r="AO520" i="6"/>
  <c r="B519" i="6"/>
  <c r="B518" i="6"/>
  <c r="B517" i="6"/>
  <c r="B847" i="6"/>
  <c r="S847" i="6"/>
  <c r="B516" i="6"/>
  <c r="B846" i="6"/>
  <c r="B515" i="6"/>
  <c r="B845" i="6"/>
  <c r="B514" i="6"/>
  <c r="B844" i="6"/>
  <c r="B513" i="6"/>
  <c r="B512" i="6"/>
  <c r="B511" i="6"/>
  <c r="B510" i="6"/>
  <c r="B509" i="6"/>
  <c r="B839" i="6" s="1"/>
  <c r="S509" i="6"/>
  <c r="AO509" i="6"/>
  <c r="B508" i="6"/>
  <c r="B507" i="6"/>
  <c r="S507" i="6"/>
  <c r="B506" i="6"/>
  <c r="B836" i="6"/>
  <c r="S506" i="6"/>
  <c r="AO506" i="6"/>
  <c r="B505" i="6"/>
  <c r="B504" i="6"/>
  <c r="B834" i="6"/>
  <c r="B503" i="6"/>
  <c r="B502" i="6"/>
  <c r="B501" i="6"/>
  <c r="B831" i="6"/>
  <c r="B500" i="6"/>
  <c r="B499" i="6"/>
  <c r="S499" i="6"/>
  <c r="AO499" i="6"/>
  <c r="B498" i="6"/>
  <c r="B828" i="6"/>
  <c r="S498" i="6"/>
  <c r="AO498" i="6"/>
  <c r="B497" i="6"/>
  <c r="B496" i="6"/>
  <c r="S496" i="6"/>
  <c r="AO496" i="6"/>
  <c r="B495" i="6"/>
  <c r="S495" i="6"/>
  <c r="AO495" i="6"/>
  <c r="B494" i="6"/>
  <c r="B493" i="6"/>
  <c r="B823" i="6"/>
  <c r="S823" i="6" s="1"/>
  <c r="B1153" i="6"/>
  <c r="S493" i="6"/>
  <c r="AO493" i="6"/>
  <c r="B492" i="6"/>
  <c r="B491" i="6"/>
  <c r="S491" i="6"/>
  <c r="AO491" i="6"/>
  <c r="B490" i="6"/>
  <c r="B820" i="6" s="1"/>
  <c r="S490" i="6"/>
  <c r="AO490" i="6"/>
  <c r="B489" i="6"/>
  <c r="B488" i="6"/>
  <c r="B487" i="6"/>
  <c r="B486" i="6"/>
  <c r="B485" i="6"/>
  <c r="B815" i="6" s="1"/>
  <c r="S485" i="6"/>
  <c r="AO485" i="6"/>
  <c r="B484" i="6"/>
  <c r="B483" i="6"/>
  <c r="B482" i="6"/>
  <c r="B812" i="6"/>
  <c r="S482" i="6"/>
  <c r="AO482" i="6"/>
  <c r="B481" i="6"/>
  <c r="B480" i="6"/>
  <c r="S480" i="6"/>
  <c r="B479" i="6"/>
  <c r="B478" i="6"/>
  <c r="B477" i="6"/>
  <c r="B807" i="6"/>
  <c r="B476" i="6"/>
  <c r="B475" i="6"/>
  <c r="B805" i="6"/>
  <c r="B474" i="6"/>
  <c r="B804" i="6"/>
  <c r="S804" i="6"/>
  <c r="B473" i="6"/>
  <c r="B472" i="6"/>
  <c r="B802" i="6" s="1"/>
  <c r="S472" i="6"/>
  <c r="AO472" i="6"/>
  <c r="B471" i="6"/>
  <c r="B470" i="6"/>
  <c r="B469" i="6"/>
  <c r="B799" i="6"/>
  <c r="S469" i="6"/>
  <c r="AO469" i="6"/>
  <c r="B468" i="6"/>
  <c r="B798" i="6"/>
  <c r="S798" i="6"/>
  <c r="B467" i="6"/>
  <c r="S467" i="6"/>
  <c r="AO467" i="6"/>
  <c r="B466" i="6"/>
  <c r="B796" i="6" s="1"/>
  <c r="S466" i="6"/>
  <c r="AO466" i="6"/>
  <c r="B465" i="6"/>
  <c r="B464" i="6"/>
  <c r="B463" i="6"/>
  <c r="B462" i="6"/>
  <c r="B461" i="6"/>
  <c r="B791" i="6" s="1"/>
  <c r="S461" i="6"/>
  <c r="AO461" i="6"/>
  <c r="B460" i="6"/>
  <c r="B459" i="6"/>
  <c r="S459" i="6"/>
  <c r="AO459" i="6"/>
  <c r="B458" i="6"/>
  <c r="B788" i="6" s="1"/>
  <c r="S788" i="6" s="1"/>
  <c r="S458" i="6"/>
  <c r="AO458" i="6"/>
  <c r="B457" i="6"/>
  <c r="B456" i="6"/>
  <c r="B786" i="6"/>
  <c r="B455" i="6"/>
  <c r="B454" i="6"/>
  <c r="B453" i="6"/>
  <c r="B783" i="6"/>
  <c r="S783" i="6"/>
  <c r="B452" i="6"/>
  <c r="B451" i="6"/>
  <c r="B781" i="6" s="1"/>
  <c r="S451" i="6"/>
  <c r="AO451" i="6"/>
  <c r="B450" i="6"/>
  <c r="S450" i="6"/>
  <c r="AO450" i="6"/>
  <c r="B449" i="6"/>
  <c r="S449" i="6"/>
  <c r="B448" i="6"/>
  <c r="B778" i="6" s="1"/>
  <c r="S448" i="6"/>
  <c r="AO448" i="6"/>
  <c r="B447" i="6"/>
  <c r="B446" i="6"/>
  <c r="B445" i="6"/>
  <c r="B775" i="6"/>
  <c r="B444" i="6"/>
  <c r="B443" i="6"/>
  <c r="B773" i="6"/>
  <c r="B442" i="6"/>
  <c r="B772" i="6"/>
  <c r="S442" i="6"/>
  <c r="AO442" i="6"/>
  <c r="B441" i="6"/>
  <c r="B440" i="6"/>
  <c r="S440" i="6"/>
  <c r="AO440" i="6"/>
  <c r="B439" i="6"/>
  <c r="B769" i="6"/>
  <c r="B438" i="6"/>
  <c r="B437" i="6"/>
  <c r="B436" i="6"/>
  <c r="B435" i="6"/>
  <c r="S435" i="6"/>
  <c r="AO435" i="6"/>
  <c r="B434" i="6"/>
  <c r="B433" i="6"/>
  <c r="B432" i="6"/>
  <c r="B762" i="6"/>
  <c r="S762" i="6"/>
  <c r="B431" i="6"/>
  <c r="B430" i="6"/>
  <c r="B429" i="6"/>
  <c r="B759" i="6"/>
  <c r="S759" i="6"/>
  <c r="B428" i="6"/>
  <c r="B758" i="6"/>
  <c r="B427" i="6"/>
  <c r="S427" i="6"/>
  <c r="AO427" i="6"/>
  <c r="B426" i="6"/>
  <c r="B425" i="6"/>
  <c r="B424" i="6"/>
  <c r="B754" i="6"/>
  <c r="B423" i="6"/>
  <c r="B422" i="6"/>
  <c r="B421" i="6"/>
  <c r="B751" i="6"/>
  <c r="B420" i="6"/>
  <c r="B419" i="6"/>
  <c r="S419" i="6"/>
  <c r="AO419" i="6"/>
  <c r="B418" i="6"/>
  <c r="B417" i="6"/>
  <c r="B416" i="6"/>
  <c r="B746" i="6" s="1"/>
  <c r="S746" i="6" s="1"/>
  <c r="S416" i="6"/>
  <c r="AO416" i="6"/>
  <c r="B415" i="6"/>
  <c r="B414" i="6"/>
  <c r="B413" i="6"/>
  <c r="B412" i="6"/>
  <c r="B411" i="6"/>
  <c r="B741" i="6"/>
  <c r="B410" i="6"/>
  <c r="S410" i="6"/>
  <c r="AO410" i="6"/>
  <c r="B409" i="6"/>
  <c r="S409" i="6"/>
  <c r="AO409" i="6"/>
  <c r="B739" i="6"/>
  <c r="B408" i="6"/>
  <c r="S408" i="6"/>
  <c r="AO408" i="6"/>
  <c r="B407" i="6"/>
  <c r="B406" i="6"/>
  <c r="B405" i="6"/>
  <c r="B404" i="6"/>
  <c r="B403" i="6"/>
  <c r="S403" i="6"/>
  <c r="AO403" i="6"/>
  <c r="B402" i="6"/>
  <c r="B732" i="6"/>
  <c r="B401" i="6"/>
  <c r="B400" i="6"/>
  <c r="B730" i="6"/>
  <c r="S400" i="6"/>
  <c r="AO400" i="6"/>
  <c r="B399" i="6"/>
  <c r="B398" i="6"/>
  <c r="B397" i="6"/>
  <c r="B727" i="6" s="1"/>
  <c r="S397" i="6"/>
  <c r="AO397" i="6"/>
  <c r="B396" i="6"/>
  <c r="B395" i="6"/>
  <c r="S395" i="6"/>
  <c r="AO395" i="6"/>
  <c r="B394" i="6"/>
  <c r="B724" i="6"/>
  <c r="S724" i="6"/>
  <c r="B393" i="6"/>
  <c r="B392" i="6"/>
  <c r="B722" i="6"/>
  <c r="S392" i="6"/>
  <c r="AO392" i="6"/>
  <c r="B391" i="6"/>
  <c r="B390" i="6"/>
  <c r="B389" i="6"/>
  <c r="B719" i="6" s="1"/>
  <c r="S719" i="6" s="1"/>
  <c r="S389" i="6"/>
  <c r="AO389" i="6"/>
  <c r="B388" i="6"/>
  <c r="B387" i="6"/>
  <c r="S387" i="6"/>
  <c r="AO387" i="6"/>
  <c r="B386" i="6"/>
  <c r="B716" i="6"/>
  <c r="B385" i="6"/>
  <c r="B384" i="6"/>
  <c r="B714" i="6"/>
  <c r="S384" i="6"/>
  <c r="AO384" i="6"/>
  <c r="B383" i="6"/>
  <c r="B382" i="6"/>
  <c r="B381" i="6"/>
  <c r="B711" i="6"/>
  <c r="B1041" i="6" s="1"/>
  <c r="B1371" i="6" s="1"/>
  <c r="S1371" i="6" s="1"/>
  <c r="S381" i="6"/>
  <c r="AO381" i="6"/>
  <c r="B380" i="6"/>
  <c r="B379" i="6"/>
  <c r="B709" i="6"/>
  <c r="B378" i="6"/>
  <c r="B708" i="6"/>
  <c r="B377" i="6"/>
  <c r="B376" i="6"/>
  <c r="B375" i="6"/>
  <c r="S375" i="6"/>
  <c r="AO375" i="6"/>
  <c r="B705" i="6"/>
  <c r="B374" i="6"/>
  <c r="S374" i="6"/>
  <c r="AO374" i="6"/>
  <c r="B704" i="6"/>
  <c r="S704" i="6"/>
  <c r="B373" i="6"/>
  <c r="B372" i="6"/>
  <c r="B371" i="6"/>
  <c r="S371" i="6"/>
  <c r="AO371" i="6"/>
  <c r="B701" i="6"/>
  <c r="B1031" i="6" s="1"/>
  <c r="S701" i="6"/>
  <c r="B370" i="6"/>
  <c r="B700" i="6" s="1"/>
  <c r="S370" i="6"/>
  <c r="AO370" i="6"/>
  <c r="B369" i="6"/>
  <c r="B368" i="6"/>
  <c r="B367" i="6"/>
  <c r="B366" i="6"/>
  <c r="S366" i="6"/>
  <c r="AO366" i="6"/>
  <c r="B696" i="6"/>
  <c r="B365" i="6"/>
  <c r="S365" i="6"/>
  <c r="AO365" i="6"/>
  <c r="B695" i="6"/>
  <c r="B1025" i="6"/>
  <c r="B1355" i="6"/>
  <c r="S1355" i="6"/>
  <c r="S695" i="6"/>
  <c r="B364" i="6"/>
  <c r="B363" i="6"/>
  <c r="B362" i="6"/>
  <c r="B692" i="6"/>
  <c r="S362" i="6"/>
  <c r="AO362" i="6"/>
  <c r="B361" i="6"/>
  <c r="B360" i="6"/>
  <c r="S360" i="6"/>
  <c r="AO360" i="6"/>
  <c r="B690" i="6"/>
  <c r="B359" i="6"/>
  <c r="B689" i="6"/>
  <c r="B358" i="6"/>
  <c r="B357" i="6"/>
  <c r="B687" i="6"/>
  <c r="S357" i="6"/>
  <c r="AO357" i="6"/>
  <c r="B356" i="6"/>
  <c r="S356" i="6"/>
  <c r="AO356" i="6"/>
  <c r="B355" i="6"/>
  <c r="B354" i="6"/>
  <c r="B353" i="6"/>
  <c r="B683" i="6"/>
  <c r="B352" i="6"/>
  <c r="S352" i="6"/>
  <c r="AO352" i="6"/>
  <c r="B682" i="6"/>
  <c r="B1012" i="6"/>
  <c r="B1342" i="6"/>
  <c r="S1342" i="6"/>
  <c r="S682" i="6"/>
  <c r="B351" i="6"/>
  <c r="S351" i="6"/>
  <c r="AO351" i="6"/>
  <c r="B681" i="6"/>
  <c r="B350" i="6"/>
  <c r="B349" i="6"/>
  <c r="B348" i="6"/>
  <c r="B347" i="6"/>
  <c r="B677" i="6"/>
  <c r="B346" i="6"/>
  <c r="B345" i="6"/>
  <c r="B675" i="6"/>
  <c r="S675" i="6"/>
  <c r="B344" i="6"/>
  <c r="B343" i="6"/>
  <c r="B673" i="6"/>
  <c r="B342" i="6"/>
  <c r="S342" i="6"/>
  <c r="AO342" i="6"/>
  <c r="B672" i="6"/>
  <c r="S672" i="6"/>
  <c r="B341" i="6"/>
  <c r="B340" i="6"/>
  <c r="B339" i="6"/>
  <c r="B669" i="6"/>
  <c r="B338" i="6"/>
  <c r="B668" i="6" s="1"/>
  <c r="S338" i="6"/>
  <c r="AO338" i="6"/>
  <c r="B337" i="6"/>
  <c r="B336" i="6"/>
  <c r="B335" i="6"/>
  <c r="S335" i="6"/>
  <c r="AO335" i="6"/>
  <c r="A430" i="6"/>
  <c r="D792" i="6"/>
  <c r="E792" i="6" s="1"/>
  <c r="A462" i="6"/>
  <c r="D873" i="6"/>
  <c r="O873" i="6"/>
  <c r="D824" i="6"/>
  <c r="E824" i="6" s="1"/>
  <c r="O824" i="6"/>
  <c r="A494" i="6"/>
  <c r="D975" i="6"/>
  <c r="D776" i="6"/>
  <c r="E776" i="6" s="1"/>
  <c r="O776" i="6"/>
  <c r="A446" i="6"/>
  <c r="D892" i="6"/>
  <c r="O892" i="6"/>
  <c r="D972" i="6"/>
  <c r="D866" i="6"/>
  <c r="O866" i="6"/>
  <c r="D949" i="6"/>
  <c r="O949" i="6"/>
  <c r="D744" i="6"/>
  <c r="E744" i="6" s="1"/>
  <c r="A414" i="6"/>
  <c r="D910" i="6"/>
  <c r="O910" i="6"/>
  <c r="D728" i="6"/>
  <c r="E728" i="6" s="1"/>
  <c r="A398" i="6"/>
  <c r="D878" i="6"/>
  <c r="O878" i="6"/>
  <c r="D887" i="6"/>
  <c r="O887" i="6"/>
  <c r="D760" i="6"/>
  <c r="E760" i="6" s="1"/>
  <c r="D712" i="6"/>
  <c r="E712" i="6" s="1"/>
  <c r="A382" i="6"/>
  <c r="D840" i="6"/>
  <c r="O840" i="6"/>
  <c r="D1321" i="6"/>
  <c r="O1321" i="6"/>
  <c r="D988" i="6"/>
  <c r="O988" i="6"/>
  <c r="D696" i="6"/>
  <c r="E696" i="6" s="1"/>
  <c r="A366" i="6"/>
  <c r="D1175" i="6"/>
  <c r="D1505" i="6"/>
  <c r="D855" i="6"/>
  <c r="D904" i="6"/>
  <c r="O904" i="6"/>
  <c r="D680" i="6"/>
  <c r="E680" i="6" s="1"/>
  <c r="A350" i="6"/>
  <c r="D808" i="6"/>
  <c r="E808" i="6" s="1"/>
  <c r="O808" i="6"/>
  <c r="A478" i="6"/>
  <c r="D960" i="6"/>
  <c r="O960" i="6"/>
  <c r="D690" i="6"/>
  <c r="E690" i="6" s="1"/>
  <c r="D818" i="6"/>
  <c r="E818" i="6" s="1"/>
  <c r="O818" i="6"/>
  <c r="D831" i="6"/>
  <c r="E831" i="6" s="1"/>
  <c r="O831" i="6"/>
  <c r="A469" i="6"/>
  <c r="D700" i="6"/>
  <c r="E700" i="6" s="1"/>
  <c r="O700" i="6"/>
  <c r="D748" i="6"/>
  <c r="E748" i="6" s="1"/>
  <c r="D812" i="6"/>
  <c r="E812" i="6" s="1"/>
  <c r="O812" i="6"/>
  <c r="D668" i="6"/>
  <c r="E668" i="6" s="1"/>
  <c r="D738" i="6"/>
  <c r="E738" i="6" s="1"/>
  <c r="O738" i="6"/>
  <c r="D1225" i="6"/>
  <c r="D1555" i="6"/>
  <c r="D720" i="6"/>
  <c r="E720" i="6" s="1"/>
  <c r="D736" i="6"/>
  <c r="E736" i="6" s="1"/>
  <c r="D752" i="6"/>
  <c r="E752" i="6" s="1"/>
  <c r="O752" i="6"/>
  <c r="D768" i="6"/>
  <c r="E768" i="6" s="1"/>
  <c r="D784" i="6"/>
  <c r="E784" i="6" s="1"/>
  <c r="D800" i="6"/>
  <c r="E800" i="6" s="1"/>
  <c r="D816" i="6"/>
  <c r="E816" i="6" s="1"/>
  <c r="O816" i="6"/>
  <c r="D832" i="6"/>
  <c r="E832" i="6" s="1"/>
  <c r="D848" i="6"/>
  <c r="O848" i="6"/>
  <c r="D862" i="6"/>
  <c r="O862" i="6"/>
  <c r="D894" i="6"/>
  <c r="O894" i="6"/>
  <c r="D912" i="6"/>
  <c r="O912" i="6"/>
  <c r="D920" i="6"/>
  <c r="O920" i="6"/>
  <c r="D956" i="6"/>
  <c r="D959" i="6"/>
  <c r="O959" i="6"/>
  <c r="D962" i="6"/>
  <c r="O962" i="6"/>
  <c r="D965" i="6"/>
  <c r="O965" i="6"/>
  <c r="D704" i="6"/>
  <c r="E704" i="6" s="1"/>
  <c r="O704" i="6"/>
  <c r="D714" i="6"/>
  <c r="E714" i="6" s="1"/>
  <c r="D759" i="6"/>
  <c r="E759" i="6" s="1"/>
  <c r="O759" i="6"/>
  <c r="D725" i="6"/>
  <c r="E725" i="6" s="1"/>
  <c r="O725" i="6"/>
  <c r="D735" i="6"/>
  <c r="E735" i="6" s="1"/>
  <c r="D751" i="6"/>
  <c r="E751" i="6" s="1"/>
  <c r="D978" i="6"/>
  <c r="O978" i="6"/>
  <c r="A389" i="6"/>
  <c r="A421" i="6"/>
  <c r="D732" i="6"/>
  <c r="E732" i="6" s="1"/>
  <c r="D764" i="6"/>
  <c r="E764" i="6" s="1"/>
  <c r="D879" i="6"/>
  <c r="O879" i="6"/>
  <c r="D899" i="6"/>
  <c r="O899" i="6"/>
  <c r="D947" i="6"/>
  <c r="D967" i="6"/>
  <c r="O967" i="6"/>
  <c r="D722" i="6"/>
  <c r="E722" i="6" s="1"/>
  <c r="D871" i="6"/>
  <c r="O871" i="6"/>
  <c r="D876" i="6"/>
  <c r="O876" i="6"/>
  <c r="A360" i="6"/>
  <c r="A376" i="6"/>
  <c r="A392" i="6"/>
  <c r="A408" i="6"/>
  <c r="A456" i="6"/>
  <c r="A488" i="6"/>
  <c r="D666" i="6"/>
  <c r="E666" i="6" s="1"/>
  <c r="O666" i="6"/>
  <c r="D669" i="6"/>
  <c r="E669" i="6" s="1"/>
  <c r="D679" i="6"/>
  <c r="E679" i="6" s="1"/>
  <c r="D685" i="6"/>
  <c r="E685" i="6" s="1"/>
  <c r="D695" i="6"/>
  <c r="E695" i="6" s="1"/>
  <c r="D701" i="6"/>
  <c r="E701" i="6" s="1"/>
  <c r="O701" i="6"/>
  <c r="D711" i="6"/>
  <c r="E711" i="6" s="1"/>
  <c r="O711" i="6"/>
  <c r="D727" i="6"/>
  <c r="E727" i="6" s="1"/>
  <c r="D733" i="6"/>
  <c r="E733" i="6" s="1"/>
  <c r="D743" i="6"/>
  <c r="E743" i="6" s="1"/>
  <c r="O743" i="6"/>
  <c r="D749" i="6"/>
  <c r="E749" i="6" s="1"/>
  <c r="O749" i="6"/>
  <c r="D765" i="6"/>
  <c r="E765" i="6" s="1"/>
  <c r="D775" i="6"/>
  <c r="E775" i="6" s="1"/>
  <c r="D778" i="6"/>
  <c r="E778" i="6" s="1"/>
  <c r="O778" i="6"/>
  <c r="D781" i="6"/>
  <c r="E781" i="6" s="1"/>
  <c r="O781" i="6"/>
  <c r="D791" i="6"/>
  <c r="E791" i="6" s="1"/>
  <c r="D797" i="6"/>
  <c r="E797" i="6" s="1"/>
  <c r="D810" i="6"/>
  <c r="E810" i="6" s="1"/>
  <c r="D823" i="6"/>
  <c r="E823" i="6" s="1"/>
  <c r="D1153" i="6"/>
  <c r="E1153" i="6" s="1"/>
  <c r="O1153" i="6"/>
  <c r="D826" i="6"/>
  <c r="E826" i="6" s="1"/>
  <c r="O826" i="6"/>
  <c r="D829" i="6"/>
  <c r="E829" i="6" s="1"/>
  <c r="D839" i="6"/>
  <c r="O839" i="6"/>
  <c r="D842" i="6"/>
  <c r="O842" i="6"/>
  <c r="D883" i="6"/>
  <c r="O883" i="6"/>
  <c r="D937" i="6"/>
  <c r="O937" i="6"/>
  <c r="D968" i="6"/>
  <c r="O968" i="6"/>
  <c r="D990" i="6"/>
  <c r="D730" i="6"/>
  <c r="E730" i="6" s="1"/>
  <c r="D780" i="6"/>
  <c r="E780" i="6" s="1"/>
  <c r="O780" i="6"/>
  <c r="D671" i="6"/>
  <c r="E671" i="6" s="1"/>
  <c r="D674" i="6"/>
  <c r="E674" i="6" s="1"/>
  <c r="D687" i="6"/>
  <c r="E687" i="6" s="1"/>
  <c r="D1017" i="6"/>
  <c r="E1017" i="6" s="1"/>
  <c r="D693" i="6"/>
  <c r="E693" i="6" s="1"/>
  <c r="O693" i="6"/>
  <c r="D703" i="6"/>
  <c r="E703" i="6" s="1"/>
  <c r="D709" i="6"/>
  <c r="E709" i="6" s="1"/>
  <c r="O709" i="6"/>
  <c r="D719" i="6"/>
  <c r="E719" i="6" s="1"/>
  <c r="O719" i="6"/>
  <c r="D741" i="6"/>
  <c r="E741" i="6" s="1"/>
  <c r="D754" i="6"/>
  <c r="E754" i="6" s="1"/>
  <c r="D757" i="6"/>
  <c r="E757" i="6" s="1"/>
  <c r="D770" i="6"/>
  <c r="E770" i="6" s="1"/>
  <c r="D783" i="6"/>
  <c r="E783" i="6" s="1"/>
  <c r="O783" i="6"/>
  <c r="D789" i="6"/>
  <c r="E789" i="6" s="1"/>
  <c r="D802" i="6"/>
  <c r="E802" i="6" s="1"/>
  <c r="D805" i="6"/>
  <c r="E805" i="6" s="1"/>
  <c r="D815" i="6"/>
  <c r="E815" i="6" s="1"/>
  <c r="D821" i="6"/>
  <c r="E821" i="6" s="1"/>
  <c r="D834" i="6"/>
  <c r="E834" i="6" s="1"/>
  <c r="D847" i="6"/>
  <c r="D905" i="6"/>
  <c r="O905" i="6"/>
  <c r="D1263" i="6"/>
  <c r="D1593" i="6"/>
  <c r="D944" i="6"/>
  <c r="D952" i="6"/>
  <c r="O952" i="6"/>
  <c r="A405" i="6"/>
  <c r="A453" i="6"/>
  <c r="A501" i="6"/>
  <c r="D796" i="6"/>
  <c r="E796" i="6" s="1"/>
  <c r="D828" i="6"/>
  <c r="E828" i="6" s="1"/>
  <c r="D844" i="6"/>
  <c r="D1174" i="6"/>
  <c r="D1504" i="6"/>
  <c r="O844" i="6"/>
  <c r="D850" i="6"/>
  <c r="O850" i="6"/>
  <c r="D1270" i="6"/>
  <c r="D928" i="6"/>
  <c r="O928" i="6"/>
  <c r="D724" i="6"/>
  <c r="E724" i="6" s="1"/>
  <c r="O724" i="6"/>
  <c r="D740" i="6"/>
  <c r="E740" i="6" s="1"/>
  <c r="D788" i="6"/>
  <c r="E788" i="6" s="1"/>
  <c r="D804" i="6"/>
  <c r="E804" i="6" s="1"/>
  <c r="D820" i="6"/>
  <c r="E820" i="6" s="1"/>
  <c r="D836" i="6"/>
  <c r="E836" i="6" s="1"/>
  <c r="O836" i="6"/>
  <c r="D860" i="6"/>
  <c r="O860" i="6"/>
  <c r="D863" i="6"/>
  <c r="O863" i="6"/>
  <c r="D869" i="6"/>
  <c r="O869" i="6"/>
  <c r="D915" i="6"/>
  <c r="O915" i="6"/>
  <c r="D921" i="6"/>
  <c r="D926" i="6"/>
  <c r="O926" i="6"/>
  <c r="D951" i="6"/>
  <c r="AO951" i="6"/>
  <c r="O951" i="6"/>
  <c r="D746" i="6"/>
  <c r="E746" i="6" s="1"/>
  <c r="O746" i="6"/>
  <c r="D786" i="6"/>
  <c r="E786" i="6" s="1"/>
  <c r="D667" i="6"/>
  <c r="E667" i="6" s="1"/>
  <c r="D675" i="6"/>
  <c r="E675" i="6" s="1"/>
  <c r="O675" i="6"/>
  <c r="D683" i="6"/>
  <c r="E683" i="6" s="1"/>
  <c r="D691" i="6"/>
  <c r="E691" i="6" s="1"/>
  <c r="D699" i="6"/>
  <c r="E699" i="6" s="1"/>
  <c r="D707" i="6"/>
  <c r="E707" i="6" s="1"/>
  <c r="O707" i="6"/>
  <c r="D715" i="6"/>
  <c r="E715" i="6" s="1"/>
  <c r="D723" i="6"/>
  <c r="E723" i="6" s="1"/>
  <c r="O723" i="6"/>
  <c r="D731" i="6"/>
  <c r="E731" i="6" s="1"/>
  <c r="D739" i="6"/>
  <c r="E739" i="6" s="1"/>
  <c r="O739" i="6"/>
  <c r="D747" i="6"/>
  <c r="E747" i="6" s="1"/>
  <c r="D755" i="6"/>
  <c r="E755" i="6" s="1"/>
  <c r="D1085" i="6"/>
  <c r="E1085" i="6" s="1"/>
  <c r="D763" i="6"/>
  <c r="E763" i="6" s="1"/>
  <c r="D1093" i="6"/>
  <c r="E1093" i="6" s="1"/>
  <c r="D771" i="6"/>
  <c r="E771" i="6" s="1"/>
  <c r="D787" i="6"/>
  <c r="E787" i="6" s="1"/>
  <c r="D795" i="6"/>
  <c r="E795" i="6" s="1"/>
  <c r="O795" i="6"/>
  <c r="D803" i="6"/>
  <c r="E803" i="6" s="1"/>
  <c r="D811" i="6"/>
  <c r="E811" i="6" s="1"/>
  <c r="O811" i="6"/>
  <c r="D819" i="6"/>
  <c r="E819" i="6" s="1"/>
  <c r="D827" i="6"/>
  <c r="E827" i="6" s="1"/>
  <c r="O827" i="6"/>
  <c r="D835" i="6"/>
  <c r="E835" i="6" s="1"/>
  <c r="D843" i="6"/>
  <c r="O843" i="6"/>
  <c r="D864" i="6"/>
  <c r="O864" i="6"/>
  <c r="D882" i="6"/>
  <c r="O882" i="6"/>
  <c r="D908" i="6"/>
  <c r="D911" i="6"/>
  <c r="D942" i="6"/>
  <c r="O942" i="6"/>
  <c r="D963" i="6"/>
  <c r="O963" i="6"/>
  <c r="D686" i="6"/>
  <c r="E686" i="6" s="1"/>
  <c r="D766" i="6"/>
  <c r="E766" i="6" s="1"/>
  <c r="O766" i="6"/>
  <c r="D774" i="6"/>
  <c r="E774" i="6" s="1"/>
  <c r="O774" i="6"/>
  <c r="D1300" i="6"/>
  <c r="O1300" i="6"/>
  <c r="D678" i="6"/>
  <c r="E678" i="6" s="1"/>
  <c r="D694" i="6"/>
  <c r="E694" i="6" s="1"/>
  <c r="O694" i="6"/>
  <c r="D710" i="6"/>
  <c r="E710" i="6" s="1"/>
  <c r="D726" i="6"/>
  <c r="E726" i="6" s="1"/>
  <c r="D742" i="6"/>
  <c r="E742" i="6" s="1"/>
  <c r="O742" i="6"/>
  <c r="D758" i="6"/>
  <c r="E758" i="6" s="1"/>
  <c r="D782" i="6"/>
  <c r="E782" i="6" s="1"/>
  <c r="D790" i="6"/>
  <c r="E790" i="6" s="1"/>
  <c r="D798" i="6"/>
  <c r="O798" i="6"/>
  <c r="D806" i="6"/>
  <c r="E806" i="6" s="1"/>
  <c r="D814" i="6"/>
  <c r="E814" i="6" s="1"/>
  <c r="D822" i="6"/>
  <c r="E822" i="6" s="1"/>
  <c r="D830" i="6"/>
  <c r="E830" i="6" s="1"/>
  <c r="D838" i="6"/>
  <c r="O838" i="6"/>
  <c r="D846" i="6"/>
  <c r="O846" i="6"/>
  <c r="D851" i="6"/>
  <c r="O851" i="6"/>
  <c r="D872" i="6"/>
  <c r="O872" i="6"/>
  <c r="D880" i="6"/>
  <c r="O880" i="6"/>
  <c r="D898" i="6"/>
  <c r="O898" i="6"/>
  <c r="D924" i="6"/>
  <c r="O924" i="6"/>
  <c r="D927" i="6"/>
  <c r="D958" i="6"/>
  <c r="O958" i="6"/>
  <c r="D994" i="6"/>
  <c r="D670" i="6"/>
  <c r="E670" i="6" s="1"/>
  <c r="D779" i="6"/>
  <c r="E779" i="6" s="1"/>
  <c r="O779" i="6"/>
  <c r="D673" i="6"/>
  <c r="E673" i="6" s="1"/>
  <c r="D681" i="6"/>
  <c r="E681" i="6" s="1"/>
  <c r="D689" i="6"/>
  <c r="E689" i="6" s="1"/>
  <c r="D697" i="6"/>
  <c r="E697" i="6" s="1"/>
  <c r="D713" i="6"/>
  <c r="E713" i="6" s="1"/>
  <c r="D729" i="6"/>
  <c r="E729" i="6" s="1"/>
  <c r="D737" i="6"/>
  <c r="E737" i="6" s="1"/>
  <c r="D745" i="6"/>
  <c r="E745" i="6" s="1"/>
  <c r="D753" i="6"/>
  <c r="E753" i="6" s="1"/>
  <c r="D761" i="6"/>
  <c r="E761" i="6" s="1"/>
  <c r="D801" i="6"/>
  <c r="E801" i="6" s="1"/>
  <c r="D809" i="6"/>
  <c r="E809" i="6" s="1"/>
  <c r="D817" i="6"/>
  <c r="E817" i="6" s="1"/>
  <c r="A817" i="6"/>
  <c r="D825" i="6"/>
  <c r="E825" i="6" s="1"/>
  <c r="D833" i="6"/>
  <c r="E833" i="6" s="1"/>
  <c r="D896" i="6"/>
  <c r="O896" i="6"/>
  <c r="D914" i="6"/>
  <c r="D935" i="6"/>
  <c r="O935" i="6"/>
  <c r="D943" i="6"/>
  <c r="O943" i="6"/>
  <c r="D974" i="6"/>
  <c r="O974" i="6"/>
  <c r="D984" i="6"/>
  <c r="O984" i="6"/>
  <c r="D992" i="6"/>
  <c r="O992" i="6"/>
  <c r="D793" i="6"/>
  <c r="E793" i="6" s="1"/>
  <c r="D919" i="6"/>
  <c r="O919" i="6"/>
  <c r="D858" i="6"/>
  <c r="O858" i="6"/>
  <c r="D874" i="6"/>
  <c r="O874" i="6"/>
  <c r="D890" i="6"/>
  <c r="O890" i="6"/>
  <c r="D1243" i="6"/>
  <c r="D1573" i="6"/>
  <c r="D922" i="6"/>
  <c r="O922" i="6"/>
  <c r="D938" i="6"/>
  <c r="O938" i="6"/>
  <c r="D986" i="6"/>
  <c r="D854" i="6"/>
  <c r="O854" i="6"/>
  <c r="D870" i="6"/>
  <c r="D1207" i="6"/>
  <c r="D1537" i="6"/>
  <c r="O1207" i="6"/>
  <c r="D886" i="6"/>
  <c r="O886" i="6"/>
  <c r="D918" i="6"/>
  <c r="O918" i="6"/>
  <c r="D934" i="6"/>
  <c r="O934" i="6"/>
  <c r="D1271" i="6"/>
  <c r="D1601" i="6"/>
  <c r="O1271" i="6"/>
  <c r="D950" i="6"/>
  <c r="D1287" i="6"/>
  <c r="D966" i="6"/>
  <c r="O966" i="6"/>
  <c r="D982" i="6"/>
  <c r="O982" i="6"/>
  <c r="D893" i="6"/>
  <c r="D906" i="6"/>
  <c r="D852" i="6"/>
  <c r="D1182" i="6"/>
  <c r="D868" i="6"/>
  <c r="AO868" i="6"/>
  <c r="O868" i="6"/>
  <c r="D884" i="6"/>
  <c r="O884" i="6"/>
  <c r="D1221" i="6"/>
  <c r="D900" i="6"/>
  <c r="D916" i="6"/>
  <c r="D932" i="6"/>
  <c r="O932" i="6"/>
  <c r="D1269" i="6"/>
  <c r="D1599" i="6"/>
  <c r="D964" i="6"/>
  <c r="O964" i="6"/>
  <c r="D902" i="6"/>
  <c r="O902" i="6"/>
  <c r="D954" i="6"/>
  <c r="O954" i="6"/>
  <c r="D1311" i="6"/>
  <c r="D1641" i="6"/>
  <c r="O1311" i="6"/>
  <c r="D1315" i="6"/>
  <c r="D1645" i="6"/>
  <c r="D1264" i="6"/>
  <c r="D1594" i="6"/>
  <c r="O1264" i="6"/>
  <c r="D1201" i="6"/>
  <c r="D1052" i="6"/>
  <c r="E1052" i="6" s="1"/>
  <c r="A722" i="6"/>
  <c r="D1209" i="6"/>
  <c r="D1539" i="6"/>
  <c r="O1209" i="6"/>
  <c r="A760" i="6"/>
  <c r="A806" i="6"/>
  <c r="D1126" i="6"/>
  <c r="E1126" i="6" s="1"/>
  <c r="D1267" i="6"/>
  <c r="D1172" i="6"/>
  <c r="D1502" i="6"/>
  <c r="O1172" i="6"/>
  <c r="D1063" i="6"/>
  <c r="E1063" i="6" s="1"/>
  <c r="A733" i="6"/>
  <c r="D1138" i="6"/>
  <c r="E1138" i="6" s="1"/>
  <c r="D1198" i="6"/>
  <c r="D1528" i="6"/>
  <c r="O1198" i="6"/>
  <c r="D1216" i="6"/>
  <c r="D1546" i="6"/>
  <c r="O1216" i="6"/>
  <c r="D1184" i="6"/>
  <c r="D1322" i="6"/>
  <c r="D1076" i="6"/>
  <c r="E1076" i="6" s="1"/>
  <c r="O1076" i="6"/>
  <c r="A693" i="6"/>
  <c r="D1023" i="6"/>
  <c r="E1023" i="6" s="1"/>
  <c r="O1023" i="6"/>
  <c r="A679" i="6"/>
  <c r="D1106" i="6"/>
  <c r="E1106" i="6" s="1"/>
  <c r="A776" i="6"/>
  <c r="D1220" i="6"/>
  <c r="D1314" i="6"/>
  <c r="D1147" i="6"/>
  <c r="E1147" i="6" s="1"/>
  <c r="O1147" i="6"/>
  <c r="D1131" i="6"/>
  <c r="E1131" i="6" s="1"/>
  <c r="O1131" i="6"/>
  <c r="A761" i="6"/>
  <c r="D1043" i="6"/>
  <c r="E1043" i="6" s="1"/>
  <c r="D1254" i="6"/>
  <c r="D1584" i="6"/>
  <c r="O1254" i="6"/>
  <c r="A830" i="6"/>
  <c r="D1072" i="6"/>
  <c r="E1072" i="6" s="1"/>
  <c r="A742" i="6"/>
  <c r="D1125" i="6"/>
  <c r="E1125" i="6" s="1"/>
  <c r="A795" i="6"/>
  <c r="D1190" i="6"/>
  <c r="D1118" i="6"/>
  <c r="E1118" i="6" s="1"/>
  <c r="O1118" i="6"/>
  <c r="A788" i="6"/>
  <c r="A757" i="6"/>
  <c r="A727" i="6"/>
  <c r="D1031" i="6"/>
  <c r="E1031" i="6" s="1"/>
  <c r="O1031" i="6"/>
  <c r="A701" i="6"/>
  <c r="D998" i="6"/>
  <c r="E998" i="6" s="1"/>
  <c r="O998" i="6"/>
  <c r="A668" i="6"/>
  <c r="O1174" i="6"/>
  <c r="D1282" i="6"/>
  <c r="D1148" i="6"/>
  <c r="E1148" i="6" s="1"/>
  <c r="A818" i="6"/>
  <c r="D1217" i="6"/>
  <c r="D1214" i="6"/>
  <c r="D1544" i="6"/>
  <c r="D1109" i="6"/>
  <c r="E1109" i="6" s="1"/>
  <c r="A779" i="6"/>
  <c r="D1228" i="6"/>
  <c r="D1558" i="6"/>
  <c r="D1181" i="6"/>
  <c r="D1120" i="6"/>
  <c r="E1120" i="6" s="1"/>
  <c r="O1120" i="6"/>
  <c r="D1056" i="6"/>
  <c r="E1056" i="6" s="1"/>
  <c r="A786" i="6"/>
  <c r="A836" i="6"/>
  <c r="A821" i="6"/>
  <c r="D1100" i="6"/>
  <c r="E1100" i="6" s="1"/>
  <c r="D1084" i="6"/>
  <c r="E1084" i="6" s="1"/>
  <c r="A754" i="6"/>
  <c r="A709" i="6"/>
  <c r="D1110" i="6"/>
  <c r="E1110" i="6" s="1"/>
  <c r="O1110" i="6"/>
  <c r="A780" i="6"/>
  <c r="D1213" i="6"/>
  <c r="D1543" i="6"/>
  <c r="O1213" i="6"/>
  <c r="D1121" i="6"/>
  <c r="E1121" i="6" s="1"/>
  <c r="O1121" i="6"/>
  <c r="A791" i="6"/>
  <c r="D1025" i="6"/>
  <c r="E1025" i="6" s="1"/>
  <c r="O1025" i="6"/>
  <c r="A695" i="6"/>
  <c r="A669" i="6"/>
  <c r="D1229" i="6"/>
  <c r="D1559" i="6"/>
  <c r="D1308" i="6"/>
  <c r="D1638" i="6"/>
  <c r="O1308" i="6"/>
  <c r="D1295" i="6"/>
  <c r="D1625" i="6"/>
  <c r="D1178" i="6"/>
  <c r="A690" i="6"/>
  <c r="D1290" i="6"/>
  <c r="D1620" i="6"/>
  <c r="O1290" i="6"/>
  <c r="D1010" i="6"/>
  <c r="E1010" i="6" s="1"/>
  <c r="A680" i="6"/>
  <c r="D1296" i="6"/>
  <c r="D1304" i="6"/>
  <c r="D1634" i="6"/>
  <c r="O1304" i="6"/>
  <c r="D1177" i="6"/>
  <c r="A674" i="6"/>
  <c r="D1156" i="6"/>
  <c r="E1156" i="6" s="1"/>
  <c r="A826" i="6"/>
  <c r="D1111" i="6"/>
  <c r="E1111" i="6" s="1"/>
  <c r="O1111" i="6"/>
  <c r="A781" i="6"/>
  <c r="D1222" i="6"/>
  <c r="D1552" i="6"/>
  <c r="D1154" i="6"/>
  <c r="E1154" i="6" s="1"/>
  <c r="A824" i="6"/>
  <c r="D1165" i="6"/>
  <c r="E1165" i="6" s="1"/>
  <c r="O1165" i="6"/>
  <c r="D997" i="6"/>
  <c r="E997" i="6" s="1"/>
  <c r="D1258" i="6"/>
  <c r="D1113" i="6"/>
  <c r="E1113" i="6" s="1"/>
  <c r="O1113" i="6"/>
  <c r="A783" i="6"/>
  <c r="D1089" i="6"/>
  <c r="E1089" i="6" s="1"/>
  <c r="A759" i="6"/>
  <c r="D1114" i="6"/>
  <c r="E1114" i="6" s="1"/>
  <c r="D1066" i="6"/>
  <c r="E1066" i="6" s="1"/>
  <c r="A736" i="6"/>
  <c r="D1268" i="6"/>
  <c r="O1268" i="6"/>
  <c r="D1096" i="6"/>
  <c r="E1096" i="6" s="1"/>
  <c r="A766" i="6"/>
  <c r="D1245" i="6"/>
  <c r="D1575" i="6"/>
  <c r="O1245" i="6"/>
  <c r="A834" i="6"/>
  <c r="D1049" i="6"/>
  <c r="E1049" i="6" s="1"/>
  <c r="O1049" i="6"/>
  <c r="A719" i="6"/>
  <c r="D1108" i="6"/>
  <c r="E1108" i="6" s="1"/>
  <c r="O1108" i="6"/>
  <c r="A778" i="6"/>
  <c r="D1242" i="6"/>
  <c r="D1572" i="6"/>
  <c r="O1242" i="6"/>
  <c r="D1192" i="6"/>
  <c r="D1522" i="6"/>
  <c r="D1161" i="6"/>
  <c r="E1161" i="6" s="1"/>
  <c r="A831" i="6"/>
  <c r="D1279" i="6"/>
  <c r="D1609" i="6"/>
  <c r="O1279" i="6"/>
  <c r="D1188" i="6"/>
  <c r="D1518" i="6"/>
  <c r="O1188" i="6"/>
  <c r="D1194" i="6"/>
  <c r="D1524" i="6"/>
  <c r="D1169" i="6"/>
  <c r="D1499" i="6"/>
  <c r="O1169" i="6"/>
  <c r="D1094" i="6"/>
  <c r="E1094" i="6" s="1"/>
  <c r="O1094" i="6"/>
  <c r="D1240" i="6"/>
  <c r="D1294" i="6"/>
  <c r="A740" i="6"/>
  <c r="D1132" i="6"/>
  <c r="E1132" i="6" s="1"/>
  <c r="D1055" i="6"/>
  <c r="E1055" i="6" s="1"/>
  <c r="A725" i="6"/>
  <c r="D1249" i="6"/>
  <c r="D1579" i="6"/>
  <c r="D1265" i="6"/>
  <c r="D1595" i="6"/>
  <c r="D1288" i="6"/>
  <c r="D1293" i="6"/>
  <c r="D1623" i="6"/>
  <c r="D1199" i="6"/>
  <c r="D1529" i="6"/>
  <c r="A724" i="6"/>
  <c r="D1235" i="6"/>
  <c r="D1565" i="6"/>
  <c r="O1235" i="6"/>
  <c r="D1060" i="6"/>
  <c r="E1060" i="6" s="1"/>
  <c r="O1060" i="6"/>
  <c r="D1159" i="6"/>
  <c r="E1159" i="6" s="1"/>
  <c r="A829" i="6"/>
  <c r="D1140" i="6"/>
  <c r="E1140" i="6" s="1"/>
  <c r="A810" i="6"/>
  <c r="D1073" i="6"/>
  <c r="E1073" i="6" s="1"/>
  <c r="O1073" i="6"/>
  <c r="A743" i="6"/>
  <c r="D1206" i="6"/>
  <c r="D1297" i="6"/>
  <c r="D1062" i="6"/>
  <c r="E1062" i="6" s="1"/>
  <c r="O1062" i="6"/>
  <c r="A732" i="6"/>
  <c r="D1130" i="6"/>
  <c r="E1130" i="6" s="1"/>
  <c r="O1130" i="6"/>
  <c r="D1082" i="6"/>
  <c r="E1082" i="6" s="1"/>
  <c r="A752" i="6"/>
  <c r="D1234" i="6"/>
  <c r="D1196" i="6"/>
  <c r="D1324" i="6"/>
  <c r="O1324" i="6"/>
  <c r="D1202" i="6"/>
  <c r="D1532" i="6"/>
  <c r="O1202" i="6"/>
  <c r="D1041" i="6"/>
  <c r="E1041" i="6" s="1"/>
  <c r="A711" i="6"/>
  <c r="D1015" i="6"/>
  <c r="E1015" i="6" s="1"/>
  <c r="A685" i="6"/>
  <c r="D1162" i="6"/>
  <c r="E1162" i="6" s="1"/>
  <c r="A832" i="6"/>
  <c r="D1030" i="6"/>
  <c r="E1030" i="6" s="1"/>
  <c r="O1030" i="6"/>
  <c r="A700" i="6"/>
  <c r="D1318" i="6"/>
  <c r="D1648" i="6"/>
  <c r="O1318" i="6"/>
  <c r="D1170" i="6"/>
  <c r="D1500" i="6"/>
  <c r="O1170" i="6"/>
  <c r="D1058" i="6"/>
  <c r="E1058" i="6" s="1"/>
  <c r="D1226" i="6"/>
  <c r="D1168" i="6"/>
  <c r="D1088" i="6"/>
  <c r="E1088" i="6" s="1"/>
  <c r="O1088" i="6"/>
  <c r="A758" i="6"/>
  <c r="D1024" i="6"/>
  <c r="E1024" i="6" s="1"/>
  <c r="O1024" i="6"/>
  <c r="A694" i="6"/>
  <c r="D1104" i="6"/>
  <c r="E1104" i="6" s="1"/>
  <c r="A774" i="6"/>
  <c r="D1212" i="6"/>
  <c r="D1542" i="6"/>
  <c r="O1212" i="6"/>
  <c r="D1133" i="6"/>
  <c r="E1133" i="6" s="1"/>
  <c r="A699" i="6"/>
  <c r="D1134" i="6"/>
  <c r="E1134" i="6" s="1"/>
  <c r="A804" i="6"/>
  <c r="A738" i="6"/>
  <c r="D1068" i="6"/>
  <c r="E1068" i="6" s="1"/>
  <c r="O1068" i="6"/>
  <c r="D1284" i="6"/>
  <c r="D1614" i="6"/>
  <c r="D1281" i="6"/>
  <c r="D1180" i="6"/>
  <c r="D1044" i="6"/>
  <c r="E1044" i="6" s="1"/>
  <c r="A714" i="6"/>
  <c r="D1289" i="6"/>
  <c r="D1619" i="6"/>
  <c r="D1273" i="6"/>
  <c r="A745" i="6"/>
  <c r="D1011" i="6"/>
  <c r="E1011" i="6" s="1"/>
  <c r="O1011" i="6"/>
  <c r="A681" i="6"/>
  <c r="D1128" i="6"/>
  <c r="E1128" i="6" s="1"/>
  <c r="A798" i="6"/>
  <c r="A678" i="6"/>
  <c r="D1272" i="6"/>
  <c r="D1602" i="6"/>
  <c r="O1272" i="6"/>
  <c r="D1157" i="6"/>
  <c r="E1157" i="6" s="1"/>
  <c r="A827" i="6"/>
  <c r="D1053" i="6"/>
  <c r="E1053" i="6" s="1"/>
  <c r="O1053" i="6"/>
  <c r="A723" i="6"/>
  <c r="D1021" i="6"/>
  <c r="E1021" i="6" s="1"/>
  <c r="A691" i="6"/>
  <c r="D1034" i="6"/>
  <c r="E1034" i="6" s="1"/>
  <c r="O1034" i="6"/>
  <c r="A704" i="6"/>
  <c r="D1224" i="6"/>
  <c r="D1554" i="6"/>
  <c r="O1224" i="6"/>
  <c r="D1146" i="6"/>
  <c r="E1146" i="6" s="1"/>
  <c r="A816" i="6"/>
  <c r="D1078" i="6"/>
  <c r="E1078" i="6" s="1"/>
  <c r="A748" i="6"/>
  <c r="A792" i="6"/>
  <c r="D1232" i="6"/>
  <c r="D1562" i="6"/>
  <c r="D1280" i="6"/>
  <c r="D1105" i="6"/>
  <c r="E1105" i="6" s="1"/>
  <c r="O1105" i="6"/>
  <c r="A775" i="6"/>
  <c r="D1079" i="6"/>
  <c r="E1079" i="6" s="1"/>
  <c r="D1098" i="6"/>
  <c r="E1098" i="6" s="1"/>
  <c r="A768" i="6"/>
  <c r="D1050" i="6"/>
  <c r="E1050" i="6" s="1"/>
  <c r="A720" i="6"/>
  <c r="D1026" i="6"/>
  <c r="E1026" i="6" s="1"/>
  <c r="A696" i="6"/>
  <c r="D1262" i="6"/>
  <c r="O1262" i="6"/>
  <c r="D1204" i="6"/>
  <c r="O1204" i="6"/>
  <c r="D1083" i="6"/>
  <c r="E1083" i="6" s="1"/>
  <c r="D1067" i="6"/>
  <c r="E1067" i="6" s="1"/>
  <c r="D1019" i="6"/>
  <c r="E1019" i="6" s="1"/>
  <c r="A689" i="6"/>
  <c r="D1003" i="6"/>
  <c r="E1003" i="6" s="1"/>
  <c r="O1003" i="6"/>
  <c r="A673" i="6"/>
  <c r="D1176" i="6"/>
  <c r="D1506" i="6"/>
  <c r="O1176" i="6"/>
  <c r="D1112" i="6"/>
  <c r="E1112" i="6" s="1"/>
  <c r="A782" i="6"/>
  <c r="D1040" i="6"/>
  <c r="E1040" i="6" s="1"/>
  <c r="D1173" i="6"/>
  <c r="D1141" i="6"/>
  <c r="E1141" i="6" s="1"/>
  <c r="A811" i="6"/>
  <c r="D1101" i="6"/>
  <c r="E1101" i="6" s="1"/>
  <c r="O1101" i="6"/>
  <c r="A771" i="6"/>
  <c r="D1069" i="6"/>
  <c r="E1069" i="6" s="1"/>
  <c r="A739" i="6"/>
  <c r="D1037" i="6"/>
  <c r="E1037" i="6" s="1"/>
  <c r="O1037" i="6"/>
  <c r="A707" i="6"/>
  <c r="D1005" i="6"/>
  <c r="E1005" i="6" s="1"/>
  <c r="O1005" i="6"/>
  <c r="A675" i="6"/>
  <c r="A820" i="6"/>
  <c r="D1145" i="6"/>
  <c r="E1145" i="6" s="1"/>
  <c r="A815" i="6"/>
  <c r="D1095" i="6"/>
  <c r="E1095" i="6" s="1"/>
  <c r="O1095" i="6"/>
  <c r="A765" i="6"/>
  <c r="D996" i="6"/>
  <c r="E996" i="6" s="1"/>
  <c r="A666" i="6"/>
  <c r="A751" i="6"/>
  <c r="D1292" i="6"/>
  <c r="O1292" i="6"/>
  <c r="D1250" i="6"/>
  <c r="D1142" i="6"/>
  <c r="E1142" i="6" s="1"/>
  <c r="A812" i="6"/>
  <c r="D1208" i="6"/>
  <c r="D1538" i="6"/>
  <c r="O1208" i="6"/>
  <c r="D1074" i="6"/>
  <c r="E1074" i="6" s="1"/>
  <c r="O1074" i="6"/>
  <c r="A744" i="6"/>
  <c r="D1203" i="6"/>
  <c r="AD200" i="8"/>
  <c r="AD199" i="8"/>
  <c r="AD198" i="8"/>
  <c r="AD197" i="8"/>
  <c r="AD196" i="8"/>
  <c r="AD195" i="8"/>
  <c r="AD194" i="8"/>
  <c r="AD193" i="8"/>
  <c r="AD192" i="8"/>
  <c r="AD191" i="8"/>
  <c r="AD190" i="8"/>
  <c r="AD189" i="8"/>
  <c r="AD188" i="8"/>
  <c r="AD187" i="8"/>
  <c r="AD186" i="8"/>
  <c r="AD185" i="8"/>
  <c r="AD184" i="8"/>
  <c r="AD183" i="8"/>
  <c r="AD182" i="8"/>
  <c r="AD181" i="8"/>
  <c r="AD180" i="8"/>
  <c r="AD179" i="8"/>
  <c r="AD178" i="8"/>
  <c r="AD177" i="8"/>
  <c r="AD176" i="8"/>
  <c r="AD175" i="8"/>
  <c r="AD174" i="8"/>
  <c r="AD173" i="8"/>
  <c r="AD172" i="8"/>
  <c r="AD171" i="8"/>
  <c r="AD170" i="8"/>
  <c r="AD169" i="8"/>
  <c r="AD168" i="8"/>
  <c r="AD167" i="8"/>
  <c r="AD166" i="8"/>
  <c r="AD165" i="8"/>
  <c r="AD164" i="8"/>
  <c r="AD163" i="8"/>
  <c r="AD162" i="8"/>
  <c r="AD161" i="8"/>
  <c r="AD160" i="8"/>
  <c r="AD159" i="8"/>
  <c r="AD158" i="8"/>
  <c r="AD157" i="8"/>
  <c r="AD156" i="8"/>
  <c r="AD155" i="8"/>
  <c r="AD154" i="8"/>
  <c r="AD153" i="8"/>
  <c r="AD152" i="8"/>
  <c r="AD151" i="8"/>
  <c r="AD150" i="8"/>
  <c r="AD149" i="8"/>
  <c r="AD148" i="8"/>
  <c r="AD147" i="8"/>
  <c r="AD146" i="8"/>
  <c r="AD145" i="8"/>
  <c r="AD144" i="8"/>
  <c r="AD143" i="8"/>
  <c r="AD142" i="8"/>
  <c r="AD141" i="8"/>
  <c r="AD140" i="8"/>
  <c r="AD139" i="8"/>
  <c r="AD138" i="8"/>
  <c r="AD137" i="8"/>
  <c r="AD136" i="8"/>
  <c r="AD135" i="8"/>
  <c r="AD134" i="8"/>
  <c r="AD133" i="8"/>
  <c r="AD132" i="8"/>
  <c r="AD131" i="8"/>
  <c r="AD130" i="8"/>
  <c r="AD129" i="8"/>
  <c r="AD128" i="8"/>
  <c r="AD127" i="8"/>
  <c r="AD126" i="8"/>
  <c r="AD125" i="8"/>
  <c r="AD124" i="8"/>
  <c r="AD123" i="8"/>
  <c r="AD122" i="8"/>
  <c r="AD121" i="8"/>
  <c r="AD120" i="8"/>
  <c r="AD119" i="8"/>
  <c r="AD118" i="8"/>
  <c r="AD117" i="8"/>
  <c r="AD116" i="8"/>
  <c r="AD115" i="8"/>
  <c r="AD114" i="8"/>
  <c r="AD113" i="8"/>
  <c r="AD112" i="8"/>
  <c r="AD111" i="8"/>
  <c r="AD110" i="8"/>
  <c r="AD109" i="8"/>
  <c r="AD108" i="8"/>
  <c r="AD107" i="8"/>
  <c r="AD106" i="8"/>
  <c r="AD105" i="8"/>
  <c r="AD104" i="8"/>
  <c r="AD103" i="8"/>
  <c r="AD102" i="8"/>
  <c r="AD101" i="8"/>
  <c r="AD100" i="8"/>
  <c r="AD99" i="8"/>
  <c r="AD98" i="8"/>
  <c r="AD97" i="8"/>
  <c r="AD96" i="8"/>
  <c r="AD95" i="8"/>
  <c r="AD94" i="8"/>
  <c r="AD93" i="8"/>
  <c r="AD92" i="8"/>
  <c r="AD91" i="8"/>
  <c r="AD90" i="8"/>
  <c r="AD89" i="8"/>
  <c r="AD88" i="8"/>
  <c r="AD87" i="8"/>
  <c r="AD86" i="8"/>
  <c r="AD85" i="8"/>
  <c r="AD84" i="8"/>
  <c r="AD83" i="8"/>
  <c r="AD82" i="8"/>
  <c r="AD81" i="8"/>
  <c r="AD80" i="8"/>
  <c r="AD79" i="8"/>
  <c r="AD78" i="8"/>
  <c r="AD77" i="8"/>
  <c r="AD76" i="8"/>
  <c r="AD75" i="8"/>
  <c r="AD74" i="8"/>
  <c r="AD73" i="8"/>
  <c r="AD72" i="8"/>
  <c r="AD71" i="8"/>
  <c r="AD70" i="8"/>
  <c r="AD69" i="8"/>
  <c r="AD68" i="8"/>
  <c r="AD67" i="8"/>
  <c r="AD66" i="8"/>
  <c r="AD65" i="8"/>
  <c r="AD64" i="8"/>
  <c r="AD63" i="8"/>
  <c r="AD62" i="8"/>
  <c r="AD61" i="8"/>
  <c r="AD60" i="8"/>
  <c r="AD59" i="8"/>
  <c r="AD58" i="8"/>
  <c r="AD57" i="8"/>
  <c r="AD56" i="8"/>
  <c r="AD55" i="8"/>
  <c r="AD54" i="8"/>
  <c r="AD53" i="8"/>
  <c r="AD52" i="8"/>
  <c r="AD51" i="8"/>
  <c r="AD50" i="8"/>
  <c r="AD49" i="8"/>
  <c r="AD48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A1003" i="6"/>
  <c r="A1034" i="6"/>
  <c r="A998" i="6"/>
  <c r="A1095" i="6"/>
  <c r="A1069" i="6"/>
  <c r="A1078" i="6"/>
  <c r="A1100" i="6"/>
  <c r="A1056" i="6"/>
  <c r="A1023" i="6"/>
  <c r="A1050" i="6"/>
  <c r="A1134" i="6"/>
  <c r="A1133" i="6"/>
  <c r="A1088" i="6"/>
  <c r="A1060" i="6"/>
  <c r="A1138" i="6"/>
  <c r="A1108" i="6"/>
  <c r="A1066" i="6"/>
  <c r="A1147" i="6"/>
  <c r="A1076" i="6"/>
  <c r="A1053" i="6"/>
  <c r="A1161" i="6"/>
  <c r="A1049" i="6"/>
  <c r="A1165" i="6"/>
  <c r="A1010" i="6"/>
  <c r="A1031" i="6"/>
  <c r="A1118" i="6"/>
  <c r="A1072" i="6"/>
  <c r="A1131" i="6"/>
  <c r="A1074" i="6"/>
  <c r="A1094" i="6"/>
  <c r="A1121" i="6"/>
  <c r="A1153" i="6"/>
  <c r="A1005" i="6"/>
  <c r="A1130" i="6"/>
  <c r="A1114" i="6"/>
  <c r="A1110" i="6"/>
  <c r="A996" i="6"/>
  <c r="A1037" i="6"/>
  <c r="A1101" i="6"/>
  <c r="A1105" i="6"/>
  <c r="A1082" i="6"/>
  <c r="A1025" i="6"/>
  <c r="A1084" i="6"/>
  <c r="A1148" i="6"/>
  <c r="A1068" i="6"/>
  <c r="A1120" i="6"/>
  <c r="A1062" i="6"/>
  <c r="A1142" i="6"/>
  <c r="A1141" i="6"/>
  <c r="A997" i="6"/>
  <c r="A1111" i="6"/>
  <c r="A1026" i="6"/>
  <c r="A1128" i="6"/>
  <c r="A1011" i="6"/>
  <c r="A1024" i="6"/>
  <c r="A1030" i="6"/>
  <c r="A1015" i="6"/>
  <c r="A1073" i="6"/>
  <c r="A1159" i="6"/>
  <c r="A1089" i="6"/>
  <c r="A1113" i="6"/>
  <c r="A1156" i="6"/>
  <c r="A1043" i="6"/>
  <c r="CA116" i="4"/>
  <c r="CA108" i="4"/>
  <c r="CA105" i="4"/>
  <c r="CA100" i="4"/>
  <c r="CA99" i="4"/>
  <c r="CA91" i="4"/>
  <c r="CA36" i="4"/>
  <c r="CA35" i="4"/>
  <c r="CA28" i="4"/>
  <c r="CA27" i="4"/>
  <c r="CA20" i="4"/>
  <c r="CA19" i="4"/>
  <c r="CA118" i="4"/>
  <c r="CA117" i="4"/>
  <c r="CA115" i="4"/>
  <c r="CA114" i="4"/>
  <c r="CA111" i="4"/>
  <c r="CA110" i="4"/>
  <c r="CA109" i="4"/>
  <c r="CA107" i="4"/>
  <c r="CA106" i="4"/>
  <c r="CA103" i="4"/>
  <c r="CA102" i="4"/>
  <c r="CA101" i="4"/>
  <c r="CA90" i="4"/>
  <c r="CA34" i="4"/>
  <c r="CA31" i="4"/>
  <c r="CA30" i="4"/>
  <c r="CA29" i="4"/>
  <c r="CA26" i="4"/>
  <c r="CA23" i="4"/>
  <c r="CA22" i="4"/>
  <c r="CA21" i="4"/>
  <c r="CA18" i="4"/>
  <c r="CA15" i="4"/>
  <c r="CA16" i="4"/>
  <c r="CA24" i="4"/>
  <c r="CA32" i="4"/>
  <c r="CA104" i="4"/>
  <c r="CA112" i="4"/>
  <c r="CA17" i="4"/>
  <c r="CA25" i="4"/>
  <c r="CA33" i="4"/>
  <c r="CA89" i="4"/>
  <c r="CA113" i="4"/>
  <c r="K12" i="5"/>
  <c r="K11" i="5"/>
  <c r="K10" i="5"/>
  <c r="K9" i="5"/>
  <c r="K16" i="5"/>
  <c r="K15" i="5"/>
  <c r="K14" i="5"/>
  <c r="K13" i="5"/>
  <c r="V56" i="2"/>
  <c r="R276" i="4"/>
  <c r="X290" i="4"/>
  <c r="BT290" i="4"/>
  <c r="BK290" i="4"/>
  <c r="X289" i="4"/>
  <c r="BK289" i="4"/>
  <c r="X288" i="4"/>
  <c r="X287" i="4"/>
  <c r="BJ287" i="4"/>
  <c r="X286" i="4"/>
  <c r="X285" i="4"/>
  <c r="BT285" i="4"/>
  <c r="X284" i="4"/>
  <c r="X283" i="4"/>
  <c r="AF283" i="4"/>
  <c r="X282" i="4"/>
  <c r="X281" i="4"/>
  <c r="X280" i="4"/>
  <c r="X279" i="4"/>
  <c r="X278" i="4"/>
  <c r="X277" i="4"/>
  <c r="X276" i="4"/>
  <c r="X275" i="4"/>
  <c r="X274" i="4"/>
  <c r="AV274" i="4"/>
  <c r="X273" i="4"/>
  <c r="X272" i="4"/>
  <c r="X271" i="4"/>
  <c r="X270" i="4"/>
  <c r="BT270" i="4"/>
  <c r="X269" i="4"/>
  <c r="BT269" i="4"/>
  <c r="BS269" i="4"/>
  <c r="X268" i="4"/>
  <c r="X267" i="4"/>
  <c r="X266" i="4"/>
  <c r="X265" i="4"/>
  <c r="X264" i="4"/>
  <c r="CJ264" i="4"/>
  <c r="X263" i="4"/>
  <c r="BT263" i="4"/>
  <c r="K33" i="7"/>
  <c r="X262" i="4"/>
  <c r="CB262" i="4"/>
  <c r="X261" i="4"/>
  <c r="BK261" i="4"/>
  <c r="X260" i="4"/>
  <c r="BE260" i="4"/>
  <c r="X259" i="4"/>
  <c r="X258" i="4"/>
  <c r="X257" i="4"/>
  <c r="X256" i="4"/>
  <c r="BI256" i="4"/>
  <c r="X255" i="4"/>
  <c r="X254" i="4"/>
  <c r="X253" i="4"/>
  <c r="BT253" i="4"/>
  <c r="X252" i="4"/>
  <c r="X251" i="4"/>
  <c r="X250" i="4"/>
  <c r="X249" i="4"/>
  <c r="X248" i="4"/>
  <c r="BT248" i="4"/>
  <c r="BS248" i="4"/>
  <c r="X247" i="4"/>
  <c r="BT247" i="4"/>
  <c r="BS247" i="4"/>
  <c r="J17" i="7"/>
  <c r="AA17" i="7"/>
  <c r="AB17" i="7"/>
  <c r="X246" i="4"/>
  <c r="X245" i="4"/>
  <c r="CB245" i="4"/>
  <c r="X244" i="4"/>
  <c r="X243" i="4"/>
  <c r="X242" i="4"/>
  <c r="X241" i="4"/>
  <c r="BT241" i="4"/>
  <c r="X240" i="4"/>
  <c r="X239" i="4"/>
  <c r="X238" i="4"/>
  <c r="X237" i="4"/>
  <c r="X236" i="4"/>
  <c r="X235" i="4"/>
  <c r="AF235" i="4"/>
  <c r="X234" i="4"/>
  <c r="X233" i="4"/>
  <c r="X232" i="4"/>
  <c r="X231" i="4"/>
  <c r="AT231" i="4"/>
  <c r="X230" i="4"/>
  <c r="BT230" i="4"/>
  <c r="X229" i="4"/>
  <c r="X228" i="4"/>
  <c r="X227" i="4"/>
  <c r="AX227" i="4"/>
  <c r="X226" i="4"/>
  <c r="BT226" i="4"/>
  <c r="X225" i="4"/>
  <c r="X224" i="4"/>
  <c r="BK224" i="4"/>
  <c r="X223" i="4"/>
  <c r="CB223" i="4"/>
  <c r="X222" i="4"/>
  <c r="X221" i="4"/>
  <c r="BJ221" i="4"/>
  <c r="X220" i="4"/>
  <c r="X219" i="4"/>
  <c r="CB219" i="4"/>
  <c r="X218" i="4"/>
  <c r="AY218" i="4"/>
  <c r="X217" i="4"/>
  <c r="X216" i="4"/>
  <c r="X215" i="4"/>
  <c r="CB215" i="4"/>
  <c r="X214" i="4"/>
  <c r="CJ214" i="4"/>
  <c r="X213" i="4"/>
  <c r="CB213" i="4"/>
  <c r="X212" i="4"/>
  <c r="X211" i="4"/>
  <c r="CJ211" i="4"/>
  <c r="X210" i="4"/>
  <c r="X209" i="4"/>
  <c r="X208" i="4"/>
  <c r="AZ208" i="4"/>
  <c r="X207" i="4"/>
  <c r="CJ207" i="4"/>
  <c r="X206" i="4"/>
  <c r="BT206" i="4"/>
  <c r="X205" i="4"/>
  <c r="X204" i="4"/>
  <c r="X203" i="4"/>
  <c r="X202" i="4"/>
  <c r="X201" i="4"/>
  <c r="X200" i="4"/>
  <c r="X199" i="4"/>
  <c r="X198" i="4"/>
  <c r="X197" i="4"/>
  <c r="BT197" i="4"/>
  <c r="X196" i="4"/>
  <c r="X195" i="4"/>
  <c r="X194" i="4"/>
  <c r="BT194" i="4"/>
  <c r="BS194" i="4"/>
  <c r="J144" i="7"/>
  <c r="AA144" i="7"/>
  <c r="AB144" i="7"/>
  <c r="X193" i="4"/>
  <c r="X192" i="4"/>
  <c r="X191" i="4"/>
  <c r="BT191" i="4"/>
  <c r="X190" i="4"/>
  <c r="X189" i="4"/>
  <c r="X188" i="4"/>
  <c r="X187" i="4"/>
  <c r="BT187" i="4"/>
  <c r="X186" i="4"/>
  <c r="X185" i="4"/>
  <c r="X184" i="4"/>
  <c r="BD184" i="4"/>
  <c r="X183" i="4"/>
  <c r="X182" i="4"/>
  <c r="BT182" i="4"/>
  <c r="X181" i="4"/>
  <c r="BT181" i="4"/>
  <c r="X180" i="4"/>
  <c r="X179" i="4"/>
  <c r="CJ179" i="4"/>
  <c r="CI179" i="4"/>
  <c r="X178" i="4"/>
  <c r="BT178" i="4"/>
  <c r="X177" i="4"/>
  <c r="X176" i="4"/>
  <c r="X175" i="4"/>
  <c r="X174" i="4"/>
  <c r="BT174" i="4"/>
  <c r="BS174" i="4"/>
  <c r="J142" i="7"/>
  <c r="AA142" i="7"/>
  <c r="X173" i="4"/>
  <c r="X172" i="4"/>
  <c r="BB172" i="4"/>
  <c r="X171" i="4"/>
  <c r="AW171" i="4"/>
  <c r="X170" i="4"/>
  <c r="X169" i="4"/>
  <c r="X168" i="4"/>
  <c r="BC168" i="4"/>
  <c r="X167" i="4"/>
  <c r="X166" i="4"/>
  <c r="BT166" i="4"/>
  <c r="X165" i="4"/>
  <c r="BT165" i="4"/>
  <c r="X164" i="4"/>
  <c r="X163" i="4"/>
  <c r="X162" i="4"/>
  <c r="X161" i="4"/>
  <c r="BT161" i="4"/>
  <c r="X160" i="4"/>
  <c r="BB160" i="4"/>
  <c r="X159" i="4"/>
  <c r="BH159" i="4"/>
  <c r="X158" i="4"/>
  <c r="X157" i="4"/>
  <c r="X156" i="4"/>
  <c r="X155" i="4"/>
  <c r="CJ155" i="4"/>
  <c r="X154" i="4"/>
  <c r="BA154" i="4"/>
  <c r="X153" i="4"/>
  <c r="X152" i="4"/>
  <c r="BG152" i="4"/>
  <c r="X151" i="4"/>
  <c r="BK151" i="4"/>
  <c r="X150" i="4"/>
  <c r="X149" i="4"/>
  <c r="X148" i="4"/>
  <c r="X147" i="4"/>
  <c r="BA147" i="4"/>
  <c r="X146" i="4"/>
  <c r="X145" i="4"/>
  <c r="BT145" i="4"/>
  <c r="X144" i="4"/>
  <c r="AT144" i="4"/>
  <c r="X143" i="4"/>
  <c r="X142" i="4"/>
  <c r="X141" i="4"/>
  <c r="BT141" i="4"/>
  <c r="X140" i="4"/>
  <c r="X139" i="4"/>
  <c r="X138" i="4"/>
  <c r="CB138" i="4"/>
  <c r="X137" i="4"/>
  <c r="BT137" i="4"/>
  <c r="X136" i="4"/>
  <c r="X135" i="4"/>
  <c r="BA135" i="4"/>
  <c r="X134" i="4"/>
  <c r="X133" i="4"/>
  <c r="X132" i="4"/>
  <c r="X131" i="4"/>
  <c r="X130" i="4"/>
  <c r="BA130" i="4"/>
  <c r="X129" i="4"/>
  <c r="X128" i="4"/>
  <c r="X127" i="4"/>
  <c r="X126" i="4"/>
  <c r="BT126" i="4"/>
  <c r="BS126" i="4"/>
  <c r="X125" i="4"/>
  <c r="BT125" i="4"/>
  <c r="X124" i="4"/>
  <c r="X123" i="4"/>
  <c r="BT123" i="4"/>
  <c r="X122" i="4"/>
  <c r="X121" i="4"/>
  <c r="X120" i="4"/>
  <c r="X119" i="4"/>
  <c r="CJ119" i="4"/>
  <c r="X118" i="4"/>
  <c r="CJ118" i="4"/>
  <c r="X117" i="4"/>
  <c r="BT117" i="4"/>
  <c r="X116" i="4"/>
  <c r="CJ116" i="4"/>
  <c r="CI116" i="4"/>
  <c r="X115" i="4"/>
  <c r="BM115" i="4"/>
  <c r="X114" i="4"/>
  <c r="BT114" i="4"/>
  <c r="X113" i="4"/>
  <c r="CJ113" i="4"/>
  <c r="BT113" i="4"/>
  <c r="X112" i="4"/>
  <c r="BT112" i="4"/>
  <c r="X111" i="4"/>
  <c r="X110" i="4"/>
  <c r="X109" i="4"/>
  <c r="BT109" i="4"/>
  <c r="BS109" i="4"/>
  <c r="X108" i="4"/>
  <c r="X107" i="4"/>
  <c r="X106" i="4"/>
  <c r="CJ106" i="4"/>
  <c r="CI106" i="4"/>
  <c r="X105" i="4"/>
  <c r="X104" i="4"/>
  <c r="X103" i="4"/>
  <c r="BN103" i="4"/>
  <c r="X102" i="4"/>
  <c r="CJ102" i="4"/>
  <c r="X101" i="4"/>
  <c r="BT101" i="4"/>
  <c r="X100" i="4"/>
  <c r="X99" i="4"/>
  <c r="BT99" i="4"/>
  <c r="X98" i="4"/>
  <c r="X97" i="4"/>
  <c r="BB97" i="4"/>
  <c r="BG97" i="4"/>
  <c r="X96" i="4"/>
  <c r="AY96" i="4"/>
  <c r="X95" i="4"/>
  <c r="X94" i="4"/>
  <c r="X93" i="4"/>
  <c r="BT93" i="4"/>
  <c r="BS93" i="4"/>
  <c r="X92" i="4"/>
  <c r="X91" i="4"/>
  <c r="X90" i="4"/>
  <c r="X89" i="4"/>
  <c r="BD89" i="4"/>
  <c r="X88" i="4"/>
  <c r="BT88" i="4"/>
  <c r="BS88" i="4"/>
  <c r="J108" i="7"/>
  <c r="AA108" i="7"/>
  <c r="X87" i="4"/>
  <c r="X86" i="4"/>
  <c r="X85" i="4"/>
  <c r="X84" i="4"/>
  <c r="X83" i="4"/>
  <c r="X82" i="4"/>
  <c r="X81" i="4"/>
  <c r="BT81" i="4"/>
  <c r="X80" i="4"/>
  <c r="AY80" i="4"/>
  <c r="X79" i="4"/>
  <c r="BG79" i="4"/>
  <c r="X78" i="4"/>
  <c r="X77" i="4"/>
  <c r="X76" i="4"/>
  <c r="X75" i="4"/>
  <c r="X74" i="4"/>
  <c r="X73" i="4"/>
  <c r="BG73" i="4"/>
  <c r="X72" i="4"/>
  <c r="BN72" i="4"/>
  <c r="X71" i="4"/>
  <c r="X70" i="4"/>
  <c r="X69" i="4"/>
  <c r="X68" i="4"/>
  <c r="X67" i="4"/>
  <c r="BT67" i="4"/>
  <c r="X66" i="4"/>
  <c r="CB66" i="4"/>
  <c r="CA66" i="4"/>
  <c r="X65" i="4"/>
  <c r="BA65" i="4"/>
  <c r="X64" i="4"/>
  <c r="BF64" i="4"/>
  <c r="X63" i="4"/>
  <c r="X62" i="4"/>
  <c r="X61" i="4"/>
  <c r="CB61" i="4"/>
  <c r="X60" i="4"/>
  <c r="X59" i="4"/>
  <c r="BT59" i="4"/>
  <c r="X58" i="4"/>
  <c r="AF58" i="4"/>
  <c r="X57" i="4"/>
  <c r="BT57" i="4"/>
  <c r="X56" i="4"/>
  <c r="X55" i="4"/>
  <c r="X54" i="4"/>
  <c r="BH54" i="4"/>
  <c r="X53" i="4"/>
  <c r="X52" i="4"/>
  <c r="BL52" i="4"/>
  <c r="X51" i="4"/>
  <c r="BT51" i="4"/>
  <c r="K88" i="7"/>
  <c r="BJ51" i="4"/>
  <c r="X50" i="4"/>
  <c r="AY50" i="4"/>
  <c r="X49" i="4"/>
  <c r="X48" i="4"/>
  <c r="BD48" i="4"/>
  <c r="X47" i="4"/>
  <c r="BE47" i="4"/>
  <c r="X46" i="4"/>
  <c r="BT46" i="4"/>
  <c r="X45" i="4"/>
  <c r="BN45" i="4"/>
  <c r="X44" i="4"/>
  <c r="X43" i="4"/>
  <c r="BT43" i="4"/>
  <c r="X42" i="4"/>
  <c r="X41" i="4"/>
  <c r="CJ41" i="4"/>
  <c r="X40" i="4"/>
  <c r="BT40" i="4"/>
  <c r="X39" i="4"/>
  <c r="BF39" i="4"/>
  <c r="X38" i="4"/>
  <c r="CB38" i="4"/>
  <c r="X37" i="4"/>
  <c r="X36" i="4"/>
  <c r="X35" i="4"/>
  <c r="AT35" i="4"/>
  <c r="X34" i="4"/>
  <c r="BT34" i="4"/>
  <c r="X33" i="4"/>
  <c r="AY33" i="4"/>
  <c r="X32" i="4"/>
  <c r="BN32" i="4"/>
  <c r="X31" i="4"/>
  <c r="X30" i="4"/>
  <c r="X29" i="4"/>
  <c r="CJ29" i="4"/>
  <c r="X28" i="4"/>
  <c r="X27" i="4"/>
  <c r="X26" i="4"/>
  <c r="AY26" i="4"/>
  <c r="X25" i="4"/>
  <c r="CJ25" i="4"/>
  <c r="CI25" i="4"/>
  <c r="X24" i="4"/>
  <c r="X23" i="4"/>
  <c r="BN23" i="4"/>
  <c r="X22" i="4"/>
  <c r="X21" i="4"/>
  <c r="BT21" i="4"/>
  <c r="X20" i="4"/>
  <c r="X19" i="4"/>
  <c r="X18" i="4"/>
  <c r="AZ18" i="4"/>
  <c r="X17" i="4"/>
  <c r="BT17" i="4"/>
  <c r="X16" i="4"/>
  <c r="BT16" i="4"/>
  <c r="BS16" i="4"/>
  <c r="J53" i="7"/>
  <c r="X15" i="4"/>
  <c r="X14" i="4"/>
  <c r="BT14" i="4"/>
  <c r="X13" i="4"/>
  <c r="X12" i="4"/>
  <c r="X11" i="4"/>
  <c r="CB11" i="4"/>
  <c r="X10" i="4"/>
  <c r="X9" i="4"/>
  <c r="X8" i="4"/>
  <c r="BT8" i="4"/>
  <c r="AM8" i="4"/>
  <c r="Q12" i="5"/>
  <c r="N12" i="5"/>
  <c r="J12" i="5"/>
  <c r="H12" i="5"/>
  <c r="E12" i="5"/>
  <c r="D12" i="5"/>
  <c r="Q11" i="5"/>
  <c r="J11" i="5"/>
  <c r="H11" i="5"/>
  <c r="E11" i="5"/>
  <c r="F11" i="5"/>
  <c r="D11" i="5"/>
  <c r="Q10" i="5"/>
  <c r="M10" i="5"/>
  <c r="H10" i="5"/>
  <c r="E10" i="5"/>
  <c r="AA185" i="4" s="1"/>
  <c r="F10" i="5"/>
  <c r="D10" i="5"/>
  <c r="D9" i="5"/>
  <c r="E9" i="5"/>
  <c r="F9" i="5"/>
  <c r="G9" i="5"/>
  <c r="H9" i="5"/>
  <c r="J9" i="5"/>
  <c r="L9" i="5"/>
  <c r="M9" i="5"/>
  <c r="N9" i="5"/>
  <c r="Q9" i="5"/>
  <c r="T9" i="5"/>
  <c r="V72" i="2"/>
  <c r="V40" i="2"/>
  <c r="V14" i="2"/>
  <c r="CJ90" i="4"/>
  <c r="CB162" i="4"/>
  <c r="CJ194" i="4"/>
  <c r="CB226" i="4"/>
  <c r="CB258" i="4"/>
  <c r="CJ290" i="4"/>
  <c r="CJ50" i="4"/>
  <c r="CJ242" i="4"/>
  <c r="CB242" i="4"/>
  <c r="CA242" i="4"/>
  <c r="CJ98" i="4"/>
  <c r="CB98" i="4"/>
  <c r="CB122" i="4"/>
  <c r="CB146" i="4"/>
  <c r="CJ210" i="4"/>
  <c r="CJ60" i="4"/>
  <c r="CJ68" i="4"/>
  <c r="CB204" i="4"/>
  <c r="CA204" i="4"/>
  <c r="CB220" i="4"/>
  <c r="CB63" i="4"/>
  <c r="CJ167" i="4"/>
  <c r="CJ199" i="4"/>
  <c r="CB231" i="4"/>
  <c r="CB271" i="4"/>
  <c r="CJ80" i="4"/>
  <c r="CJ88" i="4"/>
  <c r="CB88" i="4"/>
  <c r="CB240" i="4"/>
  <c r="CB248" i="4"/>
  <c r="CJ248" i="4"/>
  <c r="CJ15" i="4"/>
  <c r="CB55" i="4"/>
  <c r="CB71" i="4"/>
  <c r="CJ111" i="4"/>
  <c r="CJ127" i="4"/>
  <c r="CB159" i="4"/>
  <c r="CJ175" i="4"/>
  <c r="CI175" i="4"/>
  <c r="CB207" i="4"/>
  <c r="CJ239" i="4"/>
  <c r="CJ247" i="4"/>
  <c r="CB279" i="4"/>
  <c r="CA279" i="4"/>
  <c r="CJ17" i="4"/>
  <c r="CB49" i="4"/>
  <c r="CB65" i="4"/>
  <c r="CB81" i="4"/>
  <c r="CB121" i="4"/>
  <c r="CJ137" i="4"/>
  <c r="CJ201" i="4"/>
  <c r="CJ265" i="4"/>
  <c r="CB281" i="4"/>
  <c r="CJ51" i="4"/>
  <c r="CB51" i="4"/>
  <c r="CJ75" i="4"/>
  <c r="CB75" i="4"/>
  <c r="CJ99" i="4"/>
  <c r="CB123" i="4"/>
  <c r="CB155" i="4"/>
  <c r="CA155" i="4"/>
  <c r="CJ187" i="4"/>
  <c r="CJ283" i="4"/>
  <c r="CB283" i="4"/>
  <c r="CB45" i="4"/>
  <c r="CJ53" i="4"/>
  <c r="CB53" i="4"/>
  <c r="CJ77" i="4"/>
  <c r="CI77" i="4"/>
  <c r="CB77" i="4"/>
  <c r="CJ117" i="4"/>
  <c r="CB125" i="4"/>
  <c r="CJ133" i="4"/>
  <c r="CB133" i="4"/>
  <c r="CJ141" i="4"/>
  <c r="CB141" i="4"/>
  <c r="CJ165" i="4"/>
  <c r="CI165" i="4"/>
  <c r="CJ173" i="4"/>
  <c r="CB173" i="4"/>
  <c r="CJ181" i="4"/>
  <c r="CB181" i="4"/>
  <c r="CJ197" i="4"/>
  <c r="CB197" i="4"/>
  <c r="CB205" i="4"/>
  <c r="CB237" i="4"/>
  <c r="CB253" i="4"/>
  <c r="CB261" i="4"/>
  <c r="CJ269" i="4"/>
  <c r="CB269" i="4"/>
  <c r="CB285" i="4"/>
  <c r="CJ22" i="4"/>
  <c r="CJ46" i="4"/>
  <c r="CB46" i="4"/>
  <c r="CB78" i="4"/>
  <c r="CB94" i="4"/>
  <c r="CJ94" i="4"/>
  <c r="CB126" i="4"/>
  <c r="CJ126" i="4"/>
  <c r="CB174" i="4"/>
  <c r="CB182" i="4"/>
  <c r="CJ182" i="4"/>
  <c r="CB198" i="4"/>
  <c r="CB214" i="4"/>
  <c r="CJ222" i="4"/>
  <c r="CB222" i="4"/>
  <c r="CJ230" i="4"/>
  <c r="CB230" i="4"/>
  <c r="CB238" i="4"/>
  <c r="CB246" i="4"/>
  <c r="CJ246" i="4"/>
  <c r="CJ254" i="4"/>
  <c r="CI254" i="4"/>
  <c r="CJ8" i="4"/>
  <c r="CB13" i="4"/>
  <c r="CJ13" i="4"/>
  <c r="AF11" i="4"/>
  <c r="BJ33" i="4"/>
  <c r="BA33" i="4"/>
  <c r="BD33" i="4"/>
  <c r="BE33" i="4"/>
  <c r="AW33" i="4"/>
  <c r="BB57" i="4"/>
  <c r="AT57" i="4"/>
  <c r="BI57" i="4"/>
  <c r="BA57" i="4"/>
  <c r="AX57" i="4"/>
  <c r="BN57" i="4"/>
  <c r="BE57" i="4"/>
  <c r="BC57" i="4"/>
  <c r="BM57" i="4"/>
  <c r="BJ81" i="4"/>
  <c r="BB81" i="4"/>
  <c r="AT81" i="4"/>
  <c r="BI81" i="4"/>
  <c r="BA81" i="4"/>
  <c r="BL81" i="4"/>
  <c r="BD81" i="4"/>
  <c r="AV81" i="4"/>
  <c r="BC81" i="4"/>
  <c r="BN81" i="4"/>
  <c r="AZ81" i="4"/>
  <c r="BF81" i="4"/>
  <c r="BE81" i="4"/>
  <c r="AY81" i="4"/>
  <c r="AU81" i="4"/>
  <c r="BH81" i="4"/>
  <c r="BX81" i="4"/>
  <c r="BG81" i="4"/>
  <c r="BM81" i="4"/>
  <c r="BK81" i="4"/>
  <c r="AX81" i="4"/>
  <c r="AW81" i="4"/>
  <c r="BF121" i="4"/>
  <c r="BI121" i="4"/>
  <c r="AW121" i="4"/>
  <c r="BE145" i="4"/>
  <c r="BG145" i="4"/>
  <c r="BD185" i="4"/>
  <c r="AT185" i="4"/>
  <c r="BH209" i="4"/>
  <c r="BJ209" i="4"/>
  <c r="BL241" i="4"/>
  <c r="BI241" i="4"/>
  <c r="BM241" i="4"/>
  <c r="BH241" i="4"/>
  <c r="BL281" i="4"/>
  <c r="BH281" i="4"/>
  <c r="BB281" i="4"/>
  <c r="BM281" i="4"/>
  <c r="BN289" i="4"/>
  <c r="BF289" i="4"/>
  <c r="AU289" i="4"/>
  <c r="BG289" i="4"/>
  <c r="AF26" i="4"/>
  <c r="BJ26" i="4"/>
  <c r="BA26" i="4"/>
  <c r="AF50" i="4"/>
  <c r="AW50" i="4"/>
  <c r="AV50" i="4"/>
  <c r="BG50" i="4"/>
  <c r="BA50" i="4"/>
  <c r="BK50" i="4"/>
  <c r="AU50" i="4"/>
  <c r="BJ50" i="4"/>
  <c r="BI50" i="4"/>
  <c r="AT50" i="4"/>
  <c r="BE74" i="4"/>
  <c r="AU74" i="4"/>
  <c r="BM98" i="4"/>
  <c r="BE98" i="4"/>
  <c r="AW98" i="4"/>
  <c r="BL98" i="4"/>
  <c r="BD98" i="4"/>
  <c r="AV98" i="4"/>
  <c r="BG98" i="4"/>
  <c r="AY98" i="4"/>
  <c r="BC98" i="4"/>
  <c r="BN98" i="4"/>
  <c r="BA98" i="4"/>
  <c r="BB98" i="4"/>
  <c r="BH98" i="4"/>
  <c r="AT98" i="4"/>
  <c r="BF98" i="4"/>
  <c r="AU98" i="4"/>
  <c r="AX98" i="4"/>
  <c r="BK98" i="4"/>
  <c r="BJ98" i="4"/>
  <c r="AZ98" i="4"/>
  <c r="BI98" i="4"/>
  <c r="AW130" i="4"/>
  <c r="AU130" i="4"/>
  <c r="AX130" i="4"/>
  <c r="AT130" i="4"/>
  <c r="BE130" i="4"/>
  <c r="AF154" i="4"/>
  <c r="BN154" i="4"/>
  <c r="BF154" i="4"/>
  <c r="AX154" i="4"/>
  <c r="BJ154" i="4"/>
  <c r="AY154" i="4"/>
  <c r="BH154" i="4"/>
  <c r="AW154" i="4"/>
  <c r="BL154" i="4"/>
  <c r="BB154" i="4"/>
  <c r="BK154" i="4"/>
  <c r="BG154" i="4"/>
  <c r="AV154" i="4"/>
  <c r="AU154" i="4"/>
  <c r="BC154" i="4"/>
  <c r="AZ154" i="4"/>
  <c r="BM154" i="4"/>
  <c r="BE154" i="4"/>
  <c r="BE170" i="4"/>
  <c r="AX170" i="4"/>
  <c r="BN170" i="4"/>
  <c r="BJ170" i="4"/>
  <c r="BL194" i="4"/>
  <c r="AV194" i="4"/>
  <c r="BB194" i="4"/>
  <c r="BJ194" i="4"/>
  <c r="AZ194" i="4"/>
  <c r="BI194" i="4"/>
  <c r="AY194" i="4"/>
  <c r="BC194" i="4"/>
  <c r="BM194" i="4"/>
  <c r="AU194" i="4"/>
  <c r="BF194" i="4"/>
  <c r="BE194" i="4"/>
  <c r="BH194" i="4"/>
  <c r="AT194" i="4"/>
  <c r="BH218" i="4"/>
  <c r="AZ218" i="4"/>
  <c r="BJ218" i="4"/>
  <c r="BM218" i="4"/>
  <c r="BC218" i="4"/>
  <c r="BL218" i="4"/>
  <c r="AT218" i="4"/>
  <c r="AW218" i="4"/>
  <c r="BA218" i="4"/>
  <c r="AF242" i="4"/>
  <c r="BG242" i="4"/>
  <c r="AY242" i="4"/>
  <c r="AX242" i="4"/>
  <c r="BF242" i="4"/>
  <c r="AU242" i="4"/>
  <c r="BN242" i="4"/>
  <c r="BA242" i="4"/>
  <c r="AT242" i="4"/>
  <c r="BI242" i="4"/>
  <c r="BB242" i="4"/>
  <c r="AZ242" i="4"/>
  <c r="BE242" i="4"/>
  <c r="BK242" i="4"/>
  <c r="BC242" i="4"/>
  <c r="BL282" i="4"/>
  <c r="BE282" i="4"/>
  <c r="AW282" i="4"/>
  <c r="BH35" i="4"/>
  <c r="BK35" i="4"/>
  <c r="AX35" i="4"/>
  <c r="AV35" i="4"/>
  <c r="BL35" i="4"/>
  <c r="BH59" i="4"/>
  <c r="BG59" i="4"/>
  <c r="AY59" i="4"/>
  <c r="BN59" i="4"/>
  <c r="BF59" i="4"/>
  <c r="AU59" i="4"/>
  <c r="BK59" i="4"/>
  <c r="BI59" i="4"/>
  <c r="BA59" i="4"/>
  <c r="BD107" i="4"/>
  <c r="BK107" i="4"/>
  <c r="BA107" i="4"/>
  <c r="BD147" i="4"/>
  <c r="AV147" i="4"/>
  <c r="BM147" i="4"/>
  <c r="BK147" i="4"/>
  <c r="AW147" i="4"/>
  <c r="BE147" i="4"/>
  <c r="AX147" i="4"/>
  <c r="AY147" i="4"/>
  <c r="BI147" i="4"/>
  <c r="AT15" i="4"/>
  <c r="BL15" i="4"/>
  <c r="BD15" i="4"/>
  <c r="AV15" i="4"/>
  <c r="BK15" i="4"/>
  <c r="BC15" i="4"/>
  <c r="AU15" i="4"/>
  <c r="BN15" i="4"/>
  <c r="BF15" i="4"/>
  <c r="AX15" i="4"/>
  <c r="BJ15" i="4"/>
  <c r="AY15" i="4"/>
  <c r="BI15" i="4"/>
  <c r="BB15" i="4"/>
  <c r="BH15" i="4"/>
  <c r="BG15" i="4"/>
  <c r="AZ15" i="4"/>
  <c r="BM15" i="4"/>
  <c r="AW15" i="4"/>
  <c r="BE15" i="4"/>
  <c r="BA15" i="4"/>
  <c r="AV23" i="4"/>
  <c r="BL31" i="4"/>
  <c r="AU31" i="4"/>
  <c r="AX31" i="4"/>
  <c r="BH31" i="4"/>
  <c r="AW31" i="4"/>
  <c r="AY31" i="4"/>
  <c r="BN39" i="4"/>
  <c r="BJ47" i="4"/>
  <c r="BL55" i="4"/>
  <c r="AV55" i="4"/>
  <c r="BN55" i="4"/>
  <c r="BF55" i="4"/>
  <c r="AX55" i="4"/>
  <c r="AY55" i="4"/>
  <c r="BI55" i="4"/>
  <c r="BM55" i="4"/>
  <c r="BH55" i="4"/>
  <c r="AT55" i="4"/>
  <c r="BG55" i="4"/>
  <c r="BL63" i="4"/>
  <c r="BD63" i="4"/>
  <c r="AV63" i="4"/>
  <c r="BK63" i="4"/>
  <c r="BN63" i="4"/>
  <c r="BH63" i="4"/>
  <c r="AT63" i="4"/>
  <c r="BJ63" i="4"/>
  <c r="BE63" i="4"/>
  <c r="BG63" i="4"/>
  <c r="BK71" i="4"/>
  <c r="BC71" i="4"/>
  <c r="AU71" i="4"/>
  <c r="BH71" i="4"/>
  <c r="BJ71" i="4"/>
  <c r="AY71" i="4"/>
  <c r="BI71" i="4"/>
  <c r="BB71" i="4"/>
  <c r="AV87" i="4"/>
  <c r="BC87" i="4"/>
  <c r="AU87" i="4"/>
  <c r="BN87" i="4"/>
  <c r="BF87" i="4"/>
  <c r="BG87" i="4"/>
  <c r="AW87" i="4"/>
  <c r="BJ87" i="4"/>
  <c r="AY87" i="4"/>
  <c r="BL95" i="4"/>
  <c r="AV95" i="4"/>
  <c r="BF95" i="4"/>
  <c r="BA95" i="4"/>
  <c r="BE95" i="4"/>
  <c r="BJ95" i="4"/>
  <c r="AY95" i="4"/>
  <c r="BH95" i="4"/>
  <c r="BD103" i="4"/>
  <c r="BK103" i="4"/>
  <c r="BC103" i="4"/>
  <c r="AU103" i="4"/>
  <c r="BJ103" i="4"/>
  <c r="AZ103" i="4"/>
  <c r="AY103" i="4"/>
  <c r="BE103" i="4"/>
  <c r="BB103" i="4"/>
  <c r="BG103" i="4"/>
  <c r="BK111" i="4"/>
  <c r="BC111" i="4"/>
  <c r="AU111" i="4"/>
  <c r="BE111" i="4"/>
  <c r="AV111" i="4"/>
  <c r="BM111" i="4"/>
  <c r="BD111" i="4"/>
  <c r="AT111" i="4"/>
  <c r="BG111" i="4"/>
  <c r="AX111" i="4"/>
  <c r="BH111" i="4"/>
  <c r="BF111" i="4"/>
  <c r="BL111" i="4"/>
  <c r="AY111" i="4"/>
  <c r="BJ111" i="4"/>
  <c r="AW111" i="4"/>
  <c r="BA111" i="4"/>
  <c r="AZ111" i="4"/>
  <c r="AF119" i="4"/>
  <c r="BH119" i="4"/>
  <c r="AZ119" i="4"/>
  <c r="BC119" i="4"/>
  <c r="BD119" i="4"/>
  <c r="BM119" i="4"/>
  <c r="BB119" i="4"/>
  <c r="BF119" i="4"/>
  <c r="AV119" i="4"/>
  <c r="BE119" i="4"/>
  <c r="AW119" i="4"/>
  <c r="BJ119" i="4"/>
  <c r="AT119" i="4"/>
  <c r="BA119" i="4"/>
  <c r="AY119" i="4"/>
  <c r="AF127" i="4"/>
  <c r="BH127" i="4"/>
  <c r="AZ127" i="4"/>
  <c r="BK127" i="4"/>
  <c r="BC127" i="4"/>
  <c r="AU127" i="4"/>
  <c r="BF127" i="4"/>
  <c r="AV127" i="4"/>
  <c r="BE127" i="4"/>
  <c r="AT127" i="4"/>
  <c r="BI127" i="4"/>
  <c r="AX127" i="4"/>
  <c r="BL127" i="4"/>
  <c r="BJ127" i="4"/>
  <c r="BG127" i="4"/>
  <c r="BN127" i="4"/>
  <c r="AY127" i="4"/>
  <c r="BM127" i="4"/>
  <c r="AW127" i="4"/>
  <c r="BB127" i="4"/>
  <c r="BA127" i="4"/>
  <c r="BD127" i="4"/>
  <c r="BI135" i="4"/>
  <c r="BC135" i="4"/>
  <c r="AU135" i="4"/>
  <c r="BJ135" i="4"/>
  <c r="AV135" i="4"/>
  <c r="BM135" i="4"/>
  <c r="BG135" i="4"/>
  <c r="AF143" i="4"/>
  <c r="BI143" i="4"/>
  <c r="BA143" i="4"/>
  <c r="BH143" i="4"/>
  <c r="AZ143" i="4"/>
  <c r="BK143" i="4"/>
  <c r="BC143" i="4"/>
  <c r="AU143" i="4"/>
  <c r="BE143" i="4"/>
  <c r="BD143" i="4"/>
  <c r="BG143" i="4"/>
  <c r="AV143" i="4"/>
  <c r="BM143" i="4"/>
  <c r="AT143" i="4"/>
  <c r="BJ143" i="4"/>
  <c r="BL143" i="4"/>
  <c r="AX143" i="4"/>
  <c r="BN143" i="4"/>
  <c r="AW143" i="4"/>
  <c r="BF143" i="4"/>
  <c r="AY143" i="4"/>
  <c r="BB143" i="4"/>
  <c r="BB151" i="4"/>
  <c r="BJ151" i="4"/>
  <c r="BD151" i="4"/>
  <c r="BE151" i="4"/>
  <c r="AV151" i="4"/>
  <c r="BA159" i="4"/>
  <c r="BC159" i="4"/>
  <c r="BI159" i="4"/>
  <c r="BG159" i="4"/>
  <c r="BL167" i="4"/>
  <c r="BD167" i="4"/>
  <c r="AV167" i="4"/>
  <c r="BG167" i="4"/>
  <c r="AX167" i="4"/>
  <c r="BJ167" i="4"/>
  <c r="BA167" i="4"/>
  <c r="BH167" i="4"/>
  <c r="AU167" i="4"/>
  <c r="BF167" i="4"/>
  <c r="AT167" i="4"/>
  <c r="BK167" i="4"/>
  <c r="AY167" i="4"/>
  <c r="BB167" i="4"/>
  <c r="AZ167" i="4"/>
  <c r="BE167" i="4"/>
  <c r="BN167" i="4"/>
  <c r="AW167" i="4"/>
  <c r="BI167" i="4"/>
  <c r="BM167" i="4"/>
  <c r="BC167" i="4"/>
  <c r="BL175" i="4"/>
  <c r="BD175" i="4"/>
  <c r="AV175" i="4"/>
  <c r="BM175" i="4"/>
  <c r="BC175" i="4"/>
  <c r="AW175" i="4"/>
  <c r="BN175" i="4"/>
  <c r="BH175" i="4"/>
  <c r="BE175" i="4"/>
  <c r="AZ175" i="4"/>
  <c r="AF183" i="4"/>
  <c r="AU183" i="4"/>
  <c r="AW183" i="4"/>
  <c r="BK191" i="4"/>
  <c r="BC191" i="4"/>
  <c r="AU191" i="4"/>
  <c r="BJ191" i="4"/>
  <c r="BA191" i="4"/>
  <c r="AZ191" i="4"/>
  <c r="BI191" i="4"/>
  <c r="AY191" i="4"/>
  <c r="BN191" i="4"/>
  <c r="BD191" i="4"/>
  <c r="BH191" i="4"/>
  <c r="BG191" i="4"/>
  <c r="AW191" i="4"/>
  <c r="BM191" i="4"/>
  <c r="AV191" i="4"/>
  <c r="AX191" i="4"/>
  <c r="BB191" i="4"/>
  <c r="BE191" i="4"/>
  <c r="AU199" i="4"/>
  <c r="AX199" i="4"/>
  <c r="AZ199" i="4"/>
  <c r="BM199" i="4"/>
  <c r="BD199" i="4"/>
  <c r="BL199" i="4"/>
  <c r="BG207" i="4"/>
  <c r="AY207" i="4"/>
  <c r="BD207" i="4"/>
  <c r="BN207" i="4"/>
  <c r="BB207" i="4"/>
  <c r="BH207" i="4"/>
  <c r="BF207" i="4"/>
  <c r="AT207" i="4"/>
  <c r="BI207" i="4"/>
  <c r="BG215" i="4"/>
  <c r="AY215" i="4"/>
  <c r="BJ215" i="4"/>
  <c r="BA215" i="4"/>
  <c r="BK215" i="4"/>
  <c r="BB215" i="4"/>
  <c r="BF215" i="4"/>
  <c r="AT215" i="4"/>
  <c r="AW215" i="4"/>
  <c r="BH215" i="4"/>
  <c r="BG223" i="4"/>
  <c r="AY223" i="4"/>
  <c r="BI223" i="4"/>
  <c r="AZ223" i="4"/>
  <c r="BK223" i="4"/>
  <c r="BA223" i="4"/>
  <c r="BN223" i="4"/>
  <c r="BC223" i="4"/>
  <c r="BM223" i="4"/>
  <c r="BB223" i="4"/>
  <c r="BE223" i="4"/>
  <c r="AT223" i="4"/>
  <c r="BF223" i="4"/>
  <c r="BD223" i="4"/>
  <c r="BJ223" i="4"/>
  <c r="BL223" i="4"/>
  <c r="AU223" i="4"/>
  <c r="AX223" i="4"/>
  <c r="AW223" i="4"/>
  <c r="AV223" i="4"/>
  <c r="BH223" i="4"/>
  <c r="BB231" i="4"/>
  <c r="AX231" i="4"/>
  <c r="BN231" i="4"/>
  <c r="BE231" i="4"/>
  <c r="BH231" i="4"/>
  <c r="BM231" i="4"/>
  <c r="BA231" i="4"/>
  <c r="BK231" i="4"/>
  <c r="AT239" i="4"/>
  <c r="BB239" i="4"/>
  <c r="BM239" i="4"/>
  <c r="BI239" i="4"/>
  <c r="BH239" i="4"/>
  <c r="BF247" i="4"/>
  <c r="AX247" i="4"/>
  <c r="BL247" i="4"/>
  <c r="BC247" i="4"/>
  <c r="AT247" i="4"/>
  <c r="BB247" i="4"/>
  <c r="AZ247" i="4"/>
  <c r="BM247" i="4"/>
  <c r="AW247" i="4"/>
  <c r="BE247" i="4"/>
  <c r="BD247" i="4"/>
  <c r="BH247" i="4"/>
  <c r="BJ247" i="4"/>
  <c r="AV247" i="4"/>
  <c r="BG247" i="4"/>
  <c r="AU247" i="4"/>
  <c r="BI255" i="4"/>
  <c r="BA255" i="4"/>
  <c r="BN255" i="4"/>
  <c r="BF255" i="4"/>
  <c r="AX255" i="4"/>
  <c r="BD255" i="4"/>
  <c r="AT255" i="4"/>
  <c r="BM255" i="4"/>
  <c r="BC255" i="4"/>
  <c r="BK255" i="4"/>
  <c r="AZ255" i="4"/>
  <c r="AW255" i="4"/>
  <c r="BJ255" i="4"/>
  <c r="BH255" i="4"/>
  <c r="AV255" i="4"/>
  <c r="AY255" i="4"/>
  <c r="BE255" i="4"/>
  <c r="BB255" i="4"/>
  <c r="BL255" i="4"/>
  <c r="BG255" i="4"/>
  <c r="AU255" i="4"/>
  <c r="BC263" i="4"/>
  <c r="AU263" i="4"/>
  <c r="BH263" i="4"/>
  <c r="AZ263" i="4"/>
  <c r="BL263" i="4"/>
  <c r="BA263" i="4"/>
  <c r="BG263" i="4"/>
  <c r="BM263" i="4"/>
  <c r="AX263" i="4"/>
  <c r="BJ263" i="4"/>
  <c r="AV263" i="4"/>
  <c r="BF263" i="4"/>
  <c r="BI263" i="4"/>
  <c r="BD263" i="4"/>
  <c r="BN263" i="4"/>
  <c r="AY263" i="4"/>
  <c r="AT263" i="4"/>
  <c r="BE263" i="4"/>
  <c r="BF271" i="4"/>
  <c r="AY271" i="4"/>
  <c r="AW271" i="4"/>
  <c r="AT271" i="4"/>
  <c r="BE271" i="4"/>
  <c r="BN279" i="4"/>
  <c r="BF279" i="4"/>
  <c r="AX279" i="4"/>
  <c r="BK279" i="4"/>
  <c r="BC279" i="4"/>
  <c r="AU279" i="4"/>
  <c r="BH279" i="4"/>
  <c r="BB279" i="4"/>
  <c r="BM279" i="4"/>
  <c r="BA279" i="4"/>
  <c r="BJ279" i="4"/>
  <c r="AW279" i="4"/>
  <c r="AV279" i="4"/>
  <c r="AT279" i="4"/>
  <c r="BD279" i="4"/>
  <c r="BG279" i="4"/>
  <c r="BE279" i="4"/>
  <c r="BL279" i="4"/>
  <c r="AY279" i="4"/>
  <c r="BK287" i="4"/>
  <c r="AV287" i="4"/>
  <c r="BN16" i="4"/>
  <c r="BF16" i="4"/>
  <c r="BI16" i="4"/>
  <c r="BC16" i="4"/>
  <c r="BM16" i="4"/>
  <c r="BB16" i="4"/>
  <c r="AW16" i="4"/>
  <c r="AU16" i="4"/>
  <c r="BE16" i="4"/>
  <c r="AZ16" i="4"/>
  <c r="BN24" i="4"/>
  <c r="BF24" i="4"/>
  <c r="AX24" i="4"/>
  <c r="BK24" i="4"/>
  <c r="AV24" i="4"/>
  <c r="BC24" i="4"/>
  <c r="AT24" i="4"/>
  <c r="AZ24" i="4"/>
  <c r="AW24" i="4"/>
  <c r="AY32" i="4"/>
  <c r="BI32" i="4"/>
  <c r="BA32" i="4"/>
  <c r="BD32" i="4"/>
  <c r="BC32" i="4"/>
  <c r="AW32" i="4"/>
  <c r="AT32" i="4"/>
  <c r="BG40" i="4"/>
  <c r="BI40" i="4"/>
  <c r="BA40" i="4"/>
  <c r="BJ40" i="4"/>
  <c r="BH40" i="4"/>
  <c r="AW40" i="4"/>
  <c r="BB40" i="4"/>
  <c r="BM40" i="4"/>
  <c r="BF40" i="4"/>
  <c r="BE40" i="4"/>
  <c r="BD40" i="4"/>
  <c r="AZ40" i="4"/>
  <c r="AT40" i="4"/>
  <c r="BK40" i="4"/>
  <c r="AV40" i="4"/>
  <c r="BN48" i="4"/>
  <c r="BF48" i="4"/>
  <c r="BA48" i="4"/>
  <c r="AW48" i="4"/>
  <c r="BM48" i="4"/>
  <c r="BK48" i="4"/>
  <c r="AV48" i="4"/>
  <c r="AU64" i="4"/>
  <c r="BN80" i="4"/>
  <c r="BF80" i="4"/>
  <c r="AX80" i="4"/>
  <c r="BI80" i="4"/>
  <c r="BA80" i="4"/>
  <c r="BK80" i="4"/>
  <c r="BJ80" i="4"/>
  <c r="BM80" i="4"/>
  <c r="BB80" i="4"/>
  <c r="BL80" i="4"/>
  <c r="AZ80" i="4"/>
  <c r="AU80" i="4"/>
  <c r="BC80" i="4"/>
  <c r="AT80" i="4"/>
  <c r="BD80" i="4"/>
  <c r="AF88" i="4"/>
  <c r="BG88" i="4"/>
  <c r="AY88" i="4"/>
  <c r="BN88" i="4"/>
  <c r="BF88" i="4"/>
  <c r="AX88" i="4"/>
  <c r="BI88" i="4"/>
  <c r="BA88" i="4"/>
  <c r="BJ88" i="4"/>
  <c r="AV88" i="4"/>
  <c r="BE88" i="4"/>
  <c r="BH88" i="4"/>
  <c r="AU88" i="4"/>
  <c r="AT88" i="4"/>
  <c r="BL88" i="4"/>
  <c r="AZ88" i="4"/>
  <c r="BK88" i="4"/>
  <c r="AW88" i="4"/>
  <c r="BB88" i="4"/>
  <c r="BM88" i="4"/>
  <c r="BD88" i="4"/>
  <c r="BC88" i="4"/>
  <c r="BN96" i="4"/>
  <c r="BF96" i="4"/>
  <c r="BI96" i="4"/>
  <c r="BA96" i="4"/>
  <c r="BD96" i="4"/>
  <c r="BE96" i="4"/>
  <c r="AT96" i="4"/>
  <c r="BJ96" i="4"/>
  <c r="AV96" i="4"/>
  <c r="AZ96" i="4"/>
  <c r="BL96" i="4"/>
  <c r="BC96" i="4"/>
  <c r="BG104" i="4"/>
  <c r="AY104" i="4"/>
  <c r="BN104" i="4"/>
  <c r="AX104" i="4"/>
  <c r="BI104" i="4"/>
  <c r="BA104" i="4"/>
  <c r="BE104" i="4"/>
  <c r="AT104" i="4"/>
  <c r="BD104" i="4"/>
  <c r="BC104" i="4"/>
  <c r="AV104" i="4"/>
  <c r="BH104" i="4"/>
  <c r="AU104" i="4"/>
  <c r="BB104" i="4"/>
  <c r="BK104" i="4"/>
  <c r="AZ104" i="4"/>
  <c r="BL104" i="4"/>
  <c r="AW104" i="4"/>
  <c r="BK112" i="4"/>
  <c r="BN112" i="4"/>
  <c r="BF112" i="4"/>
  <c r="AX112" i="4"/>
  <c r="BL112" i="4"/>
  <c r="BB112" i="4"/>
  <c r="BJ112" i="4"/>
  <c r="BA112" i="4"/>
  <c r="BD112" i="4"/>
  <c r="AU112" i="4"/>
  <c r="BC112" i="4"/>
  <c r="AY112" i="4"/>
  <c r="AZ112" i="4"/>
  <c r="BG112" i="4"/>
  <c r="BE112" i="4"/>
  <c r="BH112" i="4"/>
  <c r="AW112" i="4"/>
  <c r="AV112" i="4"/>
  <c r="AT112" i="4"/>
  <c r="BM112" i="4"/>
  <c r="BI112" i="4"/>
  <c r="BK120" i="4"/>
  <c r="AU120" i="4"/>
  <c r="BN120" i="4"/>
  <c r="BF120" i="4"/>
  <c r="AX120" i="4"/>
  <c r="BD120" i="4"/>
  <c r="BM120" i="4"/>
  <c r="BB120" i="4"/>
  <c r="AV120" i="4"/>
  <c r="BE120" i="4"/>
  <c r="BA120" i="4"/>
  <c r="AZ120" i="4"/>
  <c r="BI120" i="4"/>
  <c r="BH120" i="4"/>
  <c r="AT120" i="4"/>
  <c r="AW120" i="4"/>
  <c r="BJ120" i="4"/>
  <c r="AY120" i="4"/>
  <c r="BG128" i="4"/>
  <c r="AV128" i="4"/>
  <c r="BD128" i="4"/>
  <c r="BL136" i="4"/>
  <c r="BC136" i="4"/>
  <c r="AT136" i="4"/>
  <c r="BB136" i="4"/>
  <c r="AZ136" i="4"/>
  <c r="BE136" i="4"/>
  <c r="BL144" i="4"/>
  <c r="BD144" i="4"/>
  <c r="BK144" i="4"/>
  <c r="AU144" i="4"/>
  <c r="BN144" i="4"/>
  <c r="BH144" i="4"/>
  <c r="BJ144" i="4"/>
  <c r="BG144" i="4"/>
  <c r="BH152" i="4"/>
  <c r="BC152" i="4"/>
  <c r="AU152" i="4"/>
  <c r="BI152" i="4"/>
  <c r="AZ152" i="4"/>
  <c r="BD152" i="4"/>
  <c r="BF152" i="4"/>
  <c r="BN152" i="4"/>
  <c r="BG160" i="4"/>
  <c r="AY160" i="4"/>
  <c r="AX160" i="4"/>
  <c r="BK160" i="4"/>
  <c r="BI160" i="4"/>
  <c r="AV160" i="4"/>
  <c r="BF160" i="4"/>
  <c r="AU160" i="4"/>
  <c r="AZ160" i="4"/>
  <c r="BM160" i="4"/>
  <c r="BJ160" i="4"/>
  <c r="BN160" i="4"/>
  <c r="BD160" i="4"/>
  <c r="BE160" i="4"/>
  <c r="BC160" i="4"/>
  <c r="BA160" i="4"/>
  <c r="AZ168" i="4"/>
  <c r="BJ168" i="4"/>
  <c r="BE168" i="4"/>
  <c r="AT168" i="4"/>
  <c r="AU176" i="4"/>
  <c r="AV176" i="4"/>
  <c r="BN184" i="4"/>
  <c r="BF184" i="4"/>
  <c r="AX184" i="4"/>
  <c r="BK184" i="4"/>
  <c r="BB184" i="4"/>
  <c r="BL184" i="4"/>
  <c r="BJ184" i="4"/>
  <c r="AT184" i="4"/>
  <c r="BG184" i="4"/>
  <c r="BE184" i="4"/>
  <c r="BI184" i="4"/>
  <c r="AU184" i="4"/>
  <c r="AY184" i="4"/>
  <c r="BH184" i="4"/>
  <c r="AV184" i="4"/>
  <c r="BM184" i="4"/>
  <c r="BN192" i="4"/>
  <c r="BF192" i="4"/>
  <c r="AX192" i="4"/>
  <c r="BH192" i="4"/>
  <c r="AY192" i="4"/>
  <c r="BK192" i="4"/>
  <c r="BA192" i="4"/>
  <c r="BJ192" i="4"/>
  <c r="AZ192" i="4"/>
  <c r="BM192" i="4"/>
  <c r="BC192" i="4"/>
  <c r="BE192" i="4"/>
  <c r="BD192" i="4"/>
  <c r="BI192" i="4"/>
  <c r="AT192" i="4"/>
  <c r="AU192" i="4"/>
  <c r="AW192" i="4"/>
  <c r="BG192" i="4"/>
  <c r="BB192" i="4"/>
  <c r="AV192" i="4"/>
  <c r="BL192" i="4"/>
  <c r="BM200" i="4"/>
  <c r="BD200" i="4"/>
  <c r="BE200" i="4"/>
  <c r="BK200" i="4"/>
  <c r="AT200" i="4"/>
  <c r="BJ208" i="4"/>
  <c r="BB208" i="4"/>
  <c r="BI208" i="4"/>
  <c r="AY208" i="4"/>
  <c r="BD208" i="4"/>
  <c r="AX208" i="4"/>
  <c r="BC208" i="4"/>
  <c r="BH208" i="4"/>
  <c r="BM208" i="4"/>
  <c r="BG208" i="4"/>
  <c r="AX216" i="4"/>
  <c r="AZ216" i="4"/>
  <c r="AW216" i="4"/>
  <c r="BF224" i="4"/>
  <c r="BL224" i="4"/>
  <c r="AW232" i="4"/>
  <c r="BI240" i="4"/>
  <c r="AZ240" i="4"/>
  <c r="BF240" i="4"/>
  <c r="AT240" i="4"/>
  <c r="BH240" i="4"/>
  <c r="BL240" i="4"/>
  <c r="AW240" i="4"/>
  <c r="BC240" i="4"/>
  <c r="BE240" i="4"/>
  <c r="BK240" i="4"/>
  <c r="BL248" i="4"/>
  <c r="BD248" i="4"/>
  <c r="AV248" i="4"/>
  <c r="BI248" i="4"/>
  <c r="BA248" i="4"/>
  <c r="BM248" i="4"/>
  <c r="BB248" i="4"/>
  <c r="BK248" i="4"/>
  <c r="AZ248" i="4"/>
  <c r="BH248" i="4"/>
  <c r="AX248" i="4"/>
  <c r="BG248" i="4"/>
  <c r="BC248" i="4"/>
  <c r="AY248" i="4"/>
  <c r="BF248" i="4"/>
  <c r="BN248" i="4"/>
  <c r="BJ248" i="4"/>
  <c r="AW248" i="4"/>
  <c r="AU248" i="4"/>
  <c r="BE248" i="4"/>
  <c r="AT248" i="4"/>
  <c r="BL256" i="4"/>
  <c r="BD256" i="4"/>
  <c r="AV256" i="4"/>
  <c r="BE256" i="4"/>
  <c r="BN256" i="4"/>
  <c r="BK256" i="4"/>
  <c r="AZ256" i="4"/>
  <c r="BJ256" i="4"/>
  <c r="AU256" i="4"/>
  <c r="AY256" i="4"/>
  <c r="BF256" i="4"/>
  <c r="BM256" i="4"/>
  <c r="BB256" i="4"/>
  <c r="BN264" i="4"/>
  <c r="BF264" i="4"/>
  <c r="AX264" i="4"/>
  <c r="BK264" i="4"/>
  <c r="BC264" i="4"/>
  <c r="AU264" i="4"/>
  <c r="BA264" i="4"/>
  <c r="BH264" i="4"/>
  <c r="AW264" i="4"/>
  <c r="BE264" i="4"/>
  <c r="BD264" i="4"/>
  <c r="AZ264" i="4"/>
  <c r="BJ264" i="4"/>
  <c r="BG264" i="4"/>
  <c r="AT264" i="4"/>
  <c r="AV264" i="4"/>
  <c r="BB264" i="4"/>
  <c r="BM264" i="4"/>
  <c r="AY264" i="4"/>
  <c r="BI272" i="4"/>
  <c r="BA272" i="4"/>
  <c r="BN272" i="4"/>
  <c r="BF272" i="4"/>
  <c r="BK272" i="4"/>
  <c r="BC272" i="4"/>
  <c r="AU272" i="4"/>
  <c r="AV272" i="4"/>
  <c r="BG272" i="4"/>
  <c r="AT272" i="4"/>
  <c r="AZ272" i="4"/>
  <c r="AY272" i="4"/>
  <c r="BM272" i="4"/>
  <c r="BB272" i="4"/>
  <c r="BE272" i="4"/>
  <c r="BL272" i="4"/>
  <c r="BI280" i="4"/>
  <c r="AX280" i="4"/>
  <c r="BK280" i="4"/>
  <c r="BC280" i="4"/>
  <c r="AT280" i="4"/>
  <c r="BB280" i="4"/>
  <c r="AY280" i="4"/>
  <c r="BH280" i="4"/>
  <c r="AZ280" i="4"/>
  <c r="BI288" i="4"/>
  <c r="AX288" i="4"/>
  <c r="BK288" i="4"/>
  <c r="BC288" i="4"/>
  <c r="BD288" i="4"/>
  <c r="AZ288" i="4"/>
  <c r="BJ288" i="4"/>
  <c r="BG288" i="4"/>
  <c r="BB288" i="4"/>
  <c r="AW288" i="4"/>
  <c r="AF17" i="4"/>
  <c r="BJ17" i="4"/>
  <c r="BB17" i="4"/>
  <c r="AT17" i="4"/>
  <c r="BI17" i="4"/>
  <c r="BL17" i="4"/>
  <c r="BD17" i="4"/>
  <c r="AV17" i="4"/>
  <c r="BG17" i="4"/>
  <c r="AU17" i="4"/>
  <c r="BM17" i="4"/>
  <c r="AX17" i="4"/>
  <c r="AW17" i="4"/>
  <c r="AZ17" i="4"/>
  <c r="BN17" i="4"/>
  <c r="AY17" i="4"/>
  <c r="BH17" i="4"/>
  <c r="BF17" i="4"/>
  <c r="BE17" i="4"/>
  <c r="AF49" i="4"/>
  <c r="BB49" i="4"/>
  <c r="AT49" i="4"/>
  <c r="BI49" i="4"/>
  <c r="BL49" i="4"/>
  <c r="AV49" i="4"/>
  <c r="BH49" i="4"/>
  <c r="AW49" i="4"/>
  <c r="AU49" i="4"/>
  <c r="BM49" i="4"/>
  <c r="BK49" i="4"/>
  <c r="BN49" i="4"/>
  <c r="BE49" i="4"/>
  <c r="BF49" i="4"/>
  <c r="AZ49" i="4"/>
  <c r="BJ73" i="4"/>
  <c r="BI73" i="4"/>
  <c r="BA73" i="4"/>
  <c r="BL73" i="4"/>
  <c r="AV73" i="4"/>
  <c r="BE73" i="4"/>
  <c r="BF73" i="4"/>
  <c r="BN73" i="4"/>
  <c r="BM73" i="4"/>
  <c r="BK73" i="4"/>
  <c r="AY73" i="4"/>
  <c r="AX73" i="4"/>
  <c r="AF105" i="4"/>
  <c r="BJ105" i="4"/>
  <c r="BB105" i="4"/>
  <c r="AT105" i="4"/>
  <c r="BA105" i="4"/>
  <c r="BL105" i="4"/>
  <c r="BD105" i="4"/>
  <c r="AV105" i="4"/>
  <c r="BK105" i="4"/>
  <c r="AX105" i="4"/>
  <c r="AU105" i="4"/>
  <c r="AW105" i="4"/>
  <c r="BG105" i="4"/>
  <c r="BN105" i="4"/>
  <c r="AZ105" i="4"/>
  <c r="BM105" i="4"/>
  <c r="AY105" i="4"/>
  <c r="BE105" i="4"/>
  <c r="BF105" i="4"/>
  <c r="BG137" i="4"/>
  <c r="AY137" i="4"/>
  <c r="BN137" i="4"/>
  <c r="BF137" i="4"/>
  <c r="AX137" i="4"/>
  <c r="BI137" i="4"/>
  <c r="BA137" i="4"/>
  <c r="BC137" i="4"/>
  <c r="BM137" i="4"/>
  <c r="BB137" i="4"/>
  <c r="BE137" i="4"/>
  <c r="AT137" i="4"/>
  <c r="AV137" i="4"/>
  <c r="BL137" i="4"/>
  <c r="AU137" i="4"/>
  <c r="BK137" i="4"/>
  <c r="AZ137" i="4"/>
  <c r="AW137" i="4"/>
  <c r="BD137" i="4"/>
  <c r="BJ137" i="4"/>
  <c r="BH137" i="4"/>
  <c r="BJ161" i="4"/>
  <c r="BB161" i="4"/>
  <c r="AT161" i="4"/>
  <c r="BN161" i="4"/>
  <c r="BE161" i="4"/>
  <c r="AV161" i="4"/>
  <c r="BH161" i="4"/>
  <c r="AY161" i="4"/>
  <c r="BL161" i="4"/>
  <c r="AZ161" i="4"/>
  <c r="BK161" i="4"/>
  <c r="AX161" i="4"/>
  <c r="BC161" i="4"/>
  <c r="BI161" i="4"/>
  <c r="BG161" i="4"/>
  <c r="AU161" i="4"/>
  <c r="BA161" i="4"/>
  <c r="AW161" i="4"/>
  <c r="BF161" i="4"/>
  <c r="BD161" i="4"/>
  <c r="BM161" i="4"/>
  <c r="AF193" i="4"/>
  <c r="BI193" i="4"/>
  <c r="BN193" i="4"/>
  <c r="BE193" i="4"/>
  <c r="AV193" i="4"/>
  <c r="BK193" i="4"/>
  <c r="AZ193" i="4"/>
  <c r="BJ193" i="4"/>
  <c r="AY193" i="4"/>
  <c r="BM193" i="4"/>
  <c r="BC193" i="4"/>
  <c r="BB193" i="4"/>
  <c r="AX193" i="4"/>
  <c r="BF193" i="4"/>
  <c r="AW193" i="4"/>
  <c r="AU193" i="4"/>
  <c r="BG193" i="4"/>
  <c r="AT193" i="4"/>
  <c r="BD193" i="4"/>
  <c r="BL193" i="4"/>
  <c r="BH193" i="4"/>
  <c r="BL273" i="4"/>
  <c r="BI273" i="4"/>
  <c r="BN273" i="4"/>
  <c r="BM273" i="4"/>
  <c r="BK273" i="4"/>
  <c r="BE273" i="4"/>
  <c r="BC273" i="4"/>
  <c r="BG273" i="4"/>
  <c r="AF42" i="4"/>
  <c r="BE42" i="4"/>
  <c r="AW42" i="4"/>
  <c r="BG42" i="4"/>
  <c r="AY42" i="4"/>
  <c r="BJ42" i="4"/>
  <c r="AZ42" i="4"/>
  <c r="BI42" i="4"/>
  <c r="BL42" i="4"/>
  <c r="BB42" i="4"/>
  <c r="BK42" i="4"/>
  <c r="AT42" i="4"/>
  <c r="BD42" i="4"/>
  <c r="BN42" i="4"/>
  <c r="BF42" i="4"/>
  <c r="AU42" i="4"/>
  <c r="BC42" i="4"/>
  <c r="BA42" i="4"/>
  <c r="AV42" i="4"/>
  <c r="BE58" i="4"/>
  <c r="BM82" i="4"/>
  <c r="BE82" i="4"/>
  <c r="AW82" i="4"/>
  <c r="BL82" i="4"/>
  <c r="BD82" i="4"/>
  <c r="BG82" i="4"/>
  <c r="AY82" i="4"/>
  <c r="BH82" i="4"/>
  <c r="AT82" i="4"/>
  <c r="BF82" i="4"/>
  <c r="BJ82" i="4"/>
  <c r="AX82" i="4"/>
  <c r="AU82" i="4"/>
  <c r="BC82" i="4"/>
  <c r="BA82" i="4"/>
  <c r="AZ82" i="4"/>
  <c r="BN82" i="4"/>
  <c r="BK82" i="4"/>
  <c r="BB82" i="4"/>
  <c r="BM106" i="4"/>
  <c r="BE106" i="4"/>
  <c r="AW106" i="4"/>
  <c r="BL106" i="4"/>
  <c r="BD106" i="4"/>
  <c r="AV106" i="4"/>
  <c r="BG106" i="4"/>
  <c r="BB106" i="4"/>
  <c r="AZ106" i="4"/>
  <c r="BN106" i="4"/>
  <c r="BA106" i="4"/>
  <c r="BK106" i="4"/>
  <c r="BF106" i="4"/>
  <c r="BC106" i="4"/>
  <c r="BH106" i="4"/>
  <c r="AX106" i="4"/>
  <c r="BJ106" i="4"/>
  <c r="BI106" i="4"/>
  <c r="AT106" i="4"/>
  <c r="BI122" i="4"/>
  <c r="BL122" i="4"/>
  <c r="BD122" i="4"/>
  <c r="AV122" i="4"/>
  <c r="BE122" i="4"/>
  <c r="AT122" i="4"/>
  <c r="BN122" i="4"/>
  <c r="BC122" i="4"/>
  <c r="AW122" i="4"/>
  <c r="BM122" i="4"/>
  <c r="AX122" i="4"/>
  <c r="BJ122" i="4"/>
  <c r="BK122" i="4"/>
  <c r="AU122" i="4"/>
  <c r="AZ122" i="4"/>
  <c r="BF122" i="4"/>
  <c r="BB122" i="4"/>
  <c r="BH122" i="4"/>
  <c r="BM162" i="4"/>
  <c r="BE162" i="4"/>
  <c r="AW162" i="4"/>
  <c r="BK162" i="4"/>
  <c r="BB162" i="4"/>
  <c r="BF162" i="4"/>
  <c r="AV162" i="4"/>
  <c r="BC162" i="4"/>
  <c r="BN162" i="4"/>
  <c r="BA162" i="4"/>
  <c r="BG162" i="4"/>
  <c r="AT162" i="4"/>
  <c r="BI162" i="4"/>
  <c r="BH162" i="4"/>
  <c r="BL162" i="4"/>
  <c r="AU162" i="4"/>
  <c r="AZ162" i="4"/>
  <c r="AY162" i="4"/>
  <c r="AX162" i="4"/>
  <c r="BJ162" i="4"/>
  <c r="BD162" i="4"/>
  <c r="AF186" i="4"/>
  <c r="BL186" i="4"/>
  <c r="BD186" i="4"/>
  <c r="AV186" i="4"/>
  <c r="BF186" i="4"/>
  <c r="AW186" i="4"/>
  <c r="BK186" i="4"/>
  <c r="BJ186" i="4"/>
  <c r="AZ186" i="4"/>
  <c r="BN186" i="4"/>
  <c r="BC186" i="4"/>
  <c r="AX186" i="4"/>
  <c r="BM186" i="4"/>
  <c r="AU186" i="4"/>
  <c r="BB186" i="4"/>
  <c r="BI186" i="4"/>
  <c r="BH186" i="4"/>
  <c r="BE186" i="4"/>
  <c r="AT186" i="4"/>
  <c r="AY186" i="4"/>
  <c r="BG186" i="4"/>
  <c r="AZ210" i="4"/>
  <c r="BN210" i="4"/>
  <c r="BC210" i="4"/>
  <c r="BG210" i="4"/>
  <c r="AU210" i="4"/>
  <c r="BK234" i="4"/>
  <c r="BC234" i="4"/>
  <c r="AU234" i="4"/>
  <c r="AZ234" i="4"/>
  <c r="BJ234" i="4"/>
  <c r="BI234" i="4"/>
  <c r="AW234" i="4"/>
  <c r="BM234" i="4"/>
  <c r="BA234" i="4"/>
  <c r="BD234" i="4"/>
  <c r="BG234" i="4"/>
  <c r="BB234" i="4"/>
  <c r="BL234" i="4"/>
  <c r="AV234" i="4"/>
  <c r="BF234" i="4"/>
  <c r="BN234" i="4"/>
  <c r="AF266" i="4"/>
  <c r="BL266" i="4"/>
  <c r="BD266" i="4"/>
  <c r="BH266" i="4"/>
  <c r="AX266" i="4"/>
  <c r="AU266" i="4"/>
  <c r="BJ266" i="4"/>
  <c r="BG266" i="4"/>
  <c r="AF290" i="4"/>
  <c r="AY290" i="4"/>
  <c r="AV290" i="4"/>
  <c r="BI290" i="4"/>
  <c r="BA290" i="4"/>
  <c r="BM290" i="4"/>
  <c r="AZ290" i="4"/>
  <c r="BH290" i="4"/>
  <c r="BE290" i="4"/>
  <c r="AX290" i="4"/>
  <c r="AU290" i="4"/>
  <c r="BH19" i="4"/>
  <c r="BG19" i="4"/>
  <c r="AY19" i="4"/>
  <c r="BD19" i="4"/>
  <c r="BM19" i="4"/>
  <c r="BK19" i="4"/>
  <c r="BL19" i="4"/>
  <c r="AW19" i="4"/>
  <c r="AV19" i="4"/>
  <c r="BI19" i="4"/>
  <c r="BF19" i="4"/>
  <c r="BE19" i="4"/>
  <c r="AF43" i="4"/>
  <c r="AZ43" i="4"/>
  <c r="BJ43" i="4"/>
  <c r="BB43" i="4"/>
  <c r="AT43" i="4"/>
  <c r="BK43" i="4"/>
  <c r="AY43" i="4"/>
  <c r="BM43" i="4"/>
  <c r="BC43" i="4"/>
  <c r="BF43" i="4"/>
  <c r="BA43" i="4"/>
  <c r="BN43" i="4"/>
  <c r="BE43" i="4"/>
  <c r="BL43" i="4"/>
  <c r="AV43" i="4"/>
  <c r="AU43" i="4"/>
  <c r="BD43" i="4"/>
  <c r="BH67" i="4"/>
  <c r="AZ67" i="4"/>
  <c r="AY67" i="4"/>
  <c r="BJ67" i="4"/>
  <c r="BB67" i="4"/>
  <c r="AT67" i="4"/>
  <c r="BM67" i="4"/>
  <c r="BE67" i="4"/>
  <c r="BD67" i="4"/>
  <c r="BL67" i="4"/>
  <c r="AV67" i="4"/>
  <c r="AU67" i="4"/>
  <c r="BF67" i="4"/>
  <c r="AX67" i="4"/>
  <c r="AF91" i="4"/>
  <c r="BH91" i="4"/>
  <c r="AZ91" i="4"/>
  <c r="BG91" i="4"/>
  <c r="AY91" i="4"/>
  <c r="BJ91" i="4"/>
  <c r="BB91" i="4"/>
  <c r="AT91" i="4"/>
  <c r="BK91" i="4"/>
  <c r="AW91" i="4"/>
  <c r="AU91" i="4"/>
  <c r="BI91" i="4"/>
  <c r="AV91" i="4"/>
  <c r="BF91" i="4"/>
  <c r="BM91" i="4"/>
  <c r="BA91" i="4"/>
  <c r="BL91" i="4"/>
  <c r="AX91" i="4"/>
  <c r="BD91" i="4"/>
  <c r="BE91" i="4"/>
  <c r="BC91" i="4"/>
  <c r="BN91" i="4"/>
  <c r="AF115" i="4"/>
  <c r="BL115" i="4"/>
  <c r="BD115" i="4"/>
  <c r="AV115" i="4"/>
  <c r="BG115" i="4"/>
  <c r="AY115" i="4"/>
  <c r="BA115" i="4"/>
  <c r="BE115" i="4"/>
  <c r="AT115" i="4"/>
  <c r="BH115" i="4"/>
  <c r="BF115" i="4"/>
  <c r="BC115" i="4"/>
  <c r="AZ115" i="4"/>
  <c r="AW115" i="4"/>
  <c r="BN115" i="4"/>
  <c r="AX115" i="4"/>
  <c r="BE131" i="4"/>
  <c r="AW131" i="4"/>
  <c r="BL131" i="4"/>
  <c r="AV131" i="4"/>
  <c r="BG131" i="4"/>
  <c r="AY131" i="4"/>
  <c r="BA131" i="4"/>
  <c r="BK131" i="4"/>
  <c r="AZ131" i="4"/>
  <c r="BC131" i="4"/>
  <c r="AT131" i="4"/>
  <c r="AU131" i="4"/>
  <c r="BB131" i="4"/>
  <c r="BH131" i="4"/>
  <c r="BJ131" i="4"/>
  <c r="BI131" i="4"/>
  <c r="BI155" i="4"/>
  <c r="BA155" i="4"/>
  <c r="BL155" i="4"/>
  <c r="BD155" i="4"/>
  <c r="BJ155" i="4"/>
  <c r="AY155" i="4"/>
  <c r="BH155" i="4"/>
  <c r="AX155" i="4"/>
  <c r="BM155" i="4"/>
  <c r="BB155" i="4"/>
  <c r="BF155" i="4"/>
  <c r="BK155" i="4"/>
  <c r="AT155" i="4"/>
  <c r="AZ155" i="4"/>
  <c r="AU155" i="4"/>
  <c r="AW155" i="4"/>
  <c r="BG155" i="4"/>
  <c r="BC155" i="4"/>
  <c r="BH171" i="4"/>
  <c r="BN171" i="4"/>
  <c r="BE171" i="4"/>
  <c r="AV171" i="4"/>
  <c r="BI171" i="4"/>
  <c r="AY171" i="4"/>
  <c r="BJ171" i="4"/>
  <c r="AU171" i="4"/>
  <c r="BL171" i="4"/>
  <c r="BA171" i="4"/>
  <c r="AT171" i="4"/>
  <c r="BM171" i="4"/>
  <c r="BB171" i="4"/>
  <c r="BC171" i="4"/>
  <c r="BD171" i="4"/>
  <c r="BK171" i="4"/>
  <c r="AF187" i="4"/>
  <c r="BG187" i="4"/>
  <c r="AY187" i="4"/>
  <c r="BL187" i="4"/>
  <c r="BC187" i="4"/>
  <c r="AT187" i="4"/>
  <c r="BK187" i="4"/>
  <c r="BA187" i="4"/>
  <c r="BJ187" i="4"/>
  <c r="AZ187" i="4"/>
  <c r="BN187" i="4"/>
  <c r="BD187" i="4"/>
  <c r="BI187" i="4"/>
  <c r="AU187" i="4"/>
  <c r="BH187" i="4"/>
  <c r="AW187" i="4"/>
  <c r="AX187" i="4"/>
  <c r="BM187" i="4"/>
  <c r="AV187" i="4"/>
  <c r="BE187" i="4"/>
  <c r="BB187" i="4"/>
  <c r="BF187" i="4"/>
  <c r="AF211" i="4"/>
  <c r="BK211" i="4"/>
  <c r="BC211" i="4"/>
  <c r="AU211" i="4"/>
  <c r="BL211" i="4"/>
  <c r="BB211" i="4"/>
  <c r="BJ211" i="4"/>
  <c r="AZ211" i="4"/>
  <c r="BI211" i="4"/>
  <c r="AY211" i="4"/>
  <c r="BN211" i="4"/>
  <c r="BD211" i="4"/>
  <c r="BE211" i="4"/>
  <c r="BA211" i="4"/>
  <c r="BG211" i="4"/>
  <c r="AV211" i="4"/>
  <c r="AT211" i="4"/>
  <c r="AX211" i="4"/>
  <c r="AW211" i="4"/>
  <c r="BH211" i="4"/>
  <c r="BM211" i="4"/>
  <c r="BF211" i="4"/>
  <c r="BG227" i="4"/>
  <c r="AZ227" i="4"/>
  <c r="BN227" i="4"/>
  <c r="BB227" i="4"/>
  <c r="AW227" i="4"/>
  <c r="BD227" i="4"/>
  <c r="BL227" i="4"/>
  <c r="BI227" i="4"/>
  <c r="BJ235" i="4"/>
  <c r="BB235" i="4"/>
  <c r="AT235" i="4"/>
  <c r="BH235" i="4"/>
  <c r="BN235" i="4"/>
  <c r="BE235" i="4"/>
  <c r="AV235" i="4"/>
  <c r="BA235" i="4"/>
  <c r="BC235" i="4"/>
  <c r="BF235" i="4"/>
  <c r="AX235" i="4"/>
  <c r="BG235" i="4"/>
  <c r="BK235" i="4"/>
  <c r="BI235" i="4"/>
  <c r="AU235" i="4"/>
  <c r="BL235" i="4"/>
  <c r="AW251" i="4"/>
  <c r="BB251" i="4"/>
  <c r="AT251" i="4"/>
  <c r="BN251" i="4"/>
  <c r="AV251" i="4"/>
  <c r="AU251" i="4"/>
  <c r="BD251" i="4"/>
  <c r="AF275" i="4"/>
  <c r="BJ275" i="4"/>
  <c r="BB275" i="4"/>
  <c r="AT275" i="4"/>
  <c r="AY275" i="4"/>
  <c r="BL275" i="4"/>
  <c r="BD275" i="4"/>
  <c r="AV275" i="4"/>
  <c r="BI275" i="4"/>
  <c r="AW275" i="4"/>
  <c r="BH275" i="4"/>
  <c r="BE275" i="4"/>
  <c r="AZ275" i="4"/>
  <c r="AX275" i="4"/>
  <c r="BM275" i="4"/>
  <c r="BC275" i="4"/>
  <c r="BA275" i="4"/>
  <c r="BK275" i="4"/>
  <c r="BF275" i="4"/>
  <c r="BB283" i="4"/>
  <c r="AT283" i="4"/>
  <c r="BG283" i="4"/>
  <c r="AY283" i="4"/>
  <c r="BL283" i="4"/>
  <c r="BD283" i="4"/>
  <c r="AV283" i="4"/>
  <c r="BF283" i="4"/>
  <c r="BC283" i="4"/>
  <c r="BN283" i="4"/>
  <c r="AW283" i="4"/>
  <c r="BM283" i="4"/>
  <c r="BI283" i="4"/>
  <c r="BE283" i="4"/>
  <c r="BK283" i="4"/>
  <c r="AX283" i="4"/>
  <c r="BK20" i="4"/>
  <c r="BE20" i="4"/>
  <c r="AW20" i="4"/>
  <c r="BH20" i="4"/>
  <c r="BA20" i="4"/>
  <c r="AZ20" i="4"/>
  <c r="AX20" i="4"/>
  <c r="BK36" i="4"/>
  <c r="BC36" i="4"/>
  <c r="AU36" i="4"/>
  <c r="BE36" i="4"/>
  <c r="AW36" i="4"/>
  <c r="BH36" i="4"/>
  <c r="BG36" i="4"/>
  <c r="AV36" i="4"/>
  <c r="BJ36" i="4"/>
  <c r="BL36" i="4"/>
  <c r="AT36" i="4"/>
  <c r="BI36" i="4"/>
  <c r="BF36" i="4"/>
  <c r="BB36" i="4"/>
  <c r="BA36" i="4"/>
  <c r="BD36" i="4"/>
  <c r="AU52" i="4"/>
  <c r="BJ52" i="4"/>
  <c r="BI52" i="4"/>
  <c r="BG52" i="4"/>
  <c r="AF68" i="4"/>
  <c r="BC68" i="4"/>
  <c r="AU68" i="4"/>
  <c r="BJ68" i="4"/>
  <c r="BB68" i="4"/>
  <c r="AT68" i="4"/>
  <c r="BM68" i="4"/>
  <c r="BE68" i="4"/>
  <c r="BG68" i="4"/>
  <c r="BF68" i="4"/>
  <c r="BI68" i="4"/>
  <c r="AX68" i="4"/>
  <c r="BH68" i="4"/>
  <c r="AV68" i="4"/>
  <c r="BA68" i="4"/>
  <c r="BD68" i="4"/>
  <c r="BN68" i="4"/>
  <c r="BL68" i="4"/>
  <c r="AY68" i="4"/>
  <c r="BK84" i="4"/>
  <c r="BC84" i="4"/>
  <c r="AU84" i="4"/>
  <c r="BB84" i="4"/>
  <c r="AT84" i="4"/>
  <c r="BM84" i="4"/>
  <c r="BE84" i="4"/>
  <c r="AW84" i="4"/>
  <c r="BD84" i="4"/>
  <c r="BA84" i="4"/>
  <c r="BF84" i="4"/>
  <c r="BN84" i="4"/>
  <c r="BL84" i="4"/>
  <c r="AZ84" i="4"/>
  <c r="AY84" i="4"/>
  <c r="BI84" i="4"/>
  <c r="BH84" i="4"/>
  <c r="AV84" i="4"/>
  <c r="BJ108" i="4"/>
  <c r="BM108" i="4"/>
  <c r="BD108" i="4"/>
  <c r="BF108" i="4"/>
  <c r="BN108" i="4"/>
  <c r="AY108" i="4"/>
  <c r="BA108" i="4"/>
  <c r="BE108" i="4"/>
  <c r="BH108" i="4"/>
  <c r="AZ124" i="4"/>
  <c r="AF140" i="4"/>
  <c r="BJ140" i="4"/>
  <c r="AT140" i="4"/>
  <c r="BK140" i="4"/>
  <c r="BI140" i="4"/>
  <c r="BD156" i="4"/>
  <c r="BI156" i="4"/>
  <c r="BM156" i="4"/>
  <c r="BC172" i="4"/>
  <c r="BL172" i="4"/>
  <c r="BJ172" i="4"/>
  <c r="BD172" i="4"/>
  <c r="BG172" i="4"/>
  <c r="BA172" i="4"/>
  <c r="AV172" i="4"/>
  <c r="BI188" i="4"/>
  <c r="BL188" i="4"/>
  <c r="BH188" i="4"/>
  <c r="AX188" i="4"/>
  <c r="AF204" i="4"/>
  <c r="AT204" i="4"/>
  <c r="BD204" i="4"/>
  <c r="BM204" i="4"/>
  <c r="AF220" i="4"/>
  <c r="BF220" i="4"/>
  <c r="AX220" i="4"/>
  <c r="BI220" i="4"/>
  <c r="BL220" i="4"/>
  <c r="BB220" i="4"/>
  <c r="BA220" i="4"/>
  <c r="BG220" i="4"/>
  <c r="AW236" i="4"/>
  <c r="AV236" i="4"/>
  <c r="BK236" i="4"/>
  <c r="BL236" i="4"/>
  <c r="AZ236" i="4"/>
  <c r="AX236" i="4"/>
  <c r="BG236" i="4"/>
  <c r="BA236" i="4"/>
  <c r="BB276" i="4"/>
  <c r="BG276" i="4"/>
  <c r="AY276" i="4"/>
  <c r="BI276" i="4"/>
  <c r="AX276" i="4"/>
  <c r="AU276" i="4"/>
  <c r="BF276" i="4"/>
  <c r="BN21" i="4"/>
  <c r="BF21" i="4"/>
  <c r="AX21" i="4"/>
  <c r="BM21" i="4"/>
  <c r="BE21" i="4"/>
  <c r="AW21" i="4"/>
  <c r="BH21" i="4"/>
  <c r="AZ21" i="4"/>
  <c r="BL21" i="4"/>
  <c r="BA21" i="4"/>
  <c r="BB21" i="4"/>
  <c r="AV21" i="4"/>
  <c r="AY21" i="4"/>
  <c r="BK21" i="4"/>
  <c r="AU21" i="4"/>
  <c r="AT21" i="4"/>
  <c r="BD21" i="4"/>
  <c r="BC21" i="4"/>
  <c r="BJ21" i="4"/>
  <c r="BI21" i="4"/>
  <c r="BG21" i="4"/>
  <c r="BM29" i="4"/>
  <c r="BE29" i="4"/>
  <c r="AY29" i="4"/>
  <c r="AT29" i="4"/>
  <c r="BJ29" i="4"/>
  <c r="AU29" i="4"/>
  <c r="BH37" i="4"/>
  <c r="BI37" i="4"/>
  <c r="BK37" i="4"/>
  <c r="BC37" i="4"/>
  <c r="BB37" i="4"/>
  <c r="AX45" i="4"/>
  <c r="BH45" i="4"/>
  <c r="AZ45" i="4"/>
  <c r="BK45" i="4"/>
  <c r="BA45" i="4"/>
  <c r="BJ45" i="4"/>
  <c r="BC45" i="4"/>
  <c r="AW45" i="4"/>
  <c r="BI45" i="4"/>
  <c r="AT45" i="4"/>
  <c r="AU45" i="4"/>
  <c r="BE45" i="4"/>
  <c r="BB45" i="4"/>
  <c r="AV45" i="4"/>
  <c r="BD45" i="4"/>
  <c r="BN53" i="4"/>
  <c r="BF53" i="4"/>
  <c r="AX53" i="4"/>
  <c r="BM53" i="4"/>
  <c r="BE53" i="4"/>
  <c r="AW53" i="4"/>
  <c r="BH53" i="4"/>
  <c r="AZ53" i="4"/>
  <c r="BB53" i="4"/>
  <c r="BL53" i="4"/>
  <c r="BA53" i="4"/>
  <c r="BD53" i="4"/>
  <c r="AU53" i="4"/>
  <c r="BI53" i="4"/>
  <c r="BG53" i="4"/>
  <c r="AV53" i="4"/>
  <c r="BC53" i="4"/>
  <c r="AY53" i="4"/>
  <c r="AT53" i="4"/>
  <c r="BK53" i="4"/>
  <c r="BJ53" i="4"/>
  <c r="BN61" i="4"/>
  <c r="BF61" i="4"/>
  <c r="AX61" i="4"/>
  <c r="BM61" i="4"/>
  <c r="BE61" i="4"/>
  <c r="AW61" i="4"/>
  <c r="BH61" i="4"/>
  <c r="AZ61" i="4"/>
  <c r="BL61" i="4"/>
  <c r="BA61" i="4"/>
  <c r="BK61" i="4"/>
  <c r="AY61" i="4"/>
  <c r="BC61" i="4"/>
  <c r="BJ61" i="4"/>
  <c r="BD61" i="4"/>
  <c r="BB61" i="4"/>
  <c r="AT61" i="4"/>
  <c r="AV61" i="4"/>
  <c r="AU61" i="4"/>
  <c r="BI61" i="4"/>
  <c r="BG61" i="4"/>
  <c r="BM69" i="4"/>
  <c r="AW69" i="4"/>
  <c r="BH69" i="4"/>
  <c r="AZ69" i="4"/>
  <c r="AV69" i="4"/>
  <c r="BB69" i="4"/>
  <c r="BL69" i="4"/>
  <c r="BA69" i="4"/>
  <c r="BC69" i="4"/>
  <c r="BD69" i="4"/>
  <c r="BN77" i="4"/>
  <c r="BF77" i="4"/>
  <c r="AX77" i="4"/>
  <c r="BM77" i="4"/>
  <c r="BE77" i="4"/>
  <c r="BH77" i="4"/>
  <c r="AZ77" i="4"/>
  <c r="BJ77" i="4"/>
  <c r="AV77" i="4"/>
  <c r="BI77" i="4"/>
  <c r="AU77" i="4"/>
  <c r="BL77" i="4"/>
  <c r="BK77" i="4"/>
  <c r="AY77" i="4"/>
  <c r="BG77" i="4"/>
  <c r="BC77" i="4"/>
  <c r="BB77" i="4"/>
  <c r="BD77" i="4"/>
  <c r="AT77" i="4"/>
  <c r="BF85" i="4"/>
  <c r="AX85" i="4"/>
  <c r="BE85" i="4"/>
  <c r="BD85" i="4"/>
  <c r="BG85" i="4"/>
  <c r="BK85" i="4"/>
  <c r="AY85" i="4"/>
  <c r="BJ85" i="4"/>
  <c r="BN93" i="4"/>
  <c r="BF93" i="4"/>
  <c r="AX93" i="4"/>
  <c r="BE93" i="4"/>
  <c r="BH93" i="4"/>
  <c r="BD93" i="4"/>
  <c r="BJ93" i="4"/>
  <c r="AV93" i="4"/>
  <c r="AU93" i="4"/>
  <c r="AY93" i="4"/>
  <c r="BN101" i="4"/>
  <c r="BF101" i="4"/>
  <c r="AX101" i="4"/>
  <c r="BM101" i="4"/>
  <c r="BE101" i="4"/>
  <c r="AW101" i="4"/>
  <c r="BH101" i="4"/>
  <c r="AZ101" i="4"/>
  <c r="BD101" i="4"/>
  <c r="BB101" i="4"/>
  <c r="BC101" i="4"/>
  <c r="BI101" i="4"/>
  <c r="AU101" i="4"/>
  <c r="BG101" i="4"/>
  <c r="AT101" i="4"/>
  <c r="AY101" i="4"/>
  <c r="BK101" i="4"/>
  <c r="BJ101" i="4"/>
  <c r="BL101" i="4"/>
  <c r="BA101" i="4"/>
  <c r="AV101" i="4"/>
  <c r="BM109" i="4"/>
  <c r="BE109" i="4"/>
  <c r="AW109" i="4"/>
  <c r="BJ109" i="4"/>
  <c r="BA109" i="4"/>
  <c r="BI109" i="4"/>
  <c r="AZ109" i="4"/>
  <c r="BL109" i="4"/>
  <c r="BC109" i="4"/>
  <c r="AT109" i="4"/>
  <c r="BG109" i="4"/>
  <c r="BD109" i="4"/>
  <c r="BF109" i="4"/>
  <c r="BK109" i="4"/>
  <c r="AV109" i="4"/>
  <c r="BH109" i="4"/>
  <c r="AU109" i="4"/>
  <c r="BB109" i="4"/>
  <c r="AY109" i="4"/>
  <c r="AX109" i="4"/>
  <c r="BN109" i="4"/>
  <c r="BJ117" i="4"/>
  <c r="BB117" i="4"/>
  <c r="AT117" i="4"/>
  <c r="BM117" i="4"/>
  <c r="BE117" i="4"/>
  <c r="AW117" i="4"/>
  <c r="BN117" i="4"/>
  <c r="BC117" i="4"/>
  <c r="BL117" i="4"/>
  <c r="BA117" i="4"/>
  <c r="BF117" i="4"/>
  <c r="AU117" i="4"/>
  <c r="AY117" i="4"/>
  <c r="BK117" i="4"/>
  <c r="AX117" i="4"/>
  <c r="AV117" i="4"/>
  <c r="BD117" i="4"/>
  <c r="AZ117" i="4"/>
  <c r="BH117" i="4"/>
  <c r="BG117" i="4"/>
  <c r="BI117" i="4"/>
  <c r="BJ125" i="4"/>
  <c r="BB125" i="4"/>
  <c r="AT125" i="4"/>
  <c r="BM125" i="4"/>
  <c r="BE125" i="4"/>
  <c r="AW125" i="4"/>
  <c r="BF125" i="4"/>
  <c r="AU125" i="4"/>
  <c r="BD125" i="4"/>
  <c r="BH125" i="4"/>
  <c r="AX125" i="4"/>
  <c r="BA125" i="4"/>
  <c r="BN125" i="4"/>
  <c r="AZ125" i="4"/>
  <c r="AY125" i="4"/>
  <c r="BG125" i="4"/>
  <c r="BC125" i="4"/>
  <c r="BL125" i="4"/>
  <c r="BK125" i="4"/>
  <c r="BI125" i="4"/>
  <c r="AV125" i="4"/>
  <c r="BK133" i="4"/>
  <c r="BC133" i="4"/>
  <c r="BJ133" i="4"/>
  <c r="BB133" i="4"/>
  <c r="AT133" i="4"/>
  <c r="BM133" i="4"/>
  <c r="AW133" i="4"/>
  <c r="BI133" i="4"/>
  <c r="BH133" i="4"/>
  <c r="AV133" i="4"/>
  <c r="BN133" i="4"/>
  <c r="AZ133" i="4"/>
  <c r="AY133" i="4"/>
  <c r="BA133" i="4"/>
  <c r="BL133" i="4"/>
  <c r="BG133" i="4"/>
  <c r="AF141" i="4"/>
  <c r="BK141" i="4"/>
  <c r="BC141" i="4"/>
  <c r="AU141" i="4"/>
  <c r="BJ141" i="4"/>
  <c r="BB141" i="4"/>
  <c r="AT141" i="4"/>
  <c r="BM141" i="4"/>
  <c r="BE141" i="4"/>
  <c r="AW141" i="4"/>
  <c r="BH141" i="4"/>
  <c r="AV141" i="4"/>
  <c r="BG141" i="4"/>
  <c r="BL141" i="4"/>
  <c r="AY141" i="4"/>
  <c r="BI141" i="4"/>
  <c r="BU141" i="4"/>
  <c r="BN141" i="4"/>
  <c r="AZ141" i="4"/>
  <c r="AX141" i="4"/>
  <c r="BA141" i="4"/>
  <c r="BF141" i="4"/>
  <c r="BD141" i="4"/>
  <c r="BJ149" i="4"/>
  <c r="BB149" i="4"/>
  <c r="BG149" i="4"/>
  <c r="BB157" i="4"/>
  <c r="AT157" i="4"/>
  <c r="BM157" i="4"/>
  <c r="BD157" i="4"/>
  <c r="BA157" i="4"/>
  <c r="BN165" i="4"/>
  <c r="BF165" i="4"/>
  <c r="AT165" i="4"/>
  <c r="BG165" i="4"/>
  <c r="AW165" i="4"/>
  <c r="BM165" i="4"/>
  <c r="BA165" i="4"/>
  <c r="BE165" i="4"/>
  <c r="BB165" i="4"/>
  <c r="BI165" i="4"/>
  <c r="AY165" i="4"/>
  <c r="AV165" i="4"/>
  <c r="BN173" i="4"/>
  <c r="BF173" i="4"/>
  <c r="AX173" i="4"/>
  <c r="BI173" i="4"/>
  <c r="AZ173" i="4"/>
  <c r="BL173" i="4"/>
  <c r="BC173" i="4"/>
  <c r="AT173" i="4"/>
  <c r="BD173" i="4"/>
  <c r="BB173" i="4"/>
  <c r="BG173" i="4"/>
  <c r="AU173" i="4"/>
  <c r="BK173" i="4"/>
  <c r="BJ173" i="4"/>
  <c r="AW173" i="4"/>
  <c r="BM173" i="4"/>
  <c r="AY173" i="4"/>
  <c r="AV173" i="4"/>
  <c r="BA173" i="4"/>
  <c r="BH173" i="4"/>
  <c r="CE173" i="4"/>
  <c r="BE173" i="4"/>
  <c r="BN181" i="4"/>
  <c r="BF181" i="4"/>
  <c r="AX181" i="4"/>
  <c r="BG181" i="4"/>
  <c r="AW181" i="4"/>
  <c r="BE181" i="4"/>
  <c r="AV181" i="4"/>
  <c r="BI181" i="4"/>
  <c r="AZ181" i="4"/>
  <c r="BH181" i="4"/>
  <c r="BD181" i="4"/>
  <c r="BK181" i="4"/>
  <c r="AU181" i="4"/>
  <c r="BM181" i="4"/>
  <c r="BL181" i="4"/>
  <c r="AY181" i="4"/>
  <c r="AT181" i="4"/>
  <c r="BJ181" i="4"/>
  <c r="BC181" i="4"/>
  <c r="BB181" i="4"/>
  <c r="BM189" i="4"/>
  <c r="BM197" i="4"/>
  <c r="BE197" i="4"/>
  <c r="AW197" i="4"/>
  <c r="BL197" i="4"/>
  <c r="BC197" i="4"/>
  <c r="AT197" i="4"/>
  <c r="BJ197" i="4"/>
  <c r="AZ197" i="4"/>
  <c r="BI197" i="4"/>
  <c r="AY197" i="4"/>
  <c r="BN197" i="4"/>
  <c r="BB197" i="4"/>
  <c r="AX197" i="4"/>
  <c r="BF197" i="4"/>
  <c r="AU197" i="4"/>
  <c r="BD197" i="4"/>
  <c r="AV197" i="4"/>
  <c r="BK197" i="4"/>
  <c r="BH197" i="4"/>
  <c r="BG197" i="4"/>
  <c r="BI205" i="4"/>
  <c r="BJ205" i="4"/>
  <c r="AZ205" i="4"/>
  <c r="BL205" i="4"/>
  <c r="AT205" i="4"/>
  <c r="BM205" i="4"/>
  <c r="AX205" i="4"/>
  <c r="BK205" i="4"/>
  <c r="AW205" i="4"/>
  <c r="AY205" i="4"/>
  <c r="AU205" i="4"/>
  <c r="BF205" i="4"/>
  <c r="BE205" i="4"/>
  <c r="BG205" i="4"/>
  <c r="AF213" i="4"/>
  <c r="BI213" i="4"/>
  <c r="BA213" i="4"/>
  <c r="AW213" i="4"/>
  <c r="AZ213" i="4"/>
  <c r="BJ213" i="4"/>
  <c r="AY213" i="4"/>
  <c r="BM213" i="4"/>
  <c r="BC213" i="4"/>
  <c r="AU213" i="4"/>
  <c r="BH213" i="4"/>
  <c r="AX213" i="4"/>
  <c r="BE213" i="4"/>
  <c r="BD213" i="4"/>
  <c r="BN213" i="4"/>
  <c r="BG213" i="4"/>
  <c r="BB213" i="4"/>
  <c r="BA221" i="4"/>
  <c r="AY221" i="4"/>
  <c r="AW221" i="4"/>
  <c r="AZ221" i="4"/>
  <c r="AV221" i="4"/>
  <c r="BI229" i="4"/>
  <c r="BA229" i="4"/>
  <c r="BK229" i="4"/>
  <c r="BJ229" i="4"/>
  <c r="AY229" i="4"/>
  <c r="BG229" i="4"/>
  <c r="AV229" i="4"/>
  <c r="BF229" i="4"/>
  <c r="AU229" i="4"/>
  <c r="BL229" i="4"/>
  <c r="BN229" i="4"/>
  <c r="AT229" i="4"/>
  <c r="BM229" i="4"/>
  <c r="AZ229" i="4"/>
  <c r="BH229" i="4"/>
  <c r="BE229" i="4"/>
  <c r="AW229" i="4"/>
  <c r="BC229" i="4"/>
  <c r="BH237" i="4"/>
  <c r="AZ237" i="4"/>
  <c r="BL237" i="4"/>
  <c r="BC237" i="4"/>
  <c r="AT237" i="4"/>
  <c r="BI237" i="4"/>
  <c r="AY237" i="4"/>
  <c r="BG237" i="4"/>
  <c r="AV237" i="4"/>
  <c r="BB237" i="4"/>
  <c r="BN237" i="4"/>
  <c r="BE237" i="4"/>
  <c r="AW237" i="4"/>
  <c r="BM237" i="4"/>
  <c r="AU237" i="4"/>
  <c r="BA237" i="4"/>
  <c r="AX237" i="4"/>
  <c r="BF237" i="4"/>
  <c r="BJ237" i="4"/>
  <c r="BD237" i="4"/>
  <c r="BK237" i="4"/>
  <c r="AF245" i="4"/>
  <c r="AZ245" i="4"/>
  <c r="BI245" i="4"/>
  <c r="AY245" i="4"/>
  <c r="BG245" i="4"/>
  <c r="AX245" i="4"/>
  <c r="BN245" i="4"/>
  <c r="BE245" i="4"/>
  <c r="BK245" i="4"/>
  <c r="AU245" i="4"/>
  <c r="BM245" i="4"/>
  <c r="AW245" i="4"/>
  <c r="BL245" i="4"/>
  <c r="AT245" i="4"/>
  <c r="BB245" i="4"/>
  <c r="BJ245" i="4"/>
  <c r="BF245" i="4"/>
  <c r="BD245" i="4"/>
  <c r="BC245" i="4"/>
  <c r="BK253" i="4"/>
  <c r="BC253" i="4"/>
  <c r="AU253" i="4"/>
  <c r="AZ253" i="4"/>
  <c r="BN253" i="4"/>
  <c r="BD253" i="4"/>
  <c r="BM253" i="4"/>
  <c r="BB253" i="4"/>
  <c r="BJ253" i="4"/>
  <c r="AY253" i="4"/>
  <c r="AV253" i="4"/>
  <c r="BL253" i="4"/>
  <c r="AT253" i="4"/>
  <c r="AX253" i="4"/>
  <c r="BA253" i="4"/>
  <c r="AW253" i="4"/>
  <c r="BG253" i="4"/>
  <c r="BE253" i="4"/>
  <c r="BM261" i="4"/>
  <c r="BE261" i="4"/>
  <c r="AW261" i="4"/>
  <c r="BJ261" i="4"/>
  <c r="BB261" i="4"/>
  <c r="AT261" i="4"/>
  <c r="AZ261" i="4"/>
  <c r="BG261" i="4"/>
  <c r="AV261" i="4"/>
  <c r="BL261" i="4"/>
  <c r="AX261" i="4"/>
  <c r="BI261" i="4"/>
  <c r="AU261" i="4"/>
  <c r="BD261" i="4"/>
  <c r="BA261" i="4"/>
  <c r="BC261" i="4"/>
  <c r="AY261" i="4"/>
  <c r="BN261" i="4"/>
  <c r="BH261" i="4"/>
  <c r="BH269" i="4"/>
  <c r="AZ269" i="4"/>
  <c r="BM269" i="4"/>
  <c r="BE269" i="4"/>
  <c r="AW269" i="4"/>
  <c r="BJ269" i="4"/>
  <c r="BB269" i="4"/>
  <c r="AT269" i="4"/>
  <c r="BG269" i="4"/>
  <c r="AU269" i="4"/>
  <c r="BC269" i="4"/>
  <c r="BD269" i="4"/>
  <c r="BA269" i="4"/>
  <c r="BN269" i="4"/>
  <c r="AX269" i="4"/>
  <c r="AY269" i="4"/>
  <c r="BL269" i="4"/>
  <c r="BK269" i="4"/>
  <c r="BF269" i="4"/>
  <c r="AV269" i="4"/>
  <c r="BI269" i="4"/>
  <c r="BH277" i="4"/>
  <c r="BB277" i="4"/>
  <c r="AT277" i="4"/>
  <c r="BF277" i="4"/>
  <c r="BN277" i="4"/>
  <c r="BG277" i="4"/>
  <c r="BL277" i="4"/>
  <c r="BH285" i="4"/>
  <c r="AZ285" i="4"/>
  <c r="BM285" i="4"/>
  <c r="BE285" i="4"/>
  <c r="AW285" i="4"/>
  <c r="BJ285" i="4"/>
  <c r="BB285" i="4"/>
  <c r="AT285" i="4"/>
  <c r="BD285" i="4"/>
  <c r="BC285" i="4"/>
  <c r="BL285" i="4"/>
  <c r="AY285" i="4"/>
  <c r="BN285" i="4"/>
  <c r="AU285" i="4"/>
  <c r="BK285" i="4"/>
  <c r="BG285" i="4"/>
  <c r="AV285" i="4"/>
  <c r="AX285" i="4"/>
  <c r="BF285" i="4"/>
  <c r="BI285" i="4"/>
  <c r="CC285" i="4" s="1"/>
  <c r="BA285" i="4"/>
  <c r="AF25" i="4"/>
  <c r="BI25" i="4"/>
  <c r="BA25" i="4"/>
  <c r="BL25" i="4"/>
  <c r="BD25" i="4"/>
  <c r="AY25" i="4"/>
  <c r="BC25" i="4"/>
  <c r="AX25" i="4"/>
  <c r="BK25" i="4"/>
  <c r="BH25" i="4"/>
  <c r="BN25" i="4"/>
  <c r="BM25" i="4"/>
  <c r="AW25" i="4"/>
  <c r="AF41" i="4"/>
  <c r="BJ41" i="4"/>
  <c r="BB41" i="4"/>
  <c r="AT41" i="4"/>
  <c r="BL41" i="4"/>
  <c r="BD41" i="4"/>
  <c r="AV41" i="4"/>
  <c r="BI41" i="4"/>
  <c r="AY41" i="4"/>
  <c r="BH41" i="4"/>
  <c r="AX41" i="4"/>
  <c r="BM41" i="4"/>
  <c r="BA41" i="4"/>
  <c r="AW41" i="4"/>
  <c r="BG41" i="4"/>
  <c r="BK41" i="4"/>
  <c r="BE41" i="4"/>
  <c r="AZ41" i="4"/>
  <c r="AU41" i="4"/>
  <c r="BF41" i="4"/>
  <c r="BC41" i="4"/>
  <c r="BN41" i="4"/>
  <c r="AF65" i="4"/>
  <c r="BJ65" i="4"/>
  <c r="BB65" i="4"/>
  <c r="AT65" i="4"/>
  <c r="BI65" i="4"/>
  <c r="BL65" i="4"/>
  <c r="BD65" i="4"/>
  <c r="AV65" i="4"/>
  <c r="BF65" i="4"/>
  <c r="BE65" i="4"/>
  <c r="BH65" i="4"/>
  <c r="AW65" i="4"/>
  <c r="AU65" i="4"/>
  <c r="BC65" i="4"/>
  <c r="BK65" i="4"/>
  <c r="AZ65" i="4"/>
  <c r="BM65" i="4"/>
  <c r="BN65" i="4"/>
  <c r="AY65" i="4"/>
  <c r="AF89" i="4"/>
  <c r="BJ89" i="4"/>
  <c r="BB89" i="4"/>
  <c r="AT89" i="4"/>
  <c r="BI89" i="4"/>
  <c r="BA89" i="4"/>
  <c r="BL89" i="4"/>
  <c r="AV89" i="4"/>
  <c r="BN89" i="4"/>
  <c r="AZ89" i="4"/>
  <c r="BK89" i="4"/>
  <c r="BM89" i="4"/>
  <c r="AY89" i="4"/>
  <c r="AX89" i="4"/>
  <c r="BC89" i="4"/>
  <c r="BH89" i="4"/>
  <c r="BG89" i="4"/>
  <c r="BF89" i="4"/>
  <c r="AW89" i="4"/>
  <c r="AU89" i="4"/>
  <c r="AF113" i="4"/>
  <c r="BN113" i="4"/>
  <c r="BF113" i="4"/>
  <c r="AX113" i="4"/>
  <c r="BI113" i="4"/>
  <c r="BA113" i="4"/>
  <c r="BL113" i="4"/>
  <c r="BB113" i="4"/>
  <c r="BK113" i="4"/>
  <c r="AZ113" i="4"/>
  <c r="BD113" i="4"/>
  <c r="AT113" i="4"/>
  <c r="AW113" i="4"/>
  <c r="BM113" i="4"/>
  <c r="AV113" i="4"/>
  <c r="BJ113" i="4"/>
  <c r="AU113" i="4"/>
  <c r="BC113" i="4"/>
  <c r="AY113" i="4"/>
  <c r="BE113" i="4"/>
  <c r="BH113" i="4"/>
  <c r="BG113" i="4"/>
  <c r="BN129" i="4"/>
  <c r="BF129" i="4"/>
  <c r="AX129" i="4"/>
  <c r="BI129" i="4"/>
  <c r="BA129" i="4"/>
  <c r="BG129" i="4"/>
  <c r="AV129" i="4"/>
  <c r="BE129" i="4"/>
  <c r="AU129" i="4"/>
  <c r="BJ129" i="4"/>
  <c r="AY129" i="4"/>
  <c r="BC129" i="4"/>
  <c r="BB129" i="4"/>
  <c r="AZ129" i="4"/>
  <c r="BH129" i="4"/>
  <c r="BD129" i="4"/>
  <c r="BL129" i="4"/>
  <c r="BK129" i="4"/>
  <c r="BM129" i="4"/>
  <c r="AW129" i="4"/>
  <c r="AT129" i="4"/>
  <c r="AF153" i="4"/>
  <c r="BK153" i="4"/>
  <c r="BC153" i="4"/>
  <c r="AU153" i="4"/>
  <c r="BN153" i="4"/>
  <c r="BF153" i="4"/>
  <c r="AX153" i="4"/>
  <c r="BI153" i="4"/>
  <c r="AY153" i="4"/>
  <c r="BH153" i="4"/>
  <c r="AW153" i="4"/>
  <c r="BL153" i="4"/>
  <c r="BA153" i="4"/>
  <c r="AV153" i="4"/>
  <c r="BM153" i="4"/>
  <c r="AT153" i="4"/>
  <c r="BB153" i="4"/>
  <c r="BJ153" i="4"/>
  <c r="BG153" i="4"/>
  <c r="BD153" i="4"/>
  <c r="AZ153" i="4"/>
  <c r="BE153" i="4"/>
  <c r="BB177" i="4"/>
  <c r="BD177" i="4"/>
  <c r="AV177" i="4"/>
  <c r="BF177" i="4"/>
  <c r="BC177" i="4"/>
  <c r="AW177" i="4"/>
  <c r="AZ177" i="4"/>
  <c r="AF201" i="4"/>
  <c r="BI201" i="4"/>
  <c r="BK201" i="4"/>
  <c r="BB201" i="4"/>
  <c r="BJ201" i="4"/>
  <c r="AY201" i="4"/>
  <c r="BH201" i="4"/>
  <c r="CN201" i="4"/>
  <c r="AX201" i="4"/>
  <c r="BM201" i="4"/>
  <c r="BC201" i="4"/>
  <c r="AZ201" i="4"/>
  <c r="AW201" i="4"/>
  <c r="BE201" i="4"/>
  <c r="AT201" i="4"/>
  <c r="BN201" i="4"/>
  <c r="AV201" i="4"/>
  <c r="BD201" i="4"/>
  <c r="AU201" i="4"/>
  <c r="BF201" i="4"/>
  <c r="BG201" i="4"/>
  <c r="BL201" i="4"/>
  <c r="BM217" i="4"/>
  <c r="BN217" i="4"/>
  <c r="BI217" i="4"/>
  <c r="AY217" i="4"/>
  <c r="BL217" i="4"/>
  <c r="BB217" i="4"/>
  <c r="BK217" i="4"/>
  <c r="AV217" i="4"/>
  <c r="BF217" i="4"/>
  <c r="AF233" i="4"/>
  <c r="BE233" i="4"/>
  <c r="AW233" i="4"/>
  <c r="BJ233" i="4"/>
  <c r="AY233" i="4"/>
  <c r="BF233" i="4"/>
  <c r="BK233" i="4"/>
  <c r="BG233" i="4"/>
  <c r="BN233" i="4"/>
  <c r="AX233" i="4"/>
  <c r="BA233" i="4"/>
  <c r="BL233" i="4"/>
  <c r="BD233" i="4"/>
  <c r="AF265" i="4"/>
  <c r="BI265" i="4"/>
  <c r="BA265" i="4"/>
  <c r="BN265" i="4"/>
  <c r="BF265" i="4"/>
  <c r="AX265" i="4"/>
  <c r="BL265" i="4"/>
  <c r="BB265" i="4"/>
  <c r="BH265" i="4"/>
  <c r="AW265" i="4"/>
  <c r="BM265" i="4"/>
  <c r="AY265" i="4"/>
  <c r="BK265" i="4"/>
  <c r="AV265" i="4"/>
  <c r="BG265" i="4"/>
  <c r="AT265" i="4"/>
  <c r="BJ265" i="4"/>
  <c r="AU265" i="4"/>
  <c r="BC265" i="4"/>
  <c r="AZ265" i="4"/>
  <c r="BE265" i="4"/>
  <c r="BD265" i="4"/>
  <c r="AF18" i="4"/>
  <c r="BM18" i="4"/>
  <c r="BE18" i="4"/>
  <c r="AW18" i="4"/>
  <c r="BL18" i="4"/>
  <c r="AY18" i="4"/>
  <c r="BK18" i="4"/>
  <c r="BF18" i="4"/>
  <c r="BA18" i="4"/>
  <c r="BB18" i="4"/>
  <c r="AX18" i="4"/>
  <c r="AU18" i="4"/>
  <c r="BI18" i="4"/>
  <c r="AT18" i="4"/>
  <c r="AF34" i="4"/>
  <c r="BM34" i="4"/>
  <c r="BE34" i="4"/>
  <c r="AW34" i="4"/>
  <c r="BL34" i="4"/>
  <c r="BD34" i="4"/>
  <c r="AV34" i="4"/>
  <c r="BG34" i="4"/>
  <c r="AY34" i="4"/>
  <c r="BI34" i="4"/>
  <c r="AU34" i="4"/>
  <c r="BF34" i="4"/>
  <c r="BC34" i="4"/>
  <c r="BB34" i="4"/>
  <c r="BA34" i="4"/>
  <c r="AZ34" i="4"/>
  <c r="AX34" i="4"/>
  <c r="BJ34" i="4"/>
  <c r="AT34" i="4"/>
  <c r="BH34" i="4"/>
  <c r="BN34" i="4"/>
  <c r="BK34" i="4"/>
  <c r="AF66" i="4"/>
  <c r="BM66" i="4"/>
  <c r="AW66" i="4"/>
  <c r="BL66" i="4"/>
  <c r="BD66" i="4"/>
  <c r="AV66" i="4"/>
  <c r="BG66" i="4"/>
  <c r="AY66" i="4"/>
  <c r="BJ66" i="4"/>
  <c r="BI66" i="4"/>
  <c r="AU66" i="4"/>
  <c r="BN66" i="4"/>
  <c r="BA66" i="4"/>
  <c r="BK66" i="4"/>
  <c r="AZ66" i="4"/>
  <c r="BH66" i="4"/>
  <c r="BC66" i="4"/>
  <c r="BF66" i="4"/>
  <c r="AT66" i="4"/>
  <c r="AF90" i="4"/>
  <c r="BM90" i="4"/>
  <c r="BE90" i="4"/>
  <c r="AW90" i="4"/>
  <c r="BL90" i="4"/>
  <c r="BD90" i="4"/>
  <c r="AV90" i="4"/>
  <c r="BG90" i="4"/>
  <c r="AY90" i="4"/>
  <c r="BF90" i="4"/>
  <c r="BC90" i="4"/>
  <c r="BB90" i="4"/>
  <c r="BI90" i="4"/>
  <c r="AU90" i="4"/>
  <c r="BH90" i="4"/>
  <c r="CN90" i="4"/>
  <c r="AT90" i="4"/>
  <c r="BJ90" i="4"/>
  <c r="BA90" i="4"/>
  <c r="BN90" i="4"/>
  <c r="BK90" i="4"/>
  <c r="AZ90" i="4"/>
  <c r="AX90" i="4"/>
  <c r="AF114" i="4"/>
  <c r="BI114" i="4"/>
  <c r="BA114" i="4"/>
  <c r="BL114" i="4"/>
  <c r="BD114" i="4"/>
  <c r="AV114" i="4"/>
  <c r="BM114" i="4"/>
  <c r="BB114" i="4"/>
  <c r="BK114" i="4"/>
  <c r="AZ114" i="4"/>
  <c r="BE114" i="4"/>
  <c r="AT114" i="4"/>
  <c r="BJ114" i="4"/>
  <c r="AU114" i="4"/>
  <c r="BG114" i="4"/>
  <c r="BH114" i="4"/>
  <c r="AX114" i="4"/>
  <c r="BN114" i="4"/>
  <c r="AW114" i="4"/>
  <c r="BF114" i="4"/>
  <c r="BC114" i="4"/>
  <c r="AY114" i="4"/>
  <c r="BB138" i="4"/>
  <c r="AT138" i="4"/>
  <c r="BI138" i="4"/>
  <c r="AV138" i="4"/>
  <c r="BG138" i="4"/>
  <c r="AU138" i="4"/>
  <c r="BF138" i="4"/>
  <c r="BN138" i="4"/>
  <c r="AZ138" i="4"/>
  <c r="AY138" i="4"/>
  <c r="BE138" i="4"/>
  <c r="BH138" i="4"/>
  <c r="BI146" i="4"/>
  <c r="BA146" i="4"/>
  <c r="BF146" i="4"/>
  <c r="AW146" i="4"/>
  <c r="BN146" i="4"/>
  <c r="BE146" i="4"/>
  <c r="AV146" i="4"/>
  <c r="BH146" i="4"/>
  <c r="AY146" i="4"/>
  <c r="BK146" i="4"/>
  <c r="AU146" i="4"/>
  <c r="BJ146" i="4"/>
  <c r="AT146" i="4"/>
  <c r="BM146" i="4"/>
  <c r="AZ146" i="4"/>
  <c r="BL146" i="4"/>
  <c r="BB146" i="4"/>
  <c r="AX146" i="4"/>
  <c r="BD146" i="4"/>
  <c r="BC146" i="4"/>
  <c r="BG146" i="4"/>
  <c r="AF178" i="4"/>
  <c r="AV178" i="4"/>
  <c r="BH178" i="4"/>
  <c r="BJ178" i="4"/>
  <c r="AT178" i="4"/>
  <c r="AF202" i="4"/>
  <c r="BL202" i="4"/>
  <c r="BD202" i="4"/>
  <c r="AV202" i="4"/>
  <c r="BH202" i="4"/>
  <c r="AY202" i="4"/>
  <c r="BJ202" i="4"/>
  <c r="BI202" i="4"/>
  <c r="AX202" i="4"/>
  <c r="BM202" i="4"/>
  <c r="BB202" i="4"/>
  <c r="BN202" i="4"/>
  <c r="AU202" i="4"/>
  <c r="BK202" i="4"/>
  <c r="AW202" i="4"/>
  <c r="BE202" i="4"/>
  <c r="BG202" i="4"/>
  <c r="BF202" i="4"/>
  <c r="BC202" i="4"/>
  <c r="BH226" i="4"/>
  <c r="AZ226" i="4"/>
  <c r="BJ226" i="4"/>
  <c r="BA226" i="4"/>
  <c r="BK226" i="4"/>
  <c r="AY226" i="4"/>
  <c r="BL226" i="4"/>
  <c r="AX226" i="4"/>
  <c r="BI226" i="4"/>
  <c r="AW226" i="4"/>
  <c r="BN226" i="4"/>
  <c r="BC226" i="4"/>
  <c r="BB226" i="4"/>
  <c r="AV226" i="4"/>
  <c r="BE226" i="4"/>
  <c r="BM226" i="4"/>
  <c r="BG226" i="4"/>
  <c r="AT226" i="4"/>
  <c r="BD226" i="4"/>
  <c r="AU226" i="4"/>
  <c r="BF226" i="4"/>
  <c r="AF250" i="4"/>
  <c r="BJ250" i="4"/>
  <c r="BB250" i="4"/>
  <c r="AT250" i="4"/>
  <c r="BG250" i="4"/>
  <c r="BM250" i="4"/>
  <c r="BC250" i="4"/>
  <c r="BL250" i="4"/>
  <c r="BA250" i="4"/>
  <c r="BI250" i="4"/>
  <c r="AX250" i="4"/>
  <c r="AZ250" i="4"/>
  <c r="AV250" i="4"/>
  <c r="BE250" i="4"/>
  <c r="BD250" i="4"/>
  <c r="AU250" i="4"/>
  <c r="BH250" i="4"/>
  <c r="BK250" i="4"/>
  <c r="BF250" i="4"/>
  <c r="AF258" i="4"/>
  <c r="BL258" i="4"/>
  <c r="BJ258" i="4"/>
  <c r="BB258" i="4"/>
  <c r="AT258" i="4"/>
  <c r="BG258" i="4"/>
  <c r="AY258" i="4"/>
  <c r="AU258" i="4"/>
  <c r="BD258" i="4"/>
  <c r="BM258" i="4"/>
  <c r="BA258" i="4"/>
  <c r="BC258" i="4"/>
  <c r="BH258" i="4"/>
  <c r="BF258" i="4"/>
  <c r="AW258" i="4"/>
  <c r="AV258" i="4"/>
  <c r="AZ258" i="4"/>
  <c r="BI258" i="4"/>
  <c r="AX258" i="4"/>
  <c r="BN258" i="4"/>
  <c r="BD274" i="4"/>
  <c r="BC274" i="4"/>
  <c r="AZ274" i="4"/>
  <c r="BJ274" i="4"/>
  <c r="BH274" i="4"/>
  <c r="AF27" i="4"/>
  <c r="BH27" i="4"/>
  <c r="AZ27" i="4"/>
  <c r="BG27" i="4"/>
  <c r="AY27" i="4"/>
  <c r="BJ27" i="4"/>
  <c r="BB27" i="4"/>
  <c r="AT27" i="4"/>
  <c r="BN27" i="4"/>
  <c r="BC27" i="4"/>
  <c r="BF27" i="4"/>
  <c r="BD27" i="4"/>
  <c r="BA27" i="4"/>
  <c r="BE27" i="4"/>
  <c r="AX27" i="4"/>
  <c r="BL27" i="4"/>
  <c r="BK27" i="4"/>
  <c r="AV27" i="4"/>
  <c r="BI27" i="4"/>
  <c r="AU27" i="4"/>
  <c r="BM27" i="4"/>
  <c r="AW27" i="4"/>
  <c r="AF51" i="4"/>
  <c r="BH51" i="4"/>
  <c r="AZ51" i="4"/>
  <c r="BG51" i="4"/>
  <c r="AY51" i="4"/>
  <c r="BB51" i="4"/>
  <c r="AT51" i="4"/>
  <c r="BE51" i="4"/>
  <c r="BD51" i="4"/>
  <c r="BI51" i="4"/>
  <c r="AV51" i="4"/>
  <c r="BN51" i="4"/>
  <c r="BA51" i="4"/>
  <c r="BM51" i="4"/>
  <c r="BK51" i="4"/>
  <c r="AX51" i="4"/>
  <c r="BF51" i="4"/>
  <c r="BC51" i="4"/>
  <c r="AU51" i="4"/>
  <c r="AF75" i="4"/>
  <c r="BH75" i="4"/>
  <c r="AZ75" i="4"/>
  <c r="BG75" i="4"/>
  <c r="AY75" i="4"/>
  <c r="BJ75" i="4"/>
  <c r="BB75" i="4"/>
  <c r="AT75" i="4"/>
  <c r="BM75" i="4"/>
  <c r="BA75" i="4"/>
  <c r="BL75" i="4"/>
  <c r="AX75" i="4"/>
  <c r="BD75" i="4"/>
  <c r="BN75" i="4"/>
  <c r="BC75" i="4"/>
  <c r="AW75" i="4"/>
  <c r="BE75" i="4"/>
  <c r="AV75" i="4"/>
  <c r="BK75" i="4"/>
  <c r="BF75" i="4"/>
  <c r="BI75" i="4"/>
  <c r="AU75" i="4"/>
  <c r="AF99" i="4"/>
  <c r="BH99" i="4"/>
  <c r="AZ99" i="4"/>
  <c r="BG99" i="4"/>
  <c r="AY99" i="4"/>
  <c r="BJ99" i="4"/>
  <c r="BB99" i="4"/>
  <c r="AT99" i="4"/>
  <c r="BI99" i="4"/>
  <c r="AV99" i="4"/>
  <c r="BE99" i="4"/>
  <c r="BF99" i="4"/>
  <c r="AU99" i="4"/>
  <c r="BL99" i="4"/>
  <c r="AX99" i="4"/>
  <c r="BK99" i="4"/>
  <c r="AW99" i="4"/>
  <c r="BD99" i="4"/>
  <c r="BN99" i="4"/>
  <c r="BM99" i="4"/>
  <c r="BC99" i="4"/>
  <c r="BA99" i="4"/>
  <c r="AF123" i="4"/>
  <c r="BL123" i="4"/>
  <c r="BD123" i="4"/>
  <c r="AV123" i="4"/>
  <c r="BG123" i="4"/>
  <c r="AY123" i="4"/>
  <c r="BE123" i="4"/>
  <c r="AT123" i="4"/>
  <c r="BN123" i="4"/>
  <c r="BC123" i="4"/>
  <c r="BH123" i="4"/>
  <c r="AW123" i="4"/>
  <c r="BJ123" i="4"/>
  <c r="BI123" i="4"/>
  <c r="BW123" i="4" s="1"/>
  <c r="BF123" i="4"/>
  <c r="BM123" i="4"/>
  <c r="AX123" i="4"/>
  <c r="BK123" i="4"/>
  <c r="AU123" i="4"/>
  <c r="BB123" i="4"/>
  <c r="BA123" i="4"/>
  <c r="AZ123" i="4"/>
  <c r="BL139" i="4"/>
  <c r="BD139" i="4"/>
  <c r="AV139" i="4"/>
  <c r="BG139" i="4"/>
  <c r="AY139" i="4"/>
  <c r="AX139" i="4"/>
  <c r="BB139" i="4"/>
  <c r="AT139" i="4"/>
  <c r="BI139" i="4"/>
  <c r="BN139" i="4"/>
  <c r="BF139" i="4"/>
  <c r="BC139" i="4"/>
  <c r="BI163" i="4"/>
  <c r="BF163" i="4"/>
  <c r="BA163" i="4"/>
  <c r="AF179" i="4"/>
  <c r="BH179" i="4"/>
  <c r="AZ179" i="4"/>
  <c r="BL179" i="4"/>
  <c r="BC179" i="4"/>
  <c r="AT179" i="4"/>
  <c r="BK179" i="4"/>
  <c r="BB179" i="4"/>
  <c r="BN179" i="4"/>
  <c r="BE179" i="4"/>
  <c r="AV179" i="4"/>
  <c r="BF179" i="4"/>
  <c r="BD179" i="4"/>
  <c r="BI179" i="4"/>
  <c r="AU179" i="4"/>
  <c r="BJ179" i="4"/>
  <c r="BG179" i="4"/>
  <c r="AW179" i="4"/>
  <c r="AY179" i="4"/>
  <c r="AX179" i="4"/>
  <c r="BM179" i="4"/>
  <c r="AF195" i="4"/>
  <c r="AZ195" i="4"/>
  <c r="BK195" i="4"/>
  <c r="BJ195" i="4"/>
  <c r="AX195" i="4"/>
  <c r="BF195" i="4"/>
  <c r="BN195" i="4"/>
  <c r="AV195" i="4"/>
  <c r="BL195" i="4"/>
  <c r="BE195" i="4"/>
  <c r="BB195" i="4"/>
  <c r="BG203" i="4"/>
  <c r="BM203" i="4"/>
  <c r="BK203" i="4"/>
  <c r="AZ203" i="4"/>
  <c r="BJ203" i="4"/>
  <c r="BC219" i="4"/>
  <c r="AU219" i="4"/>
  <c r="BH219" i="4"/>
  <c r="AY219" i="4"/>
  <c r="BM219" i="4"/>
  <c r="BB219" i="4"/>
  <c r="BD219" i="4"/>
  <c r="BA219" i="4"/>
  <c r="BF219" i="4"/>
  <c r="AW219" i="4"/>
  <c r="AV219" i="4"/>
  <c r="BE219" i="4"/>
  <c r="AF243" i="4"/>
  <c r="BJ243" i="4"/>
  <c r="BB243" i="4"/>
  <c r="AT243" i="4"/>
  <c r="BN243" i="4"/>
  <c r="BE243" i="4"/>
  <c r="AV243" i="4"/>
  <c r="BM243" i="4"/>
  <c r="BD243" i="4"/>
  <c r="AU243" i="4"/>
  <c r="BK243" i="4"/>
  <c r="BA243" i="4"/>
  <c r="BH243" i="4"/>
  <c r="BF243" i="4"/>
  <c r="BC243" i="4"/>
  <c r="BI243" i="4"/>
  <c r="BG243" i="4"/>
  <c r="AZ243" i="4"/>
  <c r="AX243" i="4"/>
  <c r="AW243" i="4"/>
  <c r="BL243" i="4"/>
  <c r="AY243" i="4"/>
  <c r="AF259" i="4"/>
  <c r="BG259" i="4"/>
  <c r="AY259" i="4"/>
  <c r="BL259" i="4"/>
  <c r="BD259" i="4"/>
  <c r="AV259" i="4"/>
  <c r="BJ259" i="4"/>
  <c r="AZ259" i="4"/>
  <c r="BF259" i="4"/>
  <c r="AU259" i="4"/>
  <c r="BK259" i="4"/>
  <c r="AW259" i="4"/>
  <c r="BI259" i="4"/>
  <c r="AT259" i="4"/>
  <c r="BE259" i="4"/>
  <c r="BB259" i="4"/>
  <c r="BM259" i="4"/>
  <c r="BH259" i="4"/>
  <c r="BA259" i="4"/>
  <c r="AX259" i="4"/>
  <c r="BN259" i="4"/>
  <c r="BC259" i="4"/>
  <c r="BG267" i="4"/>
  <c r="BI267" i="4"/>
  <c r="BN267" i="4"/>
  <c r="BK267" i="4"/>
  <c r="BC267" i="4"/>
  <c r="BJ267" i="4"/>
  <c r="BK28" i="4"/>
  <c r="BC28" i="4"/>
  <c r="AU28" i="4"/>
  <c r="BB28" i="4"/>
  <c r="AW28" i="4"/>
  <c r="BG28" i="4"/>
  <c r="AZ28" i="4"/>
  <c r="BF28" i="4"/>
  <c r="BN28" i="4"/>
  <c r="BD28" i="4"/>
  <c r="BA28" i="4"/>
  <c r="AV28" i="4"/>
  <c r="BK44" i="4"/>
  <c r="BL44" i="4"/>
  <c r="AT44" i="4"/>
  <c r="BK60" i="4"/>
  <c r="BC60" i="4"/>
  <c r="AU60" i="4"/>
  <c r="BJ60" i="4"/>
  <c r="BB60" i="4"/>
  <c r="AT60" i="4"/>
  <c r="BM60" i="4"/>
  <c r="BE60" i="4"/>
  <c r="AW60" i="4"/>
  <c r="BH60" i="4"/>
  <c r="AV60" i="4"/>
  <c r="BG60" i="4"/>
  <c r="BL60" i="4"/>
  <c r="AY60" i="4"/>
  <c r="BN60" i="4"/>
  <c r="BA60" i="4"/>
  <c r="AZ60" i="4"/>
  <c r="BF60" i="4"/>
  <c r="BD60" i="4"/>
  <c r="AX60" i="4"/>
  <c r="BI60" i="4"/>
  <c r="BK76" i="4"/>
  <c r="BC76" i="4"/>
  <c r="AU76" i="4"/>
  <c r="BJ76" i="4"/>
  <c r="AT76" i="4"/>
  <c r="BM76" i="4"/>
  <c r="BE76" i="4"/>
  <c r="AW76" i="4"/>
  <c r="BF76" i="4"/>
  <c r="BD76" i="4"/>
  <c r="BH76" i="4"/>
  <c r="BG76" i="4"/>
  <c r="BA76" i="4"/>
  <c r="BL76" i="4"/>
  <c r="BI76" i="4"/>
  <c r="AX76" i="4"/>
  <c r="AZ76" i="4"/>
  <c r="AY76" i="4"/>
  <c r="AF92" i="4"/>
  <c r="BC92" i="4"/>
  <c r="AU92" i="4"/>
  <c r="BE92" i="4"/>
  <c r="BA92" i="4"/>
  <c r="BL92" i="4"/>
  <c r="BD92" i="4"/>
  <c r="AX92" i="4"/>
  <c r="AV92" i="4"/>
  <c r="AU100" i="4"/>
  <c r="BB100" i="4"/>
  <c r="AT100" i="4"/>
  <c r="AZ100" i="4"/>
  <c r="BL100" i="4"/>
  <c r="AY100" i="4"/>
  <c r="BG100" i="4"/>
  <c r="AV100" i="4"/>
  <c r="BG116" i="4"/>
  <c r="BM116" i="4"/>
  <c r="BL116" i="4"/>
  <c r="BA116" i="4"/>
  <c r="AZ116" i="4"/>
  <c r="BF116" i="4"/>
  <c r="AW116" i="4"/>
  <c r="AZ132" i="4"/>
  <c r="BG132" i="4"/>
  <c r="BE132" i="4"/>
  <c r="BI132" i="4"/>
  <c r="AV132" i="4"/>
  <c r="AU132" i="4"/>
  <c r="BA132" i="4"/>
  <c r="BK132" i="4"/>
  <c r="AW148" i="4"/>
  <c r="BN148" i="4"/>
  <c r="AF164" i="4"/>
  <c r="BG164" i="4"/>
  <c r="BK180" i="4"/>
  <c r="BC180" i="4"/>
  <c r="AY180" i="4"/>
  <c r="BB180" i="4"/>
  <c r="BN180" i="4"/>
  <c r="BJ180" i="4"/>
  <c r="AT180" i="4"/>
  <c r="BF180" i="4"/>
  <c r="AT196" i="4"/>
  <c r="AX212" i="4"/>
  <c r="AZ212" i="4"/>
  <c r="BK212" i="4"/>
  <c r="BC212" i="4"/>
  <c r="AV212" i="4"/>
  <c r="BD212" i="4"/>
  <c r="BE212" i="4"/>
  <c r="BH212" i="4"/>
  <c r="AF228" i="4"/>
  <c r="BD228" i="4"/>
  <c r="BJ228" i="4"/>
  <c r="AZ228" i="4"/>
  <c r="AW228" i="4"/>
  <c r="AT228" i="4"/>
  <c r="BA228" i="4"/>
  <c r="BG228" i="4"/>
  <c r="BE244" i="4"/>
  <c r="AW244" i="4"/>
  <c r="BH244" i="4"/>
  <c r="BC244" i="4"/>
  <c r="AZ244" i="4"/>
  <c r="AT244" i="4"/>
  <c r="AU244" i="4"/>
  <c r="BG244" i="4"/>
  <c r="BM252" i="4"/>
  <c r="AT252" i="4"/>
  <c r="AV252" i="4"/>
  <c r="BG252" i="4"/>
  <c r="BD252" i="4"/>
  <c r="BJ260" i="4"/>
  <c r="BK260" i="4"/>
  <c r="BF260" i="4"/>
  <c r="AV260" i="4"/>
  <c r="BL260" i="4"/>
  <c r="AU260" i="4"/>
  <c r="BM268" i="4"/>
  <c r="BJ268" i="4"/>
  <c r="BF268" i="4"/>
  <c r="BL268" i="4"/>
  <c r="BI268" i="4"/>
  <c r="AW268" i="4"/>
  <c r="AW284" i="4"/>
  <c r="BB284" i="4"/>
  <c r="AT284" i="4"/>
  <c r="BK284" i="4"/>
  <c r="BH284" i="4"/>
  <c r="AU284" i="4"/>
  <c r="BA284" i="4"/>
  <c r="BD284" i="4"/>
  <c r="BC22" i="4"/>
  <c r="AU22" i="4"/>
  <c r="BE22" i="4"/>
  <c r="AY22" i="4"/>
  <c r="AX22" i="4"/>
  <c r="BN22" i="4"/>
  <c r="AZ30" i="4"/>
  <c r="BK30" i="4"/>
  <c r="BC30" i="4"/>
  <c r="BG30" i="4"/>
  <c r="AV30" i="4"/>
  <c r="BI38" i="4"/>
  <c r="BA38" i="4"/>
  <c r="BK38" i="4"/>
  <c r="BC38" i="4"/>
  <c r="AU38" i="4"/>
  <c r="BH38" i="4"/>
  <c r="AX38" i="4"/>
  <c r="BG38" i="4"/>
  <c r="AW38" i="4"/>
  <c r="BL38" i="4"/>
  <c r="AZ38" i="4"/>
  <c r="BD38" i="4"/>
  <c r="BM38" i="4"/>
  <c r="BF38" i="4"/>
  <c r="BB38" i="4"/>
  <c r="AY38" i="4"/>
  <c r="BJ38" i="4"/>
  <c r="BE38" i="4"/>
  <c r="AV38" i="4"/>
  <c r="BN38" i="4"/>
  <c r="AT38" i="4"/>
  <c r="BI46" i="4"/>
  <c r="BA46" i="4"/>
  <c r="BK46" i="4"/>
  <c r="BC46" i="4"/>
  <c r="AU46" i="4"/>
  <c r="BL46" i="4"/>
  <c r="AZ46" i="4"/>
  <c r="BJ46" i="4"/>
  <c r="AY46" i="4"/>
  <c r="BN46" i="4"/>
  <c r="BD46" i="4"/>
  <c r="BE46" i="4"/>
  <c r="AV46" i="4"/>
  <c r="BG46" i="4"/>
  <c r="AW46" i="4"/>
  <c r="BM46" i="4"/>
  <c r="AT46" i="4"/>
  <c r="BH46" i="4"/>
  <c r="BF46" i="4"/>
  <c r="BB46" i="4"/>
  <c r="AX46" i="4"/>
  <c r="CM46" i="4" s="1"/>
  <c r="BI54" i="4"/>
  <c r="BA54" i="4"/>
  <c r="AZ54" i="4"/>
  <c r="BE54" i="4"/>
  <c r="BJ54" i="4"/>
  <c r="BL54" i="4"/>
  <c r="AY54" i="4"/>
  <c r="BI62" i="4"/>
  <c r="BA62" i="4"/>
  <c r="AU62" i="4"/>
  <c r="BE62" i="4"/>
  <c r="BD62" i="4"/>
  <c r="BG62" i="4"/>
  <c r="AV62" i="4"/>
  <c r="BJ62" i="4"/>
  <c r="AX62" i="4"/>
  <c r="BB62" i="4"/>
  <c r="AY62" i="4"/>
  <c r="BM62" i="4"/>
  <c r="AZ70" i="4"/>
  <c r="BK70" i="4"/>
  <c r="BC70" i="4"/>
  <c r="BD70" i="4"/>
  <c r="BN70" i="4"/>
  <c r="BE70" i="4"/>
  <c r="AY70" i="4"/>
  <c r="BG70" i="4"/>
  <c r="AX70" i="4"/>
  <c r="BL70" i="4"/>
  <c r="AF78" i="4"/>
  <c r="AW78" i="4"/>
  <c r="BJ78" i="4"/>
  <c r="BI86" i="4"/>
  <c r="BA86" i="4"/>
  <c r="BC86" i="4"/>
  <c r="BM86" i="4"/>
  <c r="AY86" i="4"/>
  <c r="AW86" i="4"/>
  <c r="BL86" i="4"/>
  <c r="BB86" i="4"/>
  <c r="BF86" i="4"/>
  <c r="BG86" i="4"/>
  <c r="AT86" i="4"/>
  <c r="BE86" i="4"/>
  <c r="BI94" i="4"/>
  <c r="BA94" i="4"/>
  <c r="BH94" i="4"/>
  <c r="AZ94" i="4"/>
  <c r="BK94" i="4"/>
  <c r="BC94" i="4"/>
  <c r="AU94" i="4"/>
  <c r="BL94" i="4"/>
  <c r="AX94" i="4"/>
  <c r="AV94" i="4"/>
  <c r="BJ94" i="4"/>
  <c r="AW94" i="4"/>
  <c r="BG94" i="4"/>
  <c r="BN94" i="4"/>
  <c r="BB94" i="4"/>
  <c r="BM94" i="4"/>
  <c r="AY94" i="4"/>
  <c r="BF94" i="4"/>
  <c r="BD94" i="4"/>
  <c r="AT94" i="4"/>
  <c r="BE94" i="4"/>
  <c r="BI102" i="4"/>
  <c r="BA102" i="4"/>
  <c r="BH102" i="4"/>
  <c r="AZ102" i="4"/>
  <c r="BK102" i="4"/>
  <c r="BC102" i="4"/>
  <c r="AU102" i="4"/>
  <c r="BJ102" i="4"/>
  <c r="AW102" i="4"/>
  <c r="BF102" i="4"/>
  <c r="BG102" i="4"/>
  <c r="AV102" i="4"/>
  <c r="AT102" i="4"/>
  <c r="BM102" i="4"/>
  <c r="AY102" i="4"/>
  <c r="BL102" i="4"/>
  <c r="AX102" i="4"/>
  <c r="BN102" i="4"/>
  <c r="BE102" i="4"/>
  <c r="BD102" i="4"/>
  <c r="BB102" i="4"/>
  <c r="BH110" i="4"/>
  <c r="AZ110" i="4"/>
  <c r="BG110" i="4"/>
  <c r="AX110" i="4"/>
  <c r="BF110" i="4"/>
  <c r="AW110" i="4"/>
  <c r="BJ110" i="4"/>
  <c r="BA110" i="4"/>
  <c r="BN110" i="4"/>
  <c r="BB110" i="4"/>
  <c r="BL110" i="4"/>
  <c r="BM110" i="4"/>
  <c r="AY110" i="4"/>
  <c r="AV110" i="4"/>
  <c r="BD110" i="4"/>
  <c r="BC110" i="4"/>
  <c r="BE110" i="4"/>
  <c r="AU110" i="4"/>
  <c r="BK110" i="4"/>
  <c r="AT110" i="4"/>
  <c r="BI110" i="4"/>
  <c r="BM118" i="4"/>
  <c r="BE118" i="4"/>
  <c r="AW118" i="4"/>
  <c r="BH118" i="4"/>
  <c r="AZ118" i="4"/>
  <c r="BN118" i="4"/>
  <c r="BC118" i="4"/>
  <c r="BL118" i="4"/>
  <c r="BB118" i="4"/>
  <c r="BF118" i="4"/>
  <c r="AU118" i="4"/>
  <c r="BK118" i="4"/>
  <c r="AV118" i="4"/>
  <c r="BJ118" i="4"/>
  <c r="AT118" i="4"/>
  <c r="BI118" i="4"/>
  <c r="AY118" i="4"/>
  <c r="AX118" i="4"/>
  <c r="BG118" i="4"/>
  <c r="BD118" i="4"/>
  <c r="BA118" i="4"/>
  <c r="AF126" i="4"/>
  <c r="BM126" i="4"/>
  <c r="BE126" i="4"/>
  <c r="AW126" i="4"/>
  <c r="BH126" i="4"/>
  <c r="AZ126" i="4"/>
  <c r="BF126" i="4"/>
  <c r="AU126" i="4"/>
  <c r="BD126" i="4"/>
  <c r="AT126" i="4"/>
  <c r="BI126" i="4"/>
  <c r="BW126" i="4" s="1"/>
  <c r="AX126" i="4"/>
  <c r="BN126" i="4"/>
  <c r="AY126" i="4"/>
  <c r="BL126" i="4"/>
  <c r="AV126" i="4"/>
  <c r="BK126" i="4"/>
  <c r="BB126" i="4"/>
  <c r="BA126" i="4"/>
  <c r="BC126" i="4"/>
  <c r="BJ126" i="4"/>
  <c r="BG126" i="4"/>
  <c r="BN134" i="4"/>
  <c r="BF134" i="4"/>
  <c r="BH134" i="4"/>
  <c r="AV134" i="4"/>
  <c r="BK134" i="4"/>
  <c r="AU134" i="4"/>
  <c r="BC134" i="4"/>
  <c r="AF142" i="4"/>
  <c r="BN142" i="4"/>
  <c r="BF142" i="4"/>
  <c r="BL142" i="4"/>
  <c r="BA142" i="4"/>
  <c r="BK142" i="4"/>
  <c r="AY142" i="4"/>
  <c r="BC142" i="4"/>
  <c r="AU142" i="4"/>
  <c r="BB142" i="4"/>
  <c r="BE150" i="4"/>
  <c r="AW150" i="4"/>
  <c r="BN150" i="4"/>
  <c r="BD150" i="4"/>
  <c r="AU150" i="4"/>
  <c r="BG150" i="4"/>
  <c r="AX150" i="4"/>
  <c r="AZ150" i="4"/>
  <c r="BK150" i="4"/>
  <c r="AY150" i="4"/>
  <c r="BA150" i="4"/>
  <c r="BI150" i="4"/>
  <c r="BH150" i="4"/>
  <c r="BJ150" i="4"/>
  <c r="BI158" i="4"/>
  <c r="AU158" i="4"/>
  <c r="BG158" i="4"/>
  <c r="AX158" i="4"/>
  <c r="BN158" i="4"/>
  <c r="BB158" i="4"/>
  <c r="AV158" i="4"/>
  <c r="BK158" i="4"/>
  <c r="AT158" i="4"/>
  <c r="AY158" i="4"/>
  <c r="BC158" i="4"/>
  <c r="BF158" i="4"/>
  <c r="AF166" i="4"/>
  <c r="BI166" i="4"/>
  <c r="BA166" i="4"/>
  <c r="BJ166" i="4"/>
  <c r="AZ166" i="4"/>
  <c r="BM166" i="4"/>
  <c r="BD166" i="4"/>
  <c r="AU166" i="4"/>
  <c r="BE166" i="4"/>
  <c r="BC166" i="4"/>
  <c r="BG166" i="4"/>
  <c r="AV166" i="4"/>
  <c r="BB166" i="4"/>
  <c r="AY166" i="4"/>
  <c r="BH166" i="4"/>
  <c r="BL166" i="4"/>
  <c r="BF166" i="4"/>
  <c r="BK166" i="4"/>
  <c r="BN166" i="4"/>
  <c r="AW166" i="4"/>
  <c r="AT166" i="4"/>
  <c r="AX166" i="4"/>
  <c r="BI174" i="4"/>
  <c r="BF174" i="4"/>
  <c r="AW174" i="4"/>
  <c r="BJ174" i="4"/>
  <c r="AZ174" i="4"/>
  <c r="AT174" i="4"/>
  <c r="BK174" i="4"/>
  <c r="AX174" i="4"/>
  <c r="BL174" i="4"/>
  <c r="BH174" i="4"/>
  <c r="AY174" i="4"/>
  <c r="BD174" i="4"/>
  <c r="BC174" i="4"/>
  <c r="BM174" i="4"/>
  <c r="BI182" i="4"/>
  <c r="BM182" i="4"/>
  <c r="BD182" i="4"/>
  <c r="AU182" i="4"/>
  <c r="BL182" i="4"/>
  <c r="BC182" i="4"/>
  <c r="AT182" i="4"/>
  <c r="BF182" i="4"/>
  <c r="AW182" i="4"/>
  <c r="AZ182" i="4"/>
  <c r="BN182" i="4"/>
  <c r="AY182" i="4"/>
  <c r="BE182" i="4"/>
  <c r="BK182" i="4"/>
  <c r="AX182" i="4"/>
  <c r="BG182" i="4"/>
  <c r="AV182" i="4"/>
  <c r="BB182" i="4"/>
  <c r="BJ182" i="4"/>
  <c r="BH182" i="4"/>
  <c r="BD190" i="4"/>
  <c r="AY190" i="4"/>
  <c r="BL190" i="4"/>
  <c r="BH198" i="4"/>
  <c r="AZ198" i="4"/>
  <c r="BJ198" i="4"/>
  <c r="BA198" i="4"/>
  <c r="BK198" i="4"/>
  <c r="AY198" i="4"/>
  <c r="BI198" i="4"/>
  <c r="AX198" i="4"/>
  <c r="BM198" i="4"/>
  <c r="BC198" i="4"/>
  <c r="BN198" i="4"/>
  <c r="AV198" i="4"/>
  <c r="BL198" i="4"/>
  <c r="AU198" i="4"/>
  <c r="BB198" i="4"/>
  <c r="BD198" i="4"/>
  <c r="AW198" i="4"/>
  <c r="BF198" i="4"/>
  <c r="BG198" i="4"/>
  <c r="AT198" i="4"/>
  <c r="BE198" i="4"/>
  <c r="BL206" i="4"/>
  <c r="BD206" i="4"/>
  <c r="AV206" i="4"/>
  <c r="BG206" i="4"/>
  <c r="AX206" i="4"/>
  <c r="BK206" i="4"/>
  <c r="BA206" i="4"/>
  <c r="BJ206" i="4"/>
  <c r="AZ206" i="4"/>
  <c r="BN206" i="4"/>
  <c r="BC206" i="4"/>
  <c r="BH206" i="4"/>
  <c r="BF206" i="4"/>
  <c r="BM206" i="4"/>
  <c r="AU206" i="4"/>
  <c r="AT206" i="4"/>
  <c r="AY206" i="4"/>
  <c r="BI206" i="4"/>
  <c r="AW206" i="4"/>
  <c r="BB206" i="4"/>
  <c r="BE206" i="4"/>
  <c r="AF214" i="4"/>
  <c r="BL214" i="4"/>
  <c r="BD214" i="4"/>
  <c r="AV214" i="4"/>
  <c r="BM214" i="4"/>
  <c r="AZ214" i="4"/>
  <c r="BI214" i="4"/>
  <c r="AY214" i="4"/>
  <c r="BN214" i="4"/>
  <c r="BB214" i="4"/>
  <c r="AU214" i="4"/>
  <c r="BH214" i="4"/>
  <c r="BE214" i="4"/>
  <c r="BA214" i="4"/>
  <c r="AX214" i="4"/>
  <c r="BL222" i="4"/>
  <c r="BD222" i="4"/>
  <c r="AV222" i="4"/>
  <c r="BK222" i="4"/>
  <c r="BB222" i="4"/>
  <c r="BJ222" i="4"/>
  <c r="AZ222" i="4"/>
  <c r="BM222" i="4"/>
  <c r="AY222" i="4"/>
  <c r="BI222" i="4"/>
  <c r="AX222" i="4"/>
  <c r="BC222" i="4"/>
  <c r="BG222" i="4"/>
  <c r="BF222" i="4"/>
  <c r="BN222" i="4"/>
  <c r="AT222" i="4"/>
  <c r="BE222" i="4"/>
  <c r="AW222" i="4"/>
  <c r="AU222" i="4"/>
  <c r="BH222" i="4"/>
  <c r="BG230" i="4"/>
  <c r="BL230" i="4"/>
  <c r="BD230" i="4"/>
  <c r="AV230" i="4"/>
  <c r="BI230" i="4"/>
  <c r="AY230" i="4"/>
  <c r="BK230" i="4"/>
  <c r="AZ230" i="4"/>
  <c r="BM230" i="4"/>
  <c r="AX230" i="4"/>
  <c r="BJ230" i="4"/>
  <c r="AW230" i="4"/>
  <c r="BB230" i="4"/>
  <c r="BN230" i="4"/>
  <c r="BH230" i="4"/>
  <c r="AU230" i="4"/>
  <c r="BA230" i="4"/>
  <c r="BE230" i="4"/>
  <c r="BC230" i="4"/>
  <c r="BF230" i="4"/>
  <c r="AT230" i="4"/>
  <c r="BK238" i="4"/>
  <c r="BC238" i="4"/>
  <c r="AU238" i="4"/>
  <c r="BI238" i="4"/>
  <c r="AZ238" i="4"/>
  <c r="BF238" i="4"/>
  <c r="AW238" i="4"/>
  <c r="BL238" i="4"/>
  <c r="AY238" i="4"/>
  <c r="BH238" i="4"/>
  <c r="AT238" i="4"/>
  <c r="BG238" i="4"/>
  <c r="BM238" i="4"/>
  <c r="AX238" i="4"/>
  <c r="AV238" i="4"/>
  <c r="BB238" i="4"/>
  <c r="BJ238" i="4"/>
  <c r="BE238" i="4"/>
  <c r="BA238" i="4"/>
  <c r="BN238" i="4"/>
  <c r="BD238" i="4"/>
  <c r="BK246" i="4"/>
  <c r="AW246" i="4"/>
  <c r="BN246" i="4"/>
  <c r="BE246" i="4"/>
  <c r="AV246" i="4"/>
  <c r="BL246" i="4"/>
  <c r="BH246" i="4"/>
  <c r="BM246" i="4"/>
  <c r="AX246" i="4"/>
  <c r="AY246" i="4"/>
  <c r="AT246" i="4"/>
  <c r="BG246" i="4"/>
  <c r="BN254" i="4"/>
  <c r="BF254" i="4"/>
  <c r="AX254" i="4"/>
  <c r="BK254" i="4"/>
  <c r="BC254" i="4"/>
  <c r="AU254" i="4"/>
  <c r="BD254" i="4"/>
  <c r="BM254" i="4"/>
  <c r="BB254" i="4"/>
  <c r="BJ254" i="4"/>
  <c r="AZ254" i="4"/>
  <c r="BA254" i="4"/>
  <c r="BL254" i="4"/>
  <c r="AT254" i="4"/>
  <c r="BI254" i="4"/>
  <c r="AW254" i="4"/>
  <c r="BH254" i="4"/>
  <c r="BG254" i="4"/>
  <c r="AV254" i="4"/>
  <c r="BE254" i="4"/>
  <c r="AY254" i="4"/>
  <c r="BM262" i="4"/>
  <c r="BE262" i="4"/>
  <c r="AW262" i="4"/>
  <c r="BK262" i="4"/>
  <c r="BA262" i="4"/>
  <c r="BC262" i="4"/>
  <c r="BN262" i="4"/>
  <c r="AY262" i="4"/>
  <c r="BI262" i="4"/>
  <c r="AX262" i="4"/>
  <c r="AT262" i="4"/>
  <c r="BL262" i="4"/>
  <c r="BJ262" i="4"/>
  <c r="BK270" i="4"/>
  <c r="BC270" i="4"/>
  <c r="AU270" i="4"/>
  <c r="BH270" i="4"/>
  <c r="AZ270" i="4"/>
  <c r="BM270" i="4"/>
  <c r="BE270" i="4"/>
  <c r="AW270" i="4"/>
  <c r="BL270" i="4"/>
  <c r="AY270" i="4"/>
  <c r="BJ270" i="4"/>
  <c r="AX270" i="4"/>
  <c r="BG270" i="4"/>
  <c r="AT270" i="4"/>
  <c r="BB270" i="4"/>
  <c r="BA270" i="4"/>
  <c r="BI270" i="4"/>
  <c r="BD270" i="4"/>
  <c r="AV270" i="4"/>
  <c r="BN270" i="4"/>
  <c r="BF270" i="4"/>
  <c r="BC278" i="4"/>
  <c r="AU278" i="4"/>
  <c r="BH278" i="4"/>
  <c r="AZ278" i="4"/>
  <c r="AV278" i="4"/>
  <c r="BF278" i="4"/>
  <c r="AT278" i="4"/>
  <c r="BL278" i="4"/>
  <c r="BB278" i="4"/>
  <c r="BA278" i="4"/>
  <c r="BH286" i="4"/>
  <c r="AW286" i="4"/>
  <c r="AV286" i="4"/>
  <c r="BG286" i="4"/>
  <c r="AT286" i="4"/>
  <c r="BD286" i="4"/>
  <c r="AY286" i="4"/>
  <c r="BJ286" i="4"/>
  <c r="AF155" i="4"/>
  <c r="AF103" i="4"/>
  <c r="AF184" i="4"/>
  <c r="AF200" i="4"/>
  <c r="AF208" i="4"/>
  <c r="AF37" i="4"/>
  <c r="AF53" i="4"/>
  <c r="AF101" i="4"/>
  <c r="AF117" i="4"/>
  <c r="AF181" i="4"/>
  <c r="AF197" i="4"/>
  <c r="AF261" i="4"/>
  <c r="AF182" i="4"/>
  <c r="AF24" i="4"/>
  <c r="AF32" i="4"/>
  <c r="AF40" i="4"/>
  <c r="AF48" i="4"/>
  <c r="AF104" i="4"/>
  <c r="AF112" i="4"/>
  <c r="AF152" i="4"/>
  <c r="AF232" i="4"/>
  <c r="AF240" i="4"/>
  <c r="AF248" i="4"/>
  <c r="AF256" i="4"/>
  <c r="AF264" i="4"/>
  <c r="AF272" i="4"/>
  <c r="AF28" i="4"/>
  <c r="AF36" i="4"/>
  <c r="AF44" i="4"/>
  <c r="AF52" i="4"/>
  <c r="AF60" i="4"/>
  <c r="AF100" i="4"/>
  <c r="AF116" i="4"/>
  <c r="AF148" i="4"/>
  <c r="AF260" i="4"/>
  <c r="AF277" i="4"/>
  <c r="AF30" i="4"/>
  <c r="AF38" i="4"/>
  <c r="AF102" i="4"/>
  <c r="AF118" i="4"/>
  <c r="AF158" i="4"/>
  <c r="AF230" i="4"/>
  <c r="AF246" i="4"/>
  <c r="AF262" i="4"/>
  <c r="AF270" i="4"/>
  <c r="AF15" i="4"/>
  <c r="AF167" i="4"/>
  <c r="AF14" i="4"/>
  <c r="AF218" i="4"/>
  <c r="AF170" i="4"/>
  <c r="AF98" i="4"/>
  <c r="AF80" i="4"/>
  <c r="AF8" i="4"/>
  <c r="AF81" i="4"/>
  <c r="AF192" i="4"/>
  <c r="AF289" i="4"/>
  <c r="AF9" i="4"/>
  <c r="AF82" i="4"/>
  <c r="AF120" i="4"/>
  <c r="AF160" i="4"/>
  <c r="AF234" i="4"/>
  <c r="AF10" i="4"/>
  <c r="AF121" i="4"/>
  <c r="AF161" i="4"/>
  <c r="AF217" i="4"/>
  <c r="AF122" i="4"/>
  <c r="AF144" i="4"/>
  <c r="AF280" i="4"/>
  <c r="AF73" i="4"/>
  <c r="AF145" i="4"/>
  <c r="AF281" i="4"/>
  <c r="AF74" i="4"/>
  <c r="AF96" i="4"/>
  <c r="AF129" i="4"/>
  <c r="AF146" i="4"/>
  <c r="AF282" i="4"/>
  <c r="AF288" i="4"/>
  <c r="AF137" i="4"/>
  <c r="AF162" i="4"/>
  <c r="AF97" i="4"/>
  <c r="AF130" i="4"/>
  <c r="AF226" i="4"/>
  <c r="AF21" i="4"/>
  <c r="AF45" i="4"/>
  <c r="AF61" i="4"/>
  <c r="AF77" i="4"/>
  <c r="AF109" i="4"/>
  <c r="AF125" i="4"/>
  <c r="AF133" i="4"/>
  <c r="AF173" i="4"/>
  <c r="AF229" i="4"/>
  <c r="AF237" i="4"/>
  <c r="AF269" i="4"/>
  <c r="AF285" i="4"/>
  <c r="AF46" i="4"/>
  <c r="AF110" i="4"/>
  <c r="AF150" i="4"/>
  <c r="AF238" i="4"/>
  <c r="AF254" i="4"/>
  <c r="AF206" i="4"/>
  <c r="AF31" i="4"/>
  <c r="AF71" i="4"/>
  <c r="AF95" i="4"/>
  <c r="AF111" i="4"/>
  <c r="AF135" i="4"/>
  <c r="AF159" i="4"/>
  <c r="AF175" i="4"/>
  <c r="AF191" i="4"/>
  <c r="AF223" i="4"/>
  <c r="AF239" i="4"/>
  <c r="AF255" i="4"/>
  <c r="AF263" i="4"/>
  <c r="AF279" i="4"/>
  <c r="AF207" i="4"/>
  <c r="AF55" i="4"/>
  <c r="AF69" i="4"/>
  <c r="AF85" i="4"/>
  <c r="AF93" i="4"/>
  <c r="AF253" i="4"/>
  <c r="AF70" i="4"/>
  <c r="AF174" i="4"/>
  <c r="AF198" i="4"/>
  <c r="AF222" i="4"/>
  <c r="AF94" i="4"/>
  <c r="AF247" i="4"/>
  <c r="AF131" i="4"/>
  <c r="AF139" i="4"/>
  <c r="AF147" i="4"/>
  <c r="AF171" i="4"/>
  <c r="AF20" i="4"/>
  <c r="AF84" i="4"/>
  <c r="AF276" i="4"/>
  <c r="AB67" i="4"/>
  <c r="AB123" i="4"/>
  <c r="AC187" i="4"/>
  <c r="Z211" i="4"/>
  <c r="AB75" i="4"/>
  <c r="Z219" i="4"/>
  <c r="Z275" i="4"/>
  <c r="Z243" i="4"/>
  <c r="AH63" i="4"/>
  <c r="AH127" i="4"/>
  <c r="AB191" i="4"/>
  <c r="AC135" i="4"/>
  <c r="AA14" i="4"/>
  <c r="AH70" i="4"/>
  <c r="AI94" i="4"/>
  <c r="AA126" i="4"/>
  <c r="AA166" i="4"/>
  <c r="Z198" i="4"/>
  <c r="AC214" i="4"/>
  <c r="AK238" i="4"/>
  <c r="AC71" i="4"/>
  <c r="AN8" i="4"/>
  <c r="AC184" i="4"/>
  <c r="AK167" i="4"/>
  <c r="AA199" i="4"/>
  <c r="Z136" i="4"/>
  <c r="Z160" i="4"/>
  <c r="Z119" i="4"/>
  <c r="AJ80" i="4"/>
  <c r="AI96" i="4"/>
  <c r="AH120" i="4"/>
  <c r="AC144" i="4"/>
  <c r="AC192" i="4"/>
  <c r="AC208" i="4"/>
  <c r="AJ280" i="4"/>
  <c r="AI12" i="4"/>
  <c r="AD76" i="4"/>
  <c r="AI84" i="4"/>
  <c r="AG132" i="4"/>
  <c r="AD140" i="4"/>
  <c r="AE204" i="4"/>
  <c r="AH220" i="4"/>
  <c r="AI276" i="4"/>
  <c r="Z284" i="4"/>
  <c r="AC13" i="4"/>
  <c r="AH77" i="4"/>
  <c r="AH93" i="4"/>
  <c r="AC125" i="4"/>
  <c r="AG141" i="4"/>
  <c r="AA165" i="4"/>
  <c r="AK205" i="4"/>
  <c r="AA213" i="4"/>
  <c r="Z229" i="4"/>
  <c r="AJ81" i="4"/>
  <c r="AC97" i="4"/>
  <c r="AK137" i="4"/>
  <c r="Z161" i="4"/>
  <c r="AC217" i="4"/>
  <c r="AC281" i="4"/>
  <c r="AC65" i="4"/>
  <c r="AH129" i="4"/>
  <c r="AD10" i="4"/>
  <c r="Z74" i="4"/>
  <c r="AA82" i="4"/>
  <c r="AD98" i="4"/>
  <c r="AD122" i="4"/>
  <c r="AC130" i="4"/>
  <c r="AA146" i="4"/>
  <c r="AC154" i="4"/>
  <c r="AC162" i="4"/>
  <c r="AB170" i="4"/>
  <c r="AB210" i="4"/>
  <c r="AB218" i="4"/>
  <c r="AE226" i="4"/>
  <c r="AB234" i="4"/>
  <c r="Z282" i="4"/>
  <c r="AG11" i="4"/>
  <c r="AJ107" i="4"/>
  <c r="AI28" i="4"/>
  <c r="AJ15" i="4"/>
  <c r="AA103" i="4"/>
  <c r="AA23" i="4"/>
  <c r="AD247" i="4"/>
  <c r="AA194" i="4"/>
  <c r="AC283" i="4"/>
  <c r="Z268" i="4"/>
  <c r="AC259" i="4"/>
  <c r="AA259" i="4"/>
  <c r="AB51" i="4"/>
  <c r="AH59" i="4"/>
  <c r="Z179" i="4"/>
  <c r="Z195" i="4"/>
  <c r="AI36" i="4"/>
  <c r="Z60" i="4"/>
  <c r="AI68" i="4"/>
  <c r="AK108" i="4"/>
  <c r="Z180" i="4"/>
  <c r="Z188" i="4"/>
  <c r="Z228" i="4"/>
  <c r="AJ252" i="4"/>
  <c r="AI55" i="4"/>
  <c r="AA87" i="4"/>
  <c r="AD16" i="4"/>
  <c r="Z32" i="4"/>
  <c r="AC40" i="4"/>
  <c r="Z88" i="4"/>
  <c r="AK104" i="4"/>
  <c r="Z112" i="4"/>
  <c r="AB152" i="4"/>
  <c r="AK232" i="4"/>
  <c r="AA248" i="4"/>
  <c r="AC256" i="4"/>
  <c r="AA264" i="4"/>
  <c r="AC272" i="4"/>
  <c r="AE172" i="4"/>
  <c r="AC57" i="4"/>
  <c r="AH105" i="4"/>
  <c r="Z265" i="4"/>
  <c r="AC273" i="4"/>
  <c r="Z255" i="4"/>
  <c r="Z279" i="4"/>
  <c r="Z18" i="4"/>
  <c r="Z50" i="4"/>
  <c r="Z90" i="4"/>
  <c r="Z194" i="4"/>
  <c r="AD50" i="4"/>
  <c r="Z116" i="4"/>
  <c r="AC18" i="4"/>
  <c r="Z138" i="4"/>
  <c r="AC168" i="4"/>
  <c r="AA108" i="4"/>
  <c r="AC194" i="4"/>
  <c r="Z82" i="4"/>
  <c r="AA168" i="4"/>
  <c r="Z130" i="4"/>
  <c r="AJ130" i="4"/>
  <c r="AB266" i="4"/>
  <c r="Z146" i="4"/>
  <c r="AG244" i="4"/>
  <c r="AH16" i="4"/>
  <c r="AG90" i="4"/>
  <c r="AG18" i="4"/>
  <c r="AD248" i="4"/>
  <c r="AE17" i="4"/>
  <c r="AK33" i="4"/>
  <c r="AB41" i="4"/>
  <c r="AB49" i="4"/>
  <c r="AD89" i="4"/>
  <c r="AB113" i="4"/>
  <c r="AB193" i="4"/>
  <c r="AA201" i="4"/>
  <c r="AG233" i="4"/>
  <c r="AB265" i="4"/>
  <c r="AB59" i="4"/>
  <c r="AB116" i="4"/>
  <c r="AB188" i="4"/>
  <c r="AE18" i="4"/>
  <c r="AA26" i="4"/>
  <c r="AC34" i="4"/>
  <c r="AA42" i="4"/>
  <c r="AG50" i="4"/>
  <c r="AD66" i="4"/>
  <c r="AC90" i="4"/>
  <c r="AA106" i="4"/>
  <c r="AD114" i="4"/>
  <c r="AB186" i="4"/>
  <c r="AB194" i="4"/>
  <c r="AA202" i="4"/>
  <c r="AC242" i="4"/>
  <c r="AC250" i="4"/>
  <c r="AH258" i="4"/>
  <c r="Z266" i="4"/>
  <c r="AC290" i="4"/>
  <c r="Z76" i="4"/>
  <c r="Z132" i="4"/>
  <c r="AA71" i="4"/>
  <c r="AB132" i="4"/>
  <c r="AA193" i="4"/>
  <c r="AB290" i="4"/>
  <c r="AC211" i="4"/>
  <c r="AK26" i="4"/>
  <c r="AD64" i="4"/>
  <c r="AD184" i="4"/>
  <c r="AD266" i="4"/>
  <c r="AB200" i="4"/>
  <c r="AB19" i="4"/>
  <c r="AB43" i="4"/>
  <c r="AE59" i="4"/>
  <c r="AB91" i="4"/>
  <c r="AA135" i="4"/>
  <c r="AD67" i="4"/>
  <c r="AH211" i="4"/>
  <c r="AA20" i="4"/>
  <c r="AG108" i="4"/>
  <c r="AG260" i="4"/>
  <c r="Z20" i="4"/>
  <c r="AC275" i="4"/>
  <c r="AH68" i="4"/>
  <c r="AI21" i="4"/>
  <c r="Z29" i="4"/>
  <c r="Z45" i="4"/>
  <c r="AJ53" i="4"/>
  <c r="AI61" i="4"/>
  <c r="Z109" i="4"/>
  <c r="AH117" i="4"/>
  <c r="AA181" i="4"/>
  <c r="AB197" i="4"/>
  <c r="AB237" i="4"/>
  <c r="AI253" i="4"/>
  <c r="AB261" i="4"/>
  <c r="Z269" i="4"/>
  <c r="Z285" i="4"/>
  <c r="Z26" i="4"/>
  <c r="Z226" i="4"/>
  <c r="AB84" i="4"/>
  <c r="AC98" i="4"/>
  <c r="AK8" i="4"/>
  <c r="AG82" i="4"/>
  <c r="AE140" i="4"/>
  <c r="AI220" i="4"/>
  <c r="AB35" i="4"/>
  <c r="AE251" i="4"/>
  <c r="Z283" i="4"/>
  <c r="AE28" i="4"/>
  <c r="AD60" i="4"/>
  <c r="AA100" i="4"/>
  <c r="AA76" i="4"/>
  <c r="AA140" i="4"/>
  <c r="AC96" i="4"/>
  <c r="AD35" i="4"/>
  <c r="AJ139" i="4"/>
  <c r="AA38" i="4"/>
  <c r="AA62" i="4"/>
  <c r="AA102" i="4"/>
  <c r="AH118" i="4"/>
  <c r="AA174" i="4"/>
  <c r="Z222" i="4"/>
  <c r="Z246" i="4"/>
  <c r="AH262" i="4"/>
  <c r="Z270" i="4"/>
  <c r="Z106" i="4"/>
  <c r="Z258" i="4"/>
  <c r="AA35" i="4"/>
  <c r="AB100" i="4"/>
  <c r="AB167" i="4"/>
  <c r="AA228" i="4"/>
  <c r="AC122" i="4"/>
  <c r="AE152" i="4"/>
  <c r="AH227" i="4"/>
  <c r="AA53" i="4"/>
  <c r="Z28" i="4"/>
  <c r="Z84" i="4"/>
  <c r="Z114" i="4"/>
  <c r="Z172" i="4"/>
  <c r="AB36" i="4"/>
  <c r="AA55" i="4"/>
  <c r="AB76" i="4"/>
  <c r="AB140" i="4"/>
  <c r="AA197" i="4"/>
  <c r="AC58" i="4"/>
  <c r="AC109" i="4"/>
  <c r="AJ10" i="4"/>
  <c r="AD32" i="4"/>
  <c r="AE50" i="4"/>
  <c r="AD68" i="4"/>
  <c r="AE85" i="4"/>
  <c r="AD116" i="4"/>
  <c r="AG265" i="4"/>
  <c r="AA21" i="4"/>
  <c r="Z34" i="4"/>
  <c r="Z66" i="4"/>
  <c r="Z92" i="4"/>
  <c r="Z122" i="4"/>
  <c r="Z210" i="4"/>
  <c r="Z242" i="4"/>
  <c r="AB12" i="4"/>
  <c r="AB60" i="4"/>
  <c r="AA117" i="4"/>
  <c r="AA229" i="4"/>
  <c r="AB277" i="4"/>
  <c r="AC141" i="4"/>
  <c r="AC234" i="4"/>
  <c r="AG21" i="4"/>
  <c r="AG35" i="4"/>
  <c r="AD91" i="4"/>
  <c r="AK160" i="4"/>
  <c r="AJ188" i="4"/>
  <c r="AH13" i="4"/>
  <c r="Z77" i="4"/>
  <c r="Z10" i="4"/>
  <c r="Z36" i="4"/>
  <c r="Z68" i="4"/>
  <c r="Z124" i="4"/>
  <c r="Z212" i="4"/>
  <c r="Z276" i="4"/>
  <c r="AA15" i="4"/>
  <c r="AA44" i="4"/>
  <c r="AA160" i="4"/>
  <c r="AB229" i="4"/>
  <c r="AB283" i="4"/>
  <c r="AC74" i="4"/>
  <c r="AD13" i="4"/>
  <c r="AD36" i="4"/>
  <c r="AD74" i="4"/>
  <c r="AE92" i="4"/>
  <c r="AG120" i="4"/>
  <c r="AE162" i="4"/>
  <c r="AD242" i="4"/>
  <c r="AC85" i="4"/>
  <c r="AJ93" i="4"/>
  <c r="Z237" i="4"/>
  <c r="AC61" i="4"/>
  <c r="Z12" i="4"/>
  <c r="Z42" i="4"/>
  <c r="Z98" i="4"/>
  <c r="Z125" i="4"/>
  <c r="Z187" i="4"/>
  <c r="Z218" i="4"/>
  <c r="Z281" i="4"/>
  <c r="AB20" i="4"/>
  <c r="AB44" i="4"/>
  <c r="AB68" i="4"/>
  <c r="AB92" i="4"/>
  <c r="AB184" i="4"/>
  <c r="AB208" i="4"/>
  <c r="AB251" i="4"/>
  <c r="AA284" i="4"/>
  <c r="AC82" i="4"/>
  <c r="AC156" i="4"/>
  <c r="AG13" i="4"/>
  <c r="AG26" i="4"/>
  <c r="AK40" i="4"/>
  <c r="AE76" i="4"/>
  <c r="AH125" i="4"/>
  <c r="AK162" i="4"/>
  <c r="AG242" i="4"/>
  <c r="AE280" i="4"/>
  <c r="AC33" i="4"/>
  <c r="AE41" i="4"/>
  <c r="Z31" i="4"/>
  <c r="AK31" i="4"/>
  <c r="AB87" i="4"/>
  <c r="AH87" i="4"/>
  <c r="Z111" i="4"/>
  <c r="AE111" i="4"/>
  <c r="AG143" i="4"/>
  <c r="AI143" i="4"/>
  <c r="AI271" i="4"/>
  <c r="AA271" i="4"/>
  <c r="Z201" i="4"/>
  <c r="AA85" i="4"/>
  <c r="AA119" i="4"/>
  <c r="AB253" i="4"/>
  <c r="AH229" i="4"/>
  <c r="AG253" i="4"/>
  <c r="AK9" i="4"/>
  <c r="AD9" i="4"/>
  <c r="AC73" i="4"/>
  <c r="AK73" i="4"/>
  <c r="AB241" i="4"/>
  <c r="Z241" i="4"/>
  <c r="AG289" i="4"/>
  <c r="Z289" i="4"/>
  <c r="AA143" i="4"/>
  <c r="AI97" i="4"/>
  <c r="AH11" i="4"/>
  <c r="AE11" i="4"/>
  <c r="AA11" i="4"/>
  <c r="Z11" i="4"/>
  <c r="AA19" i="4"/>
  <c r="Z19" i="4"/>
  <c r="AH27" i="4"/>
  <c r="AA27" i="4"/>
  <c r="Z27" i="4"/>
  <c r="AH35" i="4"/>
  <c r="Z35" i="4"/>
  <c r="AG43" i="4"/>
  <c r="AA43" i="4"/>
  <c r="Z43" i="4"/>
  <c r="AA51" i="4"/>
  <c r="Z51" i="4"/>
  <c r="AG59" i="4"/>
  <c r="AA59" i="4"/>
  <c r="Z59" i="4"/>
  <c r="AE67" i="4"/>
  <c r="Z67" i="4"/>
  <c r="AA75" i="4"/>
  <c r="Z75" i="4"/>
  <c r="AA91" i="4"/>
  <c r="AH91" i="4"/>
  <c r="Z91" i="4"/>
  <c r="Z99" i="4"/>
  <c r="AJ99" i="4"/>
  <c r="AA107" i="4"/>
  <c r="Z107" i="4"/>
  <c r="AA115" i="4"/>
  <c r="Z115" i="4"/>
  <c r="AA123" i="4"/>
  <c r="Z123" i="4"/>
  <c r="AE131" i="4"/>
  <c r="AD131" i="4"/>
  <c r="Z131" i="4"/>
  <c r="AA139" i="4"/>
  <c r="AA147" i="4"/>
  <c r="Z147" i="4"/>
  <c r="Z171" i="4"/>
  <c r="AK171" i="4"/>
  <c r="AH179" i="4"/>
  <c r="AI179" i="4"/>
  <c r="AC219" i="4"/>
  <c r="AB227" i="4"/>
  <c r="Z227" i="4"/>
  <c r="AG235" i="4"/>
  <c r="AB235" i="4"/>
  <c r="AE235" i="4"/>
  <c r="Z259" i="4"/>
  <c r="AB259" i="4"/>
  <c r="AD259" i="4"/>
  <c r="AI267" i="4"/>
  <c r="Z251" i="4"/>
  <c r="AB11" i="4"/>
  <c r="AB27" i="4"/>
  <c r="AA95" i="4"/>
  <c r="AA111" i="4"/>
  <c r="AA131" i="4"/>
  <c r="AB147" i="4"/>
  <c r="AB171" i="4"/>
  <c r="AB201" i="4"/>
  <c r="AA235" i="4"/>
  <c r="AC235" i="4"/>
  <c r="AE9" i="4"/>
  <c r="AH61" i="4"/>
  <c r="AG85" i="4"/>
  <c r="AE99" i="4"/>
  <c r="AD81" i="4"/>
  <c r="AK81" i="4"/>
  <c r="AB121" i="4"/>
  <c r="AC121" i="4"/>
  <c r="AJ145" i="4"/>
  <c r="AH145" i="4"/>
  <c r="AB177" i="4"/>
  <c r="Z177" i="4"/>
  <c r="AE273" i="4"/>
  <c r="Z273" i="4"/>
  <c r="AC233" i="4"/>
  <c r="AJ49" i="4"/>
  <c r="AB233" i="4"/>
  <c r="Z61" i="4"/>
  <c r="Z193" i="4"/>
  <c r="Z253" i="4"/>
  <c r="AA63" i="4"/>
  <c r="AA99" i="4"/>
  <c r="AB115" i="4"/>
  <c r="AB131" i="4"/>
  <c r="AB217" i="4"/>
  <c r="AA239" i="4"/>
  <c r="AD27" i="4"/>
  <c r="AJ105" i="4"/>
  <c r="AJ121" i="4"/>
  <c r="AD279" i="4"/>
  <c r="AE209" i="4"/>
  <c r="AB209" i="4"/>
  <c r="AA127" i="4"/>
  <c r="AC9" i="4"/>
  <c r="AE73" i="4"/>
  <c r="AJ13" i="4"/>
  <c r="AA13" i="4"/>
  <c r="AH21" i="4"/>
  <c r="Z21" i="4"/>
  <c r="AE21" i="4"/>
  <c r="AC29" i="4"/>
  <c r="AG37" i="4"/>
  <c r="AA37" i="4"/>
  <c r="AJ45" i="4"/>
  <c r="AA45" i="4"/>
  <c r="AE45" i="4"/>
  <c r="AC45" i="4"/>
  <c r="AC53" i="4"/>
  <c r="Z53" i="4"/>
  <c r="AI53" i="4"/>
  <c r="AB61" i="4"/>
  <c r="AG61" i="4"/>
  <c r="AA61" i="4"/>
  <c r="AJ77" i="4"/>
  <c r="AA77" i="4"/>
  <c r="AC77" i="4"/>
  <c r="AB85" i="4"/>
  <c r="AB101" i="4"/>
  <c r="AC101" i="4"/>
  <c r="AA101" i="4"/>
  <c r="Z101" i="4"/>
  <c r="AD109" i="4"/>
  <c r="AA109" i="4"/>
  <c r="AC117" i="4"/>
  <c r="Z117" i="4"/>
  <c r="AB125" i="4"/>
  <c r="AG125" i="4"/>
  <c r="AA125" i="4"/>
  <c r="AE133" i="4"/>
  <c r="AA133" i="4"/>
  <c r="Z133" i="4"/>
  <c r="AB141" i="4"/>
  <c r="AA141" i="4"/>
  <c r="AB165" i="4"/>
  <c r="AG181" i="4"/>
  <c r="AB181" i="4"/>
  <c r="Z181" i="4"/>
  <c r="AK197" i="4"/>
  <c r="Z197" i="4"/>
  <c r="AJ197" i="4"/>
  <c r="AA205" i="4"/>
  <c r="AG213" i="4"/>
  <c r="AB213" i="4"/>
  <c r="Z213" i="4"/>
  <c r="AJ229" i="4"/>
  <c r="AI229" i="4"/>
  <c r="AK261" i="4"/>
  <c r="Z261" i="4"/>
  <c r="AI285" i="4"/>
  <c r="AK285" i="4"/>
  <c r="AB285" i="4"/>
  <c r="Z13" i="4"/>
  <c r="Z141" i="4"/>
  <c r="Z235" i="4"/>
  <c r="Z257" i="4"/>
  <c r="AA31" i="4"/>
  <c r="AA67" i="4"/>
  <c r="AB99" i="4"/>
  <c r="AA177" i="4"/>
  <c r="AA219" i="4"/>
  <c r="AB245" i="4"/>
  <c r="AB267" i="4"/>
  <c r="AC21" i="4"/>
  <c r="AC137" i="4"/>
  <c r="AD11" i="4"/>
  <c r="AD41" i="4"/>
  <c r="AG53" i="4"/>
  <c r="AE77" i="4"/>
  <c r="AD107" i="4"/>
  <c r="AD123" i="4"/>
  <c r="Z162" i="4"/>
  <c r="Z202" i="4"/>
  <c r="AA52" i="4"/>
  <c r="AA84" i="4"/>
  <c r="AA116" i="4"/>
  <c r="AA186" i="4"/>
  <c r="AC10" i="4"/>
  <c r="AC146" i="4"/>
  <c r="AC186" i="4"/>
  <c r="AC258" i="4"/>
  <c r="AI18" i="4"/>
  <c r="AE26" i="4"/>
  <c r="AG68" i="4"/>
  <c r="AG76" i="4"/>
  <c r="AD172" i="4"/>
  <c r="Z220" i="4"/>
  <c r="Z234" i="4"/>
  <c r="AA36" i="4"/>
  <c r="AA68" i="4"/>
  <c r="AA132" i="4"/>
  <c r="AB192" i="4"/>
  <c r="AC32" i="4"/>
  <c r="AC248" i="4"/>
  <c r="AK256" i="4"/>
  <c r="Z186" i="4"/>
  <c r="Z236" i="4"/>
  <c r="Z250" i="4"/>
  <c r="AA60" i="4"/>
  <c r="AA92" i="4"/>
  <c r="AB176" i="4"/>
  <c r="AB258" i="4"/>
  <c r="AC8" i="4"/>
  <c r="AC210" i="4"/>
  <c r="AE36" i="4"/>
  <c r="AK90" i="4"/>
  <c r="AE132" i="4"/>
  <c r="AD152" i="4"/>
  <c r="AJ170" i="4"/>
  <c r="AD30" i="4"/>
  <c r="AK30" i="4"/>
  <c r="AD54" i="4"/>
  <c r="AJ54" i="4"/>
  <c r="AE86" i="4"/>
  <c r="AD86" i="4"/>
  <c r="AH86" i="4"/>
  <c r="AC86" i="4"/>
  <c r="AK110" i="4"/>
  <c r="AJ110" i="4"/>
  <c r="AE110" i="4"/>
  <c r="AD110" i="4"/>
  <c r="AH110" i="4"/>
  <c r="AC110" i="4"/>
  <c r="AD134" i="4"/>
  <c r="AE134" i="4"/>
  <c r="AC134" i="4"/>
  <c r="AG182" i="4"/>
  <c r="AD182" i="4"/>
  <c r="AH182" i="4"/>
  <c r="AE182" i="4"/>
  <c r="AK182" i="4"/>
  <c r="AJ182" i="4"/>
  <c r="AI182" i="4"/>
  <c r="AG206" i="4"/>
  <c r="AE206" i="4"/>
  <c r="AD206" i="4"/>
  <c r="AJ206" i="4"/>
  <c r="AI206" i="4"/>
  <c r="AH206" i="4"/>
  <c r="AG230" i="4"/>
  <c r="AE230" i="4"/>
  <c r="AD230" i="4"/>
  <c r="AI230" i="4"/>
  <c r="AH230" i="4"/>
  <c r="AA230" i="4"/>
  <c r="AK230" i="4"/>
  <c r="AG254" i="4"/>
  <c r="AE254" i="4"/>
  <c r="AD254" i="4"/>
  <c r="AH254" i="4"/>
  <c r="AK254" i="4"/>
  <c r="AJ254" i="4"/>
  <c r="AA254" i="4"/>
  <c r="AI254" i="4"/>
  <c r="AG286" i="4"/>
  <c r="AE286" i="4"/>
  <c r="AD286" i="4"/>
  <c r="AK286" i="4"/>
  <c r="AG70" i="4"/>
  <c r="AG23" i="4"/>
  <c r="AE23" i="4"/>
  <c r="AD23" i="4"/>
  <c r="AJ23" i="4"/>
  <c r="AI23" i="4"/>
  <c r="AK47" i="4"/>
  <c r="AG71" i="4"/>
  <c r="AE71" i="4"/>
  <c r="AD71" i="4"/>
  <c r="AJ71" i="4"/>
  <c r="AH71" i="4"/>
  <c r="AD103" i="4"/>
  <c r="AK103" i="4"/>
  <c r="AI103" i="4"/>
  <c r="AH103" i="4"/>
  <c r="AD135" i="4"/>
  <c r="AK135" i="4"/>
  <c r="AI135" i="4"/>
  <c r="AH135" i="4"/>
  <c r="AG135" i="4"/>
  <c r="AJ135" i="4"/>
  <c r="AK159" i="4"/>
  <c r="AG159" i="4"/>
  <c r="AH183" i="4"/>
  <c r="AE183" i="4"/>
  <c r="AI183" i="4"/>
  <c r="AH207" i="4"/>
  <c r="AG207" i="4"/>
  <c r="AE207" i="4"/>
  <c r="AK207" i="4"/>
  <c r="AJ207" i="4"/>
  <c r="AC207" i="4"/>
  <c r="AI207" i="4"/>
  <c r="AH231" i="4"/>
  <c r="AG231" i="4"/>
  <c r="AE231" i="4"/>
  <c r="AK231" i="4"/>
  <c r="AJ231" i="4"/>
  <c r="AI231" i="4"/>
  <c r="AD231" i="4"/>
  <c r="AC231" i="4"/>
  <c r="AH263" i="4"/>
  <c r="AG263" i="4"/>
  <c r="AE263" i="4"/>
  <c r="AI263" i="4"/>
  <c r="AD263" i="4"/>
  <c r="AK263" i="4"/>
  <c r="AJ263" i="4"/>
  <c r="AC263" i="4"/>
  <c r="AE287" i="4"/>
  <c r="AC287" i="4"/>
  <c r="AK287" i="4"/>
  <c r="AB23" i="4"/>
  <c r="AB31" i="4"/>
  <c r="AB103" i="4"/>
  <c r="AB111" i="4"/>
  <c r="AB127" i="4"/>
  <c r="AB135" i="4"/>
  <c r="AB143" i="4"/>
  <c r="AB239" i="4"/>
  <c r="AB246" i="4"/>
  <c r="AB278" i="4"/>
  <c r="AC111" i="4"/>
  <c r="AH24" i="4"/>
  <c r="AG24" i="4"/>
  <c r="AE24" i="4"/>
  <c r="AD24" i="4"/>
  <c r="AH48" i="4"/>
  <c r="AG48" i="4"/>
  <c r="AE48" i="4"/>
  <c r="AE96" i="4"/>
  <c r="AK96" i="4"/>
  <c r="AJ96" i="4"/>
  <c r="AD96" i="4"/>
  <c r="AE120" i="4"/>
  <c r="AD120" i="4"/>
  <c r="AK120" i="4"/>
  <c r="AJ120" i="4"/>
  <c r="AI120" i="4"/>
  <c r="AG160" i="4"/>
  <c r="AE160" i="4"/>
  <c r="AD160" i="4"/>
  <c r="AH160" i="4"/>
  <c r="AI184" i="4"/>
  <c r="AG184" i="4"/>
  <c r="AK184" i="4"/>
  <c r="AJ184" i="4"/>
  <c r="AI208" i="4"/>
  <c r="AH208" i="4"/>
  <c r="AG208" i="4"/>
  <c r="AJ208" i="4"/>
  <c r="AE208" i="4"/>
  <c r="AD208" i="4"/>
  <c r="AK208" i="4"/>
  <c r="AI240" i="4"/>
  <c r="AH240" i="4"/>
  <c r="AG240" i="4"/>
  <c r="AK240" i="4"/>
  <c r="AB240" i="4"/>
  <c r="AI264" i="4"/>
  <c r="AH264" i="4"/>
  <c r="AG264" i="4"/>
  <c r="AK264" i="4"/>
  <c r="AD264" i="4"/>
  <c r="AJ264" i="4"/>
  <c r="AE264" i="4"/>
  <c r="AB264" i="4"/>
  <c r="AI288" i="4"/>
  <c r="AH288" i="4"/>
  <c r="AG288" i="4"/>
  <c r="AK288" i="4"/>
  <c r="AJ288" i="4"/>
  <c r="AD288" i="4"/>
  <c r="AB288" i="4"/>
  <c r="AA40" i="4"/>
  <c r="AA48" i="4"/>
  <c r="AA112" i="4"/>
  <c r="AA120" i="4"/>
  <c r="AA136" i="4"/>
  <c r="AA247" i="4"/>
  <c r="AC87" i="4"/>
  <c r="AC198" i="4"/>
  <c r="AC224" i="4"/>
  <c r="AK23" i="4"/>
  <c r="AK55" i="4"/>
  <c r="AI88" i="4"/>
  <c r="AH94" i="4"/>
  <c r="AE103" i="4"/>
  <c r="AG112" i="4"/>
  <c r="AI166" i="4"/>
  <c r="AE184" i="4"/>
  <c r="AI191" i="4"/>
  <c r="AE288" i="4"/>
  <c r="AG25" i="4"/>
  <c r="AJ25" i="4"/>
  <c r="AE25" i="4"/>
  <c r="AI57" i="4"/>
  <c r="AH57" i="4"/>
  <c r="AI73" i="4"/>
  <c r="AH73" i="4"/>
  <c r="AG73" i="4"/>
  <c r="AJ73" i="4"/>
  <c r="AD73" i="4"/>
  <c r="AG97" i="4"/>
  <c r="AE97" i="4"/>
  <c r="AD97" i="4"/>
  <c r="AH97" i="4"/>
  <c r="AK97" i="4"/>
  <c r="AJ97" i="4"/>
  <c r="AG129" i="4"/>
  <c r="AE129" i="4"/>
  <c r="AD129" i="4"/>
  <c r="AK129" i="4"/>
  <c r="AJ129" i="4"/>
  <c r="AI129" i="4"/>
  <c r="AH161" i="4"/>
  <c r="AG161" i="4"/>
  <c r="AE161" i="4"/>
  <c r="AK161" i="4"/>
  <c r="AJ161" i="4"/>
  <c r="AI161" i="4"/>
  <c r="AD161" i="4"/>
  <c r="AJ177" i="4"/>
  <c r="AH177" i="4"/>
  <c r="AK177" i="4"/>
  <c r="AI177" i="4"/>
  <c r="AJ201" i="4"/>
  <c r="AI201" i="4"/>
  <c r="AH201" i="4"/>
  <c r="AE201" i="4"/>
  <c r="AD201" i="4"/>
  <c r="AJ225" i="4"/>
  <c r="AD225" i="4"/>
  <c r="AJ273" i="4"/>
  <c r="AI273" i="4"/>
  <c r="AH273" i="4"/>
  <c r="AD273" i="4"/>
  <c r="AK273" i="4"/>
  <c r="AA273" i="4"/>
  <c r="AG273" i="4"/>
  <c r="AB40" i="4"/>
  <c r="AB48" i="4"/>
  <c r="AB80" i="4"/>
  <c r="AB88" i="4"/>
  <c r="AB286" i="4"/>
  <c r="AC24" i="4"/>
  <c r="AC49" i="4"/>
  <c r="AC174" i="4"/>
  <c r="AC200" i="4"/>
  <c r="AC289" i="4"/>
  <c r="AI9" i="4"/>
  <c r="AI24" i="4"/>
  <c r="AD33" i="4"/>
  <c r="AH62" i="4"/>
  <c r="AJ88" i="4"/>
  <c r="AG103" i="4"/>
  <c r="AI126" i="4"/>
  <c r="AH136" i="4"/>
  <c r="AE192" i="4"/>
  <c r="AH18" i="4"/>
  <c r="AK18" i="4"/>
  <c r="AJ50" i="4"/>
  <c r="AI50" i="4"/>
  <c r="AH50" i="4"/>
  <c r="AJ74" i="4"/>
  <c r="AI74" i="4"/>
  <c r="AH74" i="4"/>
  <c r="AK74" i="4"/>
  <c r="AH98" i="4"/>
  <c r="AG98" i="4"/>
  <c r="AE98" i="4"/>
  <c r="AK98" i="4"/>
  <c r="AJ98" i="4"/>
  <c r="AI98" i="4"/>
  <c r="AH122" i="4"/>
  <c r="AG122" i="4"/>
  <c r="AE122" i="4"/>
  <c r="AK122" i="4"/>
  <c r="AJ122" i="4"/>
  <c r="AI122" i="4"/>
  <c r="AD154" i="4"/>
  <c r="AE154" i="4"/>
  <c r="AJ154" i="4"/>
  <c r="AG154" i="4"/>
  <c r="AK178" i="4"/>
  <c r="AI178" i="4"/>
  <c r="AE178" i="4"/>
  <c r="AK202" i="4"/>
  <c r="AJ202" i="4"/>
  <c r="AI202" i="4"/>
  <c r="AH202" i="4"/>
  <c r="AG202" i="4"/>
  <c r="AE202" i="4"/>
  <c r="AD202" i="4"/>
  <c r="AK226" i="4"/>
  <c r="AJ226" i="4"/>
  <c r="AI226" i="4"/>
  <c r="AH226" i="4"/>
  <c r="AG226" i="4"/>
  <c r="AD226" i="4"/>
  <c r="AA226" i="4"/>
  <c r="AK250" i="4"/>
  <c r="AJ250" i="4"/>
  <c r="AI250" i="4"/>
  <c r="AH250" i="4"/>
  <c r="AG250" i="4"/>
  <c r="AE250" i="4"/>
  <c r="AA250" i="4"/>
  <c r="AD250" i="4"/>
  <c r="AA282" i="4"/>
  <c r="Z86" i="4"/>
  <c r="AA33" i="4"/>
  <c r="AA41" i="4"/>
  <c r="AA49" i="4"/>
  <c r="AA89" i="4"/>
  <c r="AA97" i="4"/>
  <c r="AA113" i="4"/>
  <c r="AA137" i="4"/>
  <c r="AA145" i="4"/>
  <c r="AB161" i="4"/>
  <c r="AB202" i="4"/>
  <c r="AB214" i="4"/>
  <c r="AA280" i="4"/>
  <c r="AC201" i="4"/>
  <c r="AJ24" i="4"/>
  <c r="AE42" i="4"/>
  <c r="AD48" i="4"/>
  <c r="AK50" i="4"/>
  <c r="AI71" i="4"/>
  <c r="AE74" i="4"/>
  <c r="AG86" i="4"/>
  <c r="AD118" i="4"/>
  <c r="AK145" i="4"/>
  <c r="AG282" i="4"/>
  <c r="AJ11" i="4"/>
  <c r="AI11" i="4"/>
  <c r="AC11" i="4"/>
  <c r="AK19" i="4"/>
  <c r="AC19" i="4"/>
  <c r="AK27" i="4"/>
  <c r="AJ27" i="4"/>
  <c r="AI27" i="4"/>
  <c r="AG27" i="4"/>
  <c r="AE27" i="4"/>
  <c r="AC27" i="4"/>
  <c r="AK35" i="4"/>
  <c r="AJ35" i="4"/>
  <c r="AI35" i="4"/>
  <c r="AE35" i="4"/>
  <c r="AC35" i="4"/>
  <c r="AK43" i="4"/>
  <c r="AJ43" i="4"/>
  <c r="AI43" i="4"/>
  <c r="AH43" i="4"/>
  <c r="AC43" i="4"/>
  <c r="AK51" i="4"/>
  <c r="AJ51" i="4"/>
  <c r="AI51" i="4"/>
  <c r="AH51" i="4"/>
  <c r="AE51" i="4"/>
  <c r="AD51" i="4"/>
  <c r="AC51" i="4"/>
  <c r="AK59" i="4"/>
  <c r="AJ59" i="4"/>
  <c r="AI59" i="4"/>
  <c r="AD59" i="4"/>
  <c r="AC59" i="4"/>
  <c r="AK67" i="4"/>
  <c r="AJ67" i="4"/>
  <c r="AI67" i="4"/>
  <c r="AH67" i="4"/>
  <c r="AG67" i="4"/>
  <c r="AC67" i="4"/>
  <c r="AK75" i="4"/>
  <c r="AJ75" i="4"/>
  <c r="AI75" i="4"/>
  <c r="AG75" i="4"/>
  <c r="AD75" i="4"/>
  <c r="AC75" i="4"/>
  <c r="AK91" i="4"/>
  <c r="AJ91" i="4"/>
  <c r="AI91" i="4"/>
  <c r="AG91" i="4"/>
  <c r="AE91" i="4"/>
  <c r="AC91" i="4"/>
  <c r="AI99" i="4"/>
  <c r="AH99" i="4"/>
  <c r="AG99" i="4"/>
  <c r="AD99" i="4"/>
  <c r="AC99" i="4"/>
  <c r="AI107" i="4"/>
  <c r="AH107" i="4"/>
  <c r="AG107" i="4"/>
  <c r="AK107" i="4"/>
  <c r="AE107" i="4"/>
  <c r="AI115" i="4"/>
  <c r="AH115" i="4"/>
  <c r="AG115" i="4"/>
  <c r="AJ115" i="4"/>
  <c r="AE115" i="4"/>
  <c r="AD115" i="4"/>
  <c r="AK115" i="4"/>
  <c r="AC115" i="4"/>
  <c r="AI123" i="4"/>
  <c r="AH123" i="4"/>
  <c r="AG123" i="4"/>
  <c r="AK123" i="4"/>
  <c r="AC123" i="4"/>
  <c r="AI131" i="4"/>
  <c r="AH131" i="4"/>
  <c r="AG131" i="4"/>
  <c r="AK131" i="4"/>
  <c r="AJ131" i="4"/>
  <c r="AC131" i="4"/>
  <c r="AI139" i="4"/>
  <c r="AH139" i="4"/>
  <c r="AG139" i="4"/>
  <c r="AE139" i="4"/>
  <c r="AI147" i="4"/>
  <c r="AH147" i="4"/>
  <c r="AG147" i="4"/>
  <c r="AJ147" i="4"/>
  <c r="AE147" i="4"/>
  <c r="AC147" i="4"/>
  <c r="AK155" i="4"/>
  <c r="AG155" i="4"/>
  <c r="AC155" i="4"/>
  <c r="AI155" i="4"/>
  <c r="AH155" i="4"/>
  <c r="AJ171" i="4"/>
  <c r="AI171" i="4"/>
  <c r="AH171" i="4"/>
  <c r="AE171" i="4"/>
  <c r="AD171" i="4"/>
  <c r="AG171" i="4"/>
  <c r="AC171" i="4"/>
  <c r="AJ179" i="4"/>
  <c r="AG179" i="4"/>
  <c r="AE179" i="4"/>
  <c r="AD179" i="4"/>
  <c r="AJ187" i="4"/>
  <c r="AD187" i="4"/>
  <c r="AK187" i="4"/>
  <c r="AI187" i="4"/>
  <c r="AH187" i="4"/>
  <c r="AK195" i="4"/>
  <c r="AJ195" i="4"/>
  <c r="AI195" i="4"/>
  <c r="AH195" i="4"/>
  <c r="AJ203" i="4"/>
  <c r="AE203" i="4"/>
  <c r="AD203" i="4"/>
  <c r="AK211" i="4"/>
  <c r="AJ211" i="4"/>
  <c r="AI211" i="4"/>
  <c r="AG211" i="4"/>
  <c r="AE211" i="4"/>
  <c r="AD211" i="4"/>
  <c r="AK219" i="4"/>
  <c r="AJ219" i="4"/>
  <c r="AI219" i="4"/>
  <c r="AK227" i="4"/>
  <c r="AJ227" i="4"/>
  <c r="AD227" i="4"/>
  <c r="AI227" i="4"/>
  <c r="AK235" i="4"/>
  <c r="AJ235" i="4"/>
  <c r="AI235" i="4"/>
  <c r="AH235" i="4"/>
  <c r="AD235" i="4"/>
  <c r="AK243" i="4"/>
  <c r="AJ243" i="4"/>
  <c r="AG243" i="4"/>
  <c r="AE243" i="4"/>
  <c r="AD243" i="4"/>
  <c r="AI243" i="4"/>
  <c r="AH243" i="4"/>
  <c r="AK251" i="4"/>
  <c r="AJ251" i="4"/>
  <c r="AD251" i="4"/>
  <c r="AK259" i="4"/>
  <c r="AJ259" i="4"/>
  <c r="AI259" i="4"/>
  <c r="AH259" i="4"/>
  <c r="AG259" i="4"/>
  <c r="AE259" i="4"/>
  <c r="AJ267" i="4"/>
  <c r="AK275" i="4"/>
  <c r="AJ275" i="4"/>
  <c r="AI275" i="4"/>
  <c r="AH275" i="4"/>
  <c r="AG275" i="4"/>
  <c r="AE275" i="4"/>
  <c r="AD275" i="4"/>
  <c r="AK283" i="4"/>
  <c r="AJ283" i="4"/>
  <c r="AH283" i="4"/>
  <c r="AG283" i="4"/>
  <c r="AE283" i="4"/>
  <c r="AD283" i="4"/>
  <c r="Y14" i="4"/>
  <c r="Z15" i="4"/>
  <c r="Z23" i="4"/>
  <c r="Z55" i="4"/>
  <c r="Z71" i="4"/>
  <c r="Z87" i="4"/>
  <c r="Z95" i="4"/>
  <c r="Z103" i="4"/>
  <c r="Z127" i="4"/>
  <c r="Z135" i="4"/>
  <c r="Z143" i="4"/>
  <c r="Z155" i="4"/>
  <c r="Z165" i="4"/>
  <c r="Z174" i="4"/>
  <c r="Z182" i="4"/>
  <c r="Z206" i="4"/>
  <c r="Z230" i="4"/>
  <c r="Z238" i="4"/>
  <c r="Z254" i="4"/>
  <c r="Z262" i="4"/>
  <c r="Z278" i="4"/>
  <c r="Z286" i="4"/>
  <c r="AB9" i="4"/>
  <c r="AB13" i="4"/>
  <c r="AB17" i="4"/>
  <c r="AB21" i="4"/>
  <c r="AB25" i="4"/>
  <c r="AB33" i="4"/>
  <c r="AB37" i="4"/>
  <c r="AB45" i="4"/>
  <c r="AB53" i="4"/>
  <c r="AB65" i="4"/>
  <c r="AB69" i="4"/>
  <c r="AB73" i="4"/>
  <c r="AB77" i="4"/>
  <c r="AB81" i="4"/>
  <c r="AB89" i="4"/>
  <c r="AB93" i="4"/>
  <c r="AB97" i="4"/>
  <c r="AB105" i="4"/>
  <c r="AB109" i="4"/>
  <c r="AB117" i="4"/>
  <c r="AB129" i="4"/>
  <c r="AB133" i="4"/>
  <c r="AB137" i="4"/>
  <c r="AB145" i="4"/>
  <c r="AA162" i="4"/>
  <c r="AA179" i="4"/>
  <c r="AA187" i="4"/>
  <c r="AA191" i="4"/>
  <c r="AA207" i="4"/>
  <c r="AA211" i="4"/>
  <c r="AA215" i="4"/>
  <c r="AB219" i="4"/>
  <c r="AB230" i="4"/>
  <c r="AA243" i="4"/>
  <c r="AB255" i="4"/>
  <c r="AB262" i="4"/>
  <c r="AA268" i="4"/>
  <c r="AA275" i="4"/>
  <c r="AB281" i="4"/>
  <c r="AB287" i="4"/>
  <c r="AC15" i="4"/>
  <c r="AC26" i="4"/>
  <c r="AC104" i="4"/>
  <c r="AC129" i="4"/>
  <c r="AC143" i="4"/>
  <c r="AC177" i="4"/>
  <c r="AC202" i="4"/>
  <c r="AC241" i="4"/>
  <c r="AC254" i="4"/>
  <c r="AC266" i="4"/>
  <c r="AC280" i="4"/>
  <c r="AD8" i="4"/>
  <c r="AK11" i="4"/>
  <c r="AI13" i="4"/>
  <c r="AI15" i="4"/>
  <c r="AK24" i="4"/>
  <c r="AK42" i="4"/>
  <c r="AG45" i="4"/>
  <c r="AI48" i="4"/>
  <c r="AG51" i="4"/>
  <c r="AE57" i="4"/>
  <c r="AK62" i="4"/>
  <c r="AK71" i="4"/>
  <c r="AG74" i="4"/>
  <c r="AI77" i="4"/>
  <c r="AI86" i="4"/>
  <c r="AJ95" i="4"/>
  <c r="AK99" i="4"/>
  <c r="AE123" i="4"/>
  <c r="AJ137" i="4"/>
  <c r="AK146" i="4"/>
  <c r="AJ158" i="4"/>
  <c r="AK179" i="4"/>
  <c r="AE187" i="4"/>
  <c r="AK192" i="4"/>
  <c r="AG201" i="4"/>
  <c r="AJ230" i="4"/>
  <c r="AJ238" i="4"/>
  <c r="AH253" i="4"/>
  <c r="AI283" i="4"/>
  <c r="AE22" i="4"/>
  <c r="AH22" i="4"/>
  <c r="AC22" i="4"/>
  <c r="AE46" i="4"/>
  <c r="AD46" i="4"/>
  <c r="AG46" i="4"/>
  <c r="AC46" i="4"/>
  <c r="AE70" i="4"/>
  <c r="AD70" i="4"/>
  <c r="AC70" i="4"/>
  <c r="AK70" i="4"/>
  <c r="AG94" i="4"/>
  <c r="AE94" i="4"/>
  <c r="AD94" i="4"/>
  <c r="AC94" i="4"/>
  <c r="AK94" i="4"/>
  <c r="AK118" i="4"/>
  <c r="AJ118" i="4"/>
  <c r="AI118" i="4"/>
  <c r="AC118" i="4"/>
  <c r="AG118" i="4"/>
  <c r="AE118" i="4"/>
  <c r="AK142" i="4"/>
  <c r="AJ142" i="4"/>
  <c r="AI142" i="4"/>
  <c r="AH142" i="4"/>
  <c r="AG142" i="4"/>
  <c r="AD166" i="4"/>
  <c r="AK166" i="4"/>
  <c r="AC166" i="4"/>
  <c r="AJ166" i="4"/>
  <c r="AG198" i="4"/>
  <c r="AE198" i="4"/>
  <c r="AD198" i="4"/>
  <c r="AK198" i="4"/>
  <c r="AJ198" i="4"/>
  <c r="AI198" i="4"/>
  <c r="AH198" i="4"/>
  <c r="AG222" i="4"/>
  <c r="AE222" i="4"/>
  <c r="AD222" i="4"/>
  <c r="AK222" i="4"/>
  <c r="AJ222" i="4"/>
  <c r="AI222" i="4"/>
  <c r="AH222" i="4"/>
  <c r="AA222" i="4"/>
  <c r="AG246" i="4"/>
  <c r="AE246" i="4"/>
  <c r="AD246" i="4"/>
  <c r="AK246" i="4"/>
  <c r="AA246" i="4"/>
  <c r="AG270" i="4"/>
  <c r="AE270" i="4"/>
  <c r="AD270" i="4"/>
  <c r="AJ270" i="4"/>
  <c r="AI270" i="4"/>
  <c r="AH270" i="4"/>
  <c r="AK270" i="4"/>
  <c r="AA270" i="4"/>
  <c r="AC246" i="4"/>
  <c r="AI46" i="4"/>
  <c r="AJ78" i="4"/>
  <c r="AD102" i="4"/>
  <c r="AG166" i="4"/>
  <c r="AG31" i="4"/>
  <c r="AE31" i="4"/>
  <c r="AD31" i="4"/>
  <c r="AI31" i="4"/>
  <c r="AG55" i="4"/>
  <c r="AE55" i="4"/>
  <c r="AD55" i="4"/>
  <c r="AH55" i="4"/>
  <c r="AD95" i="4"/>
  <c r="AK95" i="4"/>
  <c r="AI95" i="4"/>
  <c r="AH95" i="4"/>
  <c r="AG95" i="4"/>
  <c r="AE95" i="4"/>
  <c r="AD119" i="4"/>
  <c r="AK119" i="4"/>
  <c r="AG119" i="4"/>
  <c r="AE119" i="4"/>
  <c r="AH119" i="4"/>
  <c r="AK175" i="4"/>
  <c r="AJ175" i="4"/>
  <c r="AI175" i="4"/>
  <c r="AH175" i="4"/>
  <c r="AE175" i="4"/>
  <c r="AE199" i="4"/>
  <c r="AI199" i="4"/>
  <c r="AD199" i="4"/>
  <c r="AK199" i="4"/>
  <c r="AJ199" i="4"/>
  <c r="AH223" i="4"/>
  <c r="AG223" i="4"/>
  <c r="AE223" i="4"/>
  <c r="AD223" i="4"/>
  <c r="AI223" i="4"/>
  <c r="AK223" i="4"/>
  <c r="AC223" i="4"/>
  <c r="AH247" i="4"/>
  <c r="AG247" i="4"/>
  <c r="AE247" i="4"/>
  <c r="AI247" i="4"/>
  <c r="AC247" i="4"/>
  <c r="AG271" i="4"/>
  <c r="AE271" i="4"/>
  <c r="AK271" i="4"/>
  <c r="AC271" i="4"/>
  <c r="AB15" i="4"/>
  <c r="AB55" i="4"/>
  <c r="AB95" i="4"/>
  <c r="AJ46" i="4"/>
  <c r="AJ55" i="4"/>
  <c r="AJ143" i="4"/>
  <c r="AH286" i="4"/>
  <c r="AI16" i="4"/>
  <c r="AG16" i="4"/>
  <c r="AE16" i="4"/>
  <c r="AH40" i="4"/>
  <c r="AG40" i="4"/>
  <c r="AE40" i="4"/>
  <c r="AJ40" i="4"/>
  <c r="AD40" i="4"/>
  <c r="AH80" i="4"/>
  <c r="AG80" i="4"/>
  <c r="AE80" i="4"/>
  <c r="AK80" i="4"/>
  <c r="AI80" i="4"/>
  <c r="AD80" i="4"/>
  <c r="AE104" i="4"/>
  <c r="AD104" i="4"/>
  <c r="AI104" i="4"/>
  <c r="AH104" i="4"/>
  <c r="AG104" i="4"/>
  <c r="AJ104" i="4"/>
  <c r="AD128" i="4"/>
  <c r="AH128" i="4"/>
  <c r="AD176" i="4"/>
  <c r="AI200" i="4"/>
  <c r="AH200" i="4"/>
  <c r="AI224" i="4"/>
  <c r="AH224" i="4"/>
  <c r="AB224" i="4"/>
  <c r="AI248" i="4"/>
  <c r="AH248" i="4"/>
  <c r="AG248" i="4"/>
  <c r="AK248" i="4"/>
  <c r="AJ248" i="4"/>
  <c r="AE248" i="4"/>
  <c r="AB248" i="4"/>
  <c r="AI272" i="4"/>
  <c r="AH272" i="4"/>
  <c r="AG272" i="4"/>
  <c r="AJ272" i="4"/>
  <c r="AE272" i="4"/>
  <c r="AD272" i="4"/>
  <c r="AK272" i="4"/>
  <c r="AB272" i="4"/>
  <c r="AA8" i="4"/>
  <c r="AA88" i="4"/>
  <c r="AC23" i="4"/>
  <c r="AC48" i="4"/>
  <c r="AC112" i="4"/>
  <c r="AC288" i="4"/>
  <c r="AJ16" i="4"/>
  <c r="AI32" i="4"/>
  <c r="AI38" i="4"/>
  <c r="AK46" i="4"/>
  <c r="AI70" i="4"/>
  <c r="AD126" i="4"/>
  <c r="AI17" i="4"/>
  <c r="AK17" i="4"/>
  <c r="AH17" i="4"/>
  <c r="AG17" i="4"/>
  <c r="AI41" i="4"/>
  <c r="AH41" i="4"/>
  <c r="AG41" i="4"/>
  <c r="AK41" i="4"/>
  <c r="AI65" i="4"/>
  <c r="AH65" i="4"/>
  <c r="AG65" i="4"/>
  <c r="AK65" i="4"/>
  <c r="AJ65" i="4"/>
  <c r="AI89" i="4"/>
  <c r="AH89" i="4"/>
  <c r="AG89" i="4"/>
  <c r="AJ89" i="4"/>
  <c r="AE89" i="4"/>
  <c r="AG113" i="4"/>
  <c r="AE113" i="4"/>
  <c r="AD113" i="4"/>
  <c r="AJ113" i="4"/>
  <c r="AI113" i="4"/>
  <c r="AH113" i="4"/>
  <c r="AG121" i="4"/>
  <c r="AE121" i="4"/>
  <c r="AD121" i="4"/>
  <c r="AK121" i="4"/>
  <c r="AI121" i="4"/>
  <c r="AH121" i="4"/>
  <c r="AC153" i="4"/>
  <c r="AE153" i="4"/>
  <c r="AD153" i="4"/>
  <c r="AJ185" i="4"/>
  <c r="AH185" i="4"/>
  <c r="AI209" i="4"/>
  <c r="AH209" i="4"/>
  <c r="AI233" i="4"/>
  <c r="AH233" i="4"/>
  <c r="AK233" i="4"/>
  <c r="AD233" i="4"/>
  <c r="AA233" i="4"/>
  <c r="AJ265" i="4"/>
  <c r="AI265" i="4"/>
  <c r="AH265" i="4"/>
  <c r="AE265" i="4"/>
  <c r="AD265" i="4"/>
  <c r="AK265" i="4"/>
  <c r="AA265" i="4"/>
  <c r="AJ289" i="4"/>
  <c r="AI289" i="4"/>
  <c r="AH289" i="4"/>
  <c r="AD289" i="4"/>
  <c r="AK289" i="4"/>
  <c r="AE289" i="4"/>
  <c r="AA289" i="4"/>
  <c r="Z151" i="4"/>
  <c r="AB104" i="4"/>
  <c r="AB112" i="4"/>
  <c r="AA182" i="4"/>
  <c r="AA198" i="4"/>
  <c r="AB223" i="4"/>
  <c r="AB254" i="4"/>
  <c r="AC88" i="4"/>
  <c r="AC113" i="4"/>
  <c r="AJ41" i="4"/>
  <c r="AD65" i="4"/>
  <c r="AJ112" i="4"/>
  <c r="AI152" i="4"/>
  <c r="AD200" i="4"/>
  <c r="AK10" i="4"/>
  <c r="AI10" i="4"/>
  <c r="AH10" i="4"/>
  <c r="AJ34" i="4"/>
  <c r="AI34" i="4"/>
  <c r="AH34" i="4"/>
  <c r="AK34" i="4"/>
  <c r="AG34" i="4"/>
  <c r="AJ66" i="4"/>
  <c r="AI66" i="4"/>
  <c r="AH66" i="4"/>
  <c r="AE66" i="4"/>
  <c r="AJ90" i="4"/>
  <c r="AI90" i="4"/>
  <c r="AH90" i="4"/>
  <c r="AD90" i="4"/>
  <c r="AH114" i="4"/>
  <c r="AG114" i="4"/>
  <c r="AE114" i="4"/>
  <c r="AK114" i="4"/>
  <c r="AH138" i="4"/>
  <c r="AG138" i="4"/>
  <c r="AE138" i="4"/>
  <c r="AI162" i="4"/>
  <c r="AH162" i="4"/>
  <c r="AG162" i="4"/>
  <c r="AD162" i="4"/>
  <c r="AJ162" i="4"/>
  <c r="AK186" i="4"/>
  <c r="AI186" i="4"/>
  <c r="AJ186" i="4"/>
  <c r="AH186" i="4"/>
  <c r="AG186" i="4"/>
  <c r="AD186" i="4"/>
  <c r="AK210" i="4"/>
  <c r="AJ210" i="4"/>
  <c r="AG210" i="4"/>
  <c r="AE210" i="4"/>
  <c r="AD210" i="4"/>
  <c r="AK234" i="4"/>
  <c r="AJ234" i="4"/>
  <c r="AI234" i="4"/>
  <c r="AE234" i="4"/>
  <c r="AD234" i="4"/>
  <c r="AH234" i="4"/>
  <c r="AG234" i="4"/>
  <c r="AA234" i="4"/>
  <c r="AK258" i="4"/>
  <c r="AJ258" i="4"/>
  <c r="AI258" i="4"/>
  <c r="AD258" i="4"/>
  <c r="AG258" i="4"/>
  <c r="AE258" i="4"/>
  <c r="AA258" i="4"/>
  <c r="AG274" i="4"/>
  <c r="AE274" i="4"/>
  <c r="Z38" i="4"/>
  <c r="Z70" i="4"/>
  <c r="Z94" i="4"/>
  <c r="Z110" i="4"/>
  <c r="Z126" i="4"/>
  <c r="Z142" i="4"/>
  <c r="AA9" i="4"/>
  <c r="AA17" i="4"/>
  <c r="AA25" i="4"/>
  <c r="AA65" i="4"/>
  <c r="AA73" i="4"/>
  <c r="AA105" i="4"/>
  <c r="AA121" i="4"/>
  <c r="AA129" i="4"/>
  <c r="AB182" i="4"/>
  <c r="AA255" i="4"/>
  <c r="AC25" i="4"/>
  <c r="AC50" i="4"/>
  <c r="AC89" i="4"/>
  <c r="AC114" i="4"/>
  <c r="AC226" i="4"/>
  <c r="AC240" i="4"/>
  <c r="AC265" i="4"/>
  <c r="AG15" i="4"/>
  <c r="AE65" i="4"/>
  <c r="AJ94" i="4"/>
  <c r="AJ103" i="4"/>
  <c r="AK113" i="4"/>
  <c r="AJ136" i="4"/>
  <c r="AE186" i="4"/>
  <c r="AJ192" i="4"/>
  <c r="AJ200" i="4"/>
  <c r="AD207" i="4"/>
  <c r="AD215" i="4"/>
  <c r="AJ223" i="4"/>
  <c r="AI238" i="4"/>
  <c r="AK12" i="4"/>
  <c r="AC12" i="4"/>
  <c r="AJ12" i="4"/>
  <c r="AJ20" i="4"/>
  <c r="AK20" i="4"/>
  <c r="AC20" i="4"/>
  <c r="AG20" i="4"/>
  <c r="AK28" i="4"/>
  <c r="AJ28" i="4"/>
  <c r="AD28" i="4"/>
  <c r="AC28" i="4"/>
  <c r="AK36" i="4"/>
  <c r="AJ36" i="4"/>
  <c r="AH36" i="4"/>
  <c r="AC36" i="4"/>
  <c r="AG36" i="4"/>
  <c r="AK60" i="4"/>
  <c r="AJ60" i="4"/>
  <c r="AI60" i="4"/>
  <c r="AG60" i="4"/>
  <c r="AC60" i="4"/>
  <c r="AE60" i="4"/>
  <c r="AK68" i="4"/>
  <c r="AJ68" i="4"/>
  <c r="AE68" i="4"/>
  <c r="AC68" i="4"/>
  <c r="AK76" i="4"/>
  <c r="AJ76" i="4"/>
  <c r="AI76" i="4"/>
  <c r="AC76" i="4"/>
  <c r="AH76" i="4"/>
  <c r="AK84" i="4"/>
  <c r="AJ84" i="4"/>
  <c r="AH84" i="4"/>
  <c r="AE84" i="4"/>
  <c r="AC84" i="4"/>
  <c r="AD84" i="4"/>
  <c r="AK92" i="4"/>
  <c r="AD92" i="4"/>
  <c r="AC92" i="4"/>
  <c r="AJ100" i="4"/>
  <c r="AH100" i="4"/>
  <c r="AG100" i="4"/>
  <c r="AE100" i="4"/>
  <c r="AJ108" i="4"/>
  <c r="AI108" i="4"/>
  <c r="AE108" i="4"/>
  <c r="AC108" i="4"/>
  <c r="AI116" i="4"/>
  <c r="AH116" i="4"/>
  <c r="AE116" i="4"/>
  <c r="AE124" i="4"/>
  <c r="AD124" i="4"/>
  <c r="AJ132" i="4"/>
  <c r="AH132" i="4"/>
  <c r="AC132" i="4"/>
  <c r="AK132" i="4"/>
  <c r="AJ140" i="4"/>
  <c r="AH140" i="4"/>
  <c r="AC140" i="4"/>
  <c r="AJ148" i="4"/>
  <c r="AI148" i="4"/>
  <c r="AH148" i="4"/>
  <c r="AJ164" i="4"/>
  <c r="AI164" i="4"/>
  <c r="AD164" i="4"/>
  <c r="AH164" i="4"/>
  <c r="AC164" i="4"/>
  <c r="AK172" i="4"/>
  <c r="AJ172" i="4"/>
  <c r="AI172" i="4"/>
  <c r="AH172" i="4"/>
  <c r="AC172" i="4"/>
  <c r="AD180" i="4"/>
  <c r="AK180" i="4"/>
  <c r="AJ180" i="4"/>
  <c r="AI180" i="4"/>
  <c r="AH180" i="4"/>
  <c r="AG180" i="4"/>
  <c r="AE180" i="4"/>
  <c r="AC180" i="4"/>
  <c r="AD188" i="4"/>
  <c r="AK188" i="4"/>
  <c r="AH188" i="4"/>
  <c r="AG188" i="4"/>
  <c r="AE188" i="4"/>
  <c r="AC188" i="4"/>
  <c r="AK196" i="4"/>
  <c r="AI196" i="4"/>
  <c r="AH196" i="4"/>
  <c r="AD204" i="4"/>
  <c r="AI204" i="4"/>
  <c r="AH204" i="4"/>
  <c r="AG204" i="4"/>
  <c r="AC204" i="4"/>
  <c r="AD212" i="4"/>
  <c r="AK212" i="4"/>
  <c r="AG212" i="4"/>
  <c r="AE212" i="4"/>
  <c r="AJ212" i="4"/>
  <c r="AI212" i="4"/>
  <c r="AC212" i="4"/>
  <c r="AD220" i="4"/>
  <c r="AK220" i="4"/>
  <c r="AJ220" i="4"/>
  <c r="AG220" i="4"/>
  <c r="AE220" i="4"/>
  <c r="AC220" i="4"/>
  <c r="AB220" i="4"/>
  <c r="AD228" i="4"/>
  <c r="AK228" i="4"/>
  <c r="AI228" i="4"/>
  <c r="AH228" i="4"/>
  <c r="AG228" i="4"/>
  <c r="AJ228" i="4"/>
  <c r="AE228" i="4"/>
  <c r="AC228" i="4"/>
  <c r="AB228" i="4"/>
  <c r="AD236" i="4"/>
  <c r="AK236" i="4"/>
  <c r="AE236" i="4"/>
  <c r="AJ236" i="4"/>
  <c r="AH236" i="4"/>
  <c r="AG236" i="4"/>
  <c r="AC236" i="4"/>
  <c r="AB236" i="4"/>
  <c r="AD244" i="4"/>
  <c r="AK244" i="4"/>
  <c r="AJ244" i="4"/>
  <c r="AI244" i="4"/>
  <c r="AC244" i="4"/>
  <c r="AB244" i="4"/>
  <c r="AD252" i="4"/>
  <c r="AK252" i="4"/>
  <c r="AH252" i="4"/>
  <c r="AC252" i="4"/>
  <c r="AB252" i="4"/>
  <c r="AD260" i="4"/>
  <c r="AK260" i="4"/>
  <c r="AJ260" i="4"/>
  <c r="AI260" i="4"/>
  <c r="AH260" i="4"/>
  <c r="AE260" i="4"/>
  <c r="AC260" i="4"/>
  <c r="AB260" i="4"/>
  <c r="AD268" i="4"/>
  <c r="AK268" i="4"/>
  <c r="AJ268" i="4"/>
  <c r="AC268" i="4"/>
  <c r="AB268" i="4"/>
  <c r="AD276" i="4"/>
  <c r="AK276" i="4"/>
  <c r="AG276" i="4"/>
  <c r="AE276" i="4"/>
  <c r="AC276" i="4"/>
  <c r="AB276" i="4"/>
  <c r="AD284" i="4"/>
  <c r="AK284" i="4"/>
  <c r="AJ284" i="4"/>
  <c r="AH284" i="4"/>
  <c r="AG284" i="4"/>
  <c r="AE284" i="4"/>
  <c r="AI284" i="4"/>
  <c r="AC284" i="4"/>
  <c r="AB284" i="4"/>
  <c r="Z8" i="4"/>
  <c r="Z16" i="4"/>
  <c r="Z24" i="4"/>
  <c r="Z40" i="4"/>
  <c r="Z48" i="4"/>
  <c r="Z80" i="4"/>
  <c r="Z96" i="4"/>
  <c r="Z104" i="4"/>
  <c r="Z120" i="4"/>
  <c r="Z156" i="4"/>
  <c r="Z166" i="4"/>
  <c r="Z175" i="4"/>
  <c r="Z191" i="4"/>
  <c r="Z199" i="4"/>
  <c r="Z207" i="4"/>
  <c r="Z223" i="4"/>
  <c r="Z231" i="4"/>
  <c r="Z247" i="4"/>
  <c r="Z263" i="4"/>
  <c r="Z287" i="4"/>
  <c r="AA10" i="4"/>
  <c r="AA30" i="4"/>
  <c r="AA34" i="4"/>
  <c r="AA46" i="4"/>
  <c r="AA50" i="4"/>
  <c r="AA54" i="4"/>
  <c r="AA66" i="4"/>
  <c r="AA70" i="4"/>
  <c r="AA74" i="4"/>
  <c r="AA86" i="4"/>
  <c r="AA90" i="4"/>
  <c r="AA94" i="4"/>
  <c r="AA98" i="4"/>
  <c r="AA110" i="4"/>
  <c r="AA114" i="4"/>
  <c r="AA118" i="4"/>
  <c r="AA122" i="4"/>
  <c r="AA130" i="4"/>
  <c r="AA138" i="4"/>
  <c r="AA142" i="4"/>
  <c r="AA154" i="4"/>
  <c r="AB162" i="4"/>
  <c r="AB166" i="4"/>
  <c r="AB179" i="4"/>
  <c r="AB183" i="4"/>
  <c r="AB187" i="4"/>
  <c r="AB195" i="4"/>
  <c r="AB199" i="4"/>
  <c r="AB207" i="4"/>
  <c r="AB211" i="4"/>
  <c r="AA220" i="4"/>
  <c r="AB225" i="4"/>
  <c r="AA231" i="4"/>
  <c r="AB243" i="4"/>
  <c r="AB250" i="4"/>
  <c r="AA256" i="4"/>
  <c r="AA263" i="4"/>
  <c r="AB269" i="4"/>
  <c r="AB275" i="4"/>
  <c r="AA288" i="4"/>
  <c r="AC16" i="4"/>
  <c r="AC41" i="4"/>
  <c r="AC55" i="4"/>
  <c r="AC66" i="4"/>
  <c r="AC80" i="4"/>
  <c r="AC105" i="4"/>
  <c r="AC119" i="4"/>
  <c r="AC165" i="4"/>
  <c r="AC178" i="4"/>
  <c r="AC230" i="4"/>
  <c r="AH8" i="4"/>
  <c r="AE10" i="4"/>
  <c r="AE12" i="4"/>
  <c r="AJ17" i="4"/>
  <c r="AD20" i="4"/>
  <c r="AI22" i="4"/>
  <c r="AD25" i="4"/>
  <c r="AG28" i="4"/>
  <c r="AH31" i="4"/>
  <c r="AD34" i="4"/>
  <c r="AD43" i="4"/>
  <c r="AJ48" i="4"/>
  <c r="AH54" i="4"/>
  <c r="AJ57" i="4"/>
  <c r="AH60" i="4"/>
  <c r="AG66" i="4"/>
  <c r="AE75" i="4"/>
  <c r="AJ86" i="4"/>
  <c r="AK89" i="4"/>
  <c r="AH92" i="4"/>
  <c r="AG96" i="4"/>
  <c r="AD100" i="4"/>
  <c r="AG110" i="4"/>
  <c r="AI114" i="4"/>
  <c r="AI119" i="4"/>
  <c r="AJ123" i="4"/>
  <c r="AD147" i="4"/>
  <c r="AI160" i="4"/>
  <c r="AG187" i="4"/>
  <c r="AD195" i="4"/>
  <c r="AK201" i="4"/>
  <c r="AE224" i="4"/>
  <c r="AJ247" i="4"/>
  <c r="AK269" i="4"/>
  <c r="AJ276" i="4"/>
  <c r="AC14" i="4"/>
  <c r="AD14" i="4"/>
  <c r="AE38" i="4"/>
  <c r="AD38" i="4"/>
  <c r="AJ38" i="4"/>
  <c r="AC38" i="4"/>
  <c r="AH38" i="4"/>
  <c r="AG38" i="4"/>
  <c r="AE62" i="4"/>
  <c r="AD62" i="4"/>
  <c r="AI62" i="4"/>
  <c r="AC62" i="4"/>
  <c r="AG62" i="4"/>
  <c r="AK102" i="4"/>
  <c r="AJ102" i="4"/>
  <c r="AI102" i="4"/>
  <c r="AH102" i="4"/>
  <c r="AG102" i="4"/>
  <c r="AC102" i="4"/>
  <c r="AK126" i="4"/>
  <c r="AJ126" i="4"/>
  <c r="AH126" i="4"/>
  <c r="AG126" i="4"/>
  <c r="AE126" i="4"/>
  <c r="AC126" i="4"/>
  <c r="AK174" i="4"/>
  <c r="AJ174" i="4"/>
  <c r="AE174" i="4"/>
  <c r="AD174" i="4"/>
  <c r="AH174" i="4"/>
  <c r="AI214" i="4"/>
  <c r="AH214" i="4"/>
  <c r="AJ214" i="4"/>
  <c r="AG238" i="4"/>
  <c r="AE238" i="4"/>
  <c r="AD238" i="4"/>
  <c r="AH238" i="4"/>
  <c r="AA238" i="4"/>
  <c r="AG262" i="4"/>
  <c r="AE262" i="4"/>
  <c r="AD262" i="4"/>
  <c r="AK262" i="4"/>
  <c r="AA262" i="4"/>
  <c r="AG278" i="4"/>
  <c r="AJ278" i="4"/>
  <c r="AI278" i="4"/>
  <c r="AH278" i="4"/>
  <c r="AA278" i="4"/>
  <c r="AK278" i="4"/>
  <c r="AC182" i="4"/>
  <c r="AH15" i="4"/>
  <c r="AE15" i="4"/>
  <c r="AD15" i="4"/>
  <c r="AE63" i="4"/>
  <c r="AD63" i="4"/>
  <c r="AK63" i="4"/>
  <c r="AJ63" i="4"/>
  <c r="AG87" i="4"/>
  <c r="AI87" i="4"/>
  <c r="AD111" i="4"/>
  <c r="AK111" i="4"/>
  <c r="AJ111" i="4"/>
  <c r="AI111" i="4"/>
  <c r="AH111" i="4"/>
  <c r="AD127" i="4"/>
  <c r="AK127" i="4"/>
  <c r="AJ127" i="4"/>
  <c r="AI127" i="4"/>
  <c r="AG127" i="4"/>
  <c r="AE127" i="4"/>
  <c r="AD143" i="4"/>
  <c r="AK143" i="4"/>
  <c r="AE143" i="4"/>
  <c r="AE167" i="4"/>
  <c r="AD167" i="4"/>
  <c r="AI167" i="4"/>
  <c r="AH167" i="4"/>
  <c r="AG167" i="4"/>
  <c r="AJ167" i="4"/>
  <c r="AH191" i="4"/>
  <c r="AG191" i="4"/>
  <c r="AE191" i="4"/>
  <c r="AK191" i="4"/>
  <c r="AJ191" i="4"/>
  <c r="AD191" i="4"/>
  <c r="AC191" i="4"/>
  <c r="AH215" i="4"/>
  <c r="AJ215" i="4"/>
  <c r="AI215" i="4"/>
  <c r="AC215" i="4"/>
  <c r="AE239" i="4"/>
  <c r="AJ239" i="4"/>
  <c r="AI239" i="4"/>
  <c r="AD239" i="4"/>
  <c r="AC239" i="4"/>
  <c r="AH255" i="4"/>
  <c r="AG255" i="4"/>
  <c r="AE255" i="4"/>
  <c r="AK255" i="4"/>
  <c r="AJ255" i="4"/>
  <c r="AD255" i="4"/>
  <c r="AC255" i="4"/>
  <c r="AI255" i="4"/>
  <c r="AH279" i="4"/>
  <c r="AG279" i="4"/>
  <c r="AE279" i="4"/>
  <c r="AK279" i="4"/>
  <c r="AJ279" i="4"/>
  <c r="AI279" i="4"/>
  <c r="AC279" i="4"/>
  <c r="AB63" i="4"/>
  <c r="AB71" i="4"/>
  <c r="AB119" i="4"/>
  <c r="AB222" i="4"/>
  <c r="AC222" i="4"/>
  <c r="AC286" i="4"/>
  <c r="AH23" i="4"/>
  <c r="AK87" i="4"/>
  <c r="AE102" i="4"/>
  <c r="AG111" i="4"/>
  <c r="AI134" i="4"/>
  <c r="AH166" i="4"/>
  <c r="AJ271" i="4"/>
  <c r="AI8" i="4"/>
  <c r="AG8" i="4"/>
  <c r="AE8" i="4"/>
  <c r="AH32" i="4"/>
  <c r="AG32" i="4"/>
  <c r="AE32" i="4"/>
  <c r="AK32" i="4"/>
  <c r="AJ32" i="4"/>
  <c r="AG64" i="4"/>
  <c r="AH88" i="4"/>
  <c r="AG88" i="4"/>
  <c r="AE88" i="4"/>
  <c r="AD88" i="4"/>
  <c r="AE112" i="4"/>
  <c r="AD112" i="4"/>
  <c r="AK112" i="4"/>
  <c r="AI112" i="4"/>
  <c r="AH112" i="4"/>
  <c r="AE136" i="4"/>
  <c r="AD136" i="4"/>
  <c r="AK136" i="4"/>
  <c r="AI136" i="4"/>
  <c r="AG136" i="4"/>
  <c r="AE144" i="4"/>
  <c r="AD144" i="4"/>
  <c r="AJ144" i="4"/>
  <c r="AI144" i="4"/>
  <c r="AH144" i="4"/>
  <c r="AG168" i="4"/>
  <c r="AE168" i="4"/>
  <c r="AI192" i="4"/>
  <c r="AH192" i="4"/>
  <c r="AG192" i="4"/>
  <c r="AD192" i="4"/>
  <c r="AH216" i="4"/>
  <c r="AK216" i="4"/>
  <c r="AI232" i="4"/>
  <c r="AD232" i="4"/>
  <c r="AJ232" i="4"/>
  <c r="AB232" i="4"/>
  <c r="AI256" i="4"/>
  <c r="AH256" i="4"/>
  <c r="AG256" i="4"/>
  <c r="AD256" i="4"/>
  <c r="AJ256" i="4"/>
  <c r="AB256" i="4"/>
  <c r="AI280" i="4"/>
  <c r="AH280" i="4"/>
  <c r="AG280" i="4"/>
  <c r="AK280" i="4"/>
  <c r="AD280" i="4"/>
  <c r="AB280" i="4"/>
  <c r="AA16" i="4"/>
  <c r="AA24" i="4"/>
  <c r="AA32" i="4"/>
  <c r="AA80" i="4"/>
  <c r="AA96" i="4"/>
  <c r="AA104" i="4"/>
  <c r="AA144" i="4"/>
  <c r="AB160" i="4"/>
  <c r="AA223" i="4"/>
  <c r="AA240" i="4"/>
  <c r="AA272" i="4"/>
  <c r="AA279" i="4"/>
  <c r="AE135" i="4"/>
  <c r="AH152" i="4"/>
  <c r="AJ9" i="4"/>
  <c r="AH9" i="4"/>
  <c r="AG9" i="4"/>
  <c r="AI33" i="4"/>
  <c r="AH33" i="4"/>
  <c r="AG33" i="4"/>
  <c r="AE33" i="4"/>
  <c r="AI49" i="4"/>
  <c r="AH49" i="4"/>
  <c r="AG49" i="4"/>
  <c r="AK49" i="4"/>
  <c r="AE49" i="4"/>
  <c r="AD49" i="4"/>
  <c r="AI81" i="4"/>
  <c r="AH81" i="4"/>
  <c r="AG81" i="4"/>
  <c r="AG105" i="4"/>
  <c r="AE105" i="4"/>
  <c r="AD105" i="4"/>
  <c r="AK105" i="4"/>
  <c r="AG137" i="4"/>
  <c r="AE137" i="4"/>
  <c r="AD137" i="4"/>
  <c r="AI137" i="4"/>
  <c r="AH137" i="4"/>
  <c r="AG145" i="4"/>
  <c r="AE145" i="4"/>
  <c r="AD145" i="4"/>
  <c r="AI145" i="4"/>
  <c r="AH169" i="4"/>
  <c r="AD169" i="4"/>
  <c r="AJ193" i="4"/>
  <c r="AI193" i="4"/>
  <c r="AH193" i="4"/>
  <c r="AK193" i="4"/>
  <c r="AG193" i="4"/>
  <c r="AE193" i="4"/>
  <c r="AD193" i="4"/>
  <c r="AJ217" i="4"/>
  <c r="AI217" i="4"/>
  <c r="AH217" i="4"/>
  <c r="AK217" i="4"/>
  <c r="AG217" i="4"/>
  <c r="AE217" i="4"/>
  <c r="AJ241" i="4"/>
  <c r="AI241" i="4"/>
  <c r="AH241" i="4"/>
  <c r="AG241" i="4"/>
  <c r="AE241" i="4"/>
  <c r="AD241" i="4"/>
  <c r="AK241" i="4"/>
  <c r="AA241" i="4"/>
  <c r="AE257" i="4"/>
  <c r="AA257" i="4"/>
  <c r="AJ281" i="4"/>
  <c r="AI281" i="4"/>
  <c r="AH281" i="4"/>
  <c r="AK281" i="4"/>
  <c r="AG281" i="4"/>
  <c r="AE281" i="4"/>
  <c r="AD281" i="4"/>
  <c r="AA281" i="4"/>
  <c r="AB8" i="4"/>
  <c r="AB16" i="4"/>
  <c r="AB24" i="4"/>
  <c r="AB32" i="4"/>
  <c r="AB96" i="4"/>
  <c r="AB120" i="4"/>
  <c r="AB144" i="4"/>
  <c r="AA161" i="4"/>
  <c r="AA206" i="4"/>
  <c r="AB247" i="4"/>
  <c r="AB273" i="4"/>
  <c r="AB279" i="4"/>
  <c r="AC63" i="4"/>
  <c r="AC127" i="4"/>
  <c r="AC160" i="4"/>
  <c r="AC225" i="4"/>
  <c r="AC238" i="4"/>
  <c r="AC264" i="4"/>
  <c r="AK16" i="4"/>
  <c r="AG30" i="4"/>
  <c r="AK38" i="4"/>
  <c r="AJ70" i="4"/>
  <c r="AH184" i="4"/>
  <c r="AK206" i="4"/>
  <c r="AJ26" i="4"/>
  <c r="AI26" i="4"/>
  <c r="AH26" i="4"/>
  <c r="AD26" i="4"/>
  <c r="AJ42" i="4"/>
  <c r="AI42" i="4"/>
  <c r="AH42" i="4"/>
  <c r="AG42" i="4"/>
  <c r="AD42" i="4"/>
  <c r="AJ82" i="4"/>
  <c r="AI82" i="4"/>
  <c r="AH82" i="4"/>
  <c r="AK82" i="4"/>
  <c r="AE82" i="4"/>
  <c r="AD82" i="4"/>
  <c r="AH106" i="4"/>
  <c r="AG106" i="4"/>
  <c r="AE106" i="4"/>
  <c r="AI106" i="4"/>
  <c r="AD106" i="4"/>
  <c r="AK106" i="4"/>
  <c r="AJ106" i="4"/>
  <c r="AH130" i="4"/>
  <c r="AG130" i="4"/>
  <c r="AE130" i="4"/>
  <c r="AD130" i="4"/>
  <c r="AK130" i="4"/>
  <c r="AI130" i="4"/>
  <c r="AH146" i="4"/>
  <c r="AG146" i="4"/>
  <c r="AE146" i="4"/>
  <c r="AJ146" i="4"/>
  <c r="AI146" i="4"/>
  <c r="AD146" i="4"/>
  <c r="AI170" i="4"/>
  <c r="AH170" i="4"/>
  <c r="AG170" i="4"/>
  <c r="AD170" i="4"/>
  <c r="AK194" i="4"/>
  <c r="AJ194" i="4"/>
  <c r="AI194" i="4"/>
  <c r="AD194" i="4"/>
  <c r="AE194" i="4"/>
  <c r="AH194" i="4"/>
  <c r="AG194" i="4"/>
  <c r="AK218" i="4"/>
  <c r="AJ218" i="4"/>
  <c r="AI218" i="4"/>
  <c r="AH218" i="4"/>
  <c r="AA218" i="4"/>
  <c r="AE218" i="4"/>
  <c r="AD218" i="4"/>
  <c r="AK242" i="4"/>
  <c r="AJ242" i="4"/>
  <c r="AI242" i="4"/>
  <c r="AH242" i="4"/>
  <c r="AE242" i="4"/>
  <c r="AA242" i="4"/>
  <c r="AK266" i="4"/>
  <c r="AJ266" i="4"/>
  <c r="AI266" i="4"/>
  <c r="AH266" i="4"/>
  <c r="AG266" i="4"/>
  <c r="AE266" i="4"/>
  <c r="AA266" i="4"/>
  <c r="AK290" i="4"/>
  <c r="AJ290" i="4"/>
  <c r="AI290" i="4"/>
  <c r="AH290" i="4"/>
  <c r="AG290" i="4"/>
  <c r="AE290" i="4"/>
  <c r="AD290" i="4"/>
  <c r="AA290" i="4"/>
  <c r="Z22" i="4"/>
  <c r="Z46" i="4"/>
  <c r="Z62" i="4"/>
  <c r="Z102" i="4"/>
  <c r="Z118" i="4"/>
  <c r="Z152" i="4"/>
  <c r="AA57" i="4"/>
  <c r="AA81" i="4"/>
  <c r="AB178" i="4"/>
  <c r="AB198" i="4"/>
  <c r="AB206" i="4"/>
  <c r="AB242" i="4"/>
  <c r="AC103" i="4"/>
  <c r="AC161" i="4"/>
  <c r="AD17" i="4"/>
  <c r="AJ33" i="4"/>
  <c r="AJ62" i="4"/>
  <c r="AK88" i="4"/>
  <c r="AE13" i="4"/>
  <c r="AK13" i="4"/>
  <c r="AD21" i="4"/>
  <c r="AK21" i="4"/>
  <c r="AJ21" i="4"/>
  <c r="AE29" i="4"/>
  <c r="AE37" i="4"/>
  <c r="AD45" i="4"/>
  <c r="AK45" i="4"/>
  <c r="AI45" i="4"/>
  <c r="AH45" i="4"/>
  <c r="AD53" i="4"/>
  <c r="AK53" i="4"/>
  <c r="AH53" i="4"/>
  <c r="AE53" i="4"/>
  <c r="AD61" i="4"/>
  <c r="AK61" i="4"/>
  <c r="AJ61" i="4"/>
  <c r="AD69" i="4"/>
  <c r="AK69" i="4"/>
  <c r="AJ69" i="4"/>
  <c r="AH69" i="4"/>
  <c r="AG69" i="4"/>
  <c r="AD77" i="4"/>
  <c r="AK77" i="4"/>
  <c r="AG77" i="4"/>
  <c r="AD85" i="4"/>
  <c r="AK85" i="4"/>
  <c r="AJ85" i="4"/>
  <c r="AI85" i="4"/>
  <c r="AK93" i="4"/>
  <c r="AD93" i="4"/>
  <c r="AI93" i="4"/>
  <c r="AG93" i="4"/>
  <c r="AE93" i="4"/>
  <c r="AK101" i="4"/>
  <c r="AJ101" i="4"/>
  <c r="AI101" i="4"/>
  <c r="AD101" i="4"/>
  <c r="AH101" i="4"/>
  <c r="AE101" i="4"/>
  <c r="AK109" i="4"/>
  <c r="AJ109" i="4"/>
  <c r="AI109" i="4"/>
  <c r="AH109" i="4"/>
  <c r="AG109" i="4"/>
  <c r="AE109" i="4"/>
  <c r="AK117" i="4"/>
  <c r="AJ117" i="4"/>
  <c r="AI117" i="4"/>
  <c r="AG117" i="4"/>
  <c r="AE117" i="4"/>
  <c r="AD117" i="4"/>
  <c r="AK125" i="4"/>
  <c r="AJ125" i="4"/>
  <c r="AI125" i="4"/>
  <c r="AE125" i="4"/>
  <c r="AK133" i="4"/>
  <c r="AJ133" i="4"/>
  <c r="AI133" i="4"/>
  <c r="AH133" i="4"/>
  <c r="AG133" i="4"/>
  <c r="AD133" i="4"/>
  <c r="AK141" i="4"/>
  <c r="AJ141" i="4"/>
  <c r="AI141" i="4"/>
  <c r="AE141" i="4"/>
  <c r="AD141" i="4"/>
  <c r="AH141" i="4"/>
  <c r="AH149" i="4"/>
  <c r="AH157" i="4"/>
  <c r="AK165" i="4"/>
  <c r="AH165" i="4"/>
  <c r="AG165" i="4"/>
  <c r="AE165" i="4"/>
  <c r="AH173" i="4"/>
  <c r="AE181" i="4"/>
  <c r="AK181" i="4"/>
  <c r="AD181" i="4"/>
  <c r="AI181" i="4"/>
  <c r="AC181" i="4"/>
  <c r="AH181" i="4"/>
  <c r="AK189" i="4"/>
  <c r="AE197" i="4"/>
  <c r="AD197" i="4"/>
  <c r="AI197" i="4"/>
  <c r="AH197" i="4"/>
  <c r="AG197" i="4"/>
  <c r="AC197" i="4"/>
  <c r="AD205" i="4"/>
  <c r="AI205" i="4"/>
  <c r="AH205" i="4"/>
  <c r="AG205" i="4"/>
  <c r="AC205" i="4"/>
  <c r="AE213" i="4"/>
  <c r="AD213" i="4"/>
  <c r="AK213" i="4"/>
  <c r="AJ213" i="4"/>
  <c r="AI213" i="4"/>
  <c r="AH213" i="4"/>
  <c r="AC213" i="4"/>
  <c r="AK221" i="4"/>
  <c r="AC221" i="4"/>
  <c r="AJ221" i="4"/>
  <c r="AE229" i="4"/>
  <c r="AD229" i="4"/>
  <c r="AK229" i="4"/>
  <c r="AG229" i="4"/>
  <c r="AC229" i="4"/>
  <c r="AE237" i="4"/>
  <c r="AD237" i="4"/>
  <c r="AJ237" i="4"/>
  <c r="AI237" i="4"/>
  <c r="AH237" i="4"/>
  <c r="AK237" i="4"/>
  <c r="AG237" i="4"/>
  <c r="AC237" i="4"/>
  <c r="AA237" i="4"/>
  <c r="AE245" i="4"/>
  <c r="AD245" i="4"/>
  <c r="AG245" i="4"/>
  <c r="AK245" i="4"/>
  <c r="AJ245" i="4"/>
  <c r="AI245" i="4"/>
  <c r="AC245" i="4"/>
  <c r="AA245" i="4"/>
  <c r="AH245" i="4"/>
  <c r="AE253" i="4"/>
  <c r="AD253" i="4"/>
  <c r="AK253" i="4"/>
  <c r="AJ253" i="4"/>
  <c r="AC253" i="4"/>
  <c r="AA253" i="4"/>
  <c r="AE261" i="4"/>
  <c r="AD261" i="4"/>
  <c r="AI261" i="4"/>
  <c r="AH261" i="4"/>
  <c r="AG261" i="4"/>
  <c r="AJ261" i="4"/>
  <c r="AC261" i="4"/>
  <c r="AA261" i="4"/>
  <c r="AE269" i="4"/>
  <c r="AD269" i="4"/>
  <c r="AJ269" i="4"/>
  <c r="AI269" i="4"/>
  <c r="AH269" i="4"/>
  <c r="AG269" i="4"/>
  <c r="AC269" i="4"/>
  <c r="AA269" i="4"/>
  <c r="AE277" i="4"/>
  <c r="AD277" i="4"/>
  <c r="AK277" i="4"/>
  <c r="AJ277" i="4"/>
  <c r="AI277" i="4"/>
  <c r="AE285" i="4"/>
  <c r="AD285" i="4"/>
  <c r="AH285" i="4"/>
  <c r="AG285" i="4"/>
  <c r="AC285" i="4"/>
  <c r="AA285" i="4"/>
  <c r="Z9" i="4"/>
  <c r="Z17" i="4"/>
  <c r="Z25" i="4"/>
  <c r="Z33" i="4"/>
  <c r="Z41" i="4"/>
  <c r="Z49" i="4"/>
  <c r="Z57" i="4"/>
  <c r="Z65" i="4"/>
  <c r="Z73" i="4"/>
  <c r="Z81" i="4"/>
  <c r="Z89" i="4"/>
  <c r="Z97" i="4"/>
  <c r="Z105" i="4"/>
  <c r="Z113" i="4"/>
  <c r="Z121" i="4"/>
  <c r="Z129" i="4"/>
  <c r="Z137" i="4"/>
  <c r="Z145" i="4"/>
  <c r="Z159" i="4"/>
  <c r="Z167" i="4"/>
  <c r="Z176" i="4"/>
  <c r="Z184" i="4"/>
  <c r="Z192" i="4"/>
  <c r="Z200" i="4"/>
  <c r="Z208" i="4"/>
  <c r="Z240" i="4"/>
  <c r="Z248" i="4"/>
  <c r="Z256" i="4"/>
  <c r="Z264" i="4"/>
  <c r="Z272" i="4"/>
  <c r="Z280" i="4"/>
  <c r="Z288" i="4"/>
  <c r="AB10" i="4"/>
  <c r="AB14" i="4"/>
  <c r="AB18" i="4"/>
  <c r="AB22" i="4"/>
  <c r="AB26" i="4"/>
  <c r="AB30" i="4"/>
  <c r="AB34" i="4"/>
  <c r="AB38" i="4"/>
  <c r="AB42" i="4"/>
  <c r="AB46" i="4"/>
  <c r="AB50" i="4"/>
  <c r="AB54" i="4"/>
  <c r="AB58" i="4"/>
  <c r="AB62" i="4"/>
  <c r="AB66" i="4"/>
  <c r="AB70" i="4"/>
  <c r="AB74" i="4"/>
  <c r="AB78" i="4"/>
  <c r="AB82" i="4"/>
  <c r="AB86" i="4"/>
  <c r="AB90" i="4"/>
  <c r="AB94" i="4"/>
  <c r="AB98" i="4"/>
  <c r="AB102" i="4"/>
  <c r="AB106" i="4"/>
  <c r="AB110" i="4"/>
  <c r="AB114" i="4"/>
  <c r="AB118" i="4"/>
  <c r="AB122" i="4"/>
  <c r="AB126" i="4"/>
  <c r="AB130" i="4"/>
  <c r="AB138" i="4"/>
  <c r="AB142" i="4"/>
  <c r="AB146" i="4"/>
  <c r="AA156" i="4"/>
  <c r="AA163" i="4"/>
  <c r="AA167" i="4"/>
  <c r="AA171" i="4"/>
  <c r="AA180" i="4"/>
  <c r="AA184" i="4"/>
  <c r="AA188" i="4"/>
  <c r="AA192" i="4"/>
  <c r="AA204" i="4"/>
  <c r="AA208" i="4"/>
  <c r="AA212" i="4"/>
  <c r="AA221" i="4"/>
  <c r="AB226" i="4"/>
  <c r="AB231" i="4"/>
  <c r="AB238" i="4"/>
  <c r="AA244" i="4"/>
  <c r="AA251" i="4"/>
  <c r="AB263" i="4"/>
  <c r="AB270" i="4"/>
  <c r="AA276" i="4"/>
  <c r="AA283" i="4"/>
  <c r="AB289" i="4"/>
  <c r="AC17" i="4"/>
  <c r="AC31" i="4"/>
  <c r="AC42" i="4"/>
  <c r="AC69" i="4"/>
  <c r="AC81" i="4"/>
  <c r="AC95" i="4"/>
  <c r="AC106" i="4"/>
  <c r="AC120" i="4"/>
  <c r="AC133" i="4"/>
  <c r="AC145" i="4"/>
  <c r="AC167" i="4"/>
  <c r="AC179" i="4"/>
  <c r="AC193" i="4"/>
  <c r="AC206" i="4"/>
  <c r="AC218" i="4"/>
  <c r="AC243" i="4"/>
  <c r="AC270" i="4"/>
  <c r="AC282" i="4"/>
  <c r="AJ8" i="4"/>
  <c r="AG10" i="4"/>
  <c r="AK15" i="4"/>
  <c r="AD18" i="4"/>
  <c r="AE20" i="4"/>
  <c r="AK25" i="4"/>
  <c r="AH28" i="4"/>
  <c r="AJ31" i="4"/>
  <c r="AE34" i="4"/>
  <c r="AH37" i="4"/>
  <c r="AI40" i="4"/>
  <c r="AE43" i="4"/>
  <c r="AH46" i="4"/>
  <c r="AK48" i="4"/>
  <c r="AE52" i="4"/>
  <c r="AE61" i="4"/>
  <c r="AI63" i="4"/>
  <c r="AK66" i="4"/>
  <c r="AI69" i="4"/>
  <c r="AH75" i="4"/>
  <c r="AE81" i="4"/>
  <c r="AG84" i="4"/>
  <c r="AK86" i="4"/>
  <c r="AE90" i="4"/>
  <c r="AI92" i="4"/>
  <c r="AH96" i="4"/>
  <c r="AG101" i="4"/>
  <c r="AI105" i="4"/>
  <c r="AI110" i="4"/>
  <c r="AJ114" i="4"/>
  <c r="AJ119" i="4"/>
  <c r="AD125" i="4"/>
  <c r="AK128" i="4"/>
  <c r="AG134" i="4"/>
  <c r="AD138" i="4"/>
  <c r="AH143" i="4"/>
  <c r="AK147" i="4"/>
  <c r="AJ160" i="4"/>
  <c r="AE166" i="4"/>
  <c r="AJ181" i="4"/>
  <c r="AI188" i="4"/>
  <c r="AE196" i="4"/>
  <c r="AG203" i="4"/>
  <c r="AH210" i="4"/>
  <c r="AG218" i="4"/>
  <c r="AE233" i="4"/>
  <c r="AK239" i="4"/>
  <c r="AK247" i="4"/>
  <c r="AE256" i="4"/>
  <c r="AD271" i="4"/>
  <c r="AG277" i="4"/>
  <c r="AJ285" i="4"/>
  <c r="AJ149" i="4"/>
  <c r="AK150" i="4"/>
  <c r="AJ157" i="4"/>
  <c r="AJ173" i="4"/>
  <c r="Z173" i="4"/>
  <c r="AA149" i="4"/>
  <c r="AA153" i="4"/>
  <c r="AA157" i="4"/>
  <c r="AA173" i="4"/>
  <c r="AD151" i="4"/>
  <c r="AG153" i="4"/>
  <c r="AH154" i="4"/>
  <c r="AK157" i="4"/>
  <c r="AD159" i="4"/>
  <c r="AK173" i="4"/>
  <c r="AB149" i="4"/>
  <c r="AB153" i="4"/>
  <c r="AB173" i="4"/>
  <c r="AC157" i="4"/>
  <c r="AC173" i="4"/>
  <c r="AK148" i="4"/>
  <c r="AD150" i="4"/>
  <c r="AE151" i="4"/>
  <c r="AG152" i="4"/>
  <c r="AH153" i="4"/>
  <c r="AI154" i="4"/>
  <c r="AJ155" i="4"/>
  <c r="AK156" i="4"/>
  <c r="AE159" i="4"/>
  <c r="AI149" i="4"/>
  <c r="AI157" i="4"/>
  <c r="AI173" i="4"/>
  <c r="AA150" i="4"/>
  <c r="AA158" i="4"/>
  <c r="AD149" i="4"/>
  <c r="AE150" i="4"/>
  <c r="AI153" i="4"/>
  <c r="AE158" i="4"/>
  <c r="AD173" i="4"/>
  <c r="AB150" i="4"/>
  <c r="AB154" i="4"/>
  <c r="AC151" i="4"/>
  <c r="AC159" i="4"/>
  <c r="AE149" i="4"/>
  <c r="AG150" i="4"/>
  <c r="AH151" i="4"/>
  <c r="AJ153" i="4"/>
  <c r="AK154" i="4"/>
  <c r="AG158" i="4"/>
  <c r="AH159" i="4"/>
  <c r="AE173" i="4"/>
  <c r="Z153" i="4"/>
  <c r="AA151" i="4"/>
  <c r="AA155" i="4"/>
  <c r="AE148" i="4"/>
  <c r="AH150" i="4"/>
  <c r="AI151" i="4"/>
  <c r="AJ152" i="4"/>
  <c r="AK153" i="4"/>
  <c r="AD155" i="4"/>
  <c r="AE156" i="4"/>
  <c r="AG157" i="4"/>
  <c r="AH158" i="4"/>
  <c r="AI159" i="4"/>
  <c r="AG173" i="4"/>
  <c r="AD157" i="4"/>
  <c r="Z154" i="4"/>
  <c r="AB155" i="4"/>
  <c r="AB159" i="4"/>
  <c r="AI150" i="4"/>
  <c r="AJ151" i="4"/>
  <c r="AE155" i="4"/>
  <c r="AI158" i="4"/>
  <c r="AJ159" i="4"/>
  <c r="BU113" i="4"/>
  <c r="L123" i="7"/>
  <c r="BW99" i="4"/>
  <c r="N109" i="7"/>
  <c r="BV99" i="4"/>
  <c r="M109" i="7"/>
  <c r="BX109" i="4"/>
  <c r="O119" i="7"/>
  <c r="BU248" i="4"/>
  <c r="L18" i="7"/>
  <c r="BX248" i="4"/>
  <c r="O18" i="7"/>
  <c r="BV269" i="4"/>
  <c r="M39" i="7"/>
  <c r="BY182" i="4"/>
  <c r="P170" i="7"/>
  <c r="CI246" i="4"/>
  <c r="CI60" i="4"/>
  <c r="CA226" i="4"/>
  <c r="CD226" i="4"/>
  <c r="CC226" i="4"/>
  <c r="CE226" i="4"/>
  <c r="CF226" i="4"/>
  <c r="CG226" i="4"/>
  <c r="CI269" i="4"/>
  <c r="CN269" i="4"/>
  <c r="CI141" i="4"/>
  <c r="CE88" i="4"/>
  <c r="CD88" i="4"/>
  <c r="CA88" i="4"/>
  <c r="CG88" i="4"/>
  <c r="CE102" i="4"/>
  <c r="CD102" i="4"/>
  <c r="CI181" i="4"/>
  <c r="CO181" i="4"/>
  <c r="CN181" i="4"/>
  <c r="CF65" i="4"/>
  <c r="CE65" i="4"/>
  <c r="CD65" i="4"/>
  <c r="CG65" i="4"/>
  <c r="CA65" i="4"/>
  <c r="CC65" i="4"/>
  <c r="CC223" i="4"/>
  <c r="CI88" i="4"/>
  <c r="CA258" i="4"/>
  <c r="CI214" i="4"/>
  <c r="CA78" i="4"/>
  <c r="CD237" i="4"/>
  <c r="CE237" i="4"/>
  <c r="CA197" i="4"/>
  <c r="CE197" i="4"/>
  <c r="CA173" i="4"/>
  <c r="CA283" i="4"/>
  <c r="CI247" i="4"/>
  <c r="CO207" i="4"/>
  <c r="CA240" i="4"/>
  <c r="CA146" i="4"/>
  <c r="CF146" i="4"/>
  <c r="CD146" i="4"/>
  <c r="CC146" i="4"/>
  <c r="CI242" i="4"/>
  <c r="CG117" i="4"/>
  <c r="CC117" i="4"/>
  <c r="CE117" i="4"/>
  <c r="CD117" i="4"/>
  <c r="CF117" i="4"/>
  <c r="CC109" i="4"/>
  <c r="CF109" i="4"/>
  <c r="CE109" i="4"/>
  <c r="CG109" i="4"/>
  <c r="CD109" i="4"/>
  <c r="CF21" i="4"/>
  <c r="CG21" i="4"/>
  <c r="CD21" i="4"/>
  <c r="CE21" i="4"/>
  <c r="CD91" i="4"/>
  <c r="CF91" i="4"/>
  <c r="CL254" i="4"/>
  <c r="CN126" i="4"/>
  <c r="CI197" i="4"/>
  <c r="CO197" i="4"/>
  <c r="CI133" i="4"/>
  <c r="CA219" i="4"/>
  <c r="CI155" i="4"/>
  <c r="CA75" i="4"/>
  <c r="CE75" i="4"/>
  <c r="CD75" i="4"/>
  <c r="CG75" i="4"/>
  <c r="CC75" i="4"/>
  <c r="CA81" i="4"/>
  <c r="CC81" i="4"/>
  <c r="CD81" i="4"/>
  <c r="CE81" i="4"/>
  <c r="CF81" i="4"/>
  <c r="CG81" i="4"/>
  <c r="CA207" i="4"/>
  <c r="CI127" i="4"/>
  <c r="CA63" i="4"/>
  <c r="CA162" i="4"/>
  <c r="CF162" i="4"/>
  <c r="CE162" i="4"/>
  <c r="CG181" i="4"/>
  <c r="CA55" i="4"/>
  <c r="CA215" i="4"/>
  <c r="CG15" i="4"/>
  <c r="CF15" i="4"/>
  <c r="CD15" i="4"/>
  <c r="CC15" i="4"/>
  <c r="CA238" i="4"/>
  <c r="CA230" i="4"/>
  <c r="CA214" i="4"/>
  <c r="CG214" i="4"/>
  <c r="CE214" i="4"/>
  <c r="CC214" i="4"/>
  <c r="CA126" i="4"/>
  <c r="CC126" i="4"/>
  <c r="CD126" i="4"/>
  <c r="CE126" i="4"/>
  <c r="CG126" i="4"/>
  <c r="CF126" i="4"/>
  <c r="CA253" i="4"/>
  <c r="CG213" i="4"/>
  <c r="CI173" i="4"/>
  <c r="CG125" i="4"/>
  <c r="CA125" i="4"/>
  <c r="CF125" i="4"/>
  <c r="CE125" i="4"/>
  <c r="CA77" i="4"/>
  <c r="CI99" i="4"/>
  <c r="CN99" i="4"/>
  <c r="CM99" i="4"/>
  <c r="CO99" i="4"/>
  <c r="CI239" i="4"/>
  <c r="CI111" i="4"/>
  <c r="CI80" i="4"/>
  <c r="CI199" i="4"/>
  <c r="CA220" i="4"/>
  <c r="CI68" i="4"/>
  <c r="CE122" i="4"/>
  <c r="CD122" i="4"/>
  <c r="CC122" i="4"/>
  <c r="CG122" i="4"/>
  <c r="CA122" i="4"/>
  <c r="CF122" i="4"/>
  <c r="CI290" i="4"/>
  <c r="CA222" i="4"/>
  <c r="CD222" i="4"/>
  <c r="CA271" i="4"/>
  <c r="CA138" i="4"/>
  <c r="CD138" i="4"/>
  <c r="CF27" i="4"/>
  <c r="CD27" i="4"/>
  <c r="CE27" i="4"/>
  <c r="CG27" i="4"/>
  <c r="CC27" i="4"/>
  <c r="CA262" i="4"/>
  <c r="CI117" i="4"/>
  <c r="CL117" i="4"/>
  <c r="CO117" i="4"/>
  <c r="CK117" i="4"/>
  <c r="CN117" i="4"/>
  <c r="CM117" i="4"/>
  <c r="CK222" i="4"/>
  <c r="CI222" i="4"/>
  <c r="CO222" i="4"/>
  <c r="CM222" i="4"/>
  <c r="CE261" i="4"/>
  <c r="CA261" i="4"/>
  <c r="CD261" i="4"/>
  <c r="CG261" i="4"/>
  <c r="CC261" i="4"/>
  <c r="CF261" i="4"/>
  <c r="CL167" i="4"/>
  <c r="CI167" i="4"/>
  <c r="CI90" i="4"/>
  <c r="CC106" i="4"/>
  <c r="CE106" i="4"/>
  <c r="CG106" i="4"/>
  <c r="CF106" i="4"/>
  <c r="CD106" i="4"/>
  <c r="CF104" i="4"/>
  <c r="CG104" i="4"/>
  <c r="CE104" i="4"/>
  <c r="CI230" i="4"/>
  <c r="CM230" i="4"/>
  <c r="CI94" i="4"/>
  <c r="CK94" i="4"/>
  <c r="CA53" i="4"/>
  <c r="CF53" i="4"/>
  <c r="CC53" i="4"/>
  <c r="CE53" i="4"/>
  <c r="CI211" i="4"/>
  <c r="CI75" i="4"/>
  <c r="CN75" i="4"/>
  <c r="CL75" i="4"/>
  <c r="CA51" i="4"/>
  <c r="CL15" i="4"/>
  <c r="CM15" i="4"/>
  <c r="CI15" i="4"/>
  <c r="CO15" i="4"/>
  <c r="CE248" i="4"/>
  <c r="CD248" i="4"/>
  <c r="CA248" i="4"/>
  <c r="CF113" i="4"/>
  <c r="CG113" i="4"/>
  <c r="CE113" i="4"/>
  <c r="CD113" i="4"/>
  <c r="CC113" i="4"/>
  <c r="CA246" i="4"/>
  <c r="CA198" i="4"/>
  <c r="CC198" i="4"/>
  <c r="CF198" i="4"/>
  <c r="CG198" i="4"/>
  <c r="CA285" i="4"/>
  <c r="CD285" i="4"/>
  <c r="CG285" i="4"/>
  <c r="CF285" i="4"/>
  <c r="CE285" i="4"/>
  <c r="CA45" i="4"/>
  <c r="CI98" i="4"/>
  <c r="CM98" i="4"/>
  <c r="CL98" i="4"/>
  <c r="CG89" i="4"/>
  <c r="CC89" i="4"/>
  <c r="CA174" i="4"/>
  <c r="CO201" i="4"/>
  <c r="CM201" i="4"/>
  <c r="CK201" i="4"/>
  <c r="CL201" i="4"/>
  <c r="CI201" i="4"/>
  <c r="CL137" i="4"/>
  <c r="CO137" i="4"/>
  <c r="CM137" i="4"/>
  <c r="CN137" i="4"/>
  <c r="CI137" i="4"/>
  <c r="CI17" i="4"/>
  <c r="CG118" i="4"/>
  <c r="CD118" i="4"/>
  <c r="CF118" i="4"/>
  <c r="CC118" i="4"/>
  <c r="CE118" i="4"/>
  <c r="CG110" i="4"/>
  <c r="CD110" i="4"/>
  <c r="CF110" i="4"/>
  <c r="CE110" i="4"/>
  <c r="CC110" i="4"/>
  <c r="CE99" i="4"/>
  <c r="CD99" i="4"/>
  <c r="CG99" i="4"/>
  <c r="CC99" i="4"/>
  <c r="CF99" i="4"/>
  <c r="CG34" i="4"/>
  <c r="CF34" i="4"/>
  <c r="CC34" i="4"/>
  <c r="CD34" i="4"/>
  <c r="CE34" i="4"/>
  <c r="CC112" i="4"/>
  <c r="CI182" i="4"/>
  <c r="CO182" i="4"/>
  <c r="CM182" i="4"/>
  <c r="CN182" i="4"/>
  <c r="CK182" i="4"/>
  <c r="CL182" i="4"/>
  <c r="CO118" i="4"/>
  <c r="CA94" i="4"/>
  <c r="CE94" i="4"/>
  <c r="CA46" i="4"/>
  <c r="CA269" i="4"/>
  <c r="CD269" i="4"/>
  <c r="CF269" i="4"/>
  <c r="CE269" i="4"/>
  <c r="CA205" i="4"/>
  <c r="CI53" i="4"/>
  <c r="CL53" i="4"/>
  <c r="CO53" i="4"/>
  <c r="CA123" i="4"/>
  <c r="CC123" i="4"/>
  <c r="CG123" i="4"/>
  <c r="CI51" i="4"/>
  <c r="CA71" i="4"/>
  <c r="CL248" i="4"/>
  <c r="CA231" i="4"/>
  <c r="CG98" i="4"/>
  <c r="CE98" i="4"/>
  <c r="CM194" i="4"/>
  <c r="CO194" i="4"/>
  <c r="CN194" i="4"/>
  <c r="CI194" i="4"/>
  <c r="K5" i="7"/>
  <c r="K144" i="7"/>
  <c r="S1012" i="6"/>
  <c r="O443" i="6"/>
  <c r="A443" i="6"/>
  <c r="D773" i="6"/>
  <c r="E773" i="6" s="1"/>
  <c r="O455" i="6"/>
  <c r="A455" i="6"/>
  <c r="D785" i="6"/>
  <c r="E785" i="6" s="1"/>
  <c r="CI264" i="4"/>
  <c r="CM60" i="4"/>
  <c r="CC238" i="4"/>
  <c r="CD238" i="4"/>
  <c r="CG238" i="4"/>
  <c r="CF238" i="4"/>
  <c r="CE238" i="4"/>
  <c r="CK230" i="4"/>
  <c r="CD230" i="4"/>
  <c r="CO230" i="4"/>
  <c r="CF222" i="4"/>
  <c r="CG222" i="4"/>
  <c r="CE222" i="4"/>
  <c r="CI50" i="4"/>
  <c r="CL194" i="4"/>
  <c r="CK194" i="4"/>
  <c r="CG146" i="4"/>
  <c r="CE146" i="4"/>
  <c r="BY181" i="4"/>
  <c r="P169" i="7"/>
  <c r="CM133" i="4"/>
  <c r="CL133" i="4"/>
  <c r="CO133" i="4"/>
  <c r="BU109" i="4"/>
  <c r="L119" i="7"/>
  <c r="BV109" i="4"/>
  <c r="M119" i="7"/>
  <c r="BY101" i="4"/>
  <c r="P111" i="7"/>
  <c r="BX88" i="4"/>
  <c r="O108" i="7"/>
  <c r="BW88" i="4"/>
  <c r="N108" i="7"/>
  <c r="CC88" i="4"/>
  <c r="BV88" i="4"/>
  <c r="M108" i="7"/>
  <c r="CF88" i="4"/>
  <c r="CN88" i="4"/>
  <c r="BA183" i="4"/>
  <c r="BA199" i="4"/>
  <c r="BA208" i="4"/>
  <c r="BA197" i="4"/>
  <c r="BA178" i="4"/>
  <c r="BA194" i="4"/>
  <c r="BA175" i="4"/>
  <c r="BA200" i="4"/>
  <c r="BA186" i="4"/>
  <c r="BA195" i="4"/>
  <c r="BA182" i="4"/>
  <c r="BA176" i="4"/>
  <c r="BA184" i="4"/>
  <c r="BA181" i="4"/>
  <c r="CC181" i="4"/>
  <c r="BA205" i="4"/>
  <c r="BA179" i="4"/>
  <c r="BA185" i="4"/>
  <c r="BA224" i="4"/>
  <c r="BA201" i="4"/>
  <c r="BA189" i="4"/>
  <c r="BA188" i="4"/>
  <c r="BA204" i="4"/>
  <c r="BA202" i="4"/>
  <c r="BA222" i="4"/>
  <c r="CC222" i="4"/>
  <c r="BA174" i="4"/>
  <c r="BA207" i="4"/>
  <c r="BA193" i="4"/>
  <c r="O1052" i="6"/>
  <c r="A1052" i="6"/>
  <c r="K83" i="7"/>
  <c r="K123" i="7"/>
  <c r="O908" i="6"/>
  <c r="D1238" i="6"/>
  <c r="D1568" i="6"/>
  <c r="O819" i="6"/>
  <c r="D1149" i="6"/>
  <c r="E1149" i="6" s="1"/>
  <c r="A819" i="6"/>
  <c r="O787" i="6"/>
  <c r="D1117" i="6"/>
  <c r="E1117" i="6" s="1"/>
  <c r="A787" i="6"/>
  <c r="O747" i="6"/>
  <c r="A747" i="6"/>
  <c r="D1077" i="6"/>
  <c r="E1077" i="6" s="1"/>
  <c r="O715" i="6"/>
  <c r="D1045" i="6"/>
  <c r="E1045" i="6" s="1"/>
  <c r="A715" i="6"/>
  <c r="O683" i="6"/>
  <c r="A683" i="6"/>
  <c r="D1013" i="6"/>
  <c r="E1013" i="6" s="1"/>
  <c r="S889" i="6"/>
  <c r="B1219" i="6"/>
  <c r="B1549" i="6"/>
  <c r="S1549" i="6"/>
  <c r="S978" i="6"/>
  <c r="AO978" i="6"/>
  <c r="B1308" i="6"/>
  <c r="B1638" i="6"/>
  <c r="S1638" i="6"/>
  <c r="BX113" i="4"/>
  <c r="O123" i="7"/>
  <c r="BW113" i="4"/>
  <c r="N123" i="7"/>
  <c r="BU269" i="4"/>
  <c r="L39" i="7"/>
  <c r="BW269" i="4"/>
  <c r="N39" i="7"/>
  <c r="CK269" i="4"/>
  <c r="BW197" i="4"/>
  <c r="N147" i="7"/>
  <c r="CL60" i="4"/>
  <c r="CO60" i="4"/>
  <c r="CM214" i="4"/>
  <c r="CL214" i="4"/>
  <c r="CA121" i="4"/>
  <c r="BS145" i="4"/>
  <c r="BS241" i="4"/>
  <c r="J13" i="7"/>
  <c r="AA13" i="7"/>
  <c r="AB13" i="7"/>
  <c r="K13" i="7"/>
  <c r="B1103" i="6"/>
  <c r="S773" i="6"/>
  <c r="AO773" i="6"/>
  <c r="S921" i="6"/>
  <c r="AO921" i="6"/>
  <c r="B1251" i="6"/>
  <c r="B1581" i="6"/>
  <c r="S1581" i="6"/>
  <c r="S1251" i="6"/>
  <c r="BT92" i="4"/>
  <c r="CB92" i="4"/>
  <c r="CJ92" i="4"/>
  <c r="CI92" i="4"/>
  <c r="BJ92" i="4"/>
  <c r="AY92" i="4"/>
  <c r="BI92" i="4"/>
  <c r="BB92" i="4"/>
  <c r="BN92" i="4"/>
  <c r="BH92" i="4"/>
  <c r="AT92" i="4"/>
  <c r="AZ92" i="4"/>
  <c r="BM92" i="4"/>
  <c r="BF92" i="4"/>
  <c r="BK92" i="4"/>
  <c r="AW92" i="4"/>
  <c r="BG92" i="4"/>
  <c r="AG92" i="4"/>
  <c r="AJ92" i="4"/>
  <c r="BT100" i="4"/>
  <c r="CJ100" i="4"/>
  <c r="BM100" i="4"/>
  <c r="AX100" i="4"/>
  <c r="BE100" i="4"/>
  <c r="BD100" i="4"/>
  <c r="AI100" i="4"/>
  <c r="BK100" i="4"/>
  <c r="AW100" i="4"/>
  <c r="BA100" i="4"/>
  <c r="BC100" i="4"/>
  <c r="BN100" i="4"/>
  <c r="BH100" i="4"/>
  <c r="Z100" i="4"/>
  <c r="AK100" i="4"/>
  <c r="BJ100" i="4"/>
  <c r="BI100" i="4"/>
  <c r="BF100" i="4"/>
  <c r="AC100" i="4"/>
  <c r="BT108" i="4"/>
  <c r="AU108" i="4"/>
  <c r="AV108" i="4"/>
  <c r="BG108" i="4"/>
  <c r="BL108" i="4"/>
  <c r="BK108" i="4"/>
  <c r="AH108" i="4"/>
  <c r="BC108" i="4"/>
  <c r="AX108" i="4"/>
  <c r="CJ108" i="4"/>
  <c r="AT108" i="4"/>
  <c r="BI108" i="4"/>
  <c r="CD108" i="4"/>
  <c r="Z108" i="4"/>
  <c r="AB108" i="4"/>
  <c r="AD108" i="4"/>
  <c r="BB108" i="4"/>
  <c r="AW108" i="4"/>
  <c r="AZ108" i="4"/>
  <c r="AF108" i="4"/>
  <c r="BT116" i="4"/>
  <c r="BS116" i="4"/>
  <c r="J126" i="7"/>
  <c r="AY116" i="4"/>
  <c r="BE116" i="4"/>
  <c r="AV116" i="4"/>
  <c r="BJ116" i="4"/>
  <c r="AU116" i="4"/>
  <c r="BN116" i="4"/>
  <c r="AC116" i="4"/>
  <c r="BB116" i="4"/>
  <c r="BD116" i="4"/>
  <c r="BK116" i="4"/>
  <c r="AT116" i="4"/>
  <c r="AX116" i="4"/>
  <c r="BI116" i="4"/>
  <c r="AG116" i="4"/>
  <c r="BC116" i="4"/>
  <c r="BH116" i="4"/>
  <c r="AK116" i="4"/>
  <c r="AJ116" i="4"/>
  <c r="CJ124" i="4"/>
  <c r="BT124" i="4"/>
  <c r="CB124" i="4"/>
  <c r="AU124" i="4"/>
  <c r="BK124" i="4"/>
  <c r="BN124" i="4"/>
  <c r="BI124" i="4"/>
  <c r="AB124" i="4"/>
  <c r="AC124" i="4"/>
  <c r="BG124" i="4"/>
  <c r="BD124" i="4"/>
  <c r="AX124" i="4"/>
  <c r="AY124" i="4"/>
  <c r="BH124" i="4"/>
  <c r="CL124" i="4" s="1"/>
  <c r="BM124" i="4"/>
  <c r="AI124" i="4"/>
  <c r="BB124" i="4"/>
  <c r="BF124" i="4"/>
  <c r="AV124" i="4"/>
  <c r="AF124" i="4"/>
  <c r="AK124" i="4"/>
  <c r="BT132" i="4"/>
  <c r="AY132" i="4"/>
  <c r="AX132" i="4"/>
  <c r="BF132" i="4"/>
  <c r="AF132" i="4"/>
  <c r="BJ132" i="4"/>
  <c r="BM132" i="4"/>
  <c r="BL132" i="4"/>
  <c r="BB132" i="4"/>
  <c r="BN132" i="4"/>
  <c r="AT132" i="4"/>
  <c r="AW132" i="4"/>
  <c r="AI132" i="4"/>
  <c r="CJ132" i="4"/>
  <c r="BH132" i="4"/>
  <c r="BX132" i="4"/>
  <c r="BD132" i="4"/>
  <c r="BC132" i="4"/>
  <c r="AD132" i="4"/>
  <c r="BT140" i="4"/>
  <c r="CJ140" i="4"/>
  <c r="CB140" i="4"/>
  <c r="BH140" i="4"/>
  <c r="CM140" i="4" s="1"/>
  <c r="BN140" i="4"/>
  <c r="AX140" i="4"/>
  <c r="AZ140" i="4"/>
  <c r="BC140" i="4"/>
  <c r="AW140" i="4"/>
  <c r="AG140" i="4"/>
  <c r="AI140" i="4"/>
  <c r="BG140" i="4"/>
  <c r="BF140" i="4"/>
  <c r="BA140" i="4"/>
  <c r="AY140" i="4"/>
  <c r="AU140" i="4"/>
  <c r="BE140" i="4"/>
  <c r="Z140" i="4"/>
  <c r="AK140" i="4"/>
  <c r="BB140" i="4"/>
  <c r="AV140" i="4"/>
  <c r="BT148" i="4"/>
  <c r="CJ148" i="4"/>
  <c r="CB148" i="4"/>
  <c r="CA148" i="4"/>
  <c r="BL148" i="4"/>
  <c r="AX148" i="4"/>
  <c r="AU148" i="4"/>
  <c r="AB148" i="4"/>
  <c r="Z148" i="4"/>
  <c r="AD148" i="4"/>
  <c r="BG148" i="4"/>
  <c r="AT148" i="4"/>
  <c r="BE148" i="4"/>
  <c r="BM148" i="4"/>
  <c r="BD148" i="4"/>
  <c r="BA148" i="4"/>
  <c r="BK148" i="4"/>
  <c r="BH148" i="4"/>
  <c r="AG148" i="4"/>
  <c r="BT156" i="4"/>
  <c r="BG156" i="4"/>
  <c r="BC156" i="4"/>
  <c r="AT156" i="4"/>
  <c r="AF156" i="4"/>
  <c r="AY156" i="4"/>
  <c r="BA156" i="4"/>
  <c r="AU156" i="4"/>
  <c r="BJ156" i="4"/>
  <c r="BF156" i="4"/>
  <c r="AZ156" i="4"/>
  <c r="BH156" i="4"/>
  <c r="AG156" i="4"/>
  <c r="BL156" i="4"/>
  <c r="AX156" i="4"/>
  <c r="AD156" i="4"/>
  <c r="BT164" i="4"/>
  <c r="CB164" i="4"/>
  <c r="CJ164" i="4"/>
  <c r="BK164" i="4"/>
  <c r="AX164" i="4"/>
  <c r="AY164" i="4"/>
  <c r="BC164" i="4"/>
  <c r="BH164" i="4"/>
  <c r="AT164" i="4"/>
  <c r="AB164" i="4"/>
  <c r="AU164" i="4"/>
  <c r="AV164" i="4"/>
  <c r="BB164" i="4"/>
  <c r="BF164" i="4"/>
  <c r="BM164" i="4"/>
  <c r="BN164" i="4"/>
  <c r="BI164" i="4"/>
  <c r="BE164" i="4"/>
  <c r="AG164" i="4"/>
  <c r="CJ172" i="4"/>
  <c r="BT172" i="4"/>
  <c r="BF172" i="4"/>
  <c r="AT172" i="4"/>
  <c r="CB172" i="4"/>
  <c r="AW172" i="4"/>
  <c r="BI172" i="4"/>
  <c r="BM172" i="4"/>
  <c r="AX172" i="4"/>
  <c r="AF172" i="4"/>
  <c r="BK172" i="4"/>
  <c r="AZ172" i="4"/>
  <c r="BH172" i="4"/>
  <c r="AA172" i="4"/>
  <c r="AG172" i="4"/>
  <c r="AU172" i="4"/>
  <c r="AY172" i="4"/>
  <c r="BE172" i="4"/>
  <c r="AB172" i="4"/>
  <c r="BT180" i="4"/>
  <c r="CB180" i="4"/>
  <c r="AU180" i="4"/>
  <c r="AX180" i="4"/>
  <c r="BE180" i="4"/>
  <c r="BI180" i="4"/>
  <c r="BM180" i="4"/>
  <c r="BA180" i="4"/>
  <c r="AB180" i="4"/>
  <c r="CJ180" i="4"/>
  <c r="AZ180" i="4"/>
  <c r="AW180" i="4"/>
  <c r="AV180" i="4"/>
  <c r="BH180" i="4"/>
  <c r="CL180" i="4" s="1"/>
  <c r="BD180" i="4"/>
  <c r="AF180" i="4"/>
  <c r="BL180" i="4"/>
  <c r="BG180" i="4"/>
  <c r="CF180" i="4"/>
  <c r="CJ188" i="4"/>
  <c r="CB188" i="4"/>
  <c r="AF188" i="4"/>
  <c r="BK188" i="4"/>
  <c r="AW188" i="4"/>
  <c r="BJ188" i="4"/>
  <c r="AY188" i="4"/>
  <c r="AV188" i="4"/>
  <c r="BT188" i="4"/>
  <c r="BB188" i="4"/>
  <c r="BN188" i="4"/>
  <c r="BC188" i="4"/>
  <c r="AT188" i="4"/>
  <c r="BD188" i="4"/>
  <c r="BG188" i="4"/>
  <c r="AZ188" i="4"/>
  <c r="BE188" i="4"/>
  <c r="BM188" i="4"/>
  <c r="BT196" i="4"/>
  <c r="CJ196" i="4"/>
  <c r="AW196" i="4"/>
  <c r="BD196" i="4"/>
  <c r="AU196" i="4"/>
  <c r="BK196" i="4"/>
  <c r="BH196" i="4"/>
  <c r="Z196" i="4"/>
  <c r="AB196" i="4"/>
  <c r="AZ196" i="4"/>
  <c r="BN196" i="4"/>
  <c r="CB196" i="4"/>
  <c r="AF196" i="4"/>
  <c r="BI196" i="4"/>
  <c r="AV196" i="4"/>
  <c r="BB196" i="4"/>
  <c r="BM196" i="4"/>
  <c r="BA196" i="4"/>
  <c r="CJ204" i="4"/>
  <c r="BT204" i="4"/>
  <c r="K152" i="7"/>
  <c r="BF204" i="4"/>
  <c r="BG204" i="4"/>
  <c r="BB204" i="4"/>
  <c r="AX204" i="4"/>
  <c r="BE204" i="4"/>
  <c r="BH204" i="4"/>
  <c r="BL204" i="4"/>
  <c r="BI204" i="4"/>
  <c r="AY204" i="4"/>
  <c r="BC204" i="4"/>
  <c r="AV204" i="4"/>
  <c r="AZ204" i="4"/>
  <c r="BK204" i="4"/>
  <c r="BJ204" i="4"/>
  <c r="Z204" i="4"/>
  <c r="BT212" i="4"/>
  <c r="CJ212" i="4"/>
  <c r="BA212" i="4"/>
  <c r="BB212" i="4"/>
  <c r="AF212" i="4"/>
  <c r="BJ212" i="4"/>
  <c r="AU212" i="4"/>
  <c r="BN212" i="4"/>
  <c r="AY212" i="4"/>
  <c r="BG212" i="4"/>
  <c r="BF212" i="4"/>
  <c r="BM212" i="4"/>
  <c r="BL212" i="4"/>
  <c r="AH212" i="4"/>
  <c r="CB212" i="4"/>
  <c r="BI212" i="4"/>
  <c r="AW212" i="4"/>
  <c r="AT212" i="4"/>
  <c r="AB212" i="4"/>
  <c r="CJ220" i="4"/>
  <c r="BE220" i="4"/>
  <c r="AW220" i="4"/>
  <c r="BD220" i="4"/>
  <c r="AV220" i="4"/>
  <c r="BM220" i="4"/>
  <c r="AT220" i="4"/>
  <c r="BJ220" i="4"/>
  <c r="AU220" i="4"/>
  <c r="BT220" i="4"/>
  <c r="AZ220" i="4"/>
  <c r="BC220" i="4"/>
  <c r="BN220" i="4"/>
  <c r="AY220" i="4"/>
  <c r="BK220" i="4"/>
  <c r="BT228" i="4"/>
  <c r="CJ228" i="4"/>
  <c r="CB228" i="4"/>
  <c r="BN228" i="4"/>
  <c r="BE228" i="4"/>
  <c r="BB228" i="4"/>
  <c r="BF228" i="4"/>
  <c r="BC228" i="4"/>
  <c r="AY228" i="4"/>
  <c r="AX228" i="4"/>
  <c r="BH228" i="4"/>
  <c r="BI228" i="4"/>
  <c r="BM228" i="4"/>
  <c r="AV228" i="4"/>
  <c r="BK228" i="4"/>
  <c r="AU228" i="4"/>
  <c r="BL228" i="4"/>
  <c r="BT236" i="4"/>
  <c r="CJ236" i="4"/>
  <c r="CB236" i="4"/>
  <c r="BB236" i="4"/>
  <c r="BC236" i="4"/>
  <c r="BD236" i="4"/>
  <c r="BN236" i="4"/>
  <c r="AF236" i="4"/>
  <c r="BM236" i="4"/>
  <c r="BI236" i="4"/>
  <c r="AT236" i="4"/>
  <c r="BE236" i="4"/>
  <c r="AU236" i="4"/>
  <c r="BH236" i="4"/>
  <c r="CM236" i="4" s="1"/>
  <c r="BF236" i="4"/>
  <c r="AY236" i="4"/>
  <c r="BJ236" i="4"/>
  <c r="AA236" i="4"/>
  <c r="AI236" i="4"/>
  <c r="BT244" i="4"/>
  <c r="CB244" i="4"/>
  <c r="CA244" i="4"/>
  <c r="BK244" i="4"/>
  <c r="AX244" i="4"/>
  <c r="BN244" i="4"/>
  <c r="BB244" i="4"/>
  <c r="BF244" i="4"/>
  <c r="BD244" i="4"/>
  <c r="AE244" i="4"/>
  <c r="BJ244" i="4"/>
  <c r="BL244" i="4"/>
  <c r="AF244" i="4"/>
  <c r="BA244" i="4"/>
  <c r="BI244" i="4"/>
  <c r="AH244" i="4"/>
  <c r="Z244" i="4"/>
  <c r="BM244" i="4"/>
  <c r="AY244" i="4"/>
  <c r="AV244" i="4"/>
  <c r="CJ252" i="4"/>
  <c r="CB252" i="4"/>
  <c r="BC252" i="4"/>
  <c r="AU252" i="4"/>
  <c r="BL252" i="4"/>
  <c r="BA252" i="4"/>
  <c r="BH252" i="4"/>
  <c r="BB252" i="4"/>
  <c r="AX252" i="4"/>
  <c r="AZ252" i="4"/>
  <c r="BJ252" i="4"/>
  <c r="BK252" i="4"/>
  <c r="AF252" i="4"/>
  <c r="BE252" i="4"/>
  <c r="BI252" i="4"/>
  <c r="BF252" i="4"/>
  <c r="BT260" i="4"/>
  <c r="BB260" i="4"/>
  <c r="BD260" i="4"/>
  <c r="BH260" i="4"/>
  <c r="CJ260" i="4"/>
  <c r="AT260" i="4"/>
  <c r="BC260" i="4"/>
  <c r="BA260" i="4"/>
  <c r="AA260" i="4"/>
  <c r="CB260" i="4"/>
  <c r="BG260" i="4"/>
  <c r="BM260" i="4"/>
  <c r="BI260" i="4"/>
  <c r="AY260" i="4"/>
  <c r="AX260" i="4"/>
  <c r="AW260" i="4"/>
  <c r="AZ260" i="4"/>
  <c r="BN260" i="4"/>
  <c r="Z260" i="4"/>
  <c r="CJ268" i="4"/>
  <c r="CI268" i="4"/>
  <c r="BT268" i="4"/>
  <c r="K38" i="7"/>
  <c r="CB268" i="4"/>
  <c r="AT268" i="4"/>
  <c r="BA268" i="4"/>
  <c r="BN268" i="4"/>
  <c r="BG268" i="4"/>
  <c r="AV268" i="4"/>
  <c r="AY268" i="4"/>
  <c r="BD268" i="4"/>
  <c r="BC268" i="4"/>
  <c r="AZ268" i="4"/>
  <c r="BE268" i="4"/>
  <c r="AX268" i="4"/>
  <c r="AU268" i="4"/>
  <c r="AF268" i="4"/>
  <c r="BT276" i="4"/>
  <c r="CJ276" i="4"/>
  <c r="CB276" i="4"/>
  <c r="BM276" i="4"/>
  <c r="BN276" i="4"/>
  <c r="BK276" i="4"/>
  <c r="BE276" i="4"/>
  <c r="BA276" i="4"/>
  <c r="BH276" i="4"/>
  <c r="CL276" i="4" s="1"/>
  <c r="AW276" i="4"/>
  <c r="BL276" i="4"/>
  <c r="BD276" i="4"/>
  <c r="BJ276" i="4"/>
  <c r="AZ276" i="4"/>
  <c r="BC276" i="4"/>
  <c r="AH276" i="4"/>
  <c r="AT276" i="4"/>
  <c r="AV276" i="4"/>
  <c r="CJ284" i="4"/>
  <c r="BT284" i="4"/>
  <c r="BG284" i="4"/>
  <c r="BN284" i="4"/>
  <c r="AF284" i="4"/>
  <c r="AY284" i="4"/>
  <c r="BF284" i="4"/>
  <c r="BM284" i="4"/>
  <c r="BL284" i="4"/>
  <c r="BC284" i="4"/>
  <c r="CB284" i="4"/>
  <c r="BE284" i="4"/>
  <c r="AZ284" i="4"/>
  <c r="BI284" i="4"/>
  <c r="BJ284" i="4"/>
  <c r="AX284" i="4"/>
  <c r="AV284" i="4"/>
  <c r="BS161" i="4"/>
  <c r="BW141" i="4"/>
  <c r="K168" i="7"/>
  <c r="K176" i="7"/>
  <c r="BJ147" i="4"/>
  <c r="AT147" i="4"/>
  <c r="BL107" i="4"/>
  <c r="AZ107" i="4"/>
  <c r="AT74" i="4"/>
  <c r="AU26" i="4"/>
  <c r="BM289" i="4"/>
  <c r="AY281" i="4"/>
  <c r="AZ257" i="4"/>
  <c r="BF241" i="4"/>
  <c r="BJ241" i="4"/>
  <c r="BB209" i="4"/>
  <c r="AU185" i="4"/>
  <c r="BB185" i="4"/>
  <c r="AW169" i="4"/>
  <c r="BA145" i="4"/>
  <c r="BB121" i="4"/>
  <c r="BD97" i="4"/>
  <c r="CJ147" i="4"/>
  <c r="CB265" i="4"/>
  <c r="CB201" i="4"/>
  <c r="CG201" i="4"/>
  <c r="CB137" i="4"/>
  <c r="CJ112" i="4"/>
  <c r="CL112" i="4"/>
  <c r="CJ28" i="4"/>
  <c r="CJ34" i="4"/>
  <c r="CO34" i="4"/>
  <c r="BY126" i="4"/>
  <c r="O712" i="6"/>
  <c r="D1042" i="6"/>
  <c r="E1042" i="6" s="1"/>
  <c r="A712" i="6"/>
  <c r="CB187" i="4"/>
  <c r="CJ123" i="4"/>
  <c r="BS81" i="4"/>
  <c r="BV81" i="4"/>
  <c r="BW81" i="4"/>
  <c r="BY81" i="4"/>
  <c r="BT89" i="4"/>
  <c r="CJ89" i="4"/>
  <c r="CM89" i="4"/>
  <c r="CJ96" i="4"/>
  <c r="BT96" i="4"/>
  <c r="CB96" i="4"/>
  <c r="BT104" i="4"/>
  <c r="BS104" i="4"/>
  <c r="J114" i="7"/>
  <c r="AA114" i="7"/>
  <c r="AB114" i="7"/>
  <c r="CJ104" i="4"/>
  <c r="CI104" i="4"/>
  <c r="CB120" i="4"/>
  <c r="BT120" i="4"/>
  <c r="CB136" i="4"/>
  <c r="BT136" i="4"/>
  <c r="BT144" i="4"/>
  <c r="BS144" i="4"/>
  <c r="CJ144" i="4"/>
  <c r="CI144" i="4"/>
  <c r="CB144" i="4"/>
  <c r="CB152" i="4"/>
  <c r="BT152" i="4"/>
  <c r="BS152" i="4"/>
  <c r="J133" i="7"/>
  <c r="AA133" i="7"/>
  <c r="CJ152" i="4"/>
  <c r="CB168" i="4"/>
  <c r="BT168" i="4"/>
  <c r="CJ168" i="4"/>
  <c r="CI168" i="4"/>
  <c r="CB184" i="4"/>
  <c r="CJ184" i="4"/>
  <c r="BT184" i="4"/>
  <c r="CB192" i="4"/>
  <c r="BT192" i="4"/>
  <c r="CJ192" i="4"/>
  <c r="CI192" i="4"/>
  <c r="CJ200" i="4"/>
  <c r="BT200" i="4"/>
  <c r="BS200" i="4"/>
  <c r="J149" i="7"/>
  <c r="AA149" i="7"/>
  <c r="AB149" i="7"/>
  <c r="BT208" i="4"/>
  <c r="CJ208" i="4"/>
  <c r="CL208" i="4"/>
  <c r="CB224" i="4"/>
  <c r="CJ224" i="4"/>
  <c r="BT232" i="4"/>
  <c r="BS232" i="4"/>
  <c r="J6" i="7"/>
  <c r="AA6" i="7"/>
  <c r="AB6" i="7"/>
  <c r="CB232" i="4"/>
  <c r="CA232" i="4"/>
  <c r="BT240" i="4"/>
  <c r="K12" i="7"/>
  <c r="CJ240" i="4"/>
  <c r="CB256" i="4"/>
  <c r="CA256" i="4"/>
  <c r="CJ256" i="4"/>
  <c r="BT264" i="4"/>
  <c r="K34" i="7"/>
  <c r="CB264" i="4"/>
  <c r="BT272" i="4"/>
  <c r="BS272" i="4"/>
  <c r="J42" i="7"/>
  <c r="AA42" i="7"/>
  <c r="AB42" i="7"/>
  <c r="CJ272" i="4"/>
  <c r="BT288" i="4"/>
  <c r="CB288" i="4"/>
  <c r="CJ288" i="4"/>
  <c r="K109" i="7"/>
  <c r="BS34" i="4"/>
  <c r="J71" i="7"/>
  <c r="BT256" i="4"/>
  <c r="K26" i="7"/>
  <c r="O1154" i="6"/>
  <c r="A1154" i="6"/>
  <c r="CJ10" i="4"/>
  <c r="CB10" i="4"/>
  <c r="CJ18" i="4"/>
  <c r="BT18" i="4"/>
  <c r="BE26" i="4"/>
  <c r="AX26" i="4"/>
  <c r="BI26" i="4"/>
  <c r="AW26" i="4"/>
  <c r="BN26" i="4"/>
  <c r="BH26" i="4"/>
  <c r="CE26" i="4" s="1"/>
  <c r="BT26" i="4"/>
  <c r="K63" i="7"/>
  <c r="CJ26" i="4"/>
  <c r="BG26" i="4"/>
  <c r="BC26" i="4"/>
  <c r="CB42" i="4"/>
  <c r="BT42" i="4"/>
  <c r="K79" i="7"/>
  <c r="BT50" i="4"/>
  <c r="K87" i="7"/>
  <c r="BL50" i="4"/>
  <c r="AZ50" i="4"/>
  <c r="BH50" i="4"/>
  <c r="BD50" i="4"/>
  <c r="BC50" i="4"/>
  <c r="BF50" i="4"/>
  <c r="BM50" i="4"/>
  <c r="BN50" i="4"/>
  <c r="BB50" i="4"/>
  <c r="CJ66" i="4"/>
  <c r="BT66" i="4"/>
  <c r="BT74" i="4"/>
  <c r="CB74" i="4"/>
  <c r="CJ74" i="4"/>
  <c r="AV74" i="4"/>
  <c r="AZ74" i="4"/>
  <c r="BG74" i="4"/>
  <c r="BJ74" i="4"/>
  <c r="AW74" i="4"/>
  <c r="BH74" i="4"/>
  <c r="BB74" i="4"/>
  <c r="BT82" i="4"/>
  <c r="BS82" i="4"/>
  <c r="CB82" i="4"/>
  <c r="BI97" i="4"/>
  <c r="BK97" i="4"/>
  <c r="BE97" i="4"/>
  <c r="BA97" i="4"/>
  <c r="AX97" i="4"/>
  <c r="BF97" i="4"/>
  <c r="BL97" i="4"/>
  <c r="AW97" i="4"/>
  <c r="BJ97" i="4"/>
  <c r="BM97" i="4"/>
  <c r="AZ97" i="4"/>
  <c r="BT105" i="4"/>
  <c r="CJ105" i="4"/>
  <c r="BT121" i="4"/>
  <c r="CJ121" i="4"/>
  <c r="CI121" i="4"/>
  <c r="BD121" i="4"/>
  <c r="AY121" i="4"/>
  <c r="AT121" i="4"/>
  <c r="BL121" i="4"/>
  <c r="BM121" i="4"/>
  <c r="BE121" i="4"/>
  <c r="AX121" i="4"/>
  <c r="AV121" i="4"/>
  <c r="AU121" i="4"/>
  <c r="BT129" i="4"/>
  <c r="CB129" i="4"/>
  <c r="CJ129" i="4"/>
  <c r="BY137" i="4"/>
  <c r="BU137" i="4"/>
  <c r="BX137" i="4"/>
  <c r="BW137" i="4"/>
  <c r="BS137" i="4"/>
  <c r="BK145" i="4"/>
  <c r="BL145" i="4"/>
  <c r="BN145" i="4"/>
  <c r="BB145" i="4"/>
  <c r="AV145" i="4"/>
  <c r="BF145" i="4"/>
  <c r="BC145" i="4"/>
  <c r="CB145" i="4"/>
  <c r="AZ145" i="4"/>
  <c r="BM145" i="4"/>
  <c r="BD145" i="4"/>
  <c r="BT153" i="4"/>
  <c r="BW153" i="4"/>
  <c r="N134" i="7"/>
  <c r="CJ153" i="4"/>
  <c r="CJ161" i="4"/>
  <c r="CB161" i="4"/>
  <c r="CE161" i="4"/>
  <c r="BB169" i="4"/>
  <c r="BM169" i="4"/>
  <c r="BH169" i="4"/>
  <c r="BT169" i="4"/>
  <c r="AT169" i="4"/>
  <c r="AZ169" i="4"/>
  <c r="BL169" i="4"/>
  <c r="BE169" i="4"/>
  <c r="BD169" i="4"/>
  <c r="CJ185" i="4"/>
  <c r="CI185" i="4"/>
  <c r="AY185" i="4"/>
  <c r="BC185" i="4"/>
  <c r="BJ185" i="4"/>
  <c r="BL185" i="4"/>
  <c r="AX185" i="4"/>
  <c r="AW185" i="4"/>
  <c r="BI185" i="4"/>
  <c r="BN185" i="4"/>
  <c r="BM185" i="4"/>
  <c r="BT193" i="4"/>
  <c r="CB193" i="4"/>
  <c r="CJ193" i="4"/>
  <c r="BK209" i="4"/>
  <c r="BI209" i="4"/>
  <c r="BA209" i="4"/>
  <c r="AT209" i="4"/>
  <c r="CB209" i="4"/>
  <c r="CA209" i="4"/>
  <c r="AW209" i="4"/>
  <c r="BC209" i="4"/>
  <c r="AV209" i="4"/>
  <c r="BT217" i="4"/>
  <c r="CJ217" i="4"/>
  <c r="BT225" i="4"/>
  <c r="K160" i="7"/>
  <c r="AF225" i="4"/>
  <c r="AZ225" i="4"/>
  <c r="BA225" i="4"/>
  <c r="CB225" i="4"/>
  <c r="BM225" i="4"/>
  <c r="BH225" i="4"/>
  <c r="BF225" i="4"/>
  <c r="CJ225" i="4"/>
  <c r="BC225" i="4"/>
  <c r="BK225" i="4"/>
  <c r="BI225" i="4"/>
  <c r="BD241" i="4"/>
  <c r="BB241" i="4"/>
  <c r="AT241" i="4"/>
  <c r="AV241" i="4"/>
  <c r="BN241" i="4"/>
  <c r="BC241" i="4"/>
  <c r="CB241" i="4"/>
  <c r="AX241" i="4"/>
  <c r="AU241" i="4"/>
  <c r="BT249" i="4"/>
  <c r="CJ249" i="4"/>
  <c r="BT257" i="4"/>
  <c r="BD257" i="4"/>
  <c r="BH257" i="4"/>
  <c r="AX257" i="4"/>
  <c r="CB257" i="4"/>
  <c r="CA257" i="4"/>
  <c r="AV257" i="4"/>
  <c r="BI257" i="4"/>
  <c r="AW257" i="4"/>
  <c r="CJ257" i="4"/>
  <c r="BG257" i="4"/>
  <c r="BC257" i="4"/>
  <c r="BJ257" i="4"/>
  <c r="BT273" i="4"/>
  <c r="CB273" i="4"/>
  <c r="CJ281" i="4"/>
  <c r="BN281" i="4"/>
  <c r="AT281" i="4"/>
  <c r="BF281" i="4"/>
  <c r="AU281" i="4"/>
  <c r="AV281" i="4"/>
  <c r="BJ281" i="4"/>
  <c r="BC281" i="4"/>
  <c r="AX289" i="4"/>
  <c r="BC289" i="4"/>
  <c r="CB289" i="4"/>
  <c r="BL289" i="4"/>
  <c r="BJ289" i="4"/>
  <c r="AY289" i="4"/>
  <c r="CJ289" i="4"/>
  <c r="BA289" i="4"/>
  <c r="BE289" i="4"/>
  <c r="AZ289" i="4"/>
  <c r="BT128" i="4"/>
  <c r="O1055" i="6"/>
  <c r="A1055" i="6"/>
  <c r="O1125" i="6"/>
  <c r="A1125" i="6"/>
  <c r="O703" i="6"/>
  <c r="D1033" i="6"/>
  <c r="E1033" i="6" s="1"/>
  <c r="A703" i="6"/>
  <c r="O735" i="6"/>
  <c r="D1065" i="6"/>
  <c r="E1065" i="6" s="1"/>
  <c r="A735" i="6"/>
  <c r="BC107" i="4"/>
  <c r="AU107" i="4"/>
  <c r="BC74" i="4"/>
  <c r="BD74" i="4"/>
  <c r="AX50" i="4"/>
  <c r="BE50" i="4"/>
  <c r="AZ26" i="4"/>
  <c r="AY169" i="4"/>
  <c r="AV169" i="4"/>
  <c r="AU145" i="4"/>
  <c r="AX145" i="4"/>
  <c r="BC121" i="4"/>
  <c r="BC97" i="4"/>
  <c r="CJ107" i="4"/>
  <c r="CB233" i="4"/>
  <c r="CJ169" i="4"/>
  <c r="CI169" i="4"/>
  <c r="CJ97" i="4"/>
  <c r="AF57" i="4"/>
  <c r="AF35" i="4"/>
  <c r="AF33" i="4"/>
  <c r="BV137" i="4"/>
  <c r="BT10" i="4"/>
  <c r="BT224" i="4"/>
  <c r="O1162" i="6"/>
  <c r="A1162" i="6"/>
  <c r="O789" i="6"/>
  <c r="D1119" i="6"/>
  <c r="E1119" i="6" s="1"/>
  <c r="A789" i="6"/>
  <c r="BT12" i="4"/>
  <c r="CB12" i="4"/>
  <c r="AF12" i="4"/>
  <c r="CJ20" i="4"/>
  <c r="BT20" i="4"/>
  <c r="K57" i="7"/>
  <c r="CJ44" i="4"/>
  <c r="BT52" i="4"/>
  <c r="K89" i="7"/>
  <c r="CJ52" i="4"/>
  <c r="CB52" i="4"/>
  <c r="BT60" i="4"/>
  <c r="BW60" i="4"/>
  <c r="N97" i="7"/>
  <c r="CB60" i="4"/>
  <c r="BT68" i="4"/>
  <c r="CB68" i="4"/>
  <c r="CG68" i="4"/>
  <c r="CB76" i="4"/>
  <c r="BT76" i="4"/>
  <c r="BT84" i="4"/>
  <c r="CB84" i="4"/>
  <c r="BT91" i="4"/>
  <c r="BY91" i="4"/>
  <c r="CJ91" i="4"/>
  <c r="BB107" i="4"/>
  <c r="BI107" i="4"/>
  <c r="AT107" i="4"/>
  <c r="AV107" i="4"/>
  <c r="BG107" i="4"/>
  <c r="BE107" i="4"/>
  <c r="BN107" i="4"/>
  <c r="BT115" i="4"/>
  <c r="CJ115" i="4"/>
  <c r="BY123" i="4"/>
  <c r="BX123" i="4"/>
  <c r="BV123" i="4"/>
  <c r="BS123" i="4"/>
  <c r="BT131" i="4"/>
  <c r="CB131" i="4"/>
  <c r="CJ131" i="4"/>
  <c r="CJ139" i="4"/>
  <c r="CI139" i="4"/>
  <c r="BT139" i="4"/>
  <c r="BT147" i="4"/>
  <c r="BB147" i="4"/>
  <c r="AU147" i="4"/>
  <c r="BL147" i="4"/>
  <c r="BF147" i="4"/>
  <c r="AZ147" i="4"/>
  <c r="CB147" i="4"/>
  <c r="BC147" i="4"/>
  <c r="BH147" i="4"/>
  <c r="CN147" i="4" s="1"/>
  <c r="BG147" i="4"/>
  <c r="BT163" i="4"/>
  <c r="CB163" i="4"/>
  <c r="CA163" i="4"/>
  <c r="CJ163" i="4"/>
  <c r="CI163" i="4"/>
  <c r="BT171" i="4"/>
  <c r="BX171" i="4"/>
  <c r="CJ171" i="4"/>
  <c r="CI171" i="4"/>
  <c r="BT179" i="4"/>
  <c r="CB179" i="4"/>
  <c r="BS187" i="4"/>
  <c r="J175" i="7"/>
  <c r="AA175" i="7"/>
  <c r="AB175" i="7"/>
  <c r="K175" i="7"/>
  <c r="BT195" i="4"/>
  <c r="K145" i="7"/>
  <c r="CB195" i="4"/>
  <c r="CA195" i="4"/>
  <c r="CJ195" i="4"/>
  <c r="BT203" i="4"/>
  <c r="CB203" i="4"/>
  <c r="BT211" i="4"/>
  <c r="CB211" i="4"/>
  <c r="CG211" i="4"/>
  <c r="CC211" i="4"/>
  <c r="CB227" i="4"/>
  <c r="CJ227" i="4"/>
  <c r="CI227" i="4"/>
  <c r="BT227" i="4"/>
  <c r="BS227" i="4"/>
  <c r="BT235" i="4"/>
  <c r="CB235" i="4"/>
  <c r="BT243" i="4"/>
  <c r="CB243" i="4"/>
  <c r="BT259" i="4"/>
  <c r="CJ259" i="4"/>
  <c r="CB259" i="4"/>
  <c r="CJ267" i="4"/>
  <c r="BT267" i="4"/>
  <c r="BT275" i="4"/>
  <c r="BS275" i="4"/>
  <c r="CJ275" i="4"/>
  <c r="BT58" i="4"/>
  <c r="BT289" i="4"/>
  <c r="O1145" i="6"/>
  <c r="A1145" i="6"/>
  <c r="O1112" i="6"/>
  <c r="A1112" i="6"/>
  <c r="O997" i="6"/>
  <c r="CJ135" i="4"/>
  <c r="O1083" i="6"/>
  <c r="A1083" i="6"/>
  <c r="O1133" i="6"/>
  <c r="O870" i="6"/>
  <c r="D1200" i="6"/>
  <c r="D1530" i="6"/>
  <c r="O670" i="6"/>
  <c r="D1000" i="6"/>
  <c r="E1000" i="6" s="1"/>
  <c r="A670" i="6"/>
  <c r="O821" i="6"/>
  <c r="D1151" i="6"/>
  <c r="E1151" i="6" s="1"/>
  <c r="K108" i="7"/>
  <c r="AB108" i="7"/>
  <c r="O1021" i="6"/>
  <c r="A1021" i="6"/>
  <c r="O1157" i="6"/>
  <c r="A1157" i="6"/>
  <c r="O1017" i="6"/>
  <c r="A1017" i="6"/>
  <c r="O947" i="6"/>
  <c r="D1277" i="6"/>
  <c r="D1607" i="6"/>
  <c r="BS141" i="4"/>
  <c r="BV141" i="4"/>
  <c r="K169" i="7"/>
  <c r="BS181" i="4"/>
  <c r="J169" i="7"/>
  <c r="AA169" i="7"/>
  <c r="AB169" i="7"/>
  <c r="BS253" i="4"/>
  <c r="J23" i="7"/>
  <c r="AA23" i="7"/>
  <c r="AB23" i="7"/>
  <c r="K23" i="7"/>
  <c r="BU285" i="4"/>
  <c r="L48" i="7"/>
  <c r="S48" i="7"/>
  <c r="K48" i="7"/>
  <c r="BV285" i="4"/>
  <c r="M48" i="7"/>
  <c r="BW285" i="4"/>
  <c r="N48" i="7"/>
  <c r="BY285" i="4"/>
  <c r="P48" i="7"/>
  <c r="BS191" i="4"/>
  <c r="BW191" i="4"/>
  <c r="BT32" i="4"/>
  <c r="BT215" i="4"/>
  <c r="BS215" i="4"/>
  <c r="O1146" i="6"/>
  <c r="A1146" i="6"/>
  <c r="O1044" i="6"/>
  <c r="A1044" i="6"/>
  <c r="O793" i="6"/>
  <c r="D1123" i="6"/>
  <c r="E1123" i="6" s="1"/>
  <c r="A793" i="6"/>
  <c r="O927" i="6"/>
  <c r="D1257" i="6"/>
  <c r="D1587" i="6"/>
  <c r="CJ70" i="4"/>
  <c r="CJ38" i="4"/>
  <c r="CM38" i="4"/>
  <c r="CB93" i="4"/>
  <c r="BT63" i="4"/>
  <c r="BS63" i="4"/>
  <c r="J100" i="7"/>
  <c r="AA100" i="7"/>
  <c r="AB100" i="7"/>
  <c r="CJ63" i="4"/>
  <c r="CI63" i="4"/>
  <c r="BV126" i="4"/>
  <c r="BU126" i="4"/>
  <c r="BX126" i="4"/>
  <c r="BS165" i="4"/>
  <c r="BT48" i="4"/>
  <c r="BS48" i="4"/>
  <c r="J85" i="7"/>
  <c r="AA85" i="7"/>
  <c r="AB85" i="7"/>
  <c r="AB142" i="7"/>
  <c r="O1156" i="6"/>
  <c r="O972" i="6"/>
  <c r="D1302" i="6"/>
  <c r="D1632" i="6"/>
  <c r="S348" i="6"/>
  <c r="AO348" i="6"/>
  <c r="B678" i="6"/>
  <c r="S354" i="6"/>
  <c r="AO354" i="6"/>
  <c r="B684" i="6"/>
  <c r="S690" i="6"/>
  <c r="AO690" i="6"/>
  <c r="B1020" i="6"/>
  <c r="B1350" i="6"/>
  <c r="S1350" i="6"/>
  <c r="S696" i="6"/>
  <c r="AO696" i="6"/>
  <c r="B1026" i="6"/>
  <c r="B1356" i="6"/>
  <c r="S1356" i="6"/>
  <c r="S372" i="6"/>
  <c r="AO372" i="6"/>
  <c r="B702" i="6"/>
  <c r="S972" i="6"/>
  <c r="AO972" i="6"/>
  <c r="B1302" i="6"/>
  <c r="B1632" i="6"/>
  <c r="S1632" i="6"/>
  <c r="S1302" i="6"/>
  <c r="AO1302" i="6"/>
  <c r="O372" i="6"/>
  <c r="D702" i="6"/>
  <c r="E702" i="6" s="1"/>
  <c r="A372" i="6"/>
  <c r="A387" i="6"/>
  <c r="O387" i="6"/>
  <c r="D717" i="6"/>
  <c r="E717" i="6" s="1"/>
  <c r="BT64" i="4"/>
  <c r="CB80" i="4"/>
  <c r="BT80" i="4"/>
  <c r="CB151" i="4"/>
  <c r="BT151" i="4"/>
  <c r="BT183" i="4"/>
  <c r="CJ183" i="4"/>
  <c r="BX191" i="4"/>
  <c r="BV191" i="4"/>
  <c r="K17" i="7"/>
  <c r="BT287" i="4"/>
  <c r="K50" i="7"/>
  <c r="CB287" i="4"/>
  <c r="BS285" i="4"/>
  <c r="J48" i="7"/>
  <c r="AA48" i="7"/>
  <c r="AB48" i="7"/>
  <c r="BY141" i="4"/>
  <c r="J119" i="7"/>
  <c r="AA119" i="7"/>
  <c r="AB119" i="7"/>
  <c r="O1019" i="6"/>
  <c r="A1019" i="6"/>
  <c r="O900" i="6"/>
  <c r="D1230" i="6"/>
  <c r="O893" i="6"/>
  <c r="D1223" i="6"/>
  <c r="D1553" i="6"/>
  <c r="O1093" i="6"/>
  <c r="A1093" i="6"/>
  <c r="AA53" i="7"/>
  <c r="AB53" i="7"/>
  <c r="K77" i="7"/>
  <c r="A763" i="6"/>
  <c r="O1109" i="6"/>
  <c r="A1109" i="6"/>
  <c r="O1106" i="6"/>
  <c r="A1106" i="6"/>
  <c r="O745" i="6"/>
  <c r="D1075" i="6"/>
  <c r="E1075" i="6" s="1"/>
  <c r="O697" i="6"/>
  <c r="A697" i="6"/>
  <c r="O797" i="6"/>
  <c r="A797" i="6"/>
  <c r="D1127" i="6"/>
  <c r="E1127" i="6" s="1"/>
  <c r="O669" i="6"/>
  <c r="D999" i="6"/>
  <c r="E999" i="6" s="1"/>
  <c r="S669" i="6"/>
  <c r="AO669" i="6"/>
  <c r="B999" i="6"/>
  <c r="B1329" i="6"/>
  <c r="S1329" i="6"/>
  <c r="S999" i="6"/>
  <c r="AO999" i="6"/>
  <c r="S687" i="6"/>
  <c r="AO687" i="6"/>
  <c r="B1017" i="6"/>
  <c r="B1347" i="6"/>
  <c r="S1347" i="6"/>
  <c r="B693" i="6"/>
  <c r="S363" i="6"/>
  <c r="AO363" i="6"/>
  <c r="S369" i="6"/>
  <c r="AO369" i="6"/>
  <c r="B699" i="6"/>
  <c r="S705" i="6"/>
  <c r="B1035" i="6"/>
  <c r="B1365" i="6"/>
  <c r="S1365" i="6"/>
  <c r="B712" i="6"/>
  <c r="S382" i="6"/>
  <c r="AO382" i="6"/>
  <c r="S390" i="6"/>
  <c r="AO390" i="6"/>
  <c r="B720" i="6"/>
  <c r="S398" i="6"/>
  <c r="AO398" i="6"/>
  <c r="B728" i="6"/>
  <c r="S406" i="6"/>
  <c r="AO406" i="6"/>
  <c r="B736" i="6"/>
  <c r="S414" i="6"/>
  <c r="AO414" i="6"/>
  <c r="B744" i="6"/>
  <c r="S422" i="6"/>
  <c r="AO422" i="6"/>
  <c r="B752" i="6"/>
  <c r="S430" i="6"/>
  <c r="AO430" i="6"/>
  <c r="B760" i="6"/>
  <c r="B768" i="6"/>
  <c r="B776" i="6"/>
  <c r="S446" i="6"/>
  <c r="AO446" i="6"/>
  <c r="S454" i="6"/>
  <c r="AO454" i="6"/>
  <c r="B784" i="6"/>
  <c r="B792" i="6"/>
  <c r="S462" i="6"/>
  <c r="AO462" i="6"/>
  <c r="B800" i="6"/>
  <c r="S470" i="6"/>
  <c r="AO470" i="6"/>
  <c r="S478" i="6"/>
  <c r="AO478" i="6"/>
  <c r="B808" i="6"/>
  <c r="S486" i="6"/>
  <c r="AO486" i="6"/>
  <c r="B816" i="6"/>
  <c r="S494" i="6"/>
  <c r="AO494" i="6"/>
  <c r="B824" i="6"/>
  <c r="B1154" i="6"/>
  <c r="S502" i="6"/>
  <c r="AO502" i="6"/>
  <c r="B832" i="6"/>
  <c r="S510" i="6"/>
  <c r="AO510" i="6"/>
  <c r="B840" i="6"/>
  <c r="S518" i="6"/>
  <c r="AO518" i="6"/>
  <c r="B848" i="6"/>
  <c r="S526" i="6"/>
  <c r="AO526" i="6"/>
  <c r="B856" i="6"/>
  <c r="B864" i="6"/>
  <c r="S534" i="6"/>
  <c r="AO534" i="6"/>
  <c r="B872" i="6"/>
  <c r="S542" i="6"/>
  <c r="AO542" i="6"/>
  <c r="S558" i="6"/>
  <c r="AO558" i="6"/>
  <c r="B888" i="6"/>
  <c r="B896" i="6"/>
  <c r="S566" i="6"/>
  <c r="AO566" i="6"/>
  <c r="B904" i="6"/>
  <c r="S574" i="6"/>
  <c r="AO574" i="6"/>
  <c r="B912" i="6"/>
  <c r="S582" i="6"/>
  <c r="AO582" i="6"/>
  <c r="S590" i="6"/>
  <c r="AO590" i="6"/>
  <c r="B920" i="6"/>
  <c r="B928" i="6"/>
  <c r="S598" i="6"/>
  <c r="AO598" i="6"/>
  <c r="S606" i="6"/>
  <c r="AO606" i="6"/>
  <c r="B936" i="6"/>
  <c r="S614" i="6"/>
  <c r="AO614" i="6"/>
  <c r="B944" i="6"/>
  <c r="S622" i="6"/>
  <c r="AO622" i="6"/>
  <c r="B952" i="6"/>
  <c r="S630" i="6"/>
  <c r="AO630" i="6"/>
  <c r="B960" i="6"/>
  <c r="B968" i="6"/>
  <c r="S638" i="6"/>
  <c r="AO638" i="6"/>
  <c r="S646" i="6"/>
  <c r="AO646" i="6"/>
  <c r="B976" i="6"/>
  <c r="S654" i="6"/>
  <c r="AO654" i="6"/>
  <c r="B984" i="6"/>
  <c r="S662" i="6"/>
  <c r="AO662" i="6"/>
  <c r="B992" i="6"/>
  <c r="S722" i="6"/>
  <c r="AO722" i="6"/>
  <c r="B1052" i="6"/>
  <c r="B1382" i="6"/>
  <c r="S1382" i="6"/>
  <c r="O447" i="6"/>
  <c r="A447" i="6"/>
  <c r="D777" i="6"/>
  <c r="E777" i="6" s="1"/>
  <c r="O464" i="6"/>
  <c r="A464" i="6"/>
  <c r="D794" i="6"/>
  <c r="E794" i="6" s="1"/>
  <c r="O1098" i="6"/>
  <c r="A1098" i="6"/>
  <c r="D1248" i="6"/>
  <c r="D1578" i="6"/>
  <c r="O921" i="6"/>
  <c r="D1251" i="6"/>
  <c r="D1581" i="6"/>
  <c r="O944" i="6"/>
  <c r="D1274" i="6"/>
  <c r="D1604" i="6"/>
  <c r="S799" i="6"/>
  <c r="B1129" i="6"/>
  <c r="B1459" i="6"/>
  <c r="S1459" i="6"/>
  <c r="B1239" i="6"/>
  <c r="B1569" i="6"/>
  <c r="S1569" i="6"/>
  <c r="S909" i="6"/>
  <c r="AO909" i="6"/>
  <c r="S946" i="6"/>
  <c r="AO946" i="6"/>
  <c r="B1276" i="6"/>
  <c r="B1606" i="6"/>
  <c r="S1606" i="6"/>
  <c r="O1079" i="6"/>
  <c r="A1079" i="6"/>
  <c r="O1104" i="6"/>
  <c r="A1104" i="6"/>
  <c r="O1132" i="6"/>
  <c r="A1132" i="6"/>
  <c r="O986" i="6"/>
  <c r="D1316" i="6"/>
  <c r="O814" i="6"/>
  <c r="D1144" i="6"/>
  <c r="E1144" i="6" s="1"/>
  <c r="O686" i="6"/>
  <c r="D1016" i="6"/>
  <c r="E1016" i="6" s="1"/>
  <c r="A686" i="6"/>
  <c r="O835" i="6"/>
  <c r="A835" i="6"/>
  <c r="O803" i="6"/>
  <c r="A803" i="6"/>
  <c r="O763" i="6"/>
  <c r="O731" i="6"/>
  <c r="D1061" i="6"/>
  <c r="E1061" i="6" s="1"/>
  <c r="A731" i="6"/>
  <c r="O699" i="6"/>
  <c r="D1029" i="6"/>
  <c r="E1029" i="6" s="1"/>
  <c r="O667" i="6"/>
  <c r="A667" i="6"/>
  <c r="B1111" i="6"/>
  <c r="B1441" i="6"/>
  <c r="S1441" i="6"/>
  <c r="S781" i="6"/>
  <c r="AO781" i="6"/>
  <c r="S820" i="6"/>
  <c r="AO820" i="6"/>
  <c r="B1150" i="6"/>
  <c r="B1480" i="6"/>
  <c r="S1480" i="6"/>
  <c r="S858" i="6"/>
  <c r="AO858" i="6"/>
  <c r="B1188" i="6"/>
  <c r="B1518" i="6"/>
  <c r="S1518" i="6"/>
  <c r="S876" i="6"/>
  <c r="AO876" i="6"/>
  <c r="B1206" i="6"/>
  <c r="B1536" i="6"/>
  <c r="S1536" i="6"/>
  <c r="O1040" i="6"/>
  <c r="A1040" i="6"/>
  <c r="O1067" i="6"/>
  <c r="A1067" i="6"/>
  <c r="O1058" i="6"/>
  <c r="A1058" i="6"/>
  <c r="O1041" i="6"/>
  <c r="A1041" i="6"/>
  <c r="O1126" i="6"/>
  <c r="A1126" i="6"/>
  <c r="O689" i="6"/>
  <c r="O710" i="6"/>
  <c r="A710" i="6"/>
  <c r="O805" i="6"/>
  <c r="D1135" i="6"/>
  <c r="E1135" i="6" s="1"/>
  <c r="A805" i="6"/>
  <c r="O687" i="6"/>
  <c r="A687" i="6"/>
  <c r="S730" i="6"/>
  <c r="AO730" i="6"/>
  <c r="B1060" i="6"/>
  <c r="B1390" i="6"/>
  <c r="S1390" i="6"/>
  <c r="S769" i="6"/>
  <c r="B1099" i="6"/>
  <c r="B1429" i="6"/>
  <c r="S1429" i="6"/>
  <c r="S1099" i="6"/>
  <c r="O347" i="6"/>
  <c r="A347" i="6"/>
  <c r="D677" i="6"/>
  <c r="E677" i="6" s="1"/>
  <c r="O391" i="6"/>
  <c r="A391" i="6"/>
  <c r="D721" i="6"/>
  <c r="E721" i="6" s="1"/>
  <c r="K19" i="7"/>
  <c r="O1140" i="6"/>
  <c r="A1140" i="6"/>
  <c r="O1096" i="6"/>
  <c r="A1096" i="6"/>
  <c r="O1063" i="6"/>
  <c r="A1063" i="6"/>
  <c r="O753" i="6"/>
  <c r="A753" i="6"/>
  <c r="O757" i="6"/>
  <c r="D1087" i="6"/>
  <c r="E1087" i="6" s="1"/>
  <c r="O728" i="6"/>
  <c r="A728" i="6"/>
  <c r="S673" i="6"/>
  <c r="AO673" i="6"/>
  <c r="B1003" i="6"/>
  <c r="B1333" i="6"/>
  <c r="S1333" i="6"/>
  <c r="S716" i="6"/>
  <c r="B1046" i="6"/>
  <c r="B1376" i="6"/>
  <c r="S1376" i="6"/>
  <c r="S807" i="6"/>
  <c r="B1137" i="6"/>
  <c r="B1467" i="6"/>
  <c r="S1467" i="6"/>
  <c r="B1231" i="6"/>
  <c r="B1561" i="6"/>
  <c r="S1561" i="6"/>
  <c r="S1231" i="6"/>
  <c r="S901" i="6"/>
  <c r="AO901" i="6"/>
  <c r="O432" i="6"/>
  <c r="A432" i="6"/>
  <c r="D762" i="6"/>
  <c r="E762" i="6" s="1"/>
  <c r="S438" i="6"/>
  <c r="AO438" i="6"/>
  <c r="A749" i="6"/>
  <c r="O825" i="6"/>
  <c r="D1155" i="6"/>
  <c r="E1155" i="6" s="1"/>
  <c r="O729" i="6"/>
  <c r="O823" i="6"/>
  <c r="O760" i="6"/>
  <c r="D1090" i="6"/>
  <c r="E1090" i="6" s="1"/>
  <c r="S337" i="6"/>
  <c r="AO337" i="6"/>
  <c r="B667" i="6"/>
  <c r="S692" i="6"/>
  <c r="B1022" i="6"/>
  <c r="B1352" i="6"/>
  <c r="S1352" i="6"/>
  <c r="S1022" i="6"/>
  <c r="S754" i="6"/>
  <c r="AO754" i="6"/>
  <c r="B1084" i="6"/>
  <c r="B1414" i="6"/>
  <c r="S1414" i="6"/>
  <c r="S871" i="6"/>
  <c r="AO871" i="6"/>
  <c r="B1201" i="6"/>
  <c r="B1531" i="6"/>
  <c r="S1531" i="6"/>
  <c r="S940" i="6"/>
  <c r="AO940" i="6"/>
  <c r="B1270" i="6"/>
  <c r="B1600" i="6"/>
  <c r="S1600" i="6"/>
  <c r="S973" i="6"/>
  <c r="B1303" i="6"/>
  <c r="B1633" i="6"/>
  <c r="S1633" i="6"/>
  <c r="O353" i="6"/>
  <c r="A353" i="6"/>
  <c r="O495" i="6"/>
  <c r="A495" i="6"/>
  <c r="O914" i="6"/>
  <c r="D1244" i="6"/>
  <c r="D1574" i="6"/>
  <c r="O748" i="6"/>
  <c r="S700" i="6"/>
  <c r="AO700" i="6"/>
  <c r="B1030" i="6"/>
  <c r="B1360" i="6"/>
  <c r="S1360" i="6"/>
  <c r="S805" i="6"/>
  <c r="AO805" i="6"/>
  <c r="B1135" i="6"/>
  <c r="B1465" i="6"/>
  <c r="S1465" i="6"/>
  <c r="S1135" i="6"/>
  <c r="AO1135" i="6"/>
  <c r="B825" i="6"/>
  <c r="S908" i="6"/>
  <c r="AO908" i="6"/>
  <c r="B1238" i="6"/>
  <c r="B1568" i="6"/>
  <c r="S1568" i="6"/>
  <c r="S1238" i="6"/>
  <c r="AO1238" i="6"/>
  <c r="B961" i="6"/>
  <c r="O354" i="6"/>
  <c r="A354" i="6"/>
  <c r="D684" i="6"/>
  <c r="E684" i="6" s="1"/>
  <c r="O375" i="6"/>
  <c r="A375" i="6"/>
  <c r="D705" i="6"/>
  <c r="E705" i="6" s="1"/>
  <c r="O833" i="6"/>
  <c r="O817" i="6"/>
  <c r="O764" i="6"/>
  <c r="S340" i="6"/>
  <c r="AO340" i="6"/>
  <c r="B670" i="6"/>
  <c r="S346" i="6"/>
  <c r="AO346" i="6"/>
  <c r="B676" i="6"/>
  <c r="S364" i="6"/>
  <c r="AO364" i="6"/>
  <c r="B694" i="6"/>
  <c r="S383" i="6"/>
  <c r="AO383" i="6"/>
  <c r="B713" i="6"/>
  <c r="S391" i="6"/>
  <c r="AO391" i="6"/>
  <c r="B721" i="6"/>
  <c r="S399" i="6"/>
  <c r="AO399" i="6"/>
  <c r="S407" i="6"/>
  <c r="AO407" i="6"/>
  <c r="B737" i="6"/>
  <c r="S415" i="6"/>
  <c r="AO415" i="6"/>
  <c r="B745" i="6"/>
  <c r="S423" i="6"/>
  <c r="AO423" i="6"/>
  <c r="B753" i="6"/>
  <c r="S431" i="6"/>
  <c r="AO431" i="6"/>
  <c r="S439" i="6"/>
  <c r="AO439" i="6"/>
  <c r="S447" i="6"/>
  <c r="AO447" i="6"/>
  <c r="B777" i="6"/>
  <c r="S455" i="6"/>
  <c r="AO455" i="6"/>
  <c r="B785" i="6"/>
  <c r="S463" i="6"/>
  <c r="AO463" i="6"/>
  <c r="S471" i="6"/>
  <c r="AO471" i="6"/>
  <c r="B801" i="6"/>
  <c r="S479" i="6"/>
  <c r="AO479" i="6"/>
  <c r="B809" i="6"/>
  <c r="S487" i="6"/>
  <c r="AO487" i="6"/>
  <c r="B817" i="6"/>
  <c r="S503" i="6"/>
  <c r="AO503" i="6"/>
  <c r="S511" i="6"/>
  <c r="AO511" i="6"/>
  <c r="B841" i="6"/>
  <c r="S519" i="6"/>
  <c r="AO519" i="6"/>
  <c r="B849" i="6"/>
  <c r="S535" i="6"/>
  <c r="AO535" i="6"/>
  <c r="B865" i="6"/>
  <c r="S543" i="6"/>
  <c r="AO543" i="6"/>
  <c r="B873" i="6"/>
  <c r="S551" i="6"/>
  <c r="AO551" i="6"/>
  <c r="B881" i="6"/>
  <c r="S575" i="6"/>
  <c r="AO575" i="6"/>
  <c r="B905" i="6"/>
  <c r="S583" i="6"/>
  <c r="AO583" i="6"/>
  <c r="B913" i="6"/>
  <c r="S599" i="6"/>
  <c r="AO599" i="6"/>
  <c r="B929" i="6"/>
  <c r="S607" i="6"/>
  <c r="AO607" i="6"/>
  <c r="B937" i="6"/>
  <c r="B945" i="6"/>
  <c r="S615" i="6"/>
  <c r="AO615" i="6"/>
  <c r="S639" i="6"/>
  <c r="AO639" i="6"/>
  <c r="B969" i="6"/>
  <c r="S647" i="6"/>
  <c r="AO647" i="6"/>
  <c r="B977" i="6"/>
  <c r="S663" i="6"/>
  <c r="AO663" i="6"/>
  <c r="B993" i="6"/>
  <c r="S741" i="6"/>
  <c r="AO741" i="6"/>
  <c r="B1071" i="6"/>
  <c r="B1401" i="6"/>
  <c r="S1401" i="6"/>
  <c r="B761" i="6"/>
  <c r="B793" i="6"/>
  <c r="S844" i="6"/>
  <c r="AO844" i="6"/>
  <c r="B1174" i="6"/>
  <c r="B1504" i="6"/>
  <c r="S1504" i="6"/>
  <c r="B897" i="6"/>
  <c r="S948" i="6"/>
  <c r="B1278" i="6"/>
  <c r="B1608" i="6"/>
  <c r="S1608" i="6"/>
  <c r="S1278" i="6"/>
  <c r="O558" i="6"/>
  <c r="D888" i="6"/>
  <c r="D1312" i="6"/>
  <c r="D1642" i="6"/>
  <c r="D1059" i="6"/>
  <c r="E1059" i="6" s="1"/>
  <c r="A823" i="6"/>
  <c r="O761" i="6"/>
  <c r="D1091" i="6"/>
  <c r="E1091" i="6" s="1"/>
  <c r="O786" i="6"/>
  <c r="D1116" i="6"/>
  <c r="E1116" i="6" s="1"/>
  <c r="O956" i="6"/>
  <c r="D1286" i="6"/>
  <c r="D1616" i="6"/>
  <c r="O690" i="6"/>
  <c r="D1020" i="6"/>
  <c r="E1020" i="6" s="1"/>
  <c r="S341" i="6"/>
  <c r="AO341" i="6"/>
  <c r="B671" i="6"/>
  <c r="S677" i="6"/>
  <c r="AO677" i="6"/>
  <c r="B1007" i="6"/>
  <c r="B1337" i="6"/>
  <c r="S1337" i="6"/>
  <c r="S1007" i="6"/>
  <c r="B1039" i="6"/>
  <c r="B1369" i="6"/>
  <c r="S1369" i="6"/>
  <c r="S1039" i="6"/>
  <c r="S709" i="6"/>
  <c r="AO709" i="6"/>
  <c r="S812" i="6"/>
  <c r="AO812" i="6"/>
  <c r="B1142" i="6"/>
  <c r="B1472" i="6"/>
  <c r="S1472" i="6"/>
  <c r="S831" i="6"/>
  <c r="AO831" i="6"/>
  <c r="B1161" i="6"/>
  <c r="B1491" i="6"/>
  <c r="S1491" i="6"/>
  <c r="S845" i="6"/>
  <c r="AO845" i="6"/>
  <c r="B1175" i="6"/>
  <c r="B1505" i="6"/>
  <c r="S1505" i="6"/>
  <c r="S863" i="6"/>
  <c r="AO863" i="6"/>
  <c r="B1193" i="6"/>
  <c r="B1523" i="6"/>
  <c r="S1523" i="6"/>
  <c r="S882" i="6"/>
  <c r="AO882" i="6"/>
  <c r="B1212" i="6"/>
  <c r="B1542" i="6"/>
  <c r="S1542" i="6"/>
  <c r="O505" i="6"/>
  <c r="A505" i="6"/>
  <c r="AD3" i="8"/>
  <c r="AD4" i="8"/>
  <c r="O809" i="6"/>
  <c r="D1139" i="6"/>
  <c r="E1139" i="6" s="1"/>
  <c r="O737" i="6"/>
  <c r="A737" i="6"/>
  <c r="O911" i="6"/>
  <c r="D1241" i="6"/>
  <c r="D1571" i="6"/>
  <c r="O740" i="6"/>
  <c r="D1070" i="6"/>
  <c r="E1070" i="6" s="1"/>
  <c r="O730" i="6"/>
  <c r="A730" i="6"/>
  <c r="B998" i="6"/>
  <c r="B1328" i="6"/>
  <c r="S1328" i="6"/>
  <c r="S668" i="6"/>
  <c r="AO668" i="6"/>
  <c r="B729" i="6"/>
  <c r="B833" i="6"/>
  <c r="S884" i="6"/>
  <c r="AO884" i="6"/>
  <c r="B1214" i="6"/>
  <c r="B1544" i="6"/>
  <c r="S1544" i="6"/>
  <c r="B953" i="6"/>
  <c r="B985" i="6"/>
  <c r="O916" i="6"/>
  <c r="D1246" i="6"/>
  <c r="D1576" i="6"/>
  <c r="O990" i="6"/>
  <c r="D1320" i="6"/>
  <c r="S358" i="6"/>
  <c r="AO358" i="6"/>
  <c r="B688" i="6"/>
  <c r="S732" i="6"/>
  <c r="AO732" i="6"/>
  <c r="B1062" i="6"/>
  <c r="B1392" i="6"/>
  <c r="S1392" i="6"/>
  <c r="B757" i="6"/>
  <c r="S796" i="6"/>
  <c r="AO796" i="6"/>
  <c r="B1126" i="6"/>
  <c r="B1456" i="6"/>
  <c r="S1456" i="6"/>
  <c r="B821" i="6"/>
  <c r="S834" i="6"/>
  <c r="AO834" i="6"/>
  <c r="B1164" i="6"/>
  <c r="B1494" i="6"/>
  <c r="S1494" i="6"/>
  <c r="B885" i="6"/>
  <c r="S898" i="6"/>
  <c r="AO898" i="6"/>
  <c r="B1228" i="6"/>
  <c r="B1558" i="6"/>
  <c r="S1558" i="6"/>
  <c r="S911" i="6"/>
  <c r="AO911" i="6"/>
  <c r="B1241" i="6"/>
  <c r="B1571" i="6"/>
  <c r="S1571" i="6"/>
  <c r="S1241" i="6"/>
  <c r="AO1241" i="6"/>
  <c r="S924" i="6"/>
  <c r="AO924" i="6"/>
  <c r="B1254" i="6"/>
  <c r="B1584" i="6"/>
  <c r="S1584" i="6"/>
  <c r="B949" i="6"/>
  <c r="S988" i="6"/>
  <c r="AO988" i="6"/>
  <c r="B1318" i="6"/>
  <c r="B1054" i="6"/>
  <c r="B1384" i="6"/>
  <c r="S1384" i="6"/>
  <c r="B1113" i="6"/>
  <c r="B1443" i="6"/>
  <c r="S1443" i="6"/>
  <c r="B1190" i="6"/>
  <c r="B1520" i="6"/>
  <c r="S1520" i="6"/>
  <c r="O385" i="6"/>
  <c r="A385" i="6"/>
  <c r="O961" i="6"/>
  <c r="D1291" i="6"/>
  <c r="D1621" i="6"/>
  <c r="O646" i="6"/>
  <c r="D976" i="6"/>
  <c r="O906" i="6"/>
  <c r="D1236" i="6"/>
  <c r="D1566" i="6"/>
  <c r="O801" i="6"/>
  <c r="A801" i="6"/>
  <c r="O822" i="6"/>
  <c r="A822" i="6"/>
  <c r="O679" i="6"/>
  <c r="S336" i="6"/>
  <c r="AO336" i="6"/>
  <c r="B666" i="6"/>
  <c r="S689" i="6"/>
  <c r="AO689" i="6"/>
  <c r="B1019" i="6"/>
  <c r="S377" i="6"/>
  <c r="AO377" i="6"/>
  <c r="B707" i="6"/>
  <c r="S385" i="6"/>
  <c r="AO385" i="6"/>
  <c r="B715" i="6"/>
  <c r="S393" i="6"/>
  <c r="AO393" i="6"/>
  <c r="B723" i="6"/>
  <c r="S401" i="6"/>
  <c r="AO401" i="6"/>
  <c r="B731" i="6"/>
  <c r="S417" i="6"/>
  <c r="AO417" i="6"/>
  <c r="B747" i="6"/>
  <c r="S425" i="6"/>
  <c r="AO425" i="6"/>
  <c r="B755" i="6"/>
  <c r="S433" i="6"/>
  <c r="AO433" i="6"/>
  <c r="B763" i="6"/>
  <c r="S441" i="6"/>
  <c r="AO441" i="6"/>
  <c r="B771" i="6"/>
  <c r="S457" i="6"/>
  <c r="AO457" i="6"/>
  <c r="B787" i="6"/>
  <c r="S465" i="6"/>
  <c r="AO465" i="6"/>
  <c r="B795" i="6"/>
  <c r="S473" i="6"/>
  <c r="AO473" i="6"/>
  <c r="B803" i="6"/>
  <c r="S481" i="6"/>
  <c r="AO481" i="6"/>
  <c r="B811" i="6"/>
  <c r="S489" i="6"/>
  <c r="AO489" i="6"/>
  <c r="B819" i="6"/>
  <c r="S497" i="6"/>
  <c r="AO497" i="6"/>
  <c r="B827" i="6"/>
  <c r="S505" i="6"/>
  <c r="AO505" i="6"/>
  <c r="B835" i="6"/>
  <c r="S513" i="6"/>
  <c r="AO513" i="6"/>
  <c r="B843" i="6"/>
  <c r="S521" i="6"/>
  <c r="AO521" i="6"/>
  <c r="B851" i="6"/>
  <c r="S529" i="6"/>
  <c r="AO529" i="6"/>
  <c r="B859" i="6"/>
  <c r="S537" i="6"/>
  <c r="AO537" i="6"/>
  <c r="B867" i="6"/>
  <c r="S545" i="6"/>
  <c r="AO545" i="6"/>
  <c r="B875" i="6"/>
  <c r="B1213" i="6"/>
  <c r="B1543" i="6"/>
  <c r="S1543" i="6"/>
  <c r="S883" i="6"/>
  <c r="AO883" i="6"/>
  <c r="S561" i="6"/>
  <c r="AO561" i="6"/>
  <c r="B891" i="6"/>
  <c r="B1229" i="6"/>
  <c r="B1559" i="6"/>
  <c r="S1559" i="6"/>
  <c r="S899" i="6"/>
  <c r="AO899" i="6"/>
  <c r="S577" i="6"/>
  <c r="AO577" i="6"/>
  <c r="B907" i="6"/>
  <c r="S585" i="6"/>
  <c r="AO585" i="6"/>
  <c r="B915" i="6"/>
  <c r="S923" i="6"/>
  <c r="B1253" i="6"/>
  <c r="B1583" i="6"/>
  <c r="S1583" i="6"/>
  <c r="S1253" i="6"/>
  <c r="S601" i="6"/>
  <c r="AO601" i="6"/>
  <c r="B931" i="6"/>
  <c r="S609" i="6"/>
  <c r="AO609" i="6"/>
  <c r="B939" i="6"/>
  <c r="S617" i="6"/>
  <c r="AO617" i="6"/>
  <c r="B947" i="6"/>
  <c r="S625" i="6"/>
  <c r="AO625" i="6"/>
  <c r="B955" i="6"/>
  <c r="S633" i="6"/>
  <c r="AO633" i="6"/>
  <c r="B963" i="6"/>
  <c r="S641" i="6"/>
  <c r="AO641" i="6"/>
  <c r="B971" i="6"/>
  <c r="B1301" i="6"/>
  <c r="S649" i="6"/>
  <c r="AO649" i="6"/>
  <c r="B979" i="6"/>
  <c r="S657" i="6"/>
  <c r="AO657" i="6"/>
  <c r="B987" i="6"/>
  <c r="B665" i="6"/>
  <c r="S708" i="6"/>
  <c r="B1038" i="6"/>
  <c r="B1368" i="6"/>
  <c r="S1368" i="6"/>
  <c r="S1038" i="6"/>
  <c r="S772" i="6"/>
  <c r="B1102" i="6"/>
  <c r="B1432" i="6"/>
  <c r="S1432" i="6"/>
  <c r="S1102" i="6"/>
  <c r="B797" i="6"/>
  <c r="S836" i="6"/>
  <c r="AO836" i="6"/>
  <c r="B1166" i="6"/>
  <c r="B1496" i="6"/>
  <c r="S1496" i="6"/>
  <c r="B861" i="6"/>
  <c r="S887" i="6"/>
  <c r="AO887" i="6"/>
  <c r="B1217" i="6"/>
  <c r="B1547" i="6"/>
  <c r="S1547" i="6"/>
  <c r="B925" i="6"/>
  <c r="S964" i="6"/>
  <c r="AO964" i="6"/>
  <c r="B1294" i="6"/>
  <c r="B1624" i="6"/>
  <c r="S1624" i="6"/>
  <c r="B989" i="6"/>
  <c r="B1002" i="6"/>
  <c r="B1332" i="6"/>
  <c r="S1332" i="6"/>
  <c r="S1002" i="6"/>
  <c r="B1177" i="6"/>
  <c r="B1507" i="6"/>
  <c r="S1507" i="6"/>
  <c r="O342" i="6"/>
  <c r="A342" i="6"/>
  <c r="D672" i="6"/>
  <c r="E672" i="6" s="1"/>
  <c r="O356" i="6"/>
  <c r="A356" i="6"/>
  <c r="O367" i="6"/>
  <c r="A367" i="6"/>
  <c r="O434" i="6"/>
  <c r="A434" i="6"/>
  <c r="S468" i="6"/>
  <c r="AO468" i="6"/>
  <c r="O639" i="6"/>
  <c r="D969" i="6"/>
  <c r="O668" i="6"/>
  <c r="S343" i="6"/>
  <c r="AO343" i="6"/>
  <c r="S349" i="6"/>
  <c r="AO349" i="6"/>
  <c r="B679" i="6"/>
  <c r="S355" i="6"/>
  <c r="AO355" i="6"/>
  <c r="B685" i="6"/>
  <c r="S373" i="6"/>
  <c r="AO373" i="6"/>
  <c r="B703" i="6"/>
  <c r="S475" i="6"/>
  <c r="AO475" i="6"/>
  <c r="S483" i="6"/>
  <c r="AO483" i="6"/>
  <c r="B749" i="6"/>
  <c r="S775" i="6"/>
  <c r="AO775" i="6"/>
  <c r="B1105" i="6"/>
  <c r="B1435" i="6"/>
  <c r="S1435" i="6"/>
  <c r="B813" i="6"/>
  <c r="S839" i="6"/>
  <c r="AO839" i="6"/>
  <c r="B1169" i="6"/>
  <c r="B1499" i="6"/>
  <c r="S1499" i="6"/>
  <c r="B877" i="6"/>
  <c r="S890" i="6"/>
  <c r="AO890" i="6"/>
  <c r="B1220" i="6"/>
  <c r="B1550" i="6"/>
  <c r="S1550" i="6"/>
  <c r="S903" i="6"/>
  <c r="B1233" i="6"/>
  <c r="S916" i="6"/>
  <c r="AO916" i="6"/>
  <c r="B1246" i="6"/>
  <c r="B1576" i="6"/>
  <c r="S1576" i="6"/>
  <c r="B941" i="6"/>
  <c r="S941" i="6"/>
  <c r="AO941" i="6"/>
  <c r="S954" i="6"/>
  <c r="AO954" i="6"/>
  <c r="B1284" i="6"/>
  <c r="B1614" i="6"/>
  <c r="S1614" i="6"/>
  <c r="S980" i="6"/>
  <c r="B1310" i="6"/>
  <c r="B1640" i="6"/>
  <c r="S1640" i="6"/>
  <c r="B1005" i="6"/>
  <c r="B1335" i="6"/>
  <c r="S1335" i="6"/>
  <c r="B1118" i="6"/>
  <c r="B1448" i="6"/>
  <c r="S1448" i="6"/>
  <c r="O351" i="6"/>
  <c r="A351" i="6"/>
  <c r="O394" i="6"/>
  <c r="A394" i="6"/>
  <c r="O423" i="6"/>
  <c r="S428" i="6"/>
  <c r="AO428" i="6"/>
  <c r="O601" i="6"/>
  <c r="D931" i="6"/>
  <c r="D1054" i="6"/>
  <c r="E1054" i="6" s="1"/>
  <c r="D1039" i="6"/>
  <c r="E1039" i="6" s="1"/>
  <c r="D1256" i="6"/>
  <c r="D1586" i="6"/>
  <c r="D1152" i="6"/>
  <c r="E1152" i="6" s="1"/>
  <c r="D1009" i="6"/>
  <c r="E1009" i="6" s="1"/>
  <c r="A808" i="6"/>
  <c r="O713" i="6"/>
  <c r="A713" i="6"/>
  <c r="S344" i="6"/>
  <c r="AO344" i="6"/>
  <c r="B674" i="6"/>
  <c r="B680" i="6"/>
  <c r="S350" i="6"/>
  <c r="AO350" i="6"/>
  <c r="S361" i="6"/>
  <c r="AO361" i="6"/>
  <c r="B691" i="6"/>
  <c r="S367" i="6"/>
  <c r="AO367" i="6"/>
  <c r="B697" i="6"/>
  <c r="S380" i="6"/>
  <c r="AO380" i="6"/>
  <c r="B710" i="6"/>
  <c r="S388" i="6"/>
  <c r="AO388" i="6"/>
  <c r="B718" i="6"/>
  <c r="S396" i="6"/>
  <c r="AO396" i="6"/>
  <c r="B726" i="6"/>
  <c r="S404" i="6"/>
  <c r="AO404" i="6"/>
  <c r="B734" i="6"/>
  <c r="S412" i="6"/>
  <c r="AO412" i="6"/>
  <c r="B742" i="6"/>
  <c r="S420" i="6"/>
  <c r="AO420" i="6"/>
  <c r="B750" i="6"/>
  <c r="S436" i="6"/>
  <c r="AO436" i="6"/>
  <c r="B766" i="6"/>
  <c r="S444" i="6"/>
  <c r="AO444" i="6"/>
  <c r="B774" i="6"/>
  <c r="S452" i="6"/>
  <c r="AO452" i="6"/>
  <c r="B782" i="6"/>
  <c r="S460" i="6"/>
  <c r="AO460" i="6"/>
  <c r="B790" i="6"/>
  <c r="S476" i="6"/>
  <c r="AO476" i="6"/>
  <c r="B806" i="6"/>
  <c r="S492" i="6"/>
  <c r="AO492" i="6"/>
  <c r="B822" i="6"/>
  <c r="S500" i="6"/>
  <c r="AO500" i="6"/>
  <c r="B830" i="6"/>
  <c r="S508" i="6"/>
  <c r="AO508" i="6"/>
  <c r="B838" i="6"/>
  <c r="S846" i="6"/>
  <c r="AO846" i="6"/>
  <c r="B1176" i="6"/>
  <c r="B1506" i="6"/>
  <c r="S1506" i="6"/>
  <c r="S532" i="6"/>
  <c r="AO532" i="6"/>
  <c r="B862" i="6"/>
  <c r="S540" i="6"/>
  <c r="AO540" i="6"/>
  <c r="B870" i="6"/>
  <c r="S548" i="6"/>
  <c r="AO548" i="6"/>
  <c r="B878" i="6"/>
  <c r="S556" i="6"/>
  <c r="AO556" i="6"/>
  <c r="B886" i="6"/>
  <c r="S564" i="6"/>
  <c r="AO564" i="6"/>
  <c r="B894" i="6"/>
  <c r="S572" i="6"/>
  <c r="AO572" i="6"/>
  <c r="B902" i="6"/>
  <c r="S580" i="6"/>
  <c r="AO580" i="6"/>
  <c r="B910" i="6"/>
  <c r="S588" i="6"/>
  <c r="AO588" i="6"/>
  <c r="B918" i="6"/>
  <c r="S596" i="6"/>
  <c r="AO596" i="6"/>
  <c r="B926" i="6"/>
  <c r="S604" i="6"/>
  <c r="AO604" i="6"/>
  <c r="B934" i="6"/>
  <c r="S612" i="6"/>
  <c r="AO612" i="6"/>
  <c r="B942" i="6"/>
  <c r="S628" i="6"/>
  <c r="AO628" i="6"/>
  <c r="B958" i="6"/>
  <c r="S636" i="6"/>
  <c r="AO636" i="6"/>
  <c r="B966" i="6"/>
  <c r="S644" i="6"/>
  <c r="AO644" i="6"/>
  <c r="B974" i="6"/>
  <c r="S652" i="6"/>
  <c r="AO652" i="6"/>
  <c r="B982" i="6"/>
  <c r="S660" i="6"/>
  <c r="AO660" i="6"/>
  <c r="B990" i="6"/>
  <c r="B725" i="6"/>
  <c r="S751" i="6"/>
  <c r="AO751" i="6"/>
  <c r="B1081" i="6"/>
  <c r="B1411" i="6"/>
  <c r="S1411" i="6"/>
  <c r="B789" i="6"/>
  <c r="S802" i="6"/>
  <c r="AO802" i="6"/>
  <c r="B1132" i="6"/>
  <c r="B1462" i="6"/>
  <c r="S1462" i="6"/>
  <c r="S815" i="6"/>
  <c r="AO815" i="6"/>
  <c r="B1145" i="6"/>
  <c r="B1158" i="6"/>
  <c r="B1488" i="6"/>
  <c r="S1488" i="6"/>
  <c r="S828" i="6"/>
  <c r="AO828" i="6"/>
  <c r="B853" i="6"/>
  <c r="S866" i="6"/>
  <c r="AO866" i="6"/>
  <c r="B1196" i="6"/>
  <c r="B1526" i="6"/>
  <c r="S1526" i="6"/>
  <c r="B917" i="6"/>
  <c r="S930" i="6"/>
  <c r="B1260" i="6"/>
  <c r="B1590" i="6"/>
  <c r="S1590" i="6"/>
  <c r="S943" i="6"/>
  <c r="AO943" i="6"/>
  <c r="B1273" i="6"/>
  <c r="B1603" i="6"/>
  <c r="S1603" i="6"/>
  <c r="S956" i="6"/>
  <c r="AO956" i="6"/>
  <c r="B1286" i="6"/>
  <c r="B1616" i="6"/>
  <c r="S1616" i="6"/>
  <c r="B981" i="6"/>
  <c r="B1076" i="6"/>
  <c r="B1406" i="6"/>
  <c r="S1406" i="6"/>
  <c r="B1134" i="6"/>
  <c r="B1464" i="6"/>
  <c r="S1464" i="6"/>
  <c r="B1182" i="6"/>
  <c r="B1512" i="6"/>
  <c r="S1512" i="6"/>
  <c r="B1198" i="6"/>
  <c r="B1528" i="6"/>
  <c r="S1528" i="6"/>
  <c r="O338" i="6"/>
  <c r="A338" i="6"/>
  <c r="O388" i="6"/>
  <c r="D718" i="6"/>
  <c r="E718" i="6" s="1"/>
  <c r="O490" i="6"/>
  <c r="A490" i="6"/>
  <c r="S569" i="6"/>
  <c r="AO569" i="6"/>
  <c r="S339" i="6"/>
  <c r="AO339" i="6"/>
  <c r="S681" i="6"/>
  <c r="AO681" i="6"/>
  <c r="B1011" i="6"/>
  <c r="B1341" i="6"/>
  <c r="S1341" i="6"/>
  <c r="S368" i="6"/>
  <c r="AO368" i="6"/>
  <c r="B698" i="6"/>
  <c r="S714" i="6"/>
  <c r="AO714" i="6"/>
  <c r="B1044" i="6"/>
  <c r="B1374" i="6"/>
  <c r="S1374" i="6"/>
  <c r="B1057" i="6"/>
  <c r="B1387" i="6"/>
  <c r="S1387" i="6"/>
  <c r="S727" i="6"/>
  <c r="AO727" i="6"/>
  <c r="B765" i="6"/>
  <c r="S778" i="6"/>
  <c r="AO778" i="6"/>
  <c r="B1108" i="6"/>
  <c r="B1438" i="6"/>
  <c r="S1438" i="6"/>
  <c r="S791" i="6"/>
  <c r="AO791" i="6"/>
  <c r="B1121" i="6"/>
  <c r="B1451" i="6"/>
  <c r="S1451" i="6"/>
  <c r="B829" i="6"/>
  <c r="S855" i="6"/>
  <c r="AO855" i="6"/>
  <c r="B1185" i="6"/>
  <c r="B1515" i="6"/>
  <c r="S1515" i="6"/>
  <c r="B893" i="6"/>
  <c r="B957" i="6"/>
  <c r="B1034" i="6"/>
  <c r="B1364" i="6"/>
  <c r="S1364" i="6"/>
  <c r="B1049" i="6"/>
  <c r="B1379" i="6"/>
  <c r="S1379" i="6"/>
  <c r="B1092" i="6"/>
  <c r="B1422" i="6"/>
  <c r="S1422" i="6"/>
  <c r="B1184" i="6"/>
  <c r="B1514" i="6"/>
  <c r="S1514" i="6"/>
  <c r="S359" i="6"/>
  <c r="AO359" i="6"/>
  <c r="O437" i="6"/>
  <c r="A437" i="6"/>
  <c r="D767" i="6"/>
  <c r="E767" i="6" s="1"/>
  <c r="O484" i="6"/>
  <c r="A484" i="6"/>
  <c r="S516" i="6"/>
  <c r="AO516" i="6"/>
  <c r="O946" i="6"/>
  <c r="D1276" i="6"/>
  <c r="D973" i="6"/>
  <c r="AO973" i="6"/>
  <c r="O643" i="6"/>
  <c r="S711" i="6"/>
  <c r="AO711" i="6"/>
  <c r="S445" i="6"/>
  <c r="AO445" i="6"/>
  <c r="S378" i="6"/>
  <c r="AO378" i="6"/>
  <c r="O404" i="6"/>
  <c r="A404" i="6"/>
  <c r="O429" i="6"/>
  <c r="A429" i="6"/>
  <c r="O435" i="6"/>
  <c r="A435" i="6"/>
  <c r="O441" i="6"/>
  <c r="A441" i="6"/>
  <c r="O480" i="6"/>
  <c r="A480" i="6"/>
  <c r="D889" i="6"/>
  <c r="AO889" i="6"/>
  <c r="O345" i="6"/>
  <c r="A345" i="6"/>
  <c r="O379" i="6"/>
  <c r="A379" i="6"/>
  <c r="O384" i="6"/>
  <c r="O390" i="6"/>
  <c r="A390" i="6"/>
  <c r="D1231" i="6"/>
  <c r="O901" i="6"/>
  <c r="O600" i="6"/>
  <c r="D930" i="6"/>
  <c r="O623" i="6"/>
  <c r="D953" i="6"/>
  <c r="O369" i="6"/>
  <c r="S456" i="6"/>
  <c r="AO456" i="6"/>
  <c r="O341" i="6"/>
  <c r="A341" i="6"/>
  <c r="O357" i="6"/>
  <c r="A357" i="6"/>
  <c r="O407" i="6"/>
  <c r="A407" i="6"/>
  <c r="O426" i="6"/>
  <c r="D756" i="6"/>
  <c r="E756" i="6" s="1"/>
  <c r="A426" i="6"/>
  <c r="O977" i="6"/>
  <c r="D1307" i="6"/>
  <c r="D1637" i="6"/>
  <c r="D993" i="6"/>
  <c r="O663" i="6"/>
  <c r="O477" i="6"/>
  <c r="D807" i="6"/>
  <c r="E807" i="6" s="1"/>
  <c r="A477" i="6"/>
  <c r="O504" i="6"/>
  <c r="A504" i="6"/>
  <c r="O531" i="6"/>
  <c r="D861" i="6"/>
  <c r="O373" i="6"/>
  <c r="A373" i="6"/>
  <c r="O468" i="6"/>
  <c r="A468" i="6"/>
  <c r="D813" i="6"/>
  <c r="E813" i="6" s="1"/>
  <c r="A483" i="6"/>
  <c r="O336" i="6"/>
  <c r="A336" i="6"/>
  <c r="O348" i="6"/>
  <c r="A348" i="6"/>
  <c r="O376" i="6"/>
  <c r="D706" i="6"/>
  <c r="E706" i="6" s="1"/>
  <c r="O397" i="6"/>
  <c r="A397" i="6"/>
  <c r="D865" i="6"/>
  <c r="O555" i="6"/>
  <c r="D885" i="6"/>
  <c r="D897" i="6"/>
  <c r="O465" i="6"/>
  <c r="A465" i="6"/>
  <c r="O474" i="6"/>
  <c r="A474" i="6"/>
  <c r="O527" i="6"/>
  <c r="D857" i="6"/>
  <c r="D923" i="6"/>
  <c r="AO923" i="6"/>
  <c r="O593" i="6"/>
  <c r="O378" i="6"/>
  <c r="D708" i="6"/>
  <c r="E708" i="6" s="1"/>
  <c r="A378" i="6"/>
  <c r="O416" i="6"/>
  <c r="A416" i="6"/>
  <c r="O420" i="6"/>
  <c r="D750" i="6"/>
  <c r="E750" i="6" s="1"/>
  <c r="O561" i="6"/>
  <c r="A425" i="6"/>
  <c r="A472" i="6"/>
  <c r="A485" i="6"/>
  <c r="O551" i="6"/>
  <c r="D881" i="6"/>
  <c r="O587" i="6"/>
  <c r="D917" i="6"/>
  <c r="D925" i="6"/>
  <c r="D929" i="6"/>
  <c r="D936" i="6"/>
  <c r="D1266" i="6"/>
  <c r="D688" i="6"/>
  <c r="E688" i="6" s="1"/>
  <c r="D867" i="6"/>
  <c r="O515" i="6"/>
  <c r="A406" i="6"/>
  <c r="O346" i="6"/>
  <c r="D676" i="6"/>
  <c r="E676" i="6" s="1"/>
  <c r="O439" i="6"/>
  <c r="D769" i="6"/>
  <c r="E769" i="6" s="1"/>
  <c r="O469" i="6"/>
  <c r="D799" i="6"/>
  <c r="E799" i="6" s="1"/>
  <c r="D665" i="6"/>
  <c r="E665" i="6" s="1"/>
  <c r="O362" i="6"/>
  <c r="D692" i="6"/>
  <c r="E692" i="6" s="1"/>
  <c r="O368" i="6"/>
  <c r="D698" i="6"/>
  <c r="E698" i="6" s="1"/>
  <c r="O442" i="6"/>
  <c r="D772" i="6"/>
  <c r="E772" i="6" s="1"/>
  <c r="D849" i="6"/>
  <c r="D875" i="6"/>
  <c r="D907" i="6"/>
  <c r="D945" i="6"/>
  <c r="O945" i="6"/>
  <c r="D971" i="6"/>
  <c r="D979" i="6"/>
  <c r="D853" i="6"/>
  <c r="D903" i="6"/>
  <c r="AO903" i="6"/>
  <c r="O661" i="6"/>
  <c r="O653" i="6"/>
  <c r="D983" i="6"/>
  <c r="O610" i="6"/>
  <c r="O526" i="6"/>
  <c r="D856" i="6"/>
  <c r="D948" i="6"/>
  <c r="AO948" i="6"/>
  <c r="O813" i="6"/>
  <c r="A813" i="6"/>
  <c r="D1143" i="6"/>
  <c r="E1143" i="6" s="1"/>
  <c r="S1190" i="6"/>
  <c r="AO1190" i="6"/>
  <c r="S953" i="6"/>
  <c r="AO953" i="6"/>
  <c r="B1283" i="6"/>
  <c r="B1613" i="6"/>
  <c r="S1613" i="6"/>
  <c r="S1212" i="6"/>
  <c r="AO1212" i="6"/>
  <c r="S1142" i="6"/>
  <c r="AO1142" i="6"/>
  <c r="O888" i="6"/>
  <c r="D1218" i="6"/>
  <c r="D1548" i="6"/>
  <c r="S969" i="6"/>
  <c r="AO969" i="6"/>
  <c r="B1299" i="6"/>
  <c r="B1629" i="6"/>
  <c r="S1629" i="6"/>
  <c r="S913" i="6"/>
  <c r="AO913" i="6"/>
  <c r="B1243" i="6"/>
  <c r="B1573" i="6"/>
  <c r="S1573" i="6"/>
  <c r="S817" i="6"/>
  <c r="AO817" i="6"/>
  <c r="B1147" i="6"/>
  <c r="B1477" i="6"/>
  <c r="S1477" i="6"/>
  <c r="S984" i="6"/>
  <c r="AO984" i="6"/>
  <c r="B1314" i="6"/>
  <c r="B1644" i="6"/>
  <c r="S1644" i="6"/>
  <c r="CK147" i="4"/>
  <c r="CI220" i="4"/>
  <c r="K146" i="7"/>
  <c r="CF172" i="4"/>
  <c r="CG172" i="4"/>
  <c r="O1045" i="6"/>
  <c r="A1045" i="6"/>
  <c r="D1022" i="6"/>
  <c r="E1022" i="6" s="1"/>
  <c r="O936" i="6"/>
  <c r="O1307" i="6"/>
  <c r="O889" i="6"/>
  <c r="D1219" i="6"/>
  <c r="S989" i="6"/>
  <c r="B1319" i="6"/>
  <c r="B1649" i="6"/>
  <c r="S1649" i="6"/>
  <c r="S731" i="6"/>
  <c r="AO731" i="6"/>
  <c r="B1061" i="6"/>
  <c r="O976" i="6"/>
  <c r="D1306" i="6"/>
  <c r="D1636" i="6"/>
  <c r="O1020" i="6"/>
  <c r="A1020" i="6"/>
  <c r="O1244" i="6"/>
  <c r="S824" i="6"/>
  <c r="AO824" i="6"/>
  <c r="S712" i="6"/>
  <c r="AO712" i="6"/>
  <c r="B1042" i="6"/>
  <c r="B1372" i="6"/>
  <c r="S1372" i="6"/>
  <c r="S693" i="6"/>
  <c r="AO693" i="6"/>
  <c r="B1023" i="6"/>
  <c r="B1353" i="6"/>
  <c r="S1353" i="6"/>
  <c r="O1075" i="6"/>
  <c r="A1075" i="6"/>
  <c r="O717" i="6"/>
  <c r="A717" i="6"/>
  <c r="D1047" i="6"/>
  <c r="E1047" i="6" s="1"/>
  <c r="BS32" i="4"/>
  <c r="J69" i="7"/>
  <c r="AA69" i="7"/>
  <c r="AB69" i="7"/>
  <c r="K69" i="7"/>
  <c r="CC259" i="4"/>
  <c r="CC131" i="4"/>
  <c r="CE131" i="4"/>
  <c r="BS91" i="4"/>
  <c r="BS60" i="4"/>
  <c r="J97" i="7"/>
  <c r="AA97" i="7"/>
  <c r="AB97" i="7"/>
  <c r="BY60" i="4"/>
  <c r="P97" i="7"/>
  <c r="O1065" i="6"/>
  <c r="A1065" i="6"/>
  <c r="BV193" i="4"/>
  <c r="M143" i="7"/>
  <c r="BX193" i="4"/>
  <c r="O143" i="7"/>
  <c r="BS169" i="4"/>
  <c r="CI105" i="4"/>
  <c r="BS42" i="4"/>
  <c r="J79" i="7"/>
  <c r="AA79" i="7"/>
  <c r="AB79" i="7"/>
  <c r="CN184" i="4"/>
  <c r="CK184" i="4"/>
  <c r="O1042" i="6"/>
  <c r="A1042" i="6"/>
  <c r="CA188" i="4"/>
  <c r="CI164" i="4"/>
  <c r="CI148" i="4"/>
  <c r="CG140" i="4"/>
  <c r="CA140" i="4"/>
  <c r="CD116" i="4"/>
  <c r="CC116" i="4"/>
  <c r="CE116" i="4"/>
  <c r="CO116" i="4"/>
  <c r="BU116" i="4"/>
  <c r="L126" i="7"/>
  <c r="S126" i="7"/>
  <c r="AA126" i="7"/>
  <c r="AB126" i="7"/>
  <c r="K126" i="7"/>
  <c r="CM92" i="4"/>
  <c r="O907" i="6"/>
  <c r="D1237" i="6"/>
  <c r="D1567" i="6"/>
  <c r="O676" i="6"/>
  <c r="D1006" i="6"/>
  <c r="E1006" i="6" s="1"/>
  <c r="A676" i="6"/>
  <c r="O953" i="6"/>
  <c r="D1283" i="6"/>
  <c r="D1613" i="6"/>
  <c r="S1049" i="6"/>
  <c r="AO1049" i="6"/>
  <c r="S1185" i="6"/>
  <c r="S853" i="6"/>
  <c r="AO853" i="6" s="1"/>
  <c r="B1183" i="6"/>
  <c r="S1081" i="6"/>
  <c r="O1039" i="6"/>
  <c r="A1039" i="6"/>
  <c r="S1105" i="6"/>
  <c r="AO1105" i="6"/>
  <c r="S703" i="6"/>
  <c r="AO703" i="6"/>
  <c r="B1033" i="6"/>
  <c r="B1363" i="6"/>
  <c r="S1363" i="6"/>
  <c r="O672" i="6"/>
  <c r="A672" i="6"/>
  <c r="D1002" i="6"/>
  <c r="E1002" i="6" s="1"/>
  <c r="S1294" i="6"/>
  <c r="AO1294" i="6"/>
  <c r="S797" i="6"/>
  <c r="AO797" i="6"/>
  <c r="B1127" i="6"/>
  <c r="B1457" i="6"/>
  <c r="S1457" i="6"/>
  <c r="B1309" i="6"/>
  <c r="S979" i="6"/>
  <c r="B1277" i="6"/>
  <c r="B1607" i="6"/>
  <c r="S1607" i="6"/>
  <c r="S947" i="6"/>
  <c r="AO947" i="6"/>
  <c r="S915" i="6"/>
  <c r="AO915" i="6"/>
  <c r="B1245" i="6"/>
  <c r="B1575" i="6"/>
  <c r="S1575" i="6"/>
  <c r="S851" i="6"/>
  <c r="AO851" i="6"/>
  <c r="B1181" i="6"/>
  <c r="B1511" i="6"/>
  <c r="S1511" i="6"/>
  <c r="S795" i="6"/>
  <c r="AO795" i="6"/>
  <c r="B1125" i="6"/>
  <c r="B1455" i="6"/>
  <c r="S1455" i="6"/>
  <c r="S1113" i="6"/>
  <c r="AO1113" i="6"/>
  <c r="S1193" i="6"/>
  <c r="O1059" i="6"/>
  <c r="A1059" i="6"/>
  <c r="S1071" i="6"/>
  <c r="S905" i="6"/>
  <c r="AO905" i="6"/>
  <c r="B1235" i="6"/>
  <c r="B1565" i="6"/>
  <c r="S1565" i="6"/>
  <c r="S849" i="6"/>
  <c r="AO849" i="6"/>
  <c r="B1179" i="6"/>
  <c r="B1509" i="6"/>
  <c r="S1509" i="6"/>
  <c r="S809" i="6"/>
  <c r="AO809" i="6"/>
  <c r="B1139" i="6"/>
  <c r="B1469" i="6"/>
  <c r="S1469" i="6"/>
  <c r="O762" i="6"/>
  <c r="A762" i="6"/>
  <c r="D1092" i="6"/>
  <c r="E1092" i="6" s="1"/>
  <c r="S1003" i="6"/>
  <c r="AO1003" i="6"/>
  <c r="S1206" i="6"/>
  <c r="AO1206" i="6"/>
  <c r="O1061" i="6"/>
  <c r="A1061" i="6"/>
  <c r="O1316" i="6"/>
  <c r="S1239" i="6"/>
  <c r="S976" i="6"/>
  <c r="AO976" i="6"/>
  <c r="B1306" i="6"/>
  <c r="B1636" i="6"/>
  <c r="S1636" i="6"/>
  <c r="S944" i="6"/>
  <c r="AO944" i="6"/>
  <c r="B1274" i="6"/>
  <c r="B1604" i="6"/>
  <c r="S1604" i="6"/>
  <c r="S848" i="6"/>
  <c r="AO848" i="6"/>
  <c r="B1178" i="6"/>
  <c r="B1508" i="6"/>
  <c r="S1508" i="6"/>
  <c r="S752" i="6"/>
  <c r="AO752" i="6"/>
  <c r="B1082" i="6"/>
  <c r="S728" i="6"/>
  <c r="AO728" i="6"/>
  <c r="B1058" i="6"/>
  <c r="B1388" i="6"/>
  <c r="S1388" i="6"/>
  <c r="S1017" i="6"/>
  <c r="AO1017" i="6"/>
  <c r="K143" i="7"/>
  <c r="S684" i="6"/>
  <c r="AO684" i="6"/>
  <c r="B1014" i="6"/>
  <c r="B1344" i="6"/>
  <c r="S1344" i="6"/>
  <c r="O1123" i="6"/>
  <c r="A1123" i="6"/>
  <c r="O1277" i="6"/>
  <c r="CO259" i="4"/>
  <c r="CM259" i="4"/>
  <c r="CA227" i="4"/>
  <c r="BS163" i="4"/>
  <c r="BV131" i="4"/>
  <c r="BS131" i="4"/>
  <c r="BW131" i="4"/>
  <c r="BU131" i="4"/>
  <c r="CA84" i="4"/>
  <c r="CE84" i="4"/>
  <c r="CA52" i="4"/>
  <c r="CI281" i="4"/>
  <c r="BS249" i="4"/>
  <c r="J19" i="7"/>
  <c r="AA19" i="7"/>
  <c r="AB19" i="7"/>
  <c r="CO129" i="4"/>
  <c r="CI129" i="4"/>
  <c r="CK129" i="4"/>
  <c r="CL129" i="4"/>
  <c r="CM129" i="4"/>
  <c r="CN129" i="4"/>
  <c r="CI74" i="4"/>
  <c r="CA42" i="4"/>
  <c r="BS256" i="4"/>
  <c r="J26" i="7"/>
  <c r="AA26" i="7"/>
  <c r="AB26" i="7"/>
  <c r="BS208" i="4"/>
  <c r="J156" i="7"/>
  <c r="AA156" i="7"/>
  <c r="CA96" i="4"/>
  <c r="CA284" i="4"/>
  <c r="CG284" i="4"/>
  <c r="CD284" i="4"/>
  <c r="CA276" i="4"/>
  <c r="CF276" i="4"/>
  <c r="CG276" i="4"/>
  <c r="CA268" i="4"/>
  <c r="K15" i="7"/>
  <c r="BS188" i="4"/>
  <c r="J176" i="7"/>
  <c r="AA176" i="7"/>
  <c r="AB176" i="7"/>
  <c r="CL188" i="4"/>
  <c r="CK188" i="4"/>
  <c r="CF164" i="4"/>
  <c r="BS148" i="4"/>
  <c r="J129" i="7"/>
  <c r="AA129" i="7"/>
  <c r="AB129" i="7"/>
  <c r="S1308" i="6"/>
  <c r="AO1308" i="6"/>
  <c r="O1013" i="6"/>
  <c r="A1013" i="6"/>
  <c r="O1077" i="6"/>
  <c r="A1077" i="6"/>
  <c r="O785" i="6"/>
  <c r="D1115" i="6"/>
  <c r="E1115" i="6" s="1"/>
  <c r="A785" i="6"/>
  <c r="B1189" i="6"/>
  <c r="B1519" i="6"/>
  <c r="S1519" i="6"/>
  <c r="S859" i="6"/>
  <c r="S803" i="6"/>
  <c r="AO803" i="6"/>
  <c r="B1133" i="6"/>
  <c r="B1463" i="6"/>
  <c r="S1463" i="6"/>
  <c r="S998" i="6"/>
  <c r="AO998" i="6"/>
  <c r="S825" i="6"/>
  <c r="AO825" i="6"/>
  <c r="B1155" i="6"/>
  <c r="B1485" i="6"/>
  <c r="S1485" i="6"/>
  <c r="S1155" i="6"/>
  <c r="AO1155" i="6"/>
  <c r="S952" i="6"/>
  <c r="AO952" i="6"/>
  <c r="B1282" i="6"/>
  <c r="B1612" i="6"/>
  <c r="S1612" i="6"/>
  <c r="S760" i="6"/>
  <c r="AO760" i="6"/>
  <c r="B1090" i="6"/>
  <c r="B1420" i="6"/>
  <c r="S1420" i="6"/>
  <c r="S1090" i="6"/>
  <c r="AO1090" i="6"/>
  <c r="S736" i="6"/>
  <c r="AO736" i="6"/>
  <c r="B1066" i="6"/>
  <c r="B1396" i="6"/>
  <c r="S1396" i="6"/>
  <c r="CI91" i="4"/>
  <c r="CK91" i="4"/>
  <c r="CO91" i="4"/>
  <c r="CL91" i="4"/>
  <c r="CM91" i="4"/>
  <c r="BS224" i="4"/>
  <c r="J159" i="7"/>
  <c r="AA159" i="7"/>
  <c r="AB159" i="7"/>
  <c r="K159" i="7"/>
  <c r="S893" i="6"/>
  <c r="AO893" i="6"/>
  <c r="B1223" i="6"/>
  <c r="B1553" i="6"/>
  <c r="S1553" i="6"/>
  <c r="S910" i="6"/>
  <c r="AO910" i="6"/>
  <c r="B1240" i="6"/>
  <c r="B1570" i="6"/>
  <c r="S1570" i="6"/>
  <c r="S790" i="6"/>
  <c r="AO790" i="6"/>
  <c r="B1120" i="6"/>
  <c r="B1450" i="6"/>
  <c r="S1450" i="6"/>
  <c r="O1256" i="6"/>
  <c r="B1091" i="6"/>
  <c r="S761" i="6"/>
  <c r="AO761" i="6"/>
  <c r="S753" i="6"/>
  <c r="AO753" i="6"/>
  <c r="B1083" i="6"/>
  <c r="B1413" i="6"/>
  <c r="S1413" i="6"/>
  <c r="S694" i="6"/>
  <c r="AO694" i="6"/>
  <c r="B1024" i="6"/>
  <c r="B1354" i="6"/>
  <c r="S1354" i="6"/>
  <c r="O684" i="6"/>
  <c r="A684" i="6"/>
  <c r="D1014" i="6"/>
  <c r="E1014" i="6" s="1"/>
  <c r="S1201" i="6"/>
  <c r="AO1201" i="6"/>
  <c r="O677" i="6"/>
  <c r="A677" i="6"/>
  <c r="D1007" i="6"/>
  <c r="E1007" i="6" s="1"/>
  <c r="O897" i="6"/>
  <c r="D1227" i="6"/>
  <c r="D1557" i="6"/>
  <c r="S1057" i="6"/>
  <c r="O1054" i="6"/>
  <c r="A1054" i="6"/>
  <c r="O1312" i="6"/>
  <c r="O1251" i="6"/>
  <c r="CA211" i="4"/>
  <c r="BY84" i="4"/>
  <c r="BU84" i="4"/>
  <c r="BS84" i="4"/>
  <c r="BW84" i="4"/>
  <c r="BV84" i="4"/>
  <c r="BX84" i="4"/>
  <c r="CI289" i="4"/>
  <c r="CA273" i="4"/>
  <c r="CA288" i="4"/>
  <c r="CI28" i="4"/>
  <c r="CA180" i="4"/>
  <c r="CD180" i="4"/>
  <c r="BS140" i="4"/>
  <c r="BU140" i="4"/>
  <c r="BW140" i="4"/>
  <c r="BV140" i="4"/>
  <c r="BY140" i="4"/>
  <c r="CG100" i="4"/>
  <c r="CE100" i="4"/>
  <c r="CC100" i="4"/>
  <c r="CD100" i="4"/>
  <c r="CF100" i="4"/>
  <c r="O849" i="6"/>
  <c r="D1179" i="6"/>
  <c r="D1509" i="6"/>
  <c r="O917" i="6"/>
  <c r="D1247" i="6"/>
  <c r="D1577" i="6"/>
  <c r="O750" i="6"/>
  <c r="D1080" i="6"/>
  <c r="E1080" i="6" s="1"/>
  <c r="A750" i="6"/>
  <c r="D1253" i="6"/>
  <c r="O885" i="6"/>
  <c r="D1215" i="6"/>
  <c r="D1545" i="6"/>
  <c r="O930" i="6"/>
  <c r="D1260" i="6"/>
  <c r="D1590" i="6"/>
  <c r="S957" i="6"/>
  <c r="AO957" i="6"/>
  <c r="B1287" i="6"/>
  <c r="B1617" i="6"/>
  <c r="S1617" i="6"/>
  <c r="S829" i="6"/>
  <c r="AO829" i="6"/>
  <c r="B1159" i="6"/>
  <c r="B1489" i="6"/>
  <c r="S1489" i="6"/>
  <c r="S1044" i="6"/>
  <c r="AO1044" i="6"/>
  <c r="S1134" i="6"/>
  <c r="AO1134" i="6"/>
  <c r="S1158" i="6"/>
  <c r="S1220" i="6"/>
  <c r="AO1220" i="6"/>
  <c r="S749" i="6"/>
  <c r="AO749" i="6"/>
  <c r="B1079" i="6"/>
  <c r="B1409" i="6"/>
  <c r="S1409" i="6"/>
  <c r="S685" i="6"/>
  <c r="AO685" i="6"/>
  <c r="B1015" i="6"/>
  <c r="B1345" i="6"/>
  <c r="S1345" i="6"/>
  <c r="S925" i="6"/>
  <c r="AO925" i="6"/>
  <c r="B1255" i="6"/>
  <c r="B1585" i="6"/>
  <c r="S1585" i="6"/>
  <c r="S971" i="6"/>
  <c r="AO971" i="6"/>
  <c r="S939" i="6"/>
  <c r="AO939" i="6"/>
  <c r="B1269" i="6"/>
  <c r="B1599" i="6"/>
  <c r="S1599" i="6"/>
  <c r="S907" i="6"/>
  <c r="B1237" i="6"/>
  <c r="B1567" i="6"/>
  <c r="S1567" i="6"/>
  <c r="S1237" i="6"/>
  <c r="S875" i="6"/>
  <c r="AO875" i="6"/>
  <c r="B1205" i="6"/>
  <c r="B1535" i="6"/>
  <c r="S1535" i="6"/>
  <c r="S1205" i="6"/>
  <c r="S843" i="6"/>
  <c r="AO843" i="6"/>
  <c r="B1173" i="6"/>
  <c r="B1503" i="6"/>
  <c r="S1503" i="6"/>
  <c r="S787" i="6"/>
  <c r="AO787" i="6"/>
  <c r="B1117" i="6"/>
  <c r="B1447" i="6"/>
  <c r="S1447" i="6"/>
  <c r="S1117" i="6"/>
  <c r="AO1117" i="6"/>
  <c r="S1062" i="6"/>
  <c r="AO1062" i="6"/>
  <c r="S1175" i="6"/>
  <c r="AO1175" i="6"/>
  <c r="S993" i="6"/>
  <c r="AO993" i="6"/>
  <c r="B1323" i="6"/>
  <c r="B1653" i="6"/>
  <c r="S1653" i="6"/>
  <c r="S1323" i="6"/>
  <c r="S937" i="6"/>
  <c r="AO937" i="6"/>
  <c r="B1267" i="6"/>
  <c r="B1597" i="6"/>
  <c r="S1597" i="6"/>
  <c r="S881" i="6"/>
  <c r="AO881" i="6"/>
  <c r="B1211" i="6"/>
  <c r="B1541" i="6"/>
  <c r="S1541" i="6"/>
  <c r="S1211" i="6"/>
  <c r="S841" i="6"/>
  <c r="B1171" i="6"/>
  <c r="B1501" i="6"/>
  <c r="S1501" i="6"/>
  <c r="S801" i="6"/>
  <c r="AO801" i="6"/>
  <c r="B1131" i="6"/>
  <c r="B1461" i="6"/>
  <c r="S1461" i="6"/>
  <c r="S667" i="6"/>
  <c r="AO667" i="6"/>
  <c r="B997" i="6"/>
  <c r="B1327" i="6"/>
  <c r="S1327" i="6"/>
  <c r="O1155" i="6"/>
  <c r="A1155" i="6"/>
  <c r="S1188" i="6"/>
  <c r="AO1188" i="6"/>
  <c r="O1016" i="6"/>
  <c r="A1016" i="6"/>
  <c r="S1052" i="6"/>
  <c r="AO1052" i="6"/>
  <c r="S936" i="6"/>
  <c r="AO936" i="6"/>
  <c r="B1266" i="6"/>
  <c r="B1596" i="6"/>
  <c r="S1596" i="6"/>
  <c r="S1266" i="6"/>
  <c r="S840" i="6"/>
  <c r="AO840" i="6"/>
  <c r="B1170" i="6"/>
  <c r="B1500" i="6"/>
  <c r="S1500" i="6"/>
  <c r="S816" i="6"/>
  <c r="AO816" i="6"/>
  <c r="B1146" i="6"/>
  <c r="B1476" i="6"/>
  <c r="S1476" i="6"/>
  <c r="S776" i="6"/>
  <c r="AO776" i="6"/>
  <c r="B1106" i="6"/>
  <c r="B1436" i="6"/>
  <c r="S1436" i="6"/>
  <c r="BS151" i="4"/>
  <c r="J132" i="7"/>
  <c r="AA132" i="7"/>
  <c r="AB132" i="7"/>
  <c r="S702" i="6"/>
  <c r="AO702" i="6"/>
  <c r="B1032" i="6"/>
  <c r="B1362" i="6"/>
  <c r="S1362" i="6"/>
  <c r="S1032" i="6"/>
  <c r="CO38" i="4"/>
  <c r="O1000" i="6"/>
  <c r="A1000" i="6"/>
  <c r="CA243" i="4"/>
  <c r="CG243" i="4"/>
  <c r="CE243" i="4"/>
  <c r="BY211" i="4"/>
  <c r="BS211" i="4"/>
  <c r="CF179" i="4"/>
  <c r="CD179" i="4"/>
  <c r="BS52" i="4"/>
  <c r="J89" i="7"/>
  <c r="AA89" i="7"/>
  <c r="AB89" i="7"/>
  <c r="BS273" i="4"/>
  <c r="J43" i="7"/>
  <c r="AA43" i="7"/>
  <c r="AB43" i="7"/>
  <c r="K43" i="7"/>
  <c r="CK225" i="4"/>
  <c r="BS225" i="4"/>
  <c r="J160" i="7"/>
  <c r="AA160" i="7"/>
  <c r="AB160" i="7"/>
  <c r="CA145" i="4"/>
  <c r="BS74" i="4"/>
  <c r="BS288" i="4"/>
  <c r="CA264" i="4"/>
  <c r="CI224" i="4"/>
  <c r="CI200" i="4"/>
  <c r="BS168" i="4"/>
  <c r="BS136" i="4"/>
  <c r="CI96" i="4"/>
  <c r="CA187" i="4"/>
  <c r="CK112" i="4"/>
  <c r="CN112" i="4"/>
  <c r="CI112" i="4"/>
  <c r="CO112" i="4"/>
  <c r="CM112" i="4"/>
  <c r="BY276" i="4"/>
  <c r="BX276" i="4"/>
  <c r="BU276" i="4"/>
  <c r="CN236" i="4"/>
  <c r="CC228" i="4"/>
  <c r="CM212" i="4"/>
  <c r="CK212" i="4"/>
  <c r="CO212" i="4"/>
  <c r="CN212" i="4"/>
  <c r="BS180" i="4"/>
  <c r="J168" i="7"/>
  <c r="AA168" i="7"/>
  <c r="AB168" i="7"/>
  <c r="BV180" i="4"/>
  <c r="M168" i="7"/>
  <c r="CI172" i="4"/>
  <c r="CG124" i="4"/>
  <c r="CD124" i="4"/>
  <c r="CA124" i="4"/>
  <c r="CF124" i="4"/>
  <c r="BS108" i="4"/>
  <c r="J118" i="7"/>
  <c r="AA118" i="7"/>
  <c r="AB118" i="7"/>
  <c r="K118" i="7"/>
  <c r="BY108" i="4"/>
  <c r="P118" i="7"/>
  <c r="O1149" i="6"/>
  <c r="A1149" i="6"/>
  <c r="O971" i="6"/>
  <c r="D1301" i="6"/>
  <c r="D1631" i="6"/>
  <c r="O769" i="6"/>
  <c r="A769" i="6"/>
  <c r="D1099" i="6"/>
  <c r="E1099" i="6" s="1"/>
  <c r="S1184" i="6"/>
  <c r="AO1184" i="6"/>
  <c r="S1166" i="6"/>
  <c r="S987" i="6"/>
  <c r="B1317" i="6"/>
  <c r="B1647" i="6"/>
  <c r="S1647" i="6"/>
  <c r="S955" i="6"/>
  <c r="B1285" i="6"/>
  <c r="B1615" i="6"/>
  <c r="S1615" i="6"/>
  <c r="B1123" i="6"/>
  <c r="B1453" i="6"/>
  <c r="S1453" i="6"/>
  <c r="S793" i="6"/>
  <c r="AO793" i="6"/>
  <c r="S865" i="6"/>
  <c r="AO865" i="6"/>
  <c r="B1195" i="6"/>
  <c r="B1525" i="6"/>
  <c r="S1525" i="6"/>
  <c r="S1195" i="6"/>
  <c r="J161" i="7"/>
  <c r="AA161" i="7"/>
  <c r="AB161" i="7"/>
  <c r="CM131" i="4"/>
  <c r="CL131" i="4"/>
  <c r="BS20" i="4"/>
  <c r="J57" i="7"/>
  <c r="AA57" i="7"/>
  <c r="AB57" i="7"/>
  <c r="CI132" i="4"/>
  <c r="CK132" i="4"/>
  <c r="CM132" i="4"/>
  <c r="S765" i="6"/>
  <c r="AO765" i="6"/>
  <c r="B1095" i="6"/>
  <c r="B1425" i="6"/>
  <c r="S1425" i="6"/>
  <c r="S982" i="6"/>
  <c r="AO982" i="6"/>
  <c r="B1312" i="6"/>
  <c r="S763" i="6"/>
  <c r="AO763" i="6"/>
  <c r="B1093" i="6"/>
  <c r="B1423" i="6"/>
  <c r="S1423" i="6"/>
  <c r="S1126" i="6"/>
  <c r="AO1126" i="6"/>
  <c r="S902" i="6"/>
  <c r="AO902" i="6"/>
  <c r="B1232" i="6"/>
  <c r="B1562" i="6"/>
  <c r="S1562" i="6"/>
  <c r="S1213" i="6"/>
  <c r="AO1213" i="6"/>
  <c r="S819" i="6"/>
  <c r="AO819" i="6"/>
  <c r="B1149" i="6"/>
  <c r="B1479" i="6"/>
  <c r="S1479" i="6"/>
  <c r="O1291" i="6"/>
  <c r="S676" i="6"/>
  <c r="AO676" i="6"/>
  <c r="B1006" i="6"/>
  <c r="B1336" i="6"/>
  <c r="S1336" i="6"/>
  <c r="S1006" i="6"/>
  <c r="O794" i="6"/>
  <c r="A794" i="6"/>
  <c r="D1124" i="6"/>
  <c r="E1124" i="6" s="1"/>
  <c r="S912" i="6"/>
  <c r="AO912" i="6"/>
  <c r="B1242" i="6"/>
  <c r="B1572" i="6"/>
  <c r="S1572" i="6"/>
  <c r="CK123" i="4"/>
  <c r="CM123" i="4"/>
  <c r="CM276" i="4"/>
  <c r="O857" i="6"/>
  <c r="D1187" i="6"/>
  <c r="O756" i="6"/>
  <c r="A756" i="6"/>
  <c r="D1086" i="6"/>
  <c r="E1086" i="6" s="1"/>
  <c r="O973" i="6"/>
  <c r="D1303" i="6"/>
  <c r="S894" i="6"/>
  <c r="AO894" i="6"/>
  <c r="B1224" i="6"/>
  <c r="B1554" i="6"/>
  <c r="S1554" i="6"/>
  <c r="S742" i="6"/>
  <c r="AO742" i="6"/>
  <c r="B1072" i="6"/>
  <c r="O931" i="6"/>
  <c r="D1261" i="6"/>
  <c r="D1591" i="6"/>
  <c r="S1284" i="6"/>
  <c r="AO1284" i="6"/>
  <c r="O1116" i="6"/>
  <c r="A1116" i="6"/>
  <c r="S713" i="6"/>
  <c r="AO713" i="6"/>
  <c r="B1043" i="6"/>
  <c r="B1373" i="6"/>
  <c r="S1373" i="6"/>
  <c r="B1000" i="6"/>
  <c r="B1330" i="6"/>
  <c r="S1330" i="6"/>
  <c r="S1000" i="6"/>
  <c r="AO1000" i="6"/>
  <c r="S670" i="6"/>
  <c r="AO670" i="6"/>
  <c r="A705" i="6"/>
  <c r="S961" i="6"/>
  <c r="AO961" i="6"/>
  <c r="B1291" i="6"/>
  <c r="B1621" i="6"/>
  <c r="S1621" i="6"/>
  <c r="S1291" i="6"/>
  <c r="AO1291" i="6"/>
  <c r="S1030" i="6"/>
  <c r="AO1030" i="6"/>
  <c r="S1270" i="6"/>
  <c r="AO1270" i="6"/>
  <c r="S1084" i="6"/>
  <c r="AO1084" i="6"/>
  <c r="S1046" i="6"/>
  <c r="O721" i="6"/>
  <c r="D1051" i="6"/>
  <c r="E1051" i="6" s="1"/>
  <c r="A721" i="6"/>
  <c r="O1248" i="6"/>
  <c r="S968" i="6"/>
  <c r="AO968" i="6"/>
  <c r="B1298" i="6"/>
  <c r="B1628" i="6"/>
  <c r="S1628" i="6"/>
  <c r="S904" i="6"/>
  <c r="AO904" i="6"/>
  <c r="B1234" i="6"/>
  <c r="S872" i="6"/>
  <c r="AO872" i="6"/>
  <c r="B1202" i="6"/>
  <c r="B1532" i="6"/>
  <c r="S1532" i="6"/>
  <c r="S744" i="6"/>
  <c r="AO744" i="6"/>
  <c r="B1074" i="6"/>
  <c r="B1404" i="6"/>
  <c r="S1404" i="6"/>
  <c r="S720" i="6"/>
  <c r="AO720" i="6"/>
  <c r="B1050" i="6"/>
  <c r="B1380" i="6"/>
  <c r="S1380" i="6"/>
  <c r="S699" i="6"/>
  <c r="AO699" i="6"/>
  <c r="B1029" i="6"/>
  <c r="B1359" i="6"/>
  <c r="S1359" i="6"/>
  <c r="S1029" i="6"/>
  <c r="AO1029" i="6"/>
  <c r="O1230" i="6"/>
  <c r="CA151" i="4"/>
  <c r="BS64" i="4"/>
  <c r="J101" i="7"/>
  <c r="AA101" i="7"/>
  <c r="AB101" i="7"/>
  <c r="S678" i="6"/>
  <c r="AO678" i="6"/>
  <c r="B1008" i="6"/>
  <c r="B1338" i="6"/>
  <c r="S1338" i="6"/>
  <c r="CI70" i="4"/>
  <c r="CI275" i="4"/>
  <c r="CN275" i="4"/>
  <c r="CL275" i="4"/>
  <c r="BX243" i="4"/>
  <c r="BY243" i="4"/>
  <c r="BU243" i="4"/>
  <c r="BS243" i="4"/>
  <c r="BV243" i="4"/>
  <c r="BW243" i="4"/>
  <c r="CA203" i="4"/>
  <c r="BS179" i="4"/>
  <c r="J167" i="7"/>
  <c r="AA167" i="7"/>
  <c r="AB167" i="7"/>
  <c r="BV179" i="4"/>
  <c r="M167" i="7"/>
  <c r="BW179" i="4"/>
  <c r="N167" i="7"/>
  <c r="BY147" i="4"/>
  <c r="BS147" i="4"/>
  <c r="CF76" i="4"/>
  <c r="O1033" i="6"/>
  <c r="A1033" i="6"/>
  <c r="CA241" i="4"/>
  <c r="CG161" i="4"/>
  <c r="BS66" i="4"/>
  <c r="J103" i="7"/>
  <c r="AA103" i="7"/>
  <c r="AB103" i="7"/>
  <c r="BV66" i="4"/>
  <c r="M103" i="7"/>
  <c r="BS264" i="4"/>
  <c r="J34" i="7"/>
  <c r="AA34" i="7"/>
  <c r="AB34" i="7"/>
  <c r="CA224" i="4"/>
  <c r="CN192" i="4"/>
  <c r="CO192" i="4"/>
  <c r="CK192" i="4"/>
  <c r="CL192" i="4"/>
  <c r="CM192" i="4"/>
  <c r="CA168" i="4"/>
  <c r="CA136" i="4"/>
  <c r="CN89" i="4"/>
  <c r="CO89" i="4"/>
  <c r="CK89" i="4"/>
  <c r="CI89" i="4"/>
  <c r="CL89" i="4"/>
  <c r="CA137" i="4"/>
  <c r="CC137" i="4"/>
  <c r="CE137" i="4"/>
  <c r="CG137" i="4"/>
  <c r="CD137" i="4"/>
  <c r="CF137" i="4"/>
  <c r="BS236" i="4"/>
  <c r="J9" i="7"/>
  <c r="AA9" i="7"/>
  <c r="AB9" i="7"/>
  <c r="K9" i="7"/>
  <c r="BY236" i="4"/>
  <c r="P9" i="7"/>
  <c r="CI228" i="4"/>
  <c r="CE212" i="4"/>
  <c r="CF212" i="4"/>
  <c r="BV212" i="4"/>
  <c r="BY212" i="4"/>
  <c r="BU212" i="4"/>
  <c r="BX212" i="4"/>
  <c r="BS212" i="4"/>
  <c r="BW212" i="4"/>
  <c r="BW124" i="4"/>
  <c r="BY124" i="4"/>
  <c r="BU124" i="4"/>
  <c r="BV124" i="4"/>
  <c r="BS124" i="4"/>
  <c r="BX124" i="4"/>
  <c r="O993" i="6"/>
  <c r="D1323" i="6"/>
  <c r="S1196" i="6"/>
  <c r="AO1196" i="6"/>
  <c r="S1005" i="6"/>
  <c r="AO1005" i="6"/>
  <c r="S821" i="6"/>
  <c r="AO821" i="6"/>
  <c r="B1151" i="6"/>
  <c r="B1481" i="6"/>
  <c r="S1481" i="6"/>
  <c r="S1151" i="6"/>
  <c r="AO1151" i="6"/>
  <c r="S1060" i="6"/>
  <c r="AO1060" i="6"/>
  <c r="S920" i="6"/>
  <c r="AO920" i="6"/>
  <c r="B1250" i="6"/>
  <c r="S856" i="6"/>
  <c r="B1186" i="6"/>
  <c r="B1516" i="6"/>
  <c r="S1516" i="6"/>
  <c r="S784" i="6"/>
  <c r="AO784" i="6"/>
  <c r="B1114" i="6"/>
  <c r="B1444" i="6"/>
  <c r="S1444" i="6"/>
  <c r="CF60" i="4"/>
  <c r="CA60" i="4"/>
  <c r="CD60" i="4"/>
  <c r="BS257" i="4"/>
  <c r="J27" i="7"/>
  <c r="AA27" i="7"/>
  <c r="AB27" i="7"/>
  <c r="BS50" i="4"/>
  <c r="J87" i="7"/>
  <c r="AA87" i="7"/>
  <c r="AB87" i="7"/>
  <c r="CM284" i="4"/>
  <c r="CL284" i="4"/>
  <c r="CO284" i="4"/>
  <c r="CK284" i="4"/>
  <c r="CN284" i="4"/>
  <c r="CI284" i="4"/>
  <c r="A708" i="6"/>
  <c r="O708" i="6"/>
  <c r="D1038" i="6"/>
  <c r="E1038" i="6" s="1"/>
  <c r="O706" i="6"/>
  <c r="D1036" i="6"/>
  <c r="E1036" i="6" s="1"/>
  <c r="A706" i="6"/>
  <c r="S1273" i="6"/>
  <c r="AO1273" i="6"/>
  <c r="S789" i="6"/>
  <c r="AO789" i="6"/>
  <c r="B1119" i="6"/>
  <c r="B1449" i="6"/>
  <c r="S1449" i="6"/>
  <c r="S942" i="6"/>
  <c r="AO942" i="6"/>
  <c r="B1272" i="6"/>
  <c r="B1602" i="6"/>
  <c r="S1602" i="6"/>
  <c r="S878" i="6"/>
  <c r="AO878" i="6"/>
  <c r="B1208" i="6"/>
  <c r="B1538" i="6"/>
  <c r="S1538" i="6"/>
  <c r="S838" i="6"/>
  <c r="AO838" i="6"/>
  <c r="B1168" i="6"/>
  <c r="B1056" i="6"/>
  <c r="B1386" i="6"/>
  <c r="S1386" i="6"/>
  <c r="S726" i="6"/>
  <c r="AO726" i="6"/>
  <c r="S1310" i="6"/>
  <c r="S813" i="6"/>
  <c r="AO813" i="6"/>
  <c r="B1143" i="6"/>
  <c r="S785" i="6"/>
  <c r="AO785" i="6"/>
  <c r="B1115" i="6"/>
  <c r="B1445" i="6"/>
  <c r="S1445" i="6"/>
  <c r="S1115" i="6"/>
  <c r="S1111" i="6"/>
  <c r="AO1111" i="6"/>
  <c r="O1274" i="6"/>
  <c r="O875" i="6"/>
  <c r="D1205" i="6"/>
  <c r="D1535" i="6"/>
  <c r="O925" i="6"/>
  <c r="D1255" i="6"/>
  <c r="O767" i="6"/>
  <c r="D1097" i="6"/>
  <c r="E1097" i="6" s="1"/>
  <c r="A767" i="6"/>
  <c r="S1034" i="6"/>
  <c r="AO1034" i="6"/>
  <c r="O718" i="6"/>
  <c r="D1048" i="6"/>
  <c r="E1048" i="6" s="1"/>
  <c r="A718" i="6"/>
  <c r="S830" i="6"/>
  <c r="AO830" i="6"/>
  <c r="B1160" i="6"/>
  <c r="B1490" i="6"/>
  <c r="S1490" i="6"/>
  <c r="S750" i="6"/>
  <c r="AO750" i="6"/>
  <c r="B1080" i="6"/>
  <c r="B1410" i="6"/>
  <c r="S1410" i="6"/>
  <c r="S718" i="6"/>
  <c r="AO718" i="6"/>
  <c r="B1048" i="6"/>
  <c r="B1378" i="6"/>
  <c r="S1378" i="6"/>
  <c r="S666" i="6"/>
  <c r="AO666" i="6"/>
  <c r="B996" i="6"/>
  <c r="B1326" i="6"/>
  <c r="S1326" i="6"/>
  <c r="S1228" i="6"/>
  <c r="AO1228" i="6"/>
  <c r="S757" i="6"/>
  <c r="AO757" i="6"/>
  <c r="B1087" i="6"/>
  <c r="B1417" i="6"/>
  <c r="S1417" i="6"/>
  <c r="S1214" i="6"/>
  <c r="AO1214" i="6"/>
  <c r="O1286" i="6"/>
  <c r="S945" i="6"/>
  <c r="AO945" i="6"/>
  <c r="B1275" i="6"/>
  <c r="S777" i="6"/>
  <c r="AO777" i="6"/>
  <c r="B1107" i="6"/>
  <c r="B1437" i="6"/>
  <c r="S1437" i="6"/>
  <c r="S745" i="6"/>
  <c r="AO745" i="6"/>
  <c r="B1075" i="6"/>
  <c r="B1405" i="6"/>
  <c r="S1405" i="6"/>
  <c r="S1075" i="6"/>
  <c r="AO1075" i="6"/>
  <c r="S721" i="6"/>
  <c r="AO721" i="6"/>
  <c r="B1051" i="6"/>
  <c r="B1381" i="6"/>
  <c r="S1381" i="6"/>
  <c r="S1051" i="6"/>
  <c r="S800" i="6"/>
  <c r="AO800" i="6"/>
  <c r="B1130" i="6"/>
  <c r="B1460" i="6"/>
  <c r="S1460" i="6"/>
  <c r="BX259" i="4"/>
  <c r="O29" i="7"/>
  <c r="BU259" i="4"/>
  <c r="L29" i="7"/>
  <c r="CI52" i="4"/>
  <c r="CA129" i="4"/>
  <c r="CA74" i="4"/>
  <c r="BS268" i="4"/>
  <c r="J38" i="7"/>
  <c r="AA38" i="7"/>
  <c r="AB38" i="7"/>
  <c r="CD236" i="4"/>
  <c r="CM180" i="4"/>
  <c r="CO180" i="4"/>
  <c r="BS172" i="4"/>
  <c r="CI108" i="4"/>
  <c r="CL108" i="4"/>
  <c r="CM108" i="4"/>
  <c r="O903" i="6"/>
  <c r="D1233" i="6"/>
  <c r="A772" i="6"/>
  <c r="O772" i="6"/>
  <c r="D1102" i="6"/>
  <c r="E1102" i="6" s="1"/>
  <c r="AO1102" i="6"/>
  <c r="O665" i="6"/>
  <c r="D995" i="6"/>
  <c r="E995" i="6" s="1"/>
  <c r="A665" i="6"/>
  <c r="S1121" i="6"/>
  <c r="AO1121" i="6"/>
  <c r="S1076" i="6"/>
  <c r="AO1076" i="6"/>
  <c r="B1247" i="6"/>
  <c r="B1577" i="6"/>
  <c r="S1577" i="6"/>
  <c r="S917" i="6"/>
  <c r="AO917" i="6"/>
  <c r="S966" i="6"/>
  <c r="AO966" i="6"/>
  <c r="B1296" i="6"/>
  <c r="B1626" i="6"/>
  <c r="S1626" i="6"/>
  <c r="S926" i="6"/>
  <c r="AO926" i="6"/>
  <c r="B1256" i="6"/>
  <c r="B1586" i="6"/>
  <c r="S1586" i="6"/>
  <c r="S1256" i="6"/>
  <c r="AO1256" i="6"/>
  <c r="S862" i="6"/>
  <c r="AO862" i="6"/>
  <c r="B1192" i="6"/>
  <c r="B1522" i="6"/>
  <c r="S1522" i="6"/>
  <c r="S822" i="6"/>
  <c r="AO822" i="6"/>
  <c r="B1152" i="6"/>
  <c r="B1482" i="6"/>
  <c r="S1482" i="6"/>
  <c r="S1152" i="6"/>
  <c r="S774" i="6"/>
  <c r="AO774" i="6"/>
  <c r="B1104" i="6"/>
  <c r="B1434" i="6"/>
  <c r="S1434" i="6"/>
  <c r="O969" i="6"/>
  <c r="D1299" i="6"/>
  <c r="D1629" i="6"/>
  <c r="S1217" i="6"/>
  <c r="AO1217" i="6"/>
  <c r="S811" i="6"/>
  <c r="AO811" i="6"/>
  <c r="B1141" i="6"/>
  <c r="S715" i="6"/>
  <c r="AO715" i="6"/>
  <c r="B1045" i="6"/>
  <c r="B1375" i="6"/>
  <c r="S1375" i="6"/>
  <c r="S885" i="6"/>
  <c r="AO885" i="6"/>
  <c r="B1215" i="6"/>
  <c r="O1246" i="6"/>
  <c r="S833" i="6"/>
  <c r="AO833" i="6"/>
  <c r="B1163" i="6"/>
  <c r="B1493" i="6"/>
  <c r="S1493" i="6"/>
  <c r="O1070" i="6"/>
  <c r="A1070" i="6"/>
  <c r="S897" i="6"/>
  <c r="AO897" i="6"/>
  <c r="B1227" i="6"/>
  <c r="B1557" i="6"/>
  <c r="S1557" i="6"/>
  <c r="O1135" i="6"/>
  <c r="A1135" i="6"/>
  <c r="O948" i="6"/>
  <c r="D1278" i="6"/>
  <c r="O853" i="6"/>
  <c r="D1183" i="6"/>
  <c r="D1513" i="6"/>
  <c r="O799" i="6"/>
  <c r="D1129" i="6"/>
  <c r="E1129" i="6" s="1"/>
  <c r="A799" i="6"/>
  <c r="O881" i="6"/>
  <c r="D1211" i="6"/>
  <c r="O865" i="6"/>
  <c r="D1195" i="6"/>
  <c r="D1525" i="6"/>
  <c r="O1276" i="6"/>
  <c r="B1311" i="6"/>
  <c r="B1641" i="6"/>
  <c r="S1641" i="6"/>
  <c r="S981" i="6"/>
  <c r="AO981" i="6"/>
  <c r="S725" i="6"/>
  <c r="AO725" i="6"/>
  <c r="B1055" i="6"/>
  <c r="B1385" i="6"/>
  <c r="S1385" i="6"/>
  <c r="B1207" i="6"/>
  <c r="B1537" i="6"/>
  <c r="S1537" i="6"/>
  <c r="S877" i="6"/>
  <c r="AO877" i="6"/>
  <c r="S679" i="6"/>
  <c r="AO679" i="6"/>
  <c r="B1009" i="6"/>
  <c r="B1339" i="6"/>
  <c r="S1339" i="6"/>
  <c r="S1009" i="6"/>
  <c r="AO1009" i="6"/>
  <c r="S1177" i="6"/>
  <c r="AO1177" i="6"/>
  <c r="B1293" i="6"/>
  <c r="B1623" i="6"/>
  <c r="S1623" i="6"/>
  <c r="S963" i="6"/>
  <c r="AO963" i="6"/>
  <c r="S931" i="6"/>
  <c r="AO931" i="6"/>
  <c r="B1261" i="6"/>
  <c r="B1591" i="6"/>
  <c r="S1591" i="6"/>
  <c r="S867" i="6"/>
  <c r="AO867" i="6"/>
  <c r="B1197" i="6"/>
  <c r="B1527" i="6"/>
  <c r="S1527" i="6"/>
  <c r="S835" i="6"/>
  <c r="AO835" i="6"/>
  <c r="B1165" i="6"/>
  <c r="S771" i="6"/>
  <c r="AO771" i="6"/>
  <c r="B1101" i="6"/>
  <c r="B1431" i="6"/>
  <c r="S1431" i="6"/>
  <c r="S747" i="6"/>
  <c r="AO747" i="6"/>
  <c r="B1077" i="6"/>
  <c r="B1407" i="6"/>
  <c r="S1407" i="6"/>
  <c r="S949" i="6"/>
  <c r="AO949" i="6"/>
  <c r="B1279" i="6"/>
  <c r="B1609" i="6"/>
  <c r="S1609" i="6"/>
  <c r="S1164" i="6"/>
  <c r="S729" i="6"/>
  <c r="AO729" i="6"/>
  <c r="B1059" i="6"/>
  <c r="AD5" i="8"/>
  <c r="S1161" i="6"/>
  <c r="AO1161" i="6"/>
  <c r="S1174" i="6"/>
  <c r="AO1174" i="6"/>
  <c r="S977" i="6"/>
  <c r="AO977" i="6"/>
  <c r="B1307" i="6"/>
  <c r="B1637" i="6"/>
  <c r="S1637" i="6"/>
  <c r="S1307" i="6"/>
  <c r="AO1307" i="6"/>
  <c r="S929" i="6"/>
  <c r="B1259" i="6"/>
  <c r="B1589" i="6"/>
  <c r="S1589" i="6"/>
  <c r="S1259" i="6"/>
  <c r="S873" i="6"/>
  <c r="AO873" i="6"/>
  <c r="B1203" i="6"/>
  <c r="B1533" i="6"/>
  <c r="S1533" i="6"/>
  <c r="S737" i="6"/>
  <c r="AO737" i="6"/>
  <c r="B1067" i="6"/>
  <c r="B1397" i="6"/>
  <c r="S1397" i="6"/>
  <c r="O1090" i="6"/>
  <c r="A1090" i="6"/>
  <c r="S1150" i="6"/>
  <c r="O777" i="6"/>
  <c r="D1107" i="6"/>
  <c r="E1107" i="6" s="1"/>
  <c r="A777" i="6"/>
  <c r="S992" i="6"/>
  <c r="AO992" i="6"/>
  <c r="B1322" i="6"/>
  <c r="B1652" i="6"/>
  <c r="S1652" i="6"/>
  <c r="S960" i="6"/>
  <c r="AO960" i="6"/>
  <c r="B1290" i="6"/>
  <c r="B1620" i="6"/>
  <c r="S1620" i="6"/>
  <c r="S792" i="6"/>
  <c r="AO792" i="6"/>
  <c r="B1122" i="6"/>
  <c r="B1452" i="6"/>
  <c r="S1452" i="6"/>
  <c r="S768" i="6"/>
  <c r="AO768" i="6"/>
  <c r="B1098" i="6"/>
  <c r="B1428" i="6"/>
  <c r="S1428" i="6"/>
  <c r="K132" i="7"/>
  <c r="S1026" i="6"/>
  <c r="AO1026" i="6"/>
  <c r="K100" i="7"/>
  <c r="O1257" i="6"/>
  <c r="O1200" i="6"/>
  <c r="BV275" i="4"/>
  <c r="BY275" i="4"/>
  <c r="BU275" i="4"/>
  <c r="CA235" i="4"/>
  <c r="CF147" i="4"/>
  <c r="BS139" i="4"/>
  <c r="CI66" i="4"/>
  <c r="AA71" i="7"/>
  <c r="AB71" i="7"/>
  <c r="CI256" i="4"/>
  <c r="BX192" i="4"/>
  <c r="BU192" i="4"/>
  <c r="BS192" i="4"/>
  <c r="BV192" i="4"/>
  <c r="BY192" i="4"/>
  <c r="BW192" i="4"/>
  <c r="CI152" i="4"/>
  <c r="BY120" i="4"/>
  <c r="BW120" i="4"/>
  <c r="BU120" i="4"/>
  <c r="BX120" i="4"/>
  <c r="BS120" i="4"/>
  <c r="BV120" i="4"/>
  <c r="BY89" i="4"/>
  <c r="BS89" i="4"/>
  <c r="BW89" i="4"/>
  <c r="BV89" i="4"/>
  <c r="BX89" i="4"/>
  <c r="BU89" i="4"/>
  <c r="CD201" i="4"/>
  <c r="CE201" i="4"/>
  <c r="CA252" i="4"/>
  <c r="K162" i="7"/>
  <c r="BX228" i="4"/>
  <c r="O162" i="7"/>
  <c r="CL204" i="4"/>
  <c r="CK204" i="4"/>
  <c r="CO204" i="4"/>
  <c r="CI204" i="4"/>
  <c r="CM204" i="4"/>
  <c r="CN204" i="4"/>
  <c r="CM124" i="4"/>
  <c r="CM100" i="4"/>
  <c r="CO100" i="4"/>
  <c r="CI100" i="4"/>
  <c r="O1238" i="6"/>
  <c r="BU181" i="4"/>
  <c r="L169" i="7"/>
  <c r="S169" i="7"/>
  <c r="CL116" i="4"/>
  <c r="CC108" i="4"/>
  <c r="O688" i="6"/>
  <c r="D1018" i="6"/>
  <c r="E1018" i="6" s="1"/>
  <c r="A688" i="6"/>
  <c r="S766" i="6"/>
  <c r="AO766" i="6"/>
  <c r="B1096" i="6"/>
  <c r="S674" i="6"/>
  <c r="AO674" i="6"/>
  <c r="B1004" i="6"/>
  <c r="B1334" i="6"/>
  <c r="S1334" i="6"/>
  <c r="O1117" i="6"/>
  <c r="A1117" i="6"/>
  <c r="O773" i="6"/>
  <c r="D1103" i="6"/>
  <c r="E1103" i="6" s="1"/>
  <c r="A773" i="6"/>
  <c r="S691" i="6"/>
  <c r="AO691" i="6"/>
  <c r="B1021" i="6"/>
  <c r="B1351" i="6"/>
  <c r="S1351" i="6"/>
  <c r="S1182" i="6"/>
  <c r="AO1182" i="6"/>
  <c r="S974" i="6"/>
  <c r="AO974" i="6"/>
  <c r="B1304" i="6"/>
  <c r="B1634" i="6"/>
  <c r="S1634" i="6"/>
  <c r="O1223" i="6"/>
  <c r="BS80" i="4"/>
  <c r="O1119" i="6"/>
  <c r="A1119" i="6"/>
  <c r="O856" i="6"/>
  <c r="O867" i="6"/>
  <c r="D1197" i="6"/>
  <c r="O861" i="6"/>
  <c r="D1191" i="6"/>
  <c r="D1521" i="6"/>
  <c r="O1231" i="6"/>
  <c r="S1108" i="6"/>
  <c r="AO1108" i="6"/>
  <c r="S1132" i="6"/>
  <c r="AO1132" i="6"/>
  <c r="S990" i="6"/>
  <c r="AO990" i="6"/>
  <c r="B1320" i="6"/>
  <c r="B1650" i="6"/>
  <c r="S1650" i="6"/>
  <c r="S1320" i="6"/>
  <c r="S958" i="6"/>
  <c r="AO958" i="6"/>
  <c r="B1288" i="6"/>
  <c r="B1618" i="6"/>
  <c r="S1618" i="6"/>
  <c r="S918" i="6"/>
  <c r="AO918" i="6"/>
  <c r="B1248" i="6"/>
  <c r="B1578" i="6"/>
  <c r="S1578" i="6"/>
  <c r="S1248" i="6"/>
  <c r="AO1248" i="6"/>
  <c r="S886" i="6"/>
  <c r="AO886" i="6"/>
  <c r="B1216" i="6"/>
  <c r="B1546" i="6"/>
  <c r="S1546" i="6"/>
  <c r="S1176" i="6"/>
  <c r="AO1176" i="6"/>
  <c r="S806" i="6"/>
  <c r="AO806" i="6"/>
  <c r="B1136" i="6"/>
  <c r="B1466" i="6"/>
  <c r="S1466" i="6"/>
  <c r="S734" i="6"/>
  <c r="B1064" i="6"/>
  <c r="B1394" i="6"/>
  <c r="S1394" i="6"/>
  <c r="S697" i="6"/>
  <c r="AO697" i="6"/>
  <c r="B1027" i="6"/>
  <c r="B1357" i="6"/>
  <c r="S1357" i="6"/>
  <c r="O1009" i="6"/>
  <c r="A1009" i="6"/>
  <c r="S1118" i="6"/>
  <c r="AO1118" i="6"/>
  <c r="B1271" i="6"/>
  <c r="S1169" i="6"/>
  <c r="AO1169" i="6"/>
  <c r="S861" i="6"/>
  <c r="AO861" i="6"/>
  <c r="B1191" i="6"/>
  <c r="B1521" i="6"/>
  <c r="S1521" i="6"/>
  <c r="S1191" i="6"/>
  <c r="AO1191" i="6"/>
  <c r="S665" i="6"/>
  <c r="AO665" i="6"/>
  <c r="B995" i="6"/>
  <c r="B1325" i="6"/>
  <c r="S1325" i="6"/>
  <c r="S995" i="6"/>
  <c r="AO995" i="6" s="1"/>
  <c r="S1229" i="6"/>
  <c r="AO1229" i="6"/>
  <c r="S707" i="6"/>
  <c r="AO707" i="6"/>
  <c r="B1037" i="6"/>
  <c r="B1367" i="6"/>
  <c r="S1367" i="6"/>
  <c r="O1236" i="6"/>
  <c r="S1254" i="6"/>
  <c r="AO1254" i="6"/>
  <c r="S688" i="6"/>
  <c r="AO688" i="6"/>
  <c r="B1018" i="6"/>
  <c r="B1348" i="6"/>
  <c r="S1348" i="6"/>
  <c r="S985" i="6"/>
  <c r="AO985" i="6"/>
  <c r="B1315" i="6"/>
  <c r="B1645" i="6"/>
  <c r="S1645" i="6"/>
  <c r="O1241" i="6"/>
  <c r="S671" i="6"/>
  <c r="AO671" i="6"/>
  <c r="B1001" i="6"/>
  <c r="B1331" i="6"/>
  <c r="S1331" i="6"/>
  <c r="O1091" i="6"/>
  <c r="A1091" i="6"/>
  <c r="O1087" i="6"/>
  <c r="A1087" i="6"/>
  <c r="K42" i="7"/>
  <c r="O1029" i="6"/>
  <c r="A1029" i="6"/>
  <c r="O1144" i="6"/>
  <c r="A1144" i="6"/>
  <c r="S928" i="6"/>
  <c r="AO928" i="6"/>
  <c r="B1258" i="6"/>
  <c r="B1588" i="6"/>
  <c r="S1588" i="6"/>
  <c r="S896" i="6"/>
  <c r="AO896" i="6"/>
  <c r="B1226" i="6"/>
  <c r="B1556" i="6"/>
  <c r="S1556" i="6"/>
  <c r="S864" i="6"/>
  <c r="AO864" i="6"/>
  <c r="B1194" i="6"/>
  <c r="B1524" i="6"/>
  <c r="S1524" i="6"/>
  <c r="S832" i="6"/>
  <c r="AO832" i="6"/>
  <c r="B1162" i="6"/>
  <c r="B1492" i="6"/>
  <c r="S1492" i="6"/>
  <c r="S808" i="6"/>
  <c r="AO808" i="6"/>
  <c r="B1138" i="6"/>
  <c r="O999" i="6"/>
  <c r="A999" i="6"/>
  <c r="CA287" i="4"/>
  <c r="CI183" i="4"/>
  <c r="O702" i="6"/>
  <c r="A702" i="6"/>
  <c r="D1032" i="6"/>
  <c r="E1032" i="6" s="1"/>
  <c r="O1302" i="6"/>
  <c r="O1151" i="6"/>
  <c r="A1151" i="6"/>
  <c r="BS58" i="4"/>
  <c r="J95" i="7"/>
  <c r="AA95" i="7"/>
  <c r="AB95" i="7"/>
  <c r="K95" i="7"/>
  <c r="K8" i="7"/>
  <c r="CI195" i="4"/>
  <c r="BU171" i="4"/>
  <c r="BW171" i="4"/>
  <c r="CI97" i="4"/>
  <c r="CA289" i="4"/>
  <c r="CL193" i="4"/>
  <c r="CO193" i="4"/>
  <c r="CN193" i="4"/>
  <c r="CO153" i="4"/>
  <c r="CN153" i="4"/>
  <c r="CF192" i="4"/>
  <c r="CD192" i="4"/>
  <c r="CC192" i="4"/>
  <c r="CE192" i="4"/>
  <c r="AB133" i="7"/>
  <c r="K133" i="7"/>
  <c r="CG120" i="4"/>
  <c r="CD120" i="4"/>
  <c r="CA265" i="4"/>
  <c r="CG265" i="4"/>
  <c r="BS284" i="4"/>
  <c r="BY284" i="4"/>
  <c r="BU284" i="4"/>
  <c r="BX284" i="4"/>
  <c r="BV284" i="4"/>
  <c r="BW284" i="4"/>
  <c r="BS260" i="4"/>
  <c r="J30" i="7"/>
  <c r="CM196" i="4"/>
  <c r="CL196" i="4"/>
  <c r="CI196" i="4"/>
  <c r="BU132" i="4"/>
  <c r="BW132" i="4"/>
  <c r="BV132" i="4"/>
  <c r="BS132" i="4"/>
  <c r="BX100" i="4"/>
  <c r="O110" i="7"/>
  <c r="S1171" i="6"/>
  <c r="S1194" i="6"/>
  <c r="AO1194" i="6"/>
  <c r="S1056" i="6"/>
  <c r="AO1056" i="6"/>
  <c r="S1272" i="6"/>
  <c r="AO1272" i="6"/>
  <c r="S1298" i="6"/>
  <c r="S1224" i="6"/>
  <c r="AO1224" i="6"/>
  <c r="S1170" i="6"/>
  <c r="AO1170" i="6"/>
  <c r="O1215" i="6"/>
  <c r="O1007" i="6"/>
  <c r="A1007" i="6"/>
  <c r="O1014" i="6"/>
  <c r="A1014" i="6"/>
  <c r="S1189" i="6"/>
  <c r="S1235" i="6"/>
  <c r="AO1235" i="6"/>
  <c r="S1245" i="6"/>
  <c r="AO1245" i="6"/>
  <c r="O1237" i="6"/>
  <c r="O1047" i="6"/>
  <c r="A1047" i="6"/>
  <c r="O1022" i="6"/>
  <c r="A1022" i="6"/>
  <c r="S1136" i="6"/>
  <c r="O1103" i="6"/>
  <c r="A1103" i="6"/>
  <c r="S1311" i="6"/>
  <c r="AO1311" i="6"/>
  <c r="O1299" i="6"/>
  <c r="S1285" i="6"/>
  <c r="S997" i="6"/>
  <c r="AO997" i="6"/>
  <c r="S1120" i="6"/>
  <c r="AO1120" i="6"/>
  <c r="O1283" i="6"/>
  <c r="O1306" i="6"/>
  <c r="S1314" i="6"/>
  <c r="AO1314" i="6"/>
  <c r="S1130" i="6"/>
  <c r="AO1130" i="6"/>
  <c r="S1074" i="6"/>
  <c r="AO1074" i="6"/>
  <c r="S1243" i="6"/>
  <c r="AO1243" i="6"/>
  <c r="S1001" i="6"/>
  <c r="O1107" i="6"/>
  <c r="A1107" i="6"/>
  <c r="S1279" i="6"/>
  <c r="AO1279" i="6"/>
  <c r="S996" i="6"/>
  <c r="AO996" i="6"/>
  <c r="S1160" i="6"/>
  <c r="S1202" i="6"/>
  <c r="AO1202" i="6"/>
  <c r="O1261" i="6"/>
  <c r="O1301" i="6"/>
  <c r="S1159" i="6"/>
  <c r="AO1159" i="6"/>
  <c r="S1125" i="6"/>
  <c r="AO1125" i="6"/>
  <c r="S1226" i="6"/>
  <c r="AO1226" i="6"/>
  <c r="S1027" i="6"/>
  <c r="O1197" i="6"/>
  <c r="S1004" i="6"/>
  <c r="S1293" i="6"/>
  <c r="AO1293" i="6"/>
  <c r="S1207" i="6"/>
  <c r="AO1207" i="6"/>
  <c r="O1195" i="6"/>
  <c r="S1296" i="6"/>
  <c r="AO1296" i="6"/>
  <c r="O1323" i="6"/>
  <c r="S1232" i="6"/>
  <c r="AO1232" i="6"/>
  <c r="O1099" i="6"/>
  <c r="A1099" i="6"/>
  <c r="S1269" i="6"/>
  <c r="AO1269" i="6"/>
  <c r="O1260" i="6"/>
  <c r="O1006" i="6"/>
  <c r="S1122" i="6"/>
  <c r="S1104" i="6"/>
  <c r="AO1104" i="6"/>
  <c r="S1043" i="6"/>
  <c r="AO1043" i="6"/>
  <c r="O1303" i="6"/>
  <c r="S1037" i="6"/>
  <c r="AO1037" i="6"/>
  <c r="O1018" i="6"/>
  <c r="A1018" i="6"/>
  <c r="S1106" i="6"/>
  <c r="AO1106" i="6"/>
  <c r="S1288" i="6"/>
  <c r="AO1288" i="6"/>
  <c r="S1163" i="6"/>
  <c r="O1102" i="6"/>
  <c r="A1102" i="6"/>
  <c r="S1050" i="6"/>
  <c r="AO1050" i="6"/>
  <c r="S1095" i="6"/>
  <c r="AO1095" i="6"/>
  <c r="S1317" i="6"/>
  <c r="S1131" i="6"/>
  <c r="AO1131" i="6"/>
  <c r="S1267" i="6"/>
  <c r="AO1267" i="6"/>
  <c r="S1173" i="6"/>
  <c r="AO1173" i="6"/>
  <c r="O1179" i="6"/>
  <c r="S1024" i="6"/>
  <c r="AO1024" i="6"/>
  <c r="S1240" i="6"/>
  <c r="AO1240" i="6"/>
  <c r="S1066" i="6"/>
  <c r="AO1066" i="6"/>
  <c r="S1282" i="6"/>
  <c r="AO1282" i="6"/>
  <c r="S1133" i="6"/>
  <c r="AO1133" i="6"/>
  <c r="S1178" i="6"/>
  <c r="AO1178" i="6"/>
  <c r="O1092" i="6"/>
  <c r="A1092" i="6"/>
  <c r="O1219" i="6"/>
  <c r="S1147" i="6"/>
  <c r="AO1147" i="6"/>
  <c r="S1315" i="6"/>
  <c r="AO1315" i="6"/>
  <c r="O1278" i="6"/>
  <c r="S1083" i="6"/>
  <c r="AO1083" i="6"/>
  <c r="S1319" i="6"/>
  <c r="S1203" i="6"/>
  <c r="AO1203" i="6"/>
  <c r="O1183" i="6"/>
  <c r="O1036" i="6"/>
  <c r="A1036" i="6"/>
  <c r="O1086" i="6"/>
  <c r="A1086" i="6"/>
  <c r="S1015" i="6"/>
  <c r="AO1015" i="6"/>
  <c r="O1080" i="6"/>
  <c r="A1080" i="6"/>
  <c r="O1032" i="6"/>
  <c r="A1032" i="6"/>
  <c r="S1021" i="6"/>
  <c r="AO1021" i="6"/>
  <c r="S1098" i="6"/>
  <c r="AO1098" i="6"/>
  <c r="O1048" i="6"/>
  <c r="A1048" i="6"/>
  <c r="O1097" i="6"/>
  <c r="A1097" i="6"/>
  <c r="S1322" i="6"/>
  <c r="AO1322" i="6"/>
  <c r="S1067" i="6"/>
  <c r="AO1067" i="6"/>
  <c r="S1055" i="6"/>
  <c r="AO1055" i="6"/>
  <c r="O1129" i="6"/>
  <c r="A1129" i="6"/>
  <c r="S1192" i="6"/>
  <c r="AO1192" i="6"/>
  <c r="S1208" i="6"/>
  <c r="AO1208" i="6"/>
  <c r="O1038" i="6"/>
  <c r="A1038" i="6"/>
  <c r="S1008" i="6"/>
  <c r="S1146" i="6"/>
  <c r="AO1146" i="6"/>
  <c r="S1079" i="6"/>
  <c r="AO1079" i="6"/>
  <c r="S1287" i="6"/>
  <c r="AO1287" i="6"/>
  <c r="O1227" i="6"/>
  <c r="S1181" i="6"/>
  <c r="AO1181" i="6"/>
  <c r="S1023" i="6"/>
  <c r="AO1023" i="6"/>
  <c r="O1247" i="6"/>
  <c r="S1258" i="6"/>
  <c r="AO1258" i="6"/>
  <c r="S1216" i="6"/>
  <c r="AO1216" i="6"/>
  <c r="O1191" i="6"/>
  <c r="O1205" i="6"/>
  <c r="S1114" i="6"/>
  <c r="AO1114" i="6"/>
  <c r="S1242" i="6"/>
  <c r="AO1242" i="6"/>
  <c r="S1093" i="6"/>
  <c r="AO1093" i="6"/>
  <c r="S1058" i="6"/>
  <c r="AO1058" i="6"/>
  <c r="O1218" i="6"/>
  <c r="O1143" i="6"/>
  <c r="A1143" i="6"/>
  <c r="K101" i="7"/>
  <c r="CD17" i="4"/>
  <c r="CC17" i="4"/>
  <c r="CE17" i="4"/>
  <c r="CF17" i="4"/>
  <c r="CG17" i="4"/>
  <c r="BS129" i="4"/>
  <c r="BW129" i="4"/>
  <c r="BU129" i="4"/>
  <c r="CL225" i="4"/>
  <c r="CI225" i="4"/>
  <c r="CK252" i="4"/>
  <c r="CG26" i="4"/>
  <c r="CC252" i="4"/>
  <c r="K6" i="7"/>
  <c r="CL236" i="4"/>
  <c r="BX129" i="4"/>
  <c r="K149" i="7"/>
  <c r="CI140" i="4"/>
  <c r="CM34" i="4"/>
  <c r="CC244" i="4"/>
  <c r="BX131" i="4"/>
  <c r="BY131" i="4"/>
  <c r="CF84" i="4"/>
  <c r="CG84" i="4"/>
  <c r="CC84" i="4"/>
  <c r="CD84" i="4"/>
  <c r="CE276" i="4"/>
  <c r="CC276" i="4"/>
  <c r="CD276" i="4"/>
  <c r="BV276" i="4"/>
  <c r="BW276" i="4"/>
  <c r="BS276" i="4"/>
  <c r="BW236" i="4"/>
  <c r="N9" i="7"/>
  <c r="CO236" i="4"/>
  <c r="CL228" i="4"/>
  <c r="CA228" i="4"/>
  <c r="CE228" i="4"/>
  <c r="CO275" i="4"/>
  <c r="BX275" i="4"/>
  <c r="CM275" i="4"/>
  <c r="CK275" i="4"/>
  <c r="CE91" i="4"/>
  <c r="CC91" i="4"/>
  <c r="CG91" i="4"/>
  <c r="CN91" i="4"/>
  <c r="CF129" i="4"/>
  <c r="CE129" i="4"/>
  <c r="CC129" i="4"/>
  <c r="CM197" i="4"/>
  <c r="CG197" i="4"/>
  <c r="CL197" i="4"/>
  <c r="CC197" i="4"/>
  <c r="BY153" i="4"/>
  <c r="P134" i="7"/>
  <c r="CL123" i="4"/>
  <c r="CN123" i="4"/>
  <c r="CO123" i="4"/>
  <c r="CF131" i="4"/>
  <c r="CA131" i="4"/>
  <c r="BX91" i="4"/>
  <c r="BV91" i="4"/>
  <c r="BW91" i="4"/>
  <c r="CE66" i="4"/>
  <c r="CD66" i="4"/>
  <c r="CG66" i="4"/>
  <c r="CF66" i="4"/>
  <c r="BY129" i="4"/>
  <c r="BU197" i="4"/>
  <c r="L147" i="7"/>
  <c r="CI20" i="4"/>
  <c r="BU91" i="4"/>
  <c r="CM193" i="4"/>
  <c r="CI193" i="4"/>
  <c r="CK193" i="4"/>
  <c r="CI153" i="4"/>
  <c r="CL153" i="4"/>
  <c r="CM153" i="4"/>
  <c r="CK153" i="4"/>
  <c r="CI188" i="4"/>
  <c r="CM188" i="4"/>
  <c r="CN188" i="4"/>
  <c r="CO188" i="4"/>
  <c r="CN164" i="4"/>
  <c r="BU164" i="4"/>
  <c r="K137" i="7"/>
  <c r="BS156" i="4"/>
  <c r="J137" i="7"/>
  <c r="AA137" i="7"/>
  <c r="AB137" i="7"/>
  <c r="BS100" i="4"/>
  <c r="J110" i="7"/>
  <c r="AA110" i="7"/>
  <c r="AB110" i="7"/>
  <c r="K110" i="7"/>
  <c r="CO46" i="4"/>
  <c r="CN94" i="4"/>
  <c r="CG94" i="4"/>
  <c r="CC94" i="4"/>
  <c r="AV79" i="4"/>
  <c r="BE79" i="4"/>
  <c r="AY79" i="4"/>
  <c r="BK79" i="4"/>
  <c r="BI79" i="4"/>
  <c r="BM79" i="4"/>
  <c r="AF79" i="4"/>
  <c r="BF79" i="4"/>
  <c r="BB79" i="4"/>
  <c r="BD79" i="4"/>
  <c r="AT79" i="4"/>
  <c r="BN79" i="4"/>
  <c r="AX79" i="4"/>
  <c r="BL79" i="4"/>
  <c r="BA79" i="4"/>
  <c r="BH79" i="4"/>
  <c r="AA79" i="4"/>
  <c r="AZ79" i="4"/>
  <c r="AC79" i="4"/>
  <c r="AK79" i="4"/>
  <c r="AE79" i="4"/>
  <c r="AJ79" i="4"/>
  <c r="BJ79" i="4"/>
  <c r="BT79" i="4"/>
  <c r="AB79" i="4"/>
  <c r="CB79" i="4"/>
  <c r="AW79" i="4"/>
  <c r="AD79" i="4"/>
  <c r="Z79" i="4"/>
  <c r="BC79" i="4"/>
  <c r="AU79" i="4"/>
  <c r="AG79" i="4"/>
  <c r="AH79" i="4"/>
  <c r="AI79" i="4"/>
  <c r="BV166" i="4"/>
  <c r="BS166" i="4"/>
  <c r="BS26" i="4"/>
  <c r="J63" i="7"/>
  <c r="AA63" i="7"/>
  <c r="AB63" i="7"/>
  <c r="CD26" i="4"/>
  <c r="CF26" i="4"/>
  <c r="CD90" i="4"/>
  <c r="CO90" i="4"/>
  <c r="CO211" i="4"/>
  <c r="CL211" i="4"/>
  <c r="CK187" i="4"/>
  <c r="CN187" i="4"/>
  <c r="BV187" i="4"/>
  <c r="M175" i="7"/>
  <c r="CO187" i="4"/>
  <c r="CD187" i="4"/>
  <c r="CL187" i="4"/>
  <c r="CC187" i="4"/>
  <c r="CG187" i="4"/>
  <c r="CD19" i="4"/>
  <c r="CC19" i="4"/>
  <c r="CF19" i="4"/>
  <c r="CG19" i="4"/>
  <c r="CE19" i="4"/>
  <c r="CE211" i="4"/>
  <c r="BS96" i="4"/>
  <c r="CK34" i="4"/>
  <c r="CN34" i="4"/>
  <c r="CL34" i="4"/>
  <c r="K85" i="7"/>
  <c r="BV129" i="4"/>
  <c r="CI260" i="4"/>
  <c r="CE236" i="4"/>
  <c r="CC236" i="4"/>
  <c r="CL140" i="4"/>
  <c r="CN140" i="4"/>
  <c r="CK140" i="4"/>
  <c r="CD252" i="4"/>
  <c r="CG129" i="4"/>
  <c r="CM228" i="4"/>
  <c r="CF187" i="4"/>
  <c r="CI34" i="4"/>
  <c r="CG131" i="4"/>
  <c r="K29" i="7"/>
  <c r="BS259" i="4"/>
  <c r="J29" i="7"/>
  <c r="BV259" i="4"/>
  <c r="M29" i="7"/>
  <c r="BW259" i="4"/>
  <c r="N29" i="7"/>
  <c r="BY259" i="4"/>
  <c r="P29" i="7"/>
  <c r="CD211" i="4"/>
  <c r="CF211" i="4"/>
  <c r="BX76" i="4"/>
  <c r="BW76" i="4"/>
  <c r="CD193" i="4"/>
  <c r="CA193" i="4"/>
  <c r="K134" i="7"/>
  <c r="BS153" i="4"/>
  <c r="J134" i="7"/>
  <c r="AA134" i="7"/>
  <c r="AB134" i="7"/>
  <c r="BU153" i="4"/>
  <c r="L134" i="7"/>
  <c r="BX153" i="4"/>
  <c r="O134" i="7"/>
  <c r="BV153" i="4"/>
  <c r="M134" i="7"/>
  <c r="K103" i="7"/>
  <c r="CO50" i="4"/>
  <c r="CG192" i="4"/>
  <c r="CA192" i="4"/>
  <c r="CE120" i="4"/>
  <c r="CF120" i="4"/>
  <c r="CC120" i="4"/>
  <c r="CA120" i="4"/>
  <c r="CA260" i="4"/>
  <c r="CE252" i="4"/>
  <c r="BS228" i="4"/>
  <c r="J162" i="7"/>
  <c r="AA162" i="7"/>
  <c r="AB162" i="7"/>
  <c r="BY228" i="4"/>
  <c r="P162" i="7"/>
  <c r="BU228" i="4"/>
  <c r="L162" i="7"/>
  <c r="S162" i="7"/>
  <c r="BV228" i="4"/>
  <c r="M162" i="7"/>
  <c r="CC172" i="4"/>
  <c r="CE92" i="4"/>
  <c r="CC92" i="4"/>
  <c r="CL90" i="4"/>
  <c r="CC66" i="4"/>
  <c r="CI46" i="4"/>
  <c r="CE71" i="4"/>
  <c r="CD71" i="4"/>
  <c r="CG71" i="4"/>
  <c r="CF71" i="4"/>
  <c r="CC71" i="4"/>
  <c r="BY59" i="4"/>
  <c r="P96" i="7"/>
  <c r="BV59" i="4"/>
  <c r="M96" i="7"/>
  <c r="CA281" i="4"/>
  <c r="CA98" i="4"/>
  <c r="CC98" i="4"/>
  <c r="CF98" i="4"/>
  <c r="CD98" i="4"/>
  <c r="BJ44" i="4"/>
  <c r="BH44" i="4"/>
  <c r="Z44" i="4"/>
  <c r="AI44" i="4"/>
  <c r="AU44" i="4"/>
  <c r="BB44" i="4"/>
  <c r="BF44" i="4"/>
  <c r="BM44" i="4"/>
  <c r="BD44" i="4"/>
  <c r="AC44" i="4"/>
  <c r="BE44" i="4"/>
  <c r="AV44" i="4"/>
  <c r="BI44" i="4"/>
  <c r="AD44" i="4"/>
  <c r="AY44" i="4"/>
  <c r="AH44" i="4"/>
  <c r="AE44" i="4"/>
  <c r="BA44" i="4"/>
  <c r="AK44" i="4"/>
  <c r="AX44" i="4"/>
  <c r="AG44" i="4"/>
  <c r="AZ44" i="4"/>
  <c r="BC44" i="4"/>
  <c r="AW44" i="4"/>
  <c r="CB44" i="4"/>
  <c r="BN44" i="4"/>
  <c r="AJ44" i="4"/>
  <c r="BT44" i="4"/>
  <c r="BG44" i="4"/>
  <c r="BT56" i="4"/>
  <c r="K93" i="7"/>
  <c r="CB56" i="4"/>
  <c r="BA56" i="4"/>
  <c r="AZ56" i="4"/>
  <c r="BI56" i="4"/>
  <c r="BC56" i="4"/>
  <c r="BD56" i="4"/>
  <c r="BE56" i="4"/>
  <c r="BK56" i="4"/>
  <c r="AK56" i="4"/>
  <c r="AH56" i="4"/>
  <c r="AV56" i="4"/>
  <c r="AJ56" i="4"/>
  <c r="AC56" i="4"/>
  <c r="AI56" i="4"/>
  <c r="AB56" i="4"/>
  <c r="Z56" i="4"/>
  <c r="BJ56" i="4"/>
  <c r="AG56" i="4"/>
  <c r="AA56" i="4"/>
  <c r="AX56" i="4"/>
  <c r="AD56" i="4"/>
  <c r="AE56" i="4"/>
  <c r="AF56" i="4"/>
  <c r="CJ56" i="4"/>
  <c r="K156" i="7"/>
  <c r="CG138" i="4"/>
  <c r="CF138" i="4"/>
  <c r="CE138" i="4"/>
  <c r="CA184" i="4"/>
  <c r="CN196" i="4"/>
  <c r="CK196" i="4"/>
  <c r="CO196" i="4"/>
  <c r="CI123" i="4"/>
  <c r="K97" i="7"/>
  <c r="BV60" i="4"/>
  <c r="M97" i="7"/>
  <c r="BU60" i="4"/>
  <c r="L97" i="7"/>
  <c r="S97" i="7"/>
  <c r="CO276" i="4"/>
  <c r="CN276" i="4"/>
  <c r="CI276" i="4"/>
  <c r="CO124" i="4"/>
  <c r="CN124" i="4"/>
  <c r="CI124" i="4"/>
  <c r="CK124" i="4"/>
  <c r="CL46" i="4"/>
  <c r="BW228" i="4"/>
  <c r="N162" i="7"/>
  <c r="CF236" i="4"/>
  <c r="CD129" i="4"/>
  <c r="BU66" i="4"/>
  <c r="L103" i="7"/>
  <c r="S103" i="7"/>
  <c r="CK276" i="4"/>
  <c r="CE187" i="4"/>
  <c r="BW211" i="4"/>
  <c r="BX60" i="4"/>
  <c r="O97" i="7"/>
  <c r="CD131" i="4"/>
  <c r="BS196" i="4"/>
  <c r="J146" i="7"/>
  <c r="AA146" i="7"/>
  <c r="AB146" i="7"/>
  <c r="CA80" i="4"/>
  <c r="CA93" i="4"/>
  <c r="CF243" i="4"/>
  <c r="CD243" i="4"/>
  <c r="CC243" i="4"/>
  <c r="BV211" i="4"/>
  <c r="BU211" i="4"/>
  <c r="BX211" i="4"/>
  <c r="CG179" i="4"/>
  <c r="CC179" i="4"/>
  <c r="CA76" i="4"/>
  <c r="CG76" i="4"/>
  <c r="CC76" i="4"/>
  <c r="K172" i="7"/>
  <c r="CE265" i="4"/>
  <c r="CD265" i="4"/>
  <c r="K30" i="7"/>
  <c r="CI252" i="4"/>
  <c r="CM252" i="4"/>
  <c r="CI212" i="4"/>
  <c r="CL212" i="4"/>
  <c r="CN197" i="4"/>
  <c r="BX46" i="4"/>
  <c r="O83" i="7"/>
  <c r="BV46" i="4"/>
  <c r="M83" i="7"/>
  <c r="BY46" i="4"/>
  <c r="P83" i="7"/>
  <c r="BX244" i="4"/>
  <c r="O15" i="7"/>
  <c r="CC60" i="4"/>
  <c r="CE60" i="4"/>
  <c r="CN60" i="4"/>
  <c r="CG60" i="4"/>
  <c r="BM56" i="4"/>
  <c r="BC64" i="4"/>
  <c r="BS203" i="4"/>
  <c r="BW275" i="4"/>
  <c r="CI217" i="4"/>
  <c r="CG244" i="4"/>
  <c r="BY172" i="4"/>
  <c r="CE164" i="4"/>
  <c r="AI64" i="4"/>
  <c r="CA213" i="4"/>
  <c r="CF213" i="4"/>
  <c r="CI283" i="4"/>
  <c r="BA64" i="4"/>
  <c r="AV64" i="4"/>
  <c r="AF64" i="4"/>
  <c r="BB64" i="4"/>
  <c r="BJ64" i="4"/>
  <c r="BG64" i="4"/>
  <c r="BL64" i="4"/>
  <c r="AT64" i="4"/>
  <c r="AX64" i="4"/>
  <c r="AW64" i="4"/>
  <c r="BM64" i="4"/>
  <c r="AZ64" i="4"/>
  <c r="AC64" i="4"/>
  <c r="BD64" i="4"/>
  <c r="Z64" i="4"/>
  <c r="AJ64" i="4"/>
  <c r="CJ64" i="4"/>
  <c r="AY64" i="4"/>
  <c r="BE64" i="4"/>
  <c r="BN64" i="4"/>
  <c r="AA64" i="4"/>
  <c r="AH64" i="4"/>
  <c r="BI64" i="4"/>
  <c r="AE64" i="4"/>
  <c r="BH64" i="4"/>
  <c r="AK64" i="4"/>
  <c r="CB64" i="4"/>
  <c r="BW92" i="4"/>
  <c r="BW270" i="4"/>
  <c r="N40" i="7"/>
  <c r="BX270" i="4"/>
  <c r="O40" i="7"/>
  <c r="CO214" i="4"/>
  <c r="CD214" i="4"/>
  <c r="BW59" i="4"/>
  <c r="N96" i="7"/>
  <c r="BT30" i="4"/>
  <c r="CJ30" i="4"/>
  <c r="BA30" i="4"/>
  <c r="BM30" i="4"/>
  <c r="BE30" i="4"/>
  <c r="AU30" i="4"/>
  <c r="BL30" i="4"/>
  <c r="AJ30" i="4"/>
  <c r="BD30" i="4"/>
  <c r="BF30" i="4"/>
  <c r="BB30" i="4"/>
  <c r="AW30" i="4"/>
  <c r="BN30" i="4"/>
  <c r="Z30" i="4"/>
  <c r="BI30" i="4"/>
  <c r="AY30" i="4"/>
  <c r="AX30" i="4"/>
  <c r="AE30" i="4"/>
  <c r="AI30" i="4"/>
  <c r="BH30" i="4"/>
  <c r="AT30" i="4"/>
  <c r="AC30" i="4"/>
  <c r="AH30" i="4"/>
  <c r="BJ30" i="4"/>
  <c r="BT37" i="4"/>
  <c r="CB37" i="4"/>
  <c r="AW37" i="4"/>
  <c r="BJ37" i="4"/>
  <c r="BF37" i="4"/>
  <c r="BM37" i="4"/>
  <c r="BG37" i="4"/>
  <c r="AY37" i="4"/>
  <c r="BE37" i="4"/>
  <c r="AI37" i="4"/>
  <c r="Z37" i="4"/>
  <c r="AT37" i="4"/>
  <c r="AC37" i="4"/>
  <c r="AJ37" i="4"/>
  <c r="BN37" i="4"/>
  <c r="BL37" i="4"/>
  <c r="AU37" i="4"/>
  <c r="AD37" i="4"/>
  <c r="BD37" i="4"/>
  <c r="AK37" i="4"/>
  <c r="AZ37" i="4"/>
  <c r="AV37" i="4"/>
  <c r="CJ72" i="4"/>
  <c r="CI72" i="4"/>
  <c r="CC147" i="4"/>
  <c r="BY100" i="4"/>
  <c r="P110" i="7"/>
  <c r="BY244" i="4"/>
  <c r="P15" i="7"/>
  <c r="AB64" i="4"/>
  <c r="BX230" i="4"/>
  <c r="O5" i="7"/>
  <c r="BV230" i="4"/>
  <c r="M5" i="7"/>
  <c r="CF230" i="4"/>
  <c r="CK41" i="4"/>
  <c r="CM269" i="4"/>
  <c r="CG237" i="4"/>
  <c r="CD197" i="4"/>
  <c r="CF197" i="4"/>
  <c r="CK197" i="4"/>
  <c r="BK64" i="4"/>
  <c r="BW64" i="4"/>
  <c r="N101" i="7"/>
  <c r="BK169" i="4"/>
  <c r="BJ169" i="4"/>
  <c r="AF169" i="4"/>
  <c r="AU169" i="4"/>
  <c r="Z169" i="4"/>
  <c r="AE169" i="4"/>
  <c r="AK169" i="4"/>
  <c r="AI169" i="4"/>
  <c r="AG169" i="4"/>
  <c r="AB169" i="4"/>
  <c r="BT176" i="4"/>
  <c r="CJ176" i="4"/>
  <c r="AY176" i="4"/>
  <c r="BE176" i="4"/>
  <c r="AX176" i="4"/>
  <c r="BJ176" i="4"/>
  <c r="BF176" i="4"/>
  <c r="BM176" i="4"/>
  <c r="BK176" i="4"/>
  <c r="BL176" i="4"/>
  <c r="BC176" i="4"/>
  <c r="AZ176" i="4"/>
  <c r="BH176" i="4"/>
  <c r="AW176" i="4"/>
  <c r="AF176" i="4"/>
  <c r="AJ176" i="4"/>
  <c r="AI176" i="4"/>
  <c r="AA176" i="4"/>
  <c r="BG176" i="4"/>
  <c r="AG176" i="4"/>
  <c r="AH176" i="4"/>
  <c r="BB176" i="4"/>
  <c r="AK176" i="4"/>
  <c r="AE176" i="4"/>
  <c r="BI176" i="4"/>
  <c r="BD176" i="4"/>
  <c r="AC176" i="4"/>
  <c r="AY189" i="4"/>
  <c r="BI189" i="4"/>
  <c r="BG189" i="4"/>
  <c r="BB189" i="4"/>
  <c r="BL189" i="4"/>
  <c r="Z189" i="4"/>
  <c r="AJ189" i="4"/>
  <c r="AG189" i="4"/>
  <c r="AD189" i="4"/>
  <c r="AB189" i="4"/>
  <c r="BE189" i="4"/>
  <c r="BF196" i="4"/>
  <c r="BE196" i="4"/>
  <c r="BG196" i="4"/>
  <c r="AJ196" i="4"/>
  <c r="AC196" i="4"/>
  <c r="AX196" i="4"/>
  <c r="BW196" i="4" s="1"/>
  <c r="N146" i="7" s="1"/>
  <c r="BC196" i="4"/>
  <c r="BL196" i="4"/>
  <c r="BJ196" i="4"/>
  <c r="AY196" i="4"/>
  <c r="AD196" i="4"/>
  <c r="AA196" i="4"/>
  <c r="AG196" i="4"/>
  <c r="CJ203" i="4"/>
  <c r="AY203" i="4"/>
  <c r="BA203" i="4"/>
  <c r="BB203" i="4"/>
  <c r="BN203" i="4"/>
  <c r="BI203" i="4"/>
  <c r="BE203" i="4"/>
  <c r="AW203" i="4"/>
  <c r="AK203" i="4"/>
  <c r="AV203" i="4"/>
  <c r="BF203" i="4"/>
  <c r="AF203" i="4"/>
  <c r="BC203" i="4"/>
  <c r="AU203" i="4"/>
  <c r="AH203" i="4"/>
  <c r="AT203" i="4"/>
  <c r="BH203" i="4"/>
  <c r="BX203" i="4" s="1"/>
  <c r="BV203" i="4"/>
  <c r="Z203" i="4"/>
  <c r="AX203" i="4"/>
  <c r="AC203" i="4"/>
  <c r="BL203" i="4"/>
  <c r="AA203" i="4"/>
  <c r="AB203" i="4"/>
  <c r="BD203" i="4"/>
  <c r="AI203" i="4"/>
  <c r="BT216" i="4"/>
  <c r="BJ216" i="4"/>
  <c r="BC216" i="4"/>
  <c r="BH216" i="4"/>
  <c r="AT216" i="4"/>
  <c r="BN216" i="4"/>
  <c r="BG216" i="4"/>
  <c r="AV216" i="4"/>
  <c r="BI216" i="4"/>
  <c r="BF216" i="4"/>
  <c r="BD216" i="4"/>
  <c r="AU216" i="4"/>
  <c r="AF216" i="4"/>
  <c r="AE216" i="4"/>
  <c r="AB216" i="4"/>
  <c r="AD216" i="4"/>
  <c r="BE216" i="4"/>
  <c r="BA216" i="4"/>
  <c r="Z216" i="4"/>
  <c r="AI216" i="4"/>
  <c r="AA216" i="4"/>
  <c r="BK216" i="4"/>
  <c r="AJ216" i="4"/>
  <c r="CB216" i="4"/>
  <c r="AY216" i="4"/>
  <c r="AC216" i="4"/>
  <c r="AG216" i="4"/>
  <c r="BD224" i="4"/>
  <c r="BG224" i="4"/>
  <c r="BB224" i="4"/>
  <c r="AU224" i="4"/>
  <c r="AT224" i="4"/>
  <c r="AY224" i="4"/>
  <c r="BH224" i="4"/>
  <c r="AD224" i="4"/>
  <c r="AV224" i="4"/>
  <c r="BC224" i="4"/>
  <c r="BM224" i="4"/>
  <c r="AG224" i="4"/>
  <c r="BJ224" i="4"/>
  <c r="AF224" i="4"/>
  <c r="AK224" i="4"/>
  <c r="Z224" i="4"/>
  <c r="BN224" i="4"/>
  <c r="AA224" i="4"/>
  <c r="BE224" i="4"/>
  <c r="AJ224" i="4"/>
  <c r="BJ232" i="4"/>
  <c r="CJ232" i="4"/>
  <c r="AX232" i="4"/>
  <c r="AY232" i="4"/>
  <c r="BF232" i="4"/>
  <c r="BE232" i="4"/>
  <c r="BG232" i="4"/>
  <c r="BL232" i="4"/>
  <c r="BH232" i="4"/>
  <c r="BD232" i="4"/>
  <c r="BI232" i="4"/>
  <c r="AA232" i="4"/>
  <c r="AG232" i="4"/>
  <c r="BN232" i="4"/>
  <c r="AE232" i="4"/>
  <c r="Z232" i="4"/>
  <c r="AC232" i="4"/>
  <c r="AU232" i="4"/>
  <c r="AH232" i="4"/>
  <c r="CF223" i="4"/>
  <c r="CI187" i="4"/>
  <c r="CM187" i="4"/>
  <c r="BX269" i="4"/>
  <c r="O39" i="7"/>
  <c r="CC269" i="4"/>
  <c r="BY269" i="4"/>
  <c r="P39" i="7"/>
  <c r="CL269" i="4"/>
  <c r="CG269" i="4"/>
  <c r="CO269" i="4"/>
  <c r="CC21" i="4"/>
  <c r="CK88" i="4"/>
  <c r="CK137" i="4"/>
  <c r="BL239" i="4"/>
  <c r="AV239" i="4"/>
  <c r="BG239" i="4"/>
  <c r="BE239" i="4"/>
  <c r="CB239" i="4"/>
  <c r="AW239" i="4"/>
  <c r="AU239" i="4"/>
  <c r="BN239" i="4"/>
  <c r="BA239" i="4"/>
  <c r="BJ239" i="4"/>
  <c r="BT239" i="4"/>
  <c r="AZ239" i="4"/>
  <c r="BD239" i="4"/>
  <c r="BF239" i="4"/>
  <c r="AY239" i="4"/>
  <c r="AX239" i="4"/>
  <c r="Z239" i="4"/>
  <c r="AH239" i="4"/>
  <c r="BC239" i="4"/>
  <c r="AG239" i="4"/>
  <c r="BK239" i="4"/>
  <c r="CN15" i="4"/>
  <c r="CE15" i="4"/>
  <c r="CF214" i="4"/>
  <c r="CJ142" i="4"/>
  <c r="CB142" i="4"/>
  <c r="BH142" i="4"/>
  <c r="BJ142" i="4"/>
  <c r="BE142" i="4"/>
  <c r="AT142" i="4"/>
  <c r="AW142" i="4"/>
  <c r="BI142" i="4"/>
  <c r="AE142" i="4"/>
  <c r="AC142" i="4"/>
  <c r="AZ142" i="4"/>
  <c r="AV142" i="4"/>
  <c r="AX142" i="4"/>
  <c r="BG142" i="4"/>
  <c r="AD142" i="4"/>
  <c r="BM142" i="4"/>
  <c r="BD142" i="4"/>
  <c r="BF148" i="4"/>
  <c r="AA148" i="4"/>
  <c r="BJ148" i="4"/>
  <c r="BI148" i="4"/>
  <c r="AC148" i="4"/>
  <c r="AZ148" i="4"/>
  <c r="AV148" i="4"/>
  <c r="BC148" i="4"/>
  <c r="AY148" i="4"/>
  <c r="BB148" i="4"/>
  <c r="CB156" i="4"/>
  <c r="BE156" i="4"/>
  <c r="BN156" i="4"/>
  <c r="AV156" i="4"/>
  <c r="BK156" i="4"/>
  <c r="BV156" i="4" s="1"/>
  <c r="M137" i="7" s="1"/>
  <c r="BB156" i="4"/>
  <c r="AB156" i="4"/>
  <c r="AH156" i="4"/>
  <c r="CJ156" i="4"/>
  <c r="AI156" i="4"/>
  <c r="AW156" i="4"/>
  <c r="AJ156" i="4"/>
  <c r="AU163" i="4"/>
  <c r="AT163" i="4"/>
  <c r="BE163" i="4"/>
  <c r="Z163" i="4"/>
  <c r="BB163" i="4"/>
  <c r="BK163" i="4"/>
  <c r="AD163" i="4"/>
  <c r="AB163" i="4"/>
  <c r="BB170" i="4"/>
  <c r="AU170" i="4"/>
  <c r="BM170" i="4"/>
  <c r="BF170" i="4"/>
  <c r="BA170" i="4"/>
  <c r="BT170" i="4"/>
  <c r="CB170" i="4"/>
  <c r="AV170" i="4"/>
  <c r="BC170" i="4"/>
  <c r="BI170" i="4"/>
  <c r="CJ170" i="4"/>
  <c r="AW170" i="4"/>
  <c r="BL170" i="4"/>
  <c r="BH170" i="4"/>
  <c r="AZ170" i="4"/>
  <c r="BD170" i="4"/>
  <c r="Z170" i="4"/>
  <c r="AY170" i="4"/>
  <c r="BK170" i="4"/>
  <c r="AT170" i="4"/>
  <c r="AC170" i="4"/>
  <c r="AK170" i="4"/>
  <c r="AA170" i="4"/>
  <c r="AE170" i="4"/>
  <c r="BG170" i="4"/>
  <c r="BJ177" i="4"/>
  <c r="BH177" i="4"/>
  <c r="BI177" i="4"/>
  <c r="CB177" i="4"/>
  <c r="BG177" i="4"/>
  <c r="BL177" i="4"/>
  <c r="AF177" i="4"/>
  <c r="AE177" i="4"/>
  <c r="AX177" i="4"/>
  <c r="AY177" i="4"/>
  <c r="AD177" i="4"/>
  <c r="BK177" i="4"/>
  <c r="AU177" i="4"/>
  <c r="AT177" i="4"/>
  <c r="BM177" i="4"/>
  <c r="AG177" i="4"/>
  <c r="BA177" i="4"/>
  <c r="BE177" i="4"/>
  <c r="BN177" i="4"/>
  <c r="AV183" i="4"/>
  <c r="BH183" i="4"/>
  <c r="BL183" i="4"/>
  <c r="AX183" i="4"/>
  <c r="CB183" i="4"/>
  <c r="BC183" i="4"/>
  <c r="AT183" i="4"/>
  <c r="BF183" i="4"/>
  <c r="BN183" i="4"/>
  <c r="BB183" i="4"/>
  <c r="BK183" i="4"/>
  <c r="BM183" i="4"/>
  <c r="BE183" i="4"/>
  <c r="AY183" i="4"/>
  <c r="BI183" i="4"/>
  <c r="BJ183" i="4"/>
  <c r="AG183" i="4"/>
  <c r="AD183" i="4"/>
  <c r="AZ183" i="4"/>
  <c r="AC183" i="4"/>
  <c r="AA183" i="4"/>
  <c r="BD183" i="4"/>
  <c r="AK183" i="4"/>
  <c r="AJ183" i="4"/>
  <c r="Z183" i="4"/>
  <c r="BG183" i="4"/>
  <c r="AX190" i="4"/>
  <c r="AZ190" i="4"/>
  <c r="BM190" i="4"/>
  <c r="BF190" i="4"/>
  <c r="AC190" i="4"/>
  <c r="AD190" i="4"/>
  <c r="BE190" i="4"/>
  <c r="AH190" i="4"/>
  <c r="BS197" i="4"/>
  <c r="J147" i="7"/>
  <c r="AA147" i="7"/>
  <c r="AB147" i="7"/>
  <c r="K147" i="7"/>
  <c r="AU204" i="4"/>
  <c r="BN204" i="4"/>
  <c r="AW204" i="4"/>
  <c r="AB204" i="4"/>
  <c r="AK204" i="4"/>
  <c r="AJ204" i="4"/>
  <c r="BT210" i="4"/>
  <c r="BH210" i="4"/>
  <c r="AY210" i="4"/>
  <c r="BI210" i="4"/>
  <c r="BE210" i="4"/>
  <c r="BF210" i="4"/>
  <c r="AV210" i="4"/>
  <c r="BL210" i="4"/>
  <c r="BM210" i="4"/>
  <c r="BB210" i="4"/>
  <c r="CB210" i="4"/>
  <c r="BK210" i="4"/>
  <c r="AX210" i="4"/>
  <c r="AF210" i="4"/>
  <c r="AA210" i="4"/>
  <c r="BA210" i="4"/>
  <c r="AT210" i="4"/>
  <c r="AI210" i="4"/>
  <c r="BJ210" i="4"/>
  <c r="AW210" i="4"/>
  <c r="BD210" i="4"/>
  <c r="CB217" i="4"/>
  <c r="AZ217" i="4"/>
  <c r="AX217" i="4"/>
  <c r="BD217" i="4"/>
  <c r="AT217" i="4"/>
  <c r="AA217" i="4"/>
  <c r="AU217" i="4"/>
  <c r="BH217" i="4"/>
  <c r="BW217" i="4"/>
  <c r="BJ217" i="4"/>
  <c r="BC217" i="4"/>
  <c r="BE217" i="4"/>
  <c r="BA217" i="4"/>
  <c r="AD217" i="4"/>
  <c r="AW217" i="4"/>
  <c r="BG217" i="4"/>
  <c r="Z217" i="4"/>
  <c r="BE225" i="4"/>
  <c r="BG225" i="4"/>
  <c r="BB225" i="4"/>
  <c r="BD225" i="4"/>
  <c r="BN225" i="4"/>
  <c r="Z225" i="4"/>
  <c r="AI225" i="4"/>
  <c r="AH225" i="4"/>
  <c r="AA225" i="4"/>
  <c r="AK225" i="4"/>
  <c r="AE225" i="4"/>
  <c r="AT225" i="4"/>
  <c r="AG225" i="4"/>
  <c r="BC271" i="4"/>
  <c r="BA271" i="4"/>
  <c r="AV271" i="4"/>
  <c r="CJ271" i="4"/>
  <c r="CI271" i="4"/>
  <c r="BD271" i="4"/>
  <c r="BG271" i="4"/>
  <c r="BN271" i="4"/>
  <c r="BB271" i="4"/>
  <c r="BJ271" i="4"/>
  <c r="AU271" i="4"/>
  <c r="BM271" i="4"/>
  <c r="BH271" i="4"/>
  <c r="AZ271" i="4"/>
  <c r="AF271" i="4"/>
  <c r="BL271" i="4"/>
  <c r="AB271" i="4"/>
  <c r="AX271" i="4"/>
  <c r="BK271" i="4"/>
  <c r="AH271" i="4"/>
  <c r="Z271" i="4"/>
  <c r="BI271" i="4"/>
  <c r="BT278" i="4"/>
  <c r="CB278" i="4"/>
  <c r="BM278" i="4"/>
  <c r="AY278" i="4"/>
  <c r="CJ278" i="4"/>
  <c r="AW278" i="4"/>
  <c r="BD278" i="4"/>
  <c r="BJ278" i="4"/>
  <c r="BN278" i="4"/>
  <c r="BK278" i="4"/>
  <c r="AX278" i="4"/>
  <c r="BG278" i="4"/>
  <c r="AF278" i="4"/>
  <c r="BE278" i="4"/>
  <c r="AE278" i="4"/>
  <c r="BI278" i="4"/>
  <c r="AC278" i="4"/>
  <c r="AD278" i="4"/>
  <c r="CB286" i="4"/>
  <c r="BK286" i="4"/>
  <c r="BI286" i="4"/>
  <c r="CE286" i="4" s="1"/>
  <c r="AX286" i="4"/>
  <c r="AF286" i="4"/>
  <c r="AZ286" i="4"/>
  <c r="BN286" i="4"/>
  <c r="AJ286" i="4"/>
  <c r="CJ286" i="4"/>
  <c r="BM286" i="4"/>
  <c r="BL286" i="4"/>
  <c r="AI286" i="4"/>
  <c r="BE286" i="4"/>
  <c r="BF286" i="4"/>
  <c r="AA286" i="4"/>
  <c r="BC286" i="4"/>
  <c r="BA286" i="4"/>
  <c r="AU286" i="4"/>
  <c r="BB286" i="4"/>
  <c r="BS112" i="4"/>
  <c r="J122" i="7"/>
  <c r="K122" i="7"/>
  <c r="CN254" i="4"/>
  <c r="CB62" i="4"/>
  <c r="BT62" i="4"/>
  <c r="AZ62" i="4"/>
  <c r="BF62" i="4"/>
  <c r="AW62" i="4"/>
  <c r="AF62" i="4"/>
  <c r="BH62" i="4"/>
  <c r="AT62" i="4"/>
  <c r="BK62" i="4"/>
  <c r="BY62" i="4" s="1"/>
  <c r="P99" i="7" s="1"/>
  <c r="BN62" i="4"/>
  <c r="BC62" i="4"/>
  <c r="BL62" i="4"/>
  <c r="CB70" i="4"/>
  <c r="AU70" i="4"/>
  <c r="BM70" i="4"/>
  <c r="BI70" i="4"/>
  <c r="BB70" i="4"/>
  <c r="BJ70" i="4"/>
  <c r="BA70" i="4"/>
  <c r="BF70" i="4"/>
  <c r="AV70" i="4"/>
  <c r="BH70" i="4"/>
  <c r="AT70" i="4"/>
  <c r="AW70" i="4"/>
  <c r="BT85" i="4"/>
  <c r="CJ85" i="4"/>
  <c r="BN85" i="4"/>
  <c r="BI85" i="4"/>
  <c r="AV85" i="4"/>
  <c r="CB85" i="4"/>
  <c r="BM85" i="4"/>
  <c r="AT85" i="4"/>
  <c r="AZ85" i="4"/>
  <c r="BA85" i="4"/>
  <c r="AH85" i="4"/>
  <c r="AW85" i="4"/>
  <c r="BL85" i="4"/>
  <c r="Z85" i="4"/>
  <c r="BH85" i="4"/>
  <c r="CK85" i="4" s="1"/>
  <c r="BC85" i="4"/>
  <c r="AU85" i="4"/>
  <c r="BB85" i="4"/>
  <c r="BD136" i="4"/>
  <c r="AY136" i="4"/>
  <c r="BG136" i="4"/>
  <c r="AV136" i="4"/>
  <c r="AW136" i="4"/>
  <c r="BK136" i="4"/>
  <c r="BA136" i="4"/>
  <c r="AX136" i="4"/>
  <c r="BH136" i="4"/>
  <c r="AU136" i="4"/>
  <c r="AC136" i="4"/>
  <c r="BN136" i="4"/>
  <c r="AB136" i="4"/>
  <c r="CJ136" i="4"/>
  <c r="BJ136" i="4"/>
  <c r="AF136" i="4"/>
  <c r="AT149" i="4"/>
  <c r="BC149" i="4"/>
  <c r="BD149" i="4"/>
  <c r="BK149" i="4"/>
  <c r="AV149" i="4"/>
  <c r="BK157" i="4"/>
  <c r="BJ157" i="4"/>
  <c r="AF157" i="4"/>
  <c r="AU157" i="4"/>
  <c r="AW164" i="4"/>
  <c r="BD164" i="4"/>
  <c r="BL164" i="4"/>
  <c r="BI136" i="4"/>
  <c r="BJ20" i="4"/>
  <c r="BG20" i="4"/>
  <c r="BI20" i="4"/>
  <c r="BC20" i="4"/>
  <c r="AV20" i="4"/>
  <c r="BD20" i="4"/>
  <c r="BM20" i="4"/>
  <c r="BF20" i="4"/>
  <c r="AU20" i="4"/>
  <c r="BN20" i="4"/>
  <c r="BB20" i="4"/>
  <c r="AY20" i="4"/>
  <c r="AI20" i="4"/>
  <c r="AH20" i="4"/>
  <c r="AT20" i="4"/>
  <c r="BL20" i="4"/>
  <c r="BJ28" i="4"/>
  <c r="BH28" i="4"/>
  <c r="AX28" i="4"/>
  <c r="AT28" i="4"/>
  <c r="AY28" i="4"/>
  <c r="AA28" i="4"/>
  <c r="BM28" i="4"/>
  <c r="BL28" i="4"/>
  <c r="BE28" i="4"/>
  <c r="BI28" i="4"/>
  <c r="AB28" i="4"/>
  <c r="CJ86" i="4"/>
  <c r="AU86" i="4"/>
  <c r="BN86" i="4"/>
  <c r="AF86" i="4"/>
  <c r="BH86" i="4"/>
  <c r="AX86" i="4"/>
  <c r="AV86" i="4"/>
  <c r="AZ86" i="4"/>
  <c r="BJ86" i="4"/>
  <c r="CB86" i="4"/>
  <c r="BK86" i="4"/>
  <c r="BD86" i="4"/>
  <c r="CJ93" i="4"/>
  <c r="BM93" i="4"/>
  <c r="BC93" i="4"/>
  <c r="BL93" i="4"/>
  <c r="AW93" i="4"/>
  <c r="BI93" i="4"/>
  <c r="CF93" i="4"/>
  <c r="AZ93" i="4"/>
  <c r="BB93" i="4"/>
  <c r="BG93" i="4"/>
  <c r="BA93" i="4"/>
  <c r="AC93" i="4"/>
  <c r="AT93" i="4"/>
  <c r="BK93" i="4"/>
  <c r="Z93" i="4"/>
  <c r="AA93" i="4"/>
  <c r="BU166" i="4"/>
  <c r="BU34" i="4"/>
  <c r="L71" i="7"/>
  <c r="S71" i="7"/>
  <c r="BT9" i="4"/>
  <c r="CB9" i="4"/>
  <c r="CJ9" i="4"/>
  <c r="BD23" i="4"/>
  <c r="AX23" i="4"/>
  <c r="BE23" i="4"/>
  <c r="BI23" i="4"/>
  <c r="BJ23" i="4"/>
  <c r="BC23" i="4"/>
  <c r="AY23" i="4"/>
  <c r="BB23" i="4"/>
  <c r="BK23" i="4"/>
  <c r="AU23" i="4"/>
  <c r="BH23" i="4"/>
  <c r="BT31" i="4"/>
  <c r="BN31" i="4"/>
  <c r="BA31" i="4"/>
  <c r="BF31" i="4"/>
  <c r="BI31" i="4"/>
  <c r="BK31" i="4"/>
  <c r="BJ31" i="4"/>
  <c r="BM31" i="4"/>
  <c r="BC31" i="4"/>
  <c r="BB31" i="4"/>
  <c r="CJ31" i="4"/>
  <c r="BD31" i="4"/>
  <c r="BG31" i="4"/>
  <c r="AV31" i="4"/>
  <c r="AZ31" i="4"/>
  <c r="AT31" i="4"/>
  <c r="BU31" i="4" s="1"/>
  <c r="L68" i="7" s="1"/>
  <c r="BC200" i="4"/>
  <c r="BJ200" i="4"/>
  <c r="AZ200" i="4"/>
  <c r="AX200" i="4"/>
  <c r="AW200" i="4"/>
  <c r="BF213" i="4"/>
  <c r="BL213" i="4"/>
  <c r="AV213" i="4"/>
  <c r="BK213" i="4"/>
  <c r="AT213" i="4"/>
  <c r="CB229" i="4"/>
  <c r="CJ229" i="4"/>
  <c r="BB229" i="4"/>
  <c r="AX229" i="4"/>
  <c r="BD229" i="4"/>
  <c r="BT250" i="4"/>
  <c r="CB250" i="4"/>
  <c r="CJ250" i="4"/>
  <c r="AY250" i="4"/>
  <c r="AW250" i="4"/>
  <c r="BN250" i="4"/>
  <c r="CJ258" i="4"/>
  <c r="BE258" i="4"/>
  <c r="BK258" i="4"/>
  <c r="BD273" i="4"/>
  <c r="AZ273" i="4"/>
  <c r="AW273" i="4"/>
  <c r="AF273" i="4"/>
  <c r="BJ273" i="4"/>
  <c r="AX273" i="4"/>
  <c r="AT273" i="4"/>
  <c r="BT280" i="4"/>
  <c r="BA280" i="4"/>
  <c r="BE280" i="4"/>
  <c r="BL280" i="4"/>
  <c r="BN280" i="4"/>
  <c r="AW280" i="4"/>
  <c r="BF280" i="4"/>
  <c r="BM280" i="4"/>
  <c r="BG280" i="4"/>
  <c r="BD280" i="4"/>
  <c r="AU288" i="4"/>
  <c r="AV288" i="4"/>
  <c r="BA288" i="4"/>
  <c r="BL288" i="4"/>
  <c r="BF288" i="4"/>
  <c r="AT288" i="4"/>
  <c r="BE288" i="4"/>
  <c r="BH288" i="4"/>
  <c r="CF288" i="4"/>
  <c r="BW161" i="4"/>
  <c r="BX285" i="4"/>
  <c r="O48" i="7"/>
  <c r="AV280" i="4"/>
  <c r="AU208" i="4"/>
  <c r="AV231" i="4"/>
  <c r="BE31" i="4"/>
  <c r="AZ23" i="4"/>
  <c r="CJ280" i="4"/>
  <c r="BD16" i="4"/>
  <c r="AT16" i="4"/>
  <c r="BG16" i="4"/>
  <c r="BL16" i="4"/>
  <c r="AY16" i="4"/>
  <c r="BK16" i="4"/>
  <c r="BA16" i="4"/>
  <c r="BH16" i="4"/>
  <c r="AF16" i="4"/>
  <c r="BA24" i="4"/>
  <c r="BE24" i="4"/>
  <c r="BG24" i="4"/>
  <c r="BH24" i="4"/>
  <c r="AY24" i="4"/>
  <c r="BD24" i="4"/>
  <c r="BB24" i="4"/>
  <c r="BL24" i="4"/>
  <c r="AU133" i="4"/>
  <c r="AX133" i="4"/>
  <c r="BF133" i="4"/>
  <c r="BE133" i="4"/>
  <c r="BD133" i="4"/>
  <c r="BM140" i="4"/>
  <c r="BD140" i="4"/>
  <c r="AX251" i="4"/>
  <c r="BJ251" i="4"/>
  <c r="BF251" i="4"/>
  <c r="AY251" i="4"/>
  <c r="BF266" i="4"/>
  <c r="BE266" i="4"/>
  <c r="AT266" i="4"/>
  <c r="BI266" i="4"/>
  <c r="BC266" i="4"/>
  <c r="BA281" i="4"/>
  <c r="AX281" i="4"/>
  <c r="AZ281" i="4"/>
  <c r="AW281" i="4"/>
  <c r="BI281" i="4"/>
  <c r="BK281" i="4"/>
  <c r="CJ76" i="4"/>
  <c r="BB76" i="4"/>
  <c r="AV76" i="4"/>
  <c r="BN76" i="4"/>
  <c r="AF76" i="4"/>
  <c r="AU188" i="4"/>
  <c r="BX188" i="4"/>
  <c r="O176" i="7"/>
  <c r="BV188" i="4"/>
  <c r="M176" i="7"/>
  <c r="BF188" i="4"/>
  <c r="BM195" i="4"/>
  <c r="AC195" i="4"/>
  <c r="AZ202" i="4"/>
  <c r="AT202" i="4"/>
  <c r="BL208" i="4"/>
  <c r="BE208" i="4"/>
  <c r="AT208" i="4"/>
  <c r="AW208" i="4"/>
  <c r="CB208" i="4"/>
  <c r="BK208" i="4"/>
  <c r="BF208" i="4"/>
  <c r="BN208" i="4"/>
  <c r="AV208" i="4"/>
  <c r="BT231" i="4"/>
  <c r="CJ231" i="4"/>
  <c r="BC231" i="4"/>
  <c r="AZ231" i="4"/>
  <c r="BG231" i="4"/>
  <c r="BL231" i="4"/>
  <c r="BI231" i="4"/>
  <c r="CC231" i="4" s="1"/>
  <c r="AW231" i="4"/>
  <c r="BJ231" i="4"/>
  <c r="BD231" i="4"/>
  <c r="AF231" i="4"/>
  <c r="CJ245" i="4"/>
  <c r="BH245" i="4"/>
  <c r="CE245" i="4"/>
  <c r="AV245" i="4"/>
  <c r="BA245" i="4"/>
  <c r="Z245" i="4"/>
  <c r="AX267" i="4"/>
  <c r="AH267" i="4"/>
  <c r="CB290" i="4"/>
  <c r="BG290" i="4"/>
  <c r="BB290" i="4"/>
  <c r="BF290" i="4"/>
  <c r="BL290" i="4"/>
  <c r="BJ290" i="4"/>
  <c r="AT290" i="4"/>
  <c r="BD290" i="4"/>
  <c r="AW290" i="4"/>
  <c r="BN290" i="4"/>
  <c r="BC290" i="4"/>
  <c r="Z290" i="4"/>
  <c r="BG219" i="4"/>
  <c r="BJ219" i="4"/>
  <c r="BL51" i="4"/>
  <c r="BW51" i="4"/>
  <c r="N88" i="7"/>
  <c r="AW51" i="4"/>
  <c r="BC178" i="4"/>
  <c r="BK138" i="4"/>
  <c r="BJ138" i="4"/>
  <c r="BB66" i="4"/>
  <c r="AX66" i="4"/>
  <c r="BX66" i="4"/>
  <c r="O103" i="7"/>
  <c r="BE66" i="4"/>
  <c r="BE89" i="4"/>
  <c r="AX65" i="4"/>
  <c r="BG65" i="4"/>
  <c r="BF261" i="4"/>
  <c r="BI253" i="4"/>
  <c r="BF253" i="4"/>
  <c r="BH253" i="4"/>
  <c r="AY52" i="4"/>
  <c r="BA283" i="4"/>
  <c r="AU283" i="4"/>
  <c r="AW235" i="4"/>
  <c r="BM235" i="4"/>
  <c r="BF171" i="4"/>
  <c r="AX131" i="4"/>
  <c r="BD131" i="4"/>
  <c r="AX234" i="4"/>
  <c r="BY161" i="4"/>
  <c r="AZ73" i="4"/>
  <c r="BD73" i="4"/>
  <c r="BC184" i="4"/>
  <c r="AW160" i="4"/>
  <c r="BE152" i="4"/>
  <c r="AZ144" i="4"/>
  <c r="BK96" i="4"/>
  <c r="BE80" i="4"/>
  <c r="AV80" i="4"/>
  <c r="AU40" i="4"/>
  <c r="AY40" i="4"/>
  <c r="BA247" i="4"/>
  <c r="BK247" i="4"/>
  <c r="BD59" i="4"/>
  <c r="BK241" i="4"/>
  <c r="CB59" i="4"/>
  <c r="BT36" i="4"/>
  <c r="AX36" i="4"/>
  <c r="BW36" i="4" s="1"/>
  <c r="N73" i="7" s="1"/>
  <c r="BN36" i="4"/>
  <c r="CJ43" i="4"/>
  <c r="CI43" i="4"/>
  <c r="CB43" i="4"/>
  <c r="CA43" i="4"/>
  <c r="BI43" i="4"/>
  <c r="AW43" i="4"/>
  <c r="BT49" i="4"/>
  <c r="BJ49" i="4"/>
  <c r="BG49" i="4"/>
  <c r="BC49" i="4"/>
  <c r="CJ55" i="4"/>
  <c r="CI55" i="4"/>
  <c r="BC55" i="4"/>
  <c r="AW55" i="4"/>
  <c r="BE55" i="4"/>
  <c r="AU55" i="4"/>
  <c r="BA55" i="4"/>
  <c r="BD55" i="4"/>
  <c r="BJ55" i="4"/>
  <c r="AZ55" i="4"/>
  <c r="BK55" i="4"/>
  <c r="CD55" i="4" s="1"/>
  <c r="BB55" i="4"/>
  <c r="BE69" i="4"/>
  <c r="AU69" i="4"/>
  <c r="AW77" i="4"/>
  <c r="BA77" i="4"/>
  <c r="CJ84" i="4"/>
  <c r="BJ84" i="4"/>
  <c r="BG84" i="4"/>
  <c r="AX84" i="4"/>
  <c r="BK207" i="4"/>
  <c r="AW207" i="4"/>
  <c r="BJ207" i="4"/>
  <c r="AV207" i="4"/>
  <c r="BM207" i="4"/>
  <c r="BE207" i="4"/>
  <c r="BL207" i="4"/>
  <c r="AZ207" i="4"/>
  <c r="AX207" i="4"/>
  <c r="CK214" i="4"/>
  <c r="AT257" i="4"/>
  <c r="AU257" i="4"/>
  <c r="BL264" i="4"/>
  <c r="BI264" i="4"/>
  <c r="CM264" i="4" s="1"/>
  <c r="BT279" i="4"/>
  <c r="CJ279" i="4"/>
  <c r="AZ279" i="4"/>
  <c r="BI279" i="4"/>
  <c r="CN211" i="4"/>
  <c r="AW59" i="4"/>
  <c r="AF59" i="4"/>
  <c r="BB33" i="4"/>
  <c r="AU33" i="4"/>
  <c r="AT33" i="4"/>
  <c r="AZ33" i="4"/>
  <c r="AX33" i="4"/>
  <c r="BG33" i="4"/>
  <c r="CJ65" i="4"/>
  <c r="BT65" i="4"/>
  <c r="BG80" i="4"/>
  <c r="AW80" i="4"/>
  <c r="BH80" i="4"/>
  <c r="CE80" i="4"/>
  <c r="CG80" i="4"/>
  <c r="BT95" i="4"/>
  <c r="BC95" i="4"/>
  <c r="BM95" i="4"/>
  <c r="AT95" i="4"/>
  <c r="AU95" i="4"/>
  <c r="BG95" i="4"/>
  <c r="CB95" i="4"/>
  <c r="BD95" i="4"/>
  <c r="BB95" i="4"/>
  <c r="AW95" i="4"/>
  <c r="CJ95" i="4"/>
  <c r="BN95" i="4"/>
  <c r="BI95" i="4"/>
  <c r="BJ130" i="4"/>
  <c r="AY130" i="4"/>
  <c r="BB130" i="4"/>
  <c r="AZ130" i="4"/>
  <c r="CB130" i="4"/>
  <c r="CA130" i="4"/>
  <c r="BH130" i="4"/>
  <c r="BK130" i="4"/>
  <c r="AV130" i="4"/>
  <c r="BC151" i="4"/>
  <c r="AY151" i="4"/>
  <c r="BM151" i="4"/>
  <c r="BI151" i="4"/>
  <c r="BT159" i="4"/>
  <c r="K140" i="7"/>
  <c r="AW159" i="4"/>
  <c r="AX159" i="4"/>
  <c r="BE159" i="4"/>
  <c r="CB171" i="4"/>
  <c r="AZ171" i="4"/>
  <c r="BG171" i="4"/>
  <c r="AX171" i="4"/>
  <c r="AZ184" i="4"/>
  <c r="AW184" i="4"/>
  <c r="BY226" i="4"/>
  <c r="CB234" i="4"/>
  <c r="CJ234" i="4"/>
  <c r="BH234" i="4"/>
  <c r="BE234" i="4"/>
  <c r="AT234" i="4"/>
  <c r="BT261" i="4"/>
  <c r="CJ261" i="4"/>
  <c r="BT283" i="4"/>
  <c r="BJ283" i="4"/>
  <c r="BH283" i="4"/>
  <c r="AZ283" i="4"/>
  <c r="K53" i="7"/>
  <c r="AT26" i="4"/>
  <c r="BK26" i="4"/>
  <c r="AV26" i="4"/>
  <c r="BL26" i="4"/>
  <c r="BL40" i="4"/>
  <c r="BN40" i="4"/>
  <c r="CB47" i="4"/>
  <c r="CA47" i="4"/>
  <c r="BD47" i="4"/>
  <c r="BJ59" i="4"/>
  <c r="BL59" i="4"/>
  <c r="AV59" i="4"/>
  <c r="BB59" i="4"/>
  <c r="AX59" i="4"/>
  <c r="CJ59" i="4"/>
  <c r="AZ59" i="4"/>
  <c r="BC59" i="4"/>
  <c r="BM59" i="4"/>
  <c r="AT59" i="4"/>
  <c r="BE59" i="4"/>
  <c r="AX74" i="4"/>
  <c r="BF74" i="4"/>
  <c r="BM74" i="4"/>
  <c r="BA74" i="4"/>
  <c r="BH96" i="4"/>
  <c r="BY96" i="4"/>
  <c r="BM96" i="4"/>
  <c r="BM131" i="4"/>
  <c r="BN131" i="4"/>
  <c r="BF131" i="4"/>
  <c r="BT160" i="4"/>
  <c r="BH160" i="4"/>
  <c r="BL160" i="4"/>
  <c r="AT160" i="4"/>
  <c r="CB166" i="4"/>
  <c r="CJ166" i="4"/>
  <c r="BN172" i="4"/>
  <c r="AF227" i="4"/>
  <c r="AY227" i="4"/>
  <c r="CJ235" i="4"/>
  <c r="AY235" i="4"/>
  <c r="AZ235" i="4"/>
  <c r="BD235" i="4"/>
  <c r="AW241" i="4"/>
  <c r="BE241" i="4"/>
  <c r="BA241" i="4"/>
  <c r="BG241" i="4"/>
  <c r="BV241" i="4" s="1"/>
  <c r="M13" i="7" s="1"/>
  <c r="CB247" i="4"/>
  <c r="CA247" i="4"/>
  <c r="BN247" i="4"/>
  <c r="BI247" i="4"/>
  <c r="AY247" i="4"/>
  <c r="CN247" i="4" s="1"/>
  <c r="BT254" i="4"/>
  <c r="CB254" i="4"/>
  <c r="K142" i="7"/>
  <c r="AF13" i="4"/>
  <c r="CJ27" i="4"/>
  <c r="BT27" i="4"/>
  <c r="CB132" i="4"/>
  <c r="AW145" i="4"/>
  <c r="BI145" i="4"/>
  <c r="BT186" i="4"/>
  <c r="CJ186" i="4"/>
  <c r="AW199" i="4"/>
  <c r="AT199" i="4"/>
  <c r="AY199" i="4"/>
  <c r="BM242" i="4"/>
  <c r="BL242" i="4"/>
  <c r="BD242" i="4"/>
  <c r="AW242" i="4"/>
  <c r="BH242" i="4"/>
  <c r="BJ242" i="4"/>
  <c r="AV242" i="4"/>
  <c r="CM242" i="4" s="1"/>
  <c r="BT255" i="4"/>
  <c r="CB255" i="4"/>
  <c r="CJ270" i="4"/>
  <c r="CB270" i="4"/>
  <c r="BD277" i="4"/>
  <c r="CB277" i="4"/>
  <c r="CA277" i="4"/>
  <c r="K170" i="7"/>
  <c r="K40" i="7"/>
  <c r="BT75" i="4"/>
  <c r="AA30" i="7"/>
  <c r="AB30" i="7"/>
  <c r="AB156" i="7"/>
  <c r="BS115" i="4"/>
  <c r="J125" i="7"/>
  <c r="AA125" i="7"/>
  <c r="AB125" i="7"/>
  <c r="CN66" i="4"/>
  <c r="CK171" i="4"/>
  <c r="CM50" i="4"/>
  <c r="CN104" i="4"/>
  <c r="K161" i="7"/>
  <c r="CI272" i="4"/>
  <c r="BW108" i="4"/>
  <c r="N118" i="7"/>
  <c r="CN108" i="4"/>
  <c r="BX108" i="4"/>
  <c r="O118" i="7"/>
  <c r="CG108" i="4"/>
  <c r="CF265" i="4"/>
  <c r="BS267" i="4"/>
  <c r="J37" i="7"/>
  <c r="AA37" i="7"/>
  <c r="AB37" i="7"/>
  <c r="CN100" i="4"/>
  <c r="CN171" i="4"/>
  <c r="CO108" i="4"/>
  <c r="CK172" i="4"/>
  <c r="CF259" i="4"/>
  <c r="CE259" i="4"/>
  <c r="CG259" i="4"/>
  <c r="CO147" i="4"/>
  <c r="CI147" i="4"/>
  <c r="CM147" i="4"/>
  <c r="CL147" i="4"/>
  <c r="CG212" i="4"/>
  <c r="CD212" i="4"/>
  <c r="CA212" i="4"/>
  <c r="CC212" i="4"/>
  <c r="CF108" i="4"/>
  <c r="BW100" i="4"/>
  <c r="N110" i="7"/>
  <c r="BU100" i="4"/>
  <c r="L110" i="7"/>
  <c r="CC265" i="4"/>
  <c r="CC26" i="4"/>
  <c r="CA44" i="4"/>
  <c r="BS171" i="4"/>
  <c r="CK100" i="4"/>
  <c r="CF201" i="4"/>
  <c r="CM66" i="4"/>
  <c r="BU217" i="4"/>
  <c r="CE68" i="4"/>
  <c r="CD147" i="4"/>
  <c r="BS92" i="4"/>
  <c r="CK108" i="4"/>
  <c r="K27" i="7"/>
  <c r="CE108" i="4"/>
  <c r="BY164" i="4"/>
  <c r="CN132" i="4"/>
  <c r="CI257" i="4"/>
  <c r="CM172" i="4"/>
  <c r="BW184" i="4"/>
  <c r="N172" i="7"/>
  <c r="CC164" i="4"/>
  <c r="BW244" i="4"/>
  <c r="N15" i="7"/>
  <c r="CK164" i="4"/>
  <c r="CM208" i="4"/>
  <c r="CA233" i="4"/>
  <c r="CL104" i="4"/>
  <c r="CL259" i="4"/>
  <c r="CN259" i="4"/>
  <c r="CI259" i="4"/>
  <c r="CK259" i="4"/>
  <c r="CI249" i="4"/>
  <c r="CN225" i="4"/>
  <c r="CO225" i="4"/>
  <c r="CM225" i="4"/>
  <c r="CA82" i="4"/>
  <c r="CO260" i="4"/>
  <c r="CL260" i="4"/>
  <c r="CD244" i="4"/>
  <c r="CF244" i="4"/>
  <c r="CA236" i="4"/>
  <c r="CG236" i="4"/>
  <c r="BX204" i="4"/>
  <c r="O152" i="7"/>
  <c r="BS204" i="4"/>
  <c r="J152" i="7"/>
  <c r="AA152" i="7"/>
  <c r="AB152" i="7"/>
  <c r="BU204" i="4"/>
  <c r="L152" i="7"/>
  <c r="CC196" i="4"/>
  <c r="CA196" i="4"/>
  <c r="BU196" i="4"/>
  <c r="L146" i="7"/>
  <c r="CF188" i="4"/>
  <c r="CD188" i="4"/>
  <c r="BY188" i="4"/>
  <c r="P176" i="7"/>
  <c r="CE188" i="4"/>
  <c r="CC188" i="4"/>
  <c r="BW188" i="4"/>
  <c r="N176" i="7"/>
  <c r="BU188" i="4"/>
  <c r="L176" i="7"/>
  <c r="CG180" i="4"/>
  <c r="CC180" i="4"/>
  <c r="CO172" i="4"/>
  <c r="BW172" i="4"/>
  <c r="CN172" i="4"/>
  <c r="BU172" i="4"/>
  <c r="CL172" i="4"/>
  <c r="BX172" i="4"/>
  <c r="CD172" i="4"/>
  <c r="CA172" i="4"/>
  <c r="CM164" i="4"/>
  <c r="CO164" i="4"/>
  <c r="CL164" i="4"/>
  <c r="CF140" i="4"/>
  <c r="CO140" i="4"/>
  <c r="CC140" i="4"/>
  <c r="CE140" i="4"/>
  <c r="CD140" i="4"/>
  <c r="BX140" i="4"/>
  <c r="CL132" i="4"/>
  <c r="CO132" i="4"/>
  <c r="CE124" i="4"/>
  <c r="CC124" i="4"/>
  <c r="CG116" i="4"/>
  <c r="BW116" i="4"/>
  <c r="N126" i="7"/>
  <c r="CM116" i="4"/>
  <c r="CF116" i="4"/>
  <c r="BX116" i="4"/>
  <c r="O126" i="7"/>
  <c r="CK116" i="4"/>
  <c r="BY116" i="4"/>
  <c r="P126" i="7"/>
  <c r="CN116" i="4"/>
  <c r="BV116" i="4"/>
  <c r="M126" i="7"/>
  <c r="S119" i="7"/>
  <c r="BW181" i="4"/>
  <c r="N169" i="7"/>
  <c r="BV181" i="4"/>
  <c r="M169" i="7"/>
  <c r="CD181" i="4"/>
  <c r="CK271" i="4"/>
  <c r="CN271" i="4"/>
  <c r="CC271" i="4"/>
  <c r="CM271" i="4"/>
  <c r="BV263" i="4"/>
  <c r="M33" i="7"/>
  <c r="BY263" i="4"/>
  <c r="P33" i="7"/>
  <c r="BW263" i="4"/>
  <c r="N33" i="7"/>
  <c r="BU263" i="4"/>
  <c r="L33" i="7"/>
  <c r="CG247" i="4"/>
  <c r="CL247" i="4"/>
  <c r="CF247" i="4"/>
  <c r="CO247" i="4"/>
  <c r="CD239" i="4"/>
  <c r="CF239" i="4"/>
  <c r="CL239" i="4"/>
  <c r="CG239" i="4"/>
  <c r="K171" i="7"/>
  <c r="BU183" i="4"/>
  <c r="L171" i="7"/>
  <c r="K81" i="7"/>
  <c r="CN50" i="4"/>
  <c r="CK50" i="4"/>
  <c r="BX50" i="4"/>
  <c r="O87" i="7"/>
  <c r="BW50" i="4"/>
  <c r="N87" i="7"/>
  <c r="BU50" i="4"/>
  <c r="L87" i="7"/>
  <c r="S87" i="7"/>
  <c r="BS128" i="4"/>
  <c r="CL184" i="4"/>
  <c r="CO184" i="4"/>
  <c r="CI184" i="4"/>
  <c r="CM184" i="4"/>
  <c r="CK66" i="4"/>
  <c r="BU184" i="4"/>
  <c r="L172" i="7"/>
  <c r="BX180" i="4"/>
  <c r="O168" i="7"/>
  <c r="BY180" i="4"/>
  <c r="P168" i="7"/>
  <c r="BU180" i="4"/>
  <c r="L168" i="7"/>
  <c r="CL50" i="4"/>
  <c r="BV182" i="4"/>
  <c r="M170" i="7"/>
  <c r="CF182" i="4"/>
  <c r="CG182" i="4"/>
  <c r="BU182" i="4"/>
  <c r="L170" i="7"/>
  <c r="BX182" i="4"/>
  <c r="O170" i="7"/>
  <c r="BW182" i="4"/>
  <c r="N170" i="7"/>
  <c r="CC182" i="4"/>
  <c r="CE180" i="4"/>
  <c r="CE172" i="4"/>
  <c r="CK104" i="4"/>
  <c r="BS289" i="4"/>
  <c r="CK180" i="4"/>
  <c r="CN180" i="4"/>
  <c r="CI180" i="4"/>
  <c r="CD132" i="4"/>
  <c r="BY171" i="4"/>
  <c r="BS235" i="4"/>
  <c r="J8" i="7"/>
  <c r="AA8" i="7"/>
  <c r="AB8" i="7"/>
  <c r="CC201" i="4"/>
  <c r="CI161" i="4"/>
  <c r="BS217" i="4"/>
  <c r="CC68" i="4"/>
  <c r="CE147" i="4"/>
  <c r="BY92" i="4"/>
  <c r="BV172" i="4"/>
  <c r="BW204" i="4"/>
  <c r="N152" i="7"/>
  <c r="K55" i="7"/>
  <c r="BV108" i="4"/>
  <c r="M118" i="7"/>
  <c r="K125" i="7"/>
  <c r="BS240" i="4"/>
  <c r="J12" i="7"/>
  <c r="AA12" i="7"/>
  <c r="AB12" i="7"/>
  <c r="K37" i="7"/>
  <c r="CI56" i="4"/>
  <c r="CG193" i="4"/>
  <c r="CF193" i="4"/>
  <c r="CE193" i="4"/>
  <c r="CC193" i="4"/>
  <c r="BS105" i="4"/>
  <c r="J115" i="7"/>
  <c r="AA115" i="7"/>
  <c r="AB115" i="7"/>
  <c r="K115" i="7"/>
  <c r="BX236" i="4"/>
  <c r="O9" i="7"/>
  <c r="BV236" i="4"/>
  <c r="M9" i="7"/>
  <c r="BU236" i="4"/>
  <c r="L9" i="7"/>
  <c r="CK236" i="4"/>
  <c r="CI236" i="4"/>
  <c r="CN228" i="4"/>
  <c r="CO228" i="4"/>
  <c r="CF228" i="4"/>
  <c r="CD228" i="4"/>
  <c r="CG228" i="4"/>
  <c r="BS220" i="4"/>
  <c r="CO171" i="4"/>
  <c r="CL171" i="4"/>
  <c r="CI240" i="4"/>
  <c r="BV184" i="4"/>
  <c r="M172" i="7"/>
  <c r="BY184" i="4"/>
  <c r="P172" i="7"/>
  <c r="BS184" i="4"/>
  <c r="J172" i="7"/>
  <c r="AA172" i="7"/>
  <c r="AB172" i="7"/>
  <c r="CM171" i="4"/>
  <c r="BV50" i="4"/>
  <c r="M87" i="7"/>
  <c r="CA152" i="4"/>
  <c r="CK131" i="4"/>
  <c r="CN131" i="4"/>
  <c r="CO131" i="4"/>
  <c r="CK208" i="4"/>
  <c r="CN208" i="4"/>
  <c r="CI208" i="4"/>
  <c r="CA144" i="4"/>
  <c r="CF92" i="4"/>
  <c r="CG92" i="4"/>
  <c r="BV100" i="4"/>
  <c r="M110" i="7"/>
  <c r="BS68" i="4"/>
  <c r="J105" i="7"/>
  <c r="AA105" i="7"/>
  <c r="AB105" i="7"/>
  <c r="BV171" i="4"/>
  <c r="CA161" i="4"/>
  <c r="CC161" i="4"/>
  <c r="CO288" i="4"/>
  <c r="CM288" i="4"/>
  <c r="K129" i="7"/>
  <c r="CK92" i="4"/>
  <c r="CO92" i="4"/>
  <c r="CL66" i="4"/>
  <c r="CD92" i="4"/>
  <c r="CI135" i="4"/>
  <c r="BS195" i="4"/>
  <c r="J145" i="7"/>
  <c r="AA145" i="7"/>
  <c r="AB145" i="7"/>
  <c r="CA225" i="4"/>
  <c r="BV164" i="4"/>
  <c r="BW164" i="4"/>
  <c r="BY132" i="4"/>
  <c r="CI115" i="4"/>
  <c r="CA201" i="4"/>
  <c r="CI18" i="4"/>
  <c r="CN161" i="4"/>
  <c r="BX217" i="4"/>
  <c r="CA147" i="4"/>
  <c r="BS121" i="4"/>
  <c r="CF161" i="4"/>
  <c r="BS164" i="4"/>
  <c r="BW180" i="4"/>
  <c r="N168" i="7"/>
  <c r="CL92" i="4"/>
  <c r="CA259" i="4"/>
  <c r="CE93" i="4"/>
  <c r="CD93" i="4"/>
  <c r="CA179" i="4"/>
  <c r="CE179" i="4"/>
  <c r="BW147" i="4"/>
  <c r="BV147" i="4"/>
  <c r="BU147" i="4"/>
  <c r="BX147" i="4"/>
  <c r="BU76" i="4"/>
  <c r="BS76" i="4"/>
  <c r="BY76" i="4"/>
  <c r="BV76" i="4"/>
  <c r="BY193" i="4"/>
  <c r="P143" i="7"/>
  <c r="BS193" i="4"/>
  <c r="J143" i="7"/>
  <c r="BW193" i="4"/>
  <c r="N143" i="7"/>
  <c r="BS287" i="4"/>
  <c r="J50" i="7"/>
  <c r="AA50" i="7"/>
  <c r="AB50" i="7"/>
  <c r="CD68" i="4"/>
  <c r="CA68" i="4"/>
  <c r="CO104" i="4"/>
  <c r="CM104" i="4"/>
  <c r="BS18" i="4"/>
  <c r="J55" i="7"/>
  <c r="AA55" i="7"/>
  <c r="AB55" i="7"/>
  <c r="BW104" i="4"/>
  <c r="N114" i="7"/>
  <c r="BU104" i="4"/>
  <c r="L114" i="7"/>
  <c r="BX104" i="4"/>
  <c r="O114" i="7"/>
  <c r="BV104" i="4"/>
  <c r="M114" i="7"/>
  <c r="K114" i="7"/>
  <c r="CA92" i="4"/>
  <c r="CO208" i="4"/>
  <c r="BS183" i="4"/>
  <c r="J171" i="7"/>
  <c r="AA171" i="7"/>
  <c r="AB171" i="7"/>
  <c r="CG164" i="4"/>
  <c r="CA164" i="4"/>
  <c r="CD164" i="4"/>
  <c r="BV92" i="4"/>
  <c r="BU92" i="4"/>
  <c r="K105" i="7"/>
  <c r="CF68" i="4"/>
  <c r="BS244" i="4"/>
  <c r="J15" i="7"/>
  <c r="AA15" i="7"/>
  <c r="AB15" i="7"/>
  <c r="BV244" i="4"/>
  <c r="M15" i="7"/>
  <c r="BU244" i="4"/>
  <c r="L15" i="7"/>
  <c r="CF55" i="4"/>
  <c r="CE55" i="4"/>
  <c r="CK55" i="4"/>
  <c r="CD204" i="4"/>
  <c r="CK161" i="4"/>
  <c r="CG147" i="4"/>
  <c r="BX92" i="4"/>
  <c r="BY50" i="4"/>
  <c r="P87" i="7"/>
  <c r="CI267" i="4"/>
  <c r="CI26" i="4"/>
  <c r="CD161" i="4"/>
  <c r="BX164" i="4"/>
  <c r="CI131" i="4"/>
  <c r="BU108" i="4"/>
  <c r="L118" i="7"/>
  <c r="CI288" i="4"/>
  <c r="CI107" i="4"/>
  <c r="CN92" i="4"/>
  <c r="BY104" i="4"/>
  <c r="P114" i="7"/>
  <c r="CD259" i="4"/>
  <c r="CA64" i="4"/>
  <c r="CK38" i="4"/>
  <c r="CN38" i="4"/>
  <c r="CI38" i="4"/>
  <c r="CL38" i="4"/>
  <c r="BX179" i="4"/>
  <c r="O167" i="7"/>
  <c r="K167" i="7"/>
  <c r="BY179" i="4"/>
  <c r="P167" i="7"/>
  <c r="BU179" i="4"/>
  <c r="L167" i="7"/>
  <c r="S167" i="7"/>
  <c r="CE76" i="4"/>
  <c r="CD76" i="4"/>
  <c r="CI44" i="4"/>
  <c r="CF284" i="4"/>
  <c r="CE284" i="4"/>
  <c r="CC284" i="4"/>
  <c r="CB249" i="4"/>
  <c r="BL249" i="4"/>
  <c r="AX249" i="4"/>
  <c r="BH249" i="4"/>
  <c r="AK249" i="4"/>
  <c r="AE249" i="4"/>
  <c r="BD249" i="4"/>
  <c r="BE249" i="4"/>
  <c r="BC249" i="4"/>
  <c r="AD249" i="4"/>
  <c r="AB249" i="4"/>
  <c r="AV249" i="4"/>
  <c r="AZ249" i="4"/>
  <c r="BN249" i="4"/>
  <c r="AA249" i="4"/>
  <c r="AY249" i="4"/>
  <c r="AU249" i="4"/>
  <c r="BM249" i="4"/>
  <c r="AT249" i="4"/>
  <c r="Z249" i="4"/>
  <c r="BB249" i="4"/>
  <c r="BJ249" i="4"/>
  <c r="AJ249" i="4"/>
  <c r="AF249" i="4"/>
  <c r="AW249" i="4"/>
  <c r="AC249" i="4"/>
  <c r="AG249" i="4"/>
  <c r="BG249" i="4"/>
  <c r="BK249" i="4"/>
  <c r="BA249" i="4"/>
  <c r="AI249" i="4"/>
  <c r="BI249" i="4"/>
  <c r="AH249" i="4"/>
  <c r="BF249" i="4"/>
  <c r="CL127" i="4"/>
  <c r="CK127" i="4"/>
  <c r="CN127" i="4"/>
  <c r="CM127" i="4"/>
  <c r="CO127" i="4"/>
  <c r="AF83" i="4"/>
  <c r="BL83" i="4"/>
  <c r="BI83" i="4"/>
  <c r="AZ83" i="4"/>
  <c r="BK83" i="4"/>
  <c r="BE83" i="4"/>
  <c r="AT83" i="4"/>
  <c r="AU83" i="4"/>
  <c r="AW83" i="4"/>
  <c r="BD83" i="4"/>
  <c r="CB83" i="4"/>
  <c r="BB83" i="4"/>
  <c r="Z83" i="4"/>
  <c r="AG83" i="4"/>
  <c r="AX83" i="4"/>
  <c r="AE83" i="4"/>
  <c r="BN83" i="4"/>
  <c r="BT83" i="4"/>
  <c r="BJ83" i="4"/>
  <c r="AA83" i="4"/>
  <c r="AH83" i="4"/>
  <c r="BC83" i="4"/>
  <c r="BM83" i="4"/>
  <c r="AK83" i="4"/>
  <c r="CJ83" i="4"/>
  <c r="BA83" i="4"/>
  <c r="BG83" i="4"/>
  <c r="AI83" i="4"/>
  <c r="AC83" i="4"/>
  <c r="BF83" i="4"/>
  <c r="AJ83" i="4"/>
  <c r="AV83" i="4"/>
  <c r="BH83" i="4"/>
  <c r="AD83" i="4"/>
  <c r="AB83" i="4"/>
  <c r="AY83" i="4"/>
  <c r="CK286" i="4"/>
  <c r="BU206" i="4"/>
  <c r="L154" i="7"/>
  <c r="BW206" i="4"/>
  <c r="N154" i="7"/>
  <c r="BY206" i="4"/>
  <c r="P154" i="7"/>
  <c r="CO265" i="4"/>
  <c r="CL265" i="4"/>
  <c r="CK265" i="4"/>
  <c r="CM84" i="4"/>
  <c r="CD36" i="4"/>
  <c r="CE36" i="4"/>
  <c r="CC36" i="4"/>
  <c r="CG36" i="4"/>
  <c r="BU36" i="4"/>
  <c r="L73" i="7"/>
  <c r="CF36" i="4"/>
  <c r="CC283" i="4"/>
  <c r="BX283" i="4"/>
  <c r="O47" i="7"/>
  <c r="BU283" i="4"/>
  <c r="L47" i="7"/>
  <c r="CN235" i="4"/>
  <c r="CM235" i="4"/>
  <c r="BU187" i="4"/>
  <c r="L175" i="7"/>
  <c r="S175" i="7"/>
  <c r="BX187" i="4"/>
  <c r="O175" i="7"/>
  <c r="BW187" i="4"/>
  <c r="N175" i="7"/>
  <c r="BY187" i="4"/>
  <c r="P175" i="7"/>
  <c r="CG171" i="4"/>
  <c r="CE171" i="4"/>
  <c r="CC171" i="4"/>
  <c r="CO141" i="4"/>
  <c r="CN141" i="4"/>
  <c r="CK141" i="4"/>
  <c r="CM141" i="4"/>
  <c r="CL141" i="4"/>
  <c r="BX141" i="4"/>
  <c r="CF141" i="4"/>
  <c r="CG101" i="4"/>
  <c r="CE101" i="4"/>
  <c r="CC101" i="4"/>
  <c r="CD101" i="4"/>
  <c r="BU101" i="4"/>
  <c r="L111" i="7"/>
  <c r="CF101" i="4"/>
  <c r="BW101" i="4"/>
  <c r="N111" i="7"/>
  <c r="CL77" i="4"/>
  <c r="CE77" i="4"/>
  <c r="CK77" i="4"/>
  <c r="CD77" i="4"/>
  <c r="CM77" i="4"/>
  <c r="CG77" i="4"/>
  <c r="CN77" i="4"/>
  <c r="CO77" i="4"/>
  <c r="CD61" i="4"/>
  <c r="CE61" i="4"/>
  <c r="CC61" i="4"/>
  <c r="CK167" i="4"/>
  <c r="CO167" i="4"/>
  <c r="CN167" i="4"/>
  <c r="CM167" i="4"/>
  <c r="CC46" i="4"/>
  <c r="CE46" i="4"/>
  <c r="CK46" i="4"/>
  <c r="CD173" i="4"/>
  <c r="CG173" i="4"/>
  <c r="CM173" i="4"/>
  <c r="CF173" i="4"/>
  <c r="CK173" i="4"/>
  <c r="CC173" i="4"/>
  <c r="CO173" i="4"/>
  <c r="CN173" i="4"/>
  <c r="CL173" i="4"/>
  <c r="CO126" i="4"/>
  <c r="CK126" i="4"/>
  <c r="CL126" i="4"/>
  <c r="CM126" i="4"/>
  <c r="CI126" i="4"/>
  <c r="CA181" i="4"/>
  <c r="CF181" i="4"/>
  <c r="CE181" i="4"/>
  <c r="BS178" i="4"/>
  <c r="K166" i="7"/>
  <c r="CF25" i="4"/>
  <c r="CG25" i="4"/>
  <c r="BY197" i="4"/>
  <c r="P147" i="7"/>
  <c r="BX197" i="4"/>
  <c r="O147" i="7"/>
  <c r="BV197" i="4"/>
  <c r="M147" i="7"/>
  <c r="BS57" i="4"/>
  <c r="J94" i="7"/>
  <c r="AA94" i="7"/>
  <c r="AB94" i="7"/>
  <c r="K94" i="7"/>
  <c r="CM90" i="4"/>
  <c r="CG90" i="4"/>
  <c r="CC90" i="4"/>
  <c r="CF90" i="4"/>
  <c r="CE90" i="4"/>
  <c r="CK90" i="4"/>
  <c r="BW248" i="4"/>
  <c r="N18" i="7"/>
  <c r="CC248" i="4"/>
  <c r="CG248" i="4"/>
  <c r="CG141" i="4"/>
  <c r="CD141" i="4"/>
  <c r="CA141" i="4"/>
  <c r="CE141" i="4"/>
  <c r="CC141" i="4"/>
  <c r="CI29" i="4"/>
  <c r="CA56" i="4"/>
  <c r="AZ78" i="4"/>
  <c r="BE78" i="4"/>
  <c r="BF78" i="4"/>
  <c r="AE78" i="4"/>
  <c r="BK78" i="4"/>
  <c r="BD78" i="4"/>
  <c r="AX78" i="4"/>
  <c r="AD78" i="4"/>
  <c r="AG78" i="4"/>
  <c r="BC78" i="4"/>
  <c r="BL78" i="4"/>
  <c r="AK78" i="4"/>
  <c r="BT78" i="4"/>
  <c r="AU78" i="4"/>
  <c r="BG78" i="4"/>
  <c r="BN78" i="4"/>
  <c r="AT78" i="4"/>
  <c r="BB78" i="4"/>
  <c r="AC78" i="4"/>
  <c r="CJ78" i="4"/>
  <c r="BA78" i="4"/>
  <c r="AV78" i="4"/>
  <c r="BI78" i="4"/>
  <c r="AA78" i="4"/>
  <c r="BH78" i="4"/>
  <c r="CF78" i="4"/>
  <c r="Z78" i="4"/>
  <c r="BM78" i="4"/>
  <c r="AI78" i="4"/>
  <c r="AY78" i="4"/>
  <c r="AH78" i="4"/>
  <c r="CC114" i="4"/>
  <c r="CF114" i="4"/>
  <c r="CG114" i="4"/>
  <c r="CE114" i="4"/>
  <c r="CD114" i="4"/>
  <c r="BV112" i="4"/>
  <c r="M122" i="7"/>
  <c r="CE112" i="4"/>
  <c r="BY112" i="4"/>
  <c r="P122" i="7"/>
  <c r="CG112" i="4"/>
  <c r="CF112" i="4"/>
  <c r="CD112" i="4"/>
  <c r="CL88" i="4"/>
  <c r="CO88" i="4"/>
  <c r="CM88" i="4"/>
  <c r="CA49" i="4"/>
  <c r="BT39" i="4"/>
  <c r="CB39" i="4"/>
  <c r="AX39" i="4"/>
  <c r="BJ39" i="4"/>
  <c r="CJ39" i="4"/>
  <c r="BH39" i="4"/>
  <c r="AT39" i="4"/>
  <c r="BD39" i="4"/>
  <c r="BK39" i="4"/>
  <c r="BC39" i="4"/>
  <c r="BA39" i="4"/>
  <c r="AJ39" i="4"/>
  <c r="AD39" i="4"/>
  <c r="BL39" i="4"/>
  <c r="AZ39" i="4"/>
  <c r="AF39" i="4"/>
  <c r="AA39" i="4"/>
  <c r="AK39" i="4"/>
  <c r="AV39" i="4"/>
  <c r="BE39" i="4"/>
  <c r="AW39" i="4"/>
  <c r="AC39" i="4"/>
  <c r="AB39" i="4"/>
  <c r="BG39" i="4"/>
  <c r="AI39" i="4"/>
  <c r="AH39" i="4"/>
  <c r="AU39" i="4"/>
  <c r="BM39" i="4"/>
  <c r="BI39" i="4"/>
  <c r="AY39" i="4"/>
  <c r="AG39" i="4"/>
  <c r="BB39" i="4"/>
  <c r="Z39" i="4"/>
  <c r="AE39" i="4"/>
  <c r="BS46" i="4"/>
  <c r="J83" i="7"/>
  <c r="AA83" i="7"/>
  <c r="AB83" i="7"/>
  <c r="BW46" i="4"/>
  <c r="N83" i="7"/>
  <c r="BU46" i="4"/>
  <c r="L83" i="7"/>
  <c r="BS51" i="4"/>
  <c r="J88" i="7"/>
  <c r="BX51" i="4"/>
  <c r="O88" i="7"/>
  <c r="AW58" i="4"/>
  <c r="BJ58" i="4"/>
  <c r="BC58" i="4"/>
  <c r="CB58" i="4"/>
  <c r="BG58" i="4"/>
  <c r="AT58" i="4"/>
  <c r="BD58" i="4"/>
  <c r="AU58" i="4"/>
  <c r="AV58" i="4"/>
  <c r="BH58" i="4"/>
  <c r="Z58" i="4"/>
  <c r="AJ58" i="4"/>
  <c r="AY58" i="4"/>
  <c r="BI58" i="4"/>
  <c r="AD58" i="4"/>
  <c r="AK58" i="4"/>
  <c r="AI58" i="4"/>
  <c r="BL58" i="4"/>
  <c r="AG58" i="4"/>
  <c r="BK58" i="4"/>
  <c r="AE58" i="4"/>
  <c r="AZ58" i="4"/>
  <c r="AX58" i="4"/>
  <c r="BM58" i="4"/>
  <c r="BA58" i="4"/>
  <c r="BB58" i="4"/>
  <c r="AA58" i="4"/>
  <c r="BN58" i="4"/>
  <c r="BF58" i="4"/>
  <c r="CJ58" i="4"/>
  <c r="AH58" i="4"/>
  <c r="BT72" i="4"/>
  <c r="BG72" i="4"/>
  <c r="AZ72" i="4"/>
  <c r="BD72" i="4"/>
  <c r="AY72" i="4"/>
  <c r="AW72" i="4"/>
  <c r="BH72" i="4"/>
  <c r="CB72" i="4"/>
  <c r="AX72" i="4"/>
  <c r="BJ72" i="4"/>
  <c r="AJ72" i="4"/>
  <c r="BI72" i="4"/>
  <c r="BE72" i="4"/>
  <c r="AH72" i="4"/>
  <c r="BA72" i="4"/>
  <c r="AT72" i="4"/>
  <c r="AF72" i="4"/>
  <c r="AG72" i="4"/>
  <c r="Z72" i="4"/>
  <c r="AD72" i="4"/>
  <c r="AB72" i="4"/>
  <c r="BK72" i="4"/>
  <c r="AI72" i="4"/>
  <c r="BC72" i="4"/>
  <c r="AE72" i="4"/>
  <c r="BM72" i="4"/>
  <c r="AK72" i="4"/>
  <c r="AA72" i="4"/>
  <c r="BB72" i="4"/>
  <c r="BF72" i="4"/>
  <c r="BL72" i="4"/>
  <c r="AV72" i="4"/>
  <c r="AU72" i="4"/>
  <c r="AC72" i="4"/>
  <c r="BS159" i="4"/>
  <c r="J140" i="7"/>
  <c r="AA140" i="7"/>
  <c r="AB140" i="7"/>
  <c r="CC62" i="4"/>
  <c r="CD38" i="4"/>
  <c r="CC38" i="4"/>
  <c r="CG38" i="4"/>
  <c r="CD30" i="4"/>
  <c r="CE30" i="4"/>
  <c r="CL179" i="4"/>
  <c r="CM179" i="4"/>
  <c r="CI22" i="4"/>
  <c r="CC245" i="4"/>
  <c r="CA245" i="4"/>
  <c r="CF245" i="4"/>
  <c r="CD245" i="4"/>
  <c r="CG245" i="4"/>
  <c r="CF133" i="4"/>
  <c r="CG133" i="4"/>
  <c r="CE133" i="4"/>
  <c r="CA133" i="4"/>
  <c r="CC133" i="4"/>
  <c r="CD133" i="4"/>
  <c r="CA177" i="4"/>
  <c r="CE177" i="4"/>
  <c r="CG177" i="4"/>
  <c r="CA159" i="4"/>
  <c r="CI248" i="4"/>
  <c r="CO248" i="4"/>
  <c r="CN248" i="4"/>
  <c r="CM248" i="4"/>
  <c r="CK248" i="4"/>
  <c r="BS114" i="4"/>
  <c r="J124" i="7"/>
  <c r="BW114" i="4"/>
  <c r="N124" i="7"/>
  <c r="BV114" i="4"/>
  <c r="M124" i="7"/>
  <c r="BY114" i="4"/>
  <c r="P124" i="7"/>
  <c r="BS278" i="4"/>
  <c r="BV206" i="4"/>
  <c r="M154" i="7"/>
  <c r="CE198" i="4"/>
  <c r="CD198" i="4"/>
  <c r="CM94" i="4"/>
  <c r="CD94" i="4"/>
  <c r="CO94" i="4"/>
  <c r="CL94" i="4"/>
  <c r="CF94" i="4"/>
  <c r="CG51" i="4"/>
  <c r="CL250" i="4"/>
  <c r="CK250" i="4"/>
  <c r="CC138" i="4"/>
  <c r="CL113" i="4"/>
  <c r="CK113" i="4"/>
  <c r="CO93" i="4"/>
  <c r="BV93" i="4"/>
  <c r="CM53" i="4"/>
  <c r="CG53" i="4"/>
  <c r="CK53" i="4"/>
  <c r="CD53" i="4"/>
  <c r="CN53" i="4"/>
  <c r="CA237" i="4"/>
  <c r="CC237" i="4"/>
  <c r="CF237" i="4"/>
  <c r="CO98" i="4"/>
  <c r="CN98" i="4"/>
  <c r="CK98" i="4"/>
  <c r="BL47" i="4"/>
  <c r="BA47" i="4"/>
  <c r="AU47" i="4"/>
  <c r="CJ47" i="4"/>
  <c r="BF47" i="4"/>
  <c r="BG47" i="4"/>
  <c r="BT47" i="4"/>
  <c r="K84" i="7"/>
  <c r="BM47" i="4"/>
  <c r="BI47" i="4"/>
  <c r="AV47" i="4"/>
  <c r="AT47" i="4"/>
  <c r="AF47" i="4"/>
  <c r="AG47" i="4"/>
  <c r="Z47" i="4"/>
  <c r="BK47" i="4"/>
  <c r="BB47" i="4"/>
  <c r="AE47" i="4"/>
  <c r="BN47" i="4"/>
  <c r="AW47" i="4"/>
  <c r="AD47" i="4"/>
  <c r="AZ47" i="4"/>
  <c r="AI47" i="4"/>
  <c r="AC47" i="4"/>
  <c r="BC47" i="4"/>
  <c r="AH47" i="4"/>
  <c r="AB47" i="4"/>
  <c r="AY47" i="4"/>
  <c r="AA47" i="4"/>
  <c r="AJ47" i="4"/>
  <c r="BH47" i="4"/>
  <c r="AX47" i="4"/>
  <c r="BM52" i="4"/>
  <c r="AZ52" i="4"/>
  <c r="BB52" i="4"/>
  <c r="BN52" i="4"/>
  <c r="AT52" i="4"/>
  <c r="BF52" i="4"/>
  <c r="Z52" i="4"/>
  <c r="AB52" i="4"/>
  <c r="AK52" i="4"/>
  <c r="BE52" i="4"/>
  <c r="BD52" i="4"/>
  <c r="AJ52" i="4"/>
  <c r="AX52" i="4"/>
  <c r="BH52" i="4"/>
  <c r="AC52" i="4"/>
  <c r="BK52" i="4"/>
  <c r="AV52" i="4"/>
  <c r="BY52" i="4" s="1"/>
  <c r="P89" i="7" s="1"/>
  <c r="AH52" i="4"/>
  <c r="AI52" i="4"/>
  <c r="AD52" i="4"/>
  <c r="BC52" i="4"/>
  <c r="AW52" i="4"/>
  <c r="BA52" i="4"/>
  <c r="AG52" i="4"/>
  <c r="CJ134" i="4"/>
  <c r="AX134" i="4"/>
  <c r="BL134" i="4"/>
  <c r="AY134" i="4"/>
  <c r="AH134" i="4"/>
  <c r="BM134" i="4"/>
  <c r="BA134" i="4"/>
  <c r="BG134" i="4"/>
  <c r="AK134" i="4"/>
  <c r="BE134" i="4"/>
  <c r="BD134" i="4"/>
  <c r="BJ134" i="4"/>
  <c r="AJ134" i="4"/>
  <c r="BT134" i="4"/>
  <c r="CB134" i="4"/>
  <c r="BI134" i="4"/>
  <c r="AF134" i="4"/>
  <c r="AZ134" i="4"/>
  <c r="AB134" i="4"/>
  <c r="BB134" i="4"/>
  <c r="AA134" i="4"/>
  <c r="Z134" i="4"/>
  <c r="AW134" i="4"/>
  <c r="AT134" i="4"/>
  <c r="BT189" i="4"/>
  <c r="CJ189" i="4"/>
  <c r="AX189" i="4"/>
  <c r="BF189" i="4"/>
  <c r="AF189" i="4"/>
  <c r="BK189" i="4"/>
  <c r="BD189" i="4"/>
  <c r="AA189" i="4"/>
  <c r="AH189" i="4"/>
  <c r="BJ189" i="4"/>
  <c r="AV189" i="4"/>
  <c r="AI189" i="4"/>
  <c r="AC189" i="4"/>
  <c r="AZ189" i="4"/>
  <c r="BH189" i="4"/>
  <c r="BN189" i="4"/>
  <c r="AU189" i="4"/>
  <c r="BC189" i="4"/>
  <c r="AE189" i="4"/>
  <c r="CB189" i="4"/>
  <c r="AW189" i="4"/>
  <c r="AT189" i="4"/>
  <c r="BS21" i="4"/>
  <c r="J58" i="7"/>
  <c r="AA58" i="7"/>
  <c r="AB58" i="7"/>
  <c r="BY21" i="4"/>
  <c r="P58" i="7"/>
  <c r="BX21" i="4"/>
  <c r="O58" i="7"/>
  <c r="BU21" i="4"/>
  <c r="L58" i="7"/>
  <c r="BW21" i="4"/>
  <c r="N58" i="7"/>
  <c r="CG70" i="4"/>
  <c r="CE123" i="4"/>
  <c r="CD123" i="4"/>
  <c r="CF123" i="4"/>
  <c r="CK99" i="4"/>
  <c r="BY99" i="4"/>
  <c r="P109" i="7"/>
  <c r="CL99" i="4"/>
  <c r="CO75" i="4"/>
  <c r="CM75" i="4"/>
  <c r="CF75" i="4"/>
  <c r="CK75" i="4"/>
  <c r="CE258" i="4"/>
  <c r="CC258" i="4"/>
  <c r="CE253" i="4"/>
  <c r="CC125" i="4"/>
  <c r="CD125" i="4"/>
  <c r="CI118" i="4"/>
  <c r="CN118" i="4"/>
  <c r="CA229" i="4"/>
  <c r="CC229" i="4"/>
  <c r="AZ29" i="4"/>
  <c r="BB29" i="4"/>
  <c r="BT29" i="4"/>
  <c r="AW29" i="4"/>
  <c r="BG29" i="4"/>
  <c r="AH29" i="4"/>
  <c r="BH29" i="4"/>
  <c r="BA29" i="4"/>
  <c r="AA29" i="4"/>
  <c r="AK29" i="4"/>
  <c r="BK29" i="4"/>
  <c r="BL29" i="4"/>
  <c r="AI29" i="4"/>
  <c r="BN29" i="4"/>
  <c r="BD29" i="4"/>
  <c r="BF29" i="4"/>
  <c r="BC29" i="4"/>
  <c r="AF29" i="4"/>
  <c r="AJ29" i="4"/>
  <c r="AD29" i="4"/>
  <c r="AX29" i="4"/>
  <c r="AV29" i="4"/>
  <c r="AG29" i="4"/>
  <c r="BI29" i="4"/>
  <c r="CK29" i="4" s="1"/>
  <c r="AB29" i="4"/>
  <c r="BF128" i="4"/>
  <c r="BH128" i="4"/>
  <c r="AW128" i="4"/>
  <c r="BK128" i="4"/>
  <c r="AT128" i="4"/>
  <c r="BM128" i="4"/>
  <c r="BI128" i="4"/>
  <c r="BW128" i="4" s="1"/>
  <c r="AG128" i="4"/>
  <c r="BC128" i="4"/>
  <c r="AY128" i="4"/>
  <c r="AI128" i="4"/>
  <c r="AA128" i="4"/>
  <c r="AC128" i="4"/>
  <c r="AU128" i="4"/>
  <c r="BB128" i="4"/>
  <c r="CJ128" i="4"/>
  <c r="BL128" i="4"/>
  <c r="AF128" i="4"/>
  <c r="BJ128" i="4"/>
  <c r="CB128" i="4"/>
  <c r="BN128" i="4"/>
  <c r="BA128" i="4"/>
  <c r="AB128" i="4"/>
  <c r="AE128" i="4"/>
  <c r="Z128" i="4"/>
  <c r="AJ128" i="4"/>
  <c r="AX128" i="4"/>
  <c r="AZ128" i="4"/>
  <c r="BE128" i="4"/>
  <c r="CB178" i="4"/>
  <c r="BE178" i="4"/>
  <c r="AY178" i="4"/>
  <c r="BI178" i="4"/>
  <c r="AD178" i="4"/>
  <c r="AW178" i="4"/>
  <c r="BK178" i="4"/>
  <c r="BB178" i="4"/>
  <c r="Z178" i="4"/>
  <c r="AH178" i="4"/>
  <c r="AJ178" i="4"/>
  <c r="CJ178" i="4"/>
  <c r="BF178" i="4"/>
  <c r="AX178" i="4"/>
  <c r="AZ178" i="4"/>
  <c r="AA178" i="4"/>
  <c r="BN178" i="4"/>
  <c r="BL178" i="4"/>
  <c r="BD178" i="4"/>
  <c r="AU178" i="4"/>
  <c r="BM178" i="4"/>
  <c r="BG178" i="4"/>
  <c r="AG178" i="4"/>
  <c r="BT190" i="4"/>
  <c r="CJ190" i="4"/>
  <c r="CB190" i="4"/>
  <c r="BK190" i="4"/>
  <c r="AV190" i="4"/>
  <c r="BA190" i="4"/>
  <c r="BB190" i="4"/>
  <c r="AG190" i="4"/>
  <c r="BJ190" i="4"/>
  <c r="BG190" i="4"/>
  <c r="AA190" i="4"/>
  <c r="AE190" i="4"/>
  <c r="BN190" i="4"/>
  <c r="BI190" i="4"/>
  <c r="AK190" i="4"/>
  <c r="AB190" i="4"/>
  <c r="BC190" i="4"/>
  <c r="Z190" i="4"/>
  <c r="AJ190" i="4"/>
  <c r="BH190" i="4"/>
  <c r="AW190" i="4"/>
  <c r="AF190" i="4"/>
  <c r="AI190" i="4"/>
  <c r="AU190" i="4"/>
  <c r="AT190" i="4"/>
  <c r="AV267" i="4"/>
  <c r="AW267" i="4"/>
  <c r="BF267" i="4"/>
  <c r="AC267" i="4"/>
  <c r="CB267" i="4"/>
  <c r="BM267" i="4"/>
  <c r="BH267" i="4"/>
  <c r="BW267" i="4"/>
  <c r="N37" i="7"/>
  <c r="BB267" i="4"/>
  <c r="AT267" i="4"/>
  <c r="AK267" i="4"/>
  <c r="AY267" i="4"/>
  <c r="BA267" i="4"/>
  <c r="AE267" i="4"/>
  <c r="BL267" i="4"/>
  <c r="AU267" i="4"/>
  <c r="AD267" i="4"/>
  <c r="BD267" i="4"/>
  <c r="BE267" i="4"/>
  <c r="AA267" i="4"/>
  <c r="AG267" i="4"/>
  <c r="AF267" i="4"/>
  <c r="AZ267" i="4"/>
  <c r="Z267" i="4"/>
  <c r="CB274" i="4"/>
  <c r="BI274" i="4"/>
  <c r="BK274" i="4"/>
  <c r="BB274" i="4"/>
  <c r="AH274" i="4"/>
  <c r="AD274" i="4"/>
  <c r="BA274" i="4"/>
  <c r="AT274" i="4"/>
  <c r="AA274" i="4"/>
  <c r="AB274" i="4"/>
  <c r="BE274" i="4"/>
  <c r="BN274" i="4"/>
  <c r="AF274" i="4"/>
  <c r="AC274" i="4"/>
  <c r="CJ274" i="4"/>
  <c r="BG274" i="4"/>
  <c r="AX274" i="4"/>
  <c r="AK274" i="4"/>
  <c r="AY274" i="4"/>
  <c r="AW274" i="4"/>
  <c r="AJ274" i="4"/>
  <c r="BL274" i="4"/>
  <c r="AU274" i="4"/>
  <c r="AI274" i="4"/>
  <c r="BM274" i="4"/>
  <c r="BF274" i="4"/>
  <c r="Z274" i="4"/>
  <c r="BF287" i="4"/>
  <c r="BA287" i="4"/>
  <c r="AT287" i="4"/>
  <c r="AX287" i="4"/>
  <c r="AY287" i="4"/>
  <c r="BB287" i="4"/>
  <c r="AU287" i="4"/>
  <c r="BE287" i="4"/>
  <c r="AD287" i="4"/>
  <c r="BH287" i="4"/>
  <c r="BD287" i="4"/>
  <c r="AJ287" i="4"/>
  <c r="AZ287" i="4"/>
  <c r="AW287" i="4"/>
  <c r="AI287" i="4"/>
  <c r="AA287" i="4"/>
  <c r="BC287" i="4"/>
  <c r="BM287" i="4"/>
  <c r="AH287" i="4"/>
  <c r="BL287" i="4"/>
  <c r="AG287" i="4"/>
  <c r="CJ287" i="4"/>
  <c r="BI287" i="4"/>
  <c r="BN287" i="4"/>
  <c r="BG287" i="4"/>
  <c r="BU287" i="4" s="1"/>
  <c r="L50" i="7" s="1"/>
  <c r="AF287" i="4"/>
  <c r="CM278" i="4"/>
  <c r="CG278" i="4"/>
  <c r="CL222" i="4"/>
  <c r="CN222" i="4"/>
  <c r="CD46" i="4"/>
  <c r="CF46" i="4"/>
  <c r="CG46" i="4"/>
  <c r="CF38" i="4"/>
  <c r="CG30" i="4"/>
  <c r="CF89" i="4"/>
  <c r="CE89" i="4"/>
  <c r="CD89" i="4"/>
  <c r="BX65" i="4"/>
  <c r="O102" i="7"/>
  <c r="CK133" i="4"/>
  <c r="CN133" i="4"/>
  <c r="CC77" i="4"/>
  <c r="CF77" i="4"/>
  <c r="CD162" i="4"/>
  <c r="CC162" i="4"/>
  <c r="CG162" i="4"/>
  <c r="CC104" i="4"/>
  <c r="CD104" i="4"/>
  <c r="BX31" i="4"/>
  <c r="O68" i="7"/>
  <c r="CA182" i="4"/>
  <c r="CD182" i="4"/>
  <c r="CE182" i="4"/>
  <c r="CO102" i="4"/>
  <c r="CM102" i="4"/>
  <c r="CI102" i="4"/>
  <c r="CK102" i="4"/>
  <c r="BT22" i="4"/>
  <c r="BA22" i="4"/>
  <c r="AV22" i="4"/>
  <c r="BL22" i="4"/>
  <c r="BH22" i="4"/>
  <c r="BD22" i="4"/>
  <c r="AW22" i="4"/>
  <c r="AA22" i="4"/>
  <c r="AK22" i="4"/>
  <c r="AZ22" i="4"/>
  <c r="BB22" i="4"/>
  <c r="BF22" i="4"/>
  <c r="BG22" i="4"/>
  <c r="BI22" i="4"/>
  <c r="AT22" i="4"/>
  <c r="AF22" i="4"/>
  <c r="AG22" i="4"/>
  <c r="AJ22" i="4"/>
  <c r="BK22" i="4"/>
  <c r="BM22" i="4"/>
  <c r="BJ22" i="4"/>
  <c r="AD22" i="4"/>
  <c r="BS101" i="4"/>
  <c r="J111" i="7"/>
  <c r="AA111" i="7"/>
  <c r="AB111" i="7"/>
  <c r="BV101" i="4"/>
  <c r="M111" i="7"/>
  <c r="BS113" i="4"/>
  <c r="J123" i="7"/>
  <c r="BY113" i="4"/>
  <c r="P123" i="7"/>
  <c r="BV113" i="4"/>
  <c r="M123" i="7"/>
  <c r="CI119" i="4"/>
  <c r="BC124" i="4"/>
  <c r="BJ124" i="4"/>
  <c r="AJ124" i="4"/>
  <c r="AT124" i="4"/>
  <c r="AH124" i="4"/>
  <c r="BE124" i="4"/>
  <c r="AG124" i="4"/>
  <c r="AW124" i="4"/>
  <c r="BA124" i="4"/>
  <c r="AA124" i="4"/>
  <c r="BL124" i="4"/>
  <c r="CK179" i="4"/>
  <c r="CJ221" i="4"/>
  <c r="BL221" i="4"/>
  <c r="BM221" i="4"/>
  <c r="BE221" i="4"/>
  <c r="AI221" i="4"/>
  <c r="CB221" i="4"/>
  <c r="BC221" i="4"/>
  <c r="BB221" i="4"/>
  <c r="BD221" i="4"/>
  <c r="AH221" i="4"/>
  <c r="AT221" i="4"/>
  <c r="BK221" i="4"/>
  <c r="BN221" i="4"/>
  <c r="AF221" i="4"/>
  <c r="AG221" i="4"/>
  <c r="BT221" i="4"/>
  <c r="AX221" i="4"/>
  <c r="AB221" i="4"/>
  <c r="AU221" i="4"/>
  <c r="Z221" i="4"/>
  <c r="AE221" i="4"/>
  <c r="BI221" i="4"/>
  <c r="BG221" i="4"/>
  <c r="AD221" i="4"/>
  <c r="BH221" i="4"/>
  <c r="BF221" i="4"/>
  <c r="CO254" i="4"/>
  <c r="BY254" i="4"/>
  <c r="P24" i="7"/>
  <c r="CM254" i="4"/>
  <c r="CK254" i="4"/>
  <c r="CG230" i="4"/>
  <c r="CC230" i="4"/>
  <c r="CL230" i="4"/>
  <c r="CE230" i="4"/>
  <c r="CN230" i="4"/>
  <c r="CF102" i="4"/>
  <c r="CG102" i="4"/>
  <c r="CC102" i="4"/>
  <c r="BV34" i="4"/>
  <c r="M71" i="7"/>
  <c r="BW34" i="4"/>
  <c r="N71" i="7"/>
  <c r="CE25" i="4"/>
  <c r="CD25" i="4"/>
  <c r="CC25" i="4"/>
  <c r="BX181" i="4"/>
  <c r="O169" i="7"/>
  <c r="CL181" i="4"/>
  <c r="CM181" i="4"/>
  <c r="CK181" i="4"/>
  <c r="CN186" i="4"/>
  <c r="CM186" i="4"/>
  <c r="CM265" i="4"/>
  <c r="CN265" i="4"/>
  <c r="CI265" i="4"/>
  <c r="CI210" i="4"/>
  <c r="BT209" i="4"/>
  <c r="BL209" i="4"/>
  <c r="CJ209" i="4"/>
  <c r="BM209" i="4"/>
  <c r="AX209" i="4"/>
  <c r="BN209" i="4"/>
  <c r="BG209" i="4"/>
  <c r="BD209" i="4"/>
  <c r="AG209" i="4"/>
  <c r="AF209" i="4"/>
  <c r="AD209" i="4"/>
  <c r="BE209" i="4"/>
  <c r="AZ209" i="4"/>
  <c r="AU209" i="4"/>
  <c r="AC209" i="4"/>
  <c r="AK209" i="4"/>
  <c r="BF209" i="4"/>
  <c r="AA209" i="4"/>
  <c r="AJ209" i="4"/>
  <c r="AY209" i="4"/>
  <c r="Z209" i="4"/>
  <c r="BS263" i="4"/>
  <c r="J33" i="7"/>
  <c r="AA33" i="7"/>
  <c r="AB33" i="7"/>
  <c r="BX263" i="4"/>
  <c r="O33" i="7"/>
  <c r="CJ282" i="4"/>
  <c r="CB282" i="4"/>
  <c r="AY282" i="4"/>
  <c r="BB282" i="4"/>
  <c r="AZ282" i="4"/>
  <c r="BD282" i="4"/>
  <c r="AX282" i="4"/>
  <c r="BF282" i="4"/>
  <c r="BI282" i="4"/>
  <c r="BH282" i="4"/>
  <c r="BC282" i="4"/>
  <c r="BJ282" i="4"/>
  <c r="AU282" i="4"/>
  <c r="AK282" i="4"/>
  <c r="BM282" i="4"/>
  <c r="AJ282" i="4"/>
  <c r="BG282" i="4"/>
  <c r="AT282" i="4"/>
  <c r="AI282" i="4"/>
  <c r="AV282" i="4"/>
  <c r="AH282" i="4"/>
  <c r="BA282" i="4"/>
  <c r="AE282" i="4"/>
  <c r="AB282" i="4"/>
  <c r="BN282" i="4"/>
  <c r="BT282" i="4"/>
  <c r="BK282" i="4"/>
  <c r="AD282" i="4"/>
  <c r="J45" i="7"/>
  <c r="AA45" i="7"/>
  <c r="AB45" i="7"/>
  <c r="K45" i="7"/>
  <c r="AC54" i="4"/>
  <c r="Z168" i="4"/>
  <c r="BG54" i="4"/>
  <c r="BX253" i="4"/>
  <c r="O23" i="7"/>
  <c r="BE157" i="4"/>
  <c r="BH149" i="4"/>
  <c r="BY109" i="4"/>
  <c r="P119" i="7"/>
  <c r="BY88" i="4"/>
  <c r="P108" i="7"/>
  <c r="CB14" i="4"/>
  <c r="CJ14" i="4"/>
  <c r="AH14" i="4"/>
  <c r="AI14" i="4"/>
  <c r="AK14" i="4"/>
  <c r="Z14" i="4"/>
  <c r="AG14" i="4"/>
  <c r="AJ14" i="4"/>
  <c r="AE14" i="4"/>
  <c r="K71" i="7"/>
  <c r="BY34" i="4"/>
  <c r="P71" i="7"/>
  <c r="BX34" i="4"/>
  <c r="O71" i="7"/>
  <c r="BS40" i="4"/>
  <c r="J77" i="7"/>
  <c r="BG195" i="4"/>
  <c r="BC195" i="4"/>
  <c r="AW195" i="4"/>
  <c r="AG195" i="4"/>
  <c r="AA195" i="4"/>
  <c r="AY195" i="4"/>
  <c r="BH195" i="4"/>
  <c r="AU195" i="4"/>
  <c r="AE195" i="4"/>
  <c r="BI195" i="4"/>
  <c r="AT195" i="4"/>
  <c r="BD195" i="4"/>
  <c r="CJ215" i="4"/>
  <c r="AX215" i="4"/>
  <c r="AV215" i="4"/>
  <c r="AZ215" i="4"/>
  <c r="BN215" i="4"/>
  <c r="BM215" i="4"/>
  <c r="AU215" i="4"/>
  <c r="BI215" i="4"/>
  <c r="BW215" i="4"/>
  <c r="BL215" i="4"/>
  <c r="Z215" i="4"/>
  <c r="AG215" i="4"/>
  <c r="BC215" i="4"/>
  <c r="BE215" i="4"/>
  <c r="AF215" i="4"/>
  <c r="AE215" i="4"/>
  <c r="BD215" i="4"/>
  <c r="AB215" i="4"/>
  <c r="AK215" i="4"/>
  <c r="CJ262" i="4"/>
  <c r="BT262" i="4"/>
  <c r="BG262" i="4"/>
  <c r="AU262" i="4"/>
  <c r="BH262" i="4"/>
  <c r="CD262" i="4"/>
  <c r="AV262" i="4"/>
  <c r="BF262" i="4"/>
  <c r="AC262" i="4"/>
  <c r="AZ262" i="4"/>
  <c r="BD262" i="4"/>
  <c r="BB262" i="4"/>
  <c r="AJ262" i="4"/>
  <c r="AI262" i="4"/>
  <c r="BB268" i="4"/>
  <c r="AE268" i="4"/>
  <c r="AI268" i="4"/>
  <c r="BK268" i="4"/>
  <c r="AH268" i="4"/>
  <c r="BH268" i="4"/>
  <c r="AG268" i="4"/>
  <c r="CB54" i="4"/>
  <c r="CJ54" i="4"/>
  <c r="BK54" i="4"/>
  <c r="AW54" i="4"/>
  <c r="BD54" i="4"/>
  <c r="AF54" i="4"/>
  <c r="BN54" i="4"/>
  <c r="AX54" i="4"/>
  <c r="AK54" i="4"/>
  <c r="BC54" i="4"/>
  <c r="AV54" i="4"/>
  <c r="AE54" i="4"/>
  <c r="AG54" i="4"/>
  <c r="BT149" i="4"/>
  <c r="CJ149" i="4"/>
  <c r="AX149" i="4"/>
  <c r="AU149" i="4"/>
  <c r="BN149" i="4"/>
  <c r="AF149" i="4"/>
  <c r="BF149" i="4"/>
  <c r="BA149" i="4"/>
  <c r="AW149" i="4"/>
  <c r="AY149" i="4"/>
  <c r="AK149" i="4"/>
  <c r="BT157" i="4"/>
  <c r="CJ157" i="4"/>
  <c r="CB157" i="4"/>
  <c r="AZ157" i="4"/>
  <c r="BL157" i="4"/>
  <c r="BN157" i="4"/>
  <c r="BI157" i="4"/>
  <c r="BF157" i="4"/>
  <c r="BG157" i="4"/>
  <c r="AX157" i="4"/>
  <c r="BH157" i="4"/>
  <c r="AE157" i="4"/>
  <c r="AY163" i="4"/>
  <c r="AW163" i="4"/>
  <c r="AX163" i="4"/>
  <c r="AH163" i="4"/>
  <c r="BL163" i="4"/>
  <c r="BG163" i="4"/>
  <c r="AV163" i="4"/>
  <c r="AF163" i="4"/>
  <c r="AK163" i="4"/>
  <c r="BC163" i="4"/>
  <c r="BD163" i="4"/>
  <c r="AG163" i="4"/>
  <c r="BD168" i="4"/>
  <c r="BN168" i="4"/>
  <c r="BF168" i="4"/>
  <c r="AY168" i="4"/>
  <c r="AW168" i="4"/>
  <c r="BL168" i="4"/>
  <c r="BG168" i="4"/>
  <c r="BB168" i="4"/>
  <c r="AJ168" i="4"/>
  <c r="BM168" i="4"/>
  <c r="BA168" i="4"/>
  <c r="AU168" i="4"/>
  <c r="AV168" i="4"/>
  <c r="AI168" i="4"/>
  <c r="CB185" i="4"/>
  <c r="BH185" i="4"/>
  <c r="AV185" i="4"/>
  <c r="AZ185" i="4"/>
  <c r="BF185" i="4"/>
  <c r="BT185" i="4"/>
  <c r="BE185" i="4"/>
  <c r="BG185" i="4"/>
  <c r="AG185" i="4"/>
  <c r="AE185" i="4"/>
  <c r="AC185" i="4"/>
  <c r="Z185" i="4"/>
  <c r="AD185" i="4"/>
  <c r="BY191" i="4"/>
  <c r="BU191" i="4"/>
  <c r="BL257" i="4"/>
  <c r="BB257" i="4"/>
  <c r="BN257" i="4"/>
  <c r="AY257" i="4"/>
  <c r="BK257" i="4"/>
  <c r="AF257" i="4"/>
  <c r="AD257" i="4"/>
  <c r="AH257" i="4"/>
  <c r="BE257" i="4"/>
  <c r="AK257" i="4"/>
  <c r="CJ277" i="4"/>
  <c r="BT277" i="4"/>
  <c r="BE277" i="4"/>
  <c r="BA277" i="4"/>
  <c r="BI277" i="4"/>
  <c r="CF277" i="4"/>
  <c r="AW277" i="4"/>
  <c r="AX277" i="4"/>
  <c r="BC277" i="4"/>
  <c r="AA277" i="4"/>
  <c r="BJ277" i="4"/>
  <c r="AV277" i="4"/>
  <c r="AH277" i="4"/>
  <c r="CM211" i="4"/>
  <c r="CO179" i="4"/>
  <c r="AC149" i="4"/>
  <c r="Z157" i="4"/>
  <c r="AG257" i="4"/>
  <c r="AH168" i="4"/>
  <c r="AC163" i="4"/>
  <c r="Z54" i="4"/>
  <c r="AB185" i="4"/>
  <c r="AE163" i="4"/>
  <c r="Z277" i="4"/>
  <c r="AB168" i="4"/>
  <c r="AF168" i="4"/>
  <c r="AT54" i="4"/>
  <c r="BN163" i="4"/>
  <c r="AZ163" i="4"/>
  <c r="AY277" i="4"/>
  <c r="BM277" i="4"/>
  <c r="AV157" i="4"/>
  <c r="AY157" i="4"/>
  <c r="BE149" i="4"/>
  <c r="BV248" i="4"/>
  <c r="M18" i="7"/>
  <c r="BK168" i="4"/>
  <c r="BM257" i="4"/>
  <c r="BK185" i="4"/>
  <c r="CJ69" i="4"/>
  <c r="CB69" i="4"/>
  <c r="BN69" i="4"/>
  <c r="BK69" i="4"/>
  <c r="BI69" i="4"/>
  <c r="AE69" i="4"/>
  <c r="BT69" i="4"/>
  <c r="BF69" i="4"/>
  <c r="AY69" i="4"/>
  <c r="BG69" i="4"/>
  <c r="AA69" i="4"/>
  <c r="AX69" i="4"/>
  <c r="BJ69" i="4"/>
  <c r="AT69" i="4"/>
  <c r="Z69" i="4"/>
  <c r="BS99" i="4"/>
  <c r="J109" i="7"/>
  <c r="AA109" i="7"/>
  <c r="AB109" i="7"/>
  <c r="BU99" i="4"/>
  <c r="L109" i="7"/>
  <c r="BX99" i="4"/>
  <c r="O109" i="7"/>
  <c r="BT150" i="4"/>
  <c r="CB150" i="4"/>
  <c r="BL150" i="4"/>
  <c r="BB150" i="4"/>
  <c r="CJ150" i="4"/>
  <c r="BC150" i="4"/>
  <c r="BF150" i="4"/>
  <c r="Z150" i="4"/>
  <c r="AC150" i="4"/>
  <c r="BM150" i="4"/>
  <c r="AT150" i="4"/>
  <c r="AV150" i="4"/>
  <c r="AJ150" i="4"/>
  <c r="CJ158" i="4"/>
  <c r="BA158" i="4"/>
  <c r="BL158" i="4"/>
  <c r="AW158" i="4"/>
  <c r="BM158" i="4"/>
  <c r="AZ158" i="4"/>
  <c r="BJ158" i="4"/>
  <c r="AK158" i="4"/>
  <c r="CB158" i="4"/>
  <c r="BD158" i="4"/>
  <c r="BE158" i="4"/>
  <c r="BH158" i="4"/>
  <c r="Z158" i="4"/>
  <c r="AD158" i="4"/>
  <c r="AC158" i="4"/>
  <c r="AB158" i="4"/>
  <c r="AZ164" i="4"/>
  <c r="Z164" i="4"/>
  <c r="AA164" i="4"/>
  <c r="BJ164" i="4"/>
  <c r="AE164" i="4"/>
  <c r="BA164" i="4"/>
  <c r="AK164" i="4"/>
  <c r="CJ219" i="4"/>
  <c r="AZ219" i="4"/>
  <c r="BN219" i="4"/>
  <c r="AH219" i="4"/>
  <c r="AF219" i="4"/>
  <c r="BI219" i="4"/>
  <c r="BL219" i="4"/>
  <c r="AG219" i="4"/>
  <c r="BT219" i="4"/>
  <c r="BK219" i="4"/>
  <c r="AX219" i="4"/>
  <c r="AT219" i="4"/>
  <c r="AD219" i="4"/>
  <c r="AE219" i="4"/>
  <c r="BT233" i="4"/>
  <c r="BH233" i="4"/>
  <c r="AT233" i="4"/>
  <c r="AU233" i="4"/>
  <c r="AZ233" i="4"/>
  <c r="BI233" i="4"/>
  <c r="CD233" i="4"/>
  <c r="BC233" i="4"/>
  <c r="CJ233" i="4"/>
  <c r="BM233" i="4"/>
  <c r="AV233" i="4"/>
  <c r="BB233" i="4"/>
  <c r="Z233" i="4"/>
  <c r="AJ233" i="4"/>
  <c r="CB251" i="4"/>
  <c r="BE251" i="4"/>
  <c r="BA251" i="4"/>
  <c r="BG251" i="4"/>
  <c r="CJ251" i="4"/>
  <c r="BC251" i="4"/>
  <c r="BH251" i="4"/>
  <c r="AC251" i="4"/>
  <c r="AI251" i="4"/>
  <c r="AF251" i="4"/>
  <c r="BL251" i="4"/>
  <c r="AZ251" i="4"/>
  <c r="AH251" i="4"/>
  <c r="BT251" i="4"/>
  <c r="BM251" i="4"/>
  <c r="BI251" i="4"/>
  <c r="BK251" i="4"/>
  <c r="AG251" i="4"/>
  <c r="CK211" i="4"/>
  <c r="CN179" i="4"/>
  <c r="CN214" i="4"/>
  <c r="Z149" i="4"/>
  <c r="AC257" i="4"/>
  <c r="AB257" i="4"/>
  <c r="AI257" i="4"/>
  <c r="AK168" i="4"/>
  <c r="AI185" i="4"/>
  <c r="AI163" i="4"/>
  <c r="BB54" i="4"/>
  <c r="BF54" i="4"/>
  <c r="BM163" i="4"/>
  <c r="BH163" i="4"/>
  <c r="BW65" i="4"/>
  <c r="N102" i="7"/>
  <c r="AU277" i="4"/>
  <c r="AZ277" i="4"/>
  <c r="BV261" i="4"/>
  <c r="M31" i="7"/>
  <c r="AW157" i="4"/>
  <c r="BM149" i="4"/>
  <c r="AZ149" i="4"/>
  <c r="CF290" i="4"/>
  <c r="BY248" i="4"/>
  <c r="P18" i="7"/>
  <c r="AX168" i="4"/>
  <c r="BF257" i="4"/>
  <c r="AF185" i="4"/>
  <c r="AH12" i="4"/>
  <c r="AA12" i="4"/>
  <c r="AG12" i="4"/>
  <c r="CJ12" i="4"/>
  <c r="AD12" i="4"/>
  <c r="BD18" i="4"/>
  <c r="BN18" i="4"/>
  <c r="BH18" i="4"/>
  <c r="AA18" i="4"/>
  <c r="AV18" i="4"/>
  <c r="BJ18" i="4"/>
  <c r="BG18" i="4"/>
  <c r="BY18" i="4" s="1"/>
  <c r="P55" i="7" s="1"/>
  <c r="BC18" i="4"/>
  <c r="AJ18" i="4"/>
  <c r="BK87" i="4"/>
  <c r="BB87" i="4"/>
  <c r="BM87" i="4"/>
  <c r="BT87" i="4"/>
  <c r="CB87" i="4"/>
  <c r="AF87" i="4"/>
  <c r="AX87" i="4"/>
  <c r="BI87" i="4"/>
  <c r="BD87" i="4"/>
  <c r="BA87" i="4"/>
  <c r="AZ87" i="4"/>
  <c r="CJ87" i="4"/>
  <c r="BE87" i="4"/>
  <c r="AE87" i="4"/>
  <c r="BH87" i="4"/>
  <c r="AD87" i="4"/>
  <c r="BL87" i="4"/>
  <c r="AT87" i="4"/>
  <c r="AJ87" i="4"/>
  <c r="BT138" i="4"/>
  <c r="CJ138" i="4"/>
  <c r="BA138" i="4"/>
  <c r="AX138" i="4"/>
  <c r="BC138" i="4"/>
  <c r="AK138" i="4"/>
  <c r="BL138" i="4"/>
  <c r="AW138" i="4"/>
  <c r="AF138" i="4"/>
  <c r="AC138" i="4"/>
  <c r="AJ138" i="4"/>
  <c r="BD138" i="4"/>
  <c r="BM138" i="4"/>
  <c r="AI138" i="4"/>
  <c r="AV144" i="4"/>
  <c r="AW144" i="4"/>
  <c r="BE144" i="4"/>
  <c r="BC144" i="4"/>
  <c r="BM144" i="4"/>
  <c r="BF144" i="4"/>
  <c r="AY144" i="4"/>
  <c r="Z144" i="4"/>
  <c r="AX144" i="4"/>
  <c r="BB144" i="4"/>
  <c r="AK144" i="4"/>
  <c r="BI144" i="4"/>
  <c r="CF144" i="4"/>
  <c r="BA144" i="4"/>
  <c r="AG144" i="4"/>
  <c r="BA151" i="4"/>
  <c r="AW151" i="4"/>
  <c r="AF151" i="4"/>
  <c r="AU151" i="4"/>
  <c r="BN151" i="4"/>
  <c r="AZ151" i="4"/>
  <c r="AT151" i="4"/>
  <c r="AX151" i="4"/>
  <c r="BG151" i="4"/>
  <c r="AG151" i="4"/>
  <c r="BF151" i="4"/>
  <c r="AK151" i="4"/>
  <c r="AB151" i="4"/>
  <c r="CJ151" i="4"/>
  <c r="BH151" i="4"/>
  <c r="BL151" i="4"/>
  <c r="CB169" i="4"/>
  <c r="BN169" i="4"/>
  <c r="BF169" i="4"/>
  <c r="AX169" i="4"/>
  <c r="BG169" i="4"/>
  <c r="BA169" i="4"/>
  <c r="BC169" i="4"/>
  <c r="AJ169" i="4"/>
  <c r="BI169" i="4"/>
  <c r="AC169" i="4"/>
  <c r="AA169" i="4"/>
  <c r="CJ174" i="4"/>
  <c r="BG174" i="4"/>
  <c r="BN174" i="4"/>
  <c r="AG174" i="4"/>
  <c r="AU174" i="4"/>
  <c r="AV174" i="4"/>
  <c r="CD174" i="4" s="1"/>
  <c r="AI174" i="4"/>
  <c r="BE174" i="4"/>
  <c r="BB174" i="4"/>
  <c r="AB174" i="4"/>
  <c r="CB199" i="4"/>
  <c r="BI199" i="4"/>
  <c r="BE199" i="4"/>
  <c r="BG199" i="4"/>
  <c r="BF199" i="4"/>
  <c r="BJ199" i="4"/>
  <c r="AV199" i="4"/>
  <c r="BT199" i="4"/>
  <c r="BB199" i="4"/>
  <c r="AF199" i="4"/>
  <c r="AC199" i="4"/>
  <c r="BK199" i="4"/>
  <c r="BH199" i="4"/>
  <c r="AH199" i="4"/>
  <c r="BC199" i="4"/>
  <c r="BN199" i="4"/>
  <c r="AG199" i="4"/>
  <c r="BJ227" i="4"/>
  <c r="AV227" i="4"/>
  <c r="BK227" i="4"/>
  <c r="BM227" i="4"/>
  <c r="BH227" i="4"/>
  <c r="CO227" i="4"/>
  <c r="CN227" i="4"/>
  <c r="AG227" i="4"/>
  <c r="BC227" i="4"/>
  <c r="BA227" i="4"/>
  <c r="BF227" i="4"/>
  <c r="AE227" i="4"/>
  <c r="AC227" i="4"/>
  <c r="AU227" i="4"/>
  <c r="BE227" i="4"/>
  <c r="AT227" i="4"/>
  <c r="CD227" i="4"/>
  <c r="AA227" i="4"/>
  <c r="BD240" i="4"/>
  <c r="BG240" i="4"/>
  <c r="BB240" i="4"/>
  <c r="BA240" i="4"/>
  <c r="AV240" i="4"/>
  <c r="BN240" i="4"/>
  <c r="BM240" i="4"/>
  <c r="AX240" i="4"/>
  <c r="AJ240" i="4"/>
  <c r="AU240" i="4"/>
  <c r="AE240" i="4"/>
  <c r="BJ240" i="4"/>
  <c r="AY240" i="4"/>
  <c r="AD240" i="4"/>
  <c r="BC246" i="4"/>
  <c r="BB246" i="4"/>
  <c r="BA246" i="4"/>
  <c r="AJ246" i="4"/>
  <c r="AU246" i="4"/>
  <c r="BD246" i="4"/>
  <c r="AZ246" i="4"/>
  <c r="AI246" i="4"/>
  <c r="BF246" i="4"/>
  <c r="BI246" i="4"/>
  <c r="BJ246" i="4"/>
  <c r="AH246" i="4"/>
  <c r="BT252" i="4"/>
  <c r="AW252" i="4"/>
  <c r="AG252" i="4"/>
  <c r="BN252" i="4"/>
  <c r="AA252" i="4"/>
  <c r="AE252" i="4"/>
  <c r="AY252" i="4"/>
  <c r="CG252" i="4"/>
  <c r="Z252" i="4"/>
  <c r="AI252" i="4"/>
  <c r="BX161" i="4"/>
  <c r="BT158" i="4"/>
  <c r="BT246" i="4"/>
  <c r="K16" i="7"/>
  <c r="AG149" i="4"/>
  <c r="AB157" i="4"/>
  <c r="AC277" i="4"/>
  <c r="AJ257" i="4"/>
  <c r="AD168" i="4"/>
  <c r="AK185" i="4"/>
  <c r="AJ163" i="4"/>
  <c r="AI54" i="4"/>
  <c r="BM54" i="4"/>
  <c r="AU54" i="4"/>
  <c r="CN46" i="4"/>
  <c r="CK60" i="4"/>
  <c r="BJ163" i="4"/>
  <c r="BK277" i="4"/>
  <c r="BC157" i="4"/>
  <c r="BL149" i="4"/>
  <c r="BI149" i="4"/>
  <c r="BI168" i="4"/>
  <c r="BH168" i="4"/>
  <c r="BA257" i="4"/>
  <c r="CB149" i="4"/>
  <c r="BT19" i="4"/>
  <c r="CJ19" i="4"/>
  <c r="AF19" i="4"/>
  <c r="AT19" i="4"/>
  <c r="BC19" i="4"/>
  <c r="AZ19" i="4"/>
  <c r="AX19" i="4"/>
  <c r="AU19" i="4"/>
  <c r="AH19" i="4"/>
  <c r="AI19" i="4"/>
  <c r="BJ19" i="4"/>
  <c r="BN19" i="4"/>
  <c r="AG19" i="4"/>
  <c r="BB19" i="4"/>
  <c r="BA19" i="4"/>
  <c r="AE19" i="4"/>
  <c r="AD19" i="4"/>
  <c r="AJ19" i="4"/>
  <c r="BJ25" i="4"/>
  <c r="AV25" i="4"/>
  <c r="AU25" i="4"/>
  <c r="BB25" i="4"/>
  <c r="BF25" i="4"/>
  <c r="BG25" i="4"/>
  <c r="AI25" i="4"/>
  <c r="AT25" i="4"/>
  <c r="CM25" i="4" s="1"/>
  <c r="BE25" i="4"/>
  <c r="AZ25" i="4"/>
  <c r="AH25" i="4"/>
  <c r="BD57" i="4"/>
  <c r="AW57" i="4"/>
  <c r="BJ57" i="4"/>
  <c r="BG57" i="4"/>
  <c r="AY57" i="4"/>
  <c r="AV57" i="4"/>
  <c r="AZ57" i="4"/>
  <c r="CB57" i="4"/>
  <c r="BF57" i="4"/>
  <c r="BH57" i="4"/>
  <c r="CJ57" i="4"/>
  <c r="BL57" i="4"/>
  <c r="AG57" i="4"/>
  <c r="AU57" i="4"/>
  <c r="AD57" i="4"/>
  <c r="BK57" i="4"/>
  <c r="AB57" i="4"/>
  <c r="AK57" i="4"/>
  <c r="AU63" i="4"/>
  <c r="BM63" i="4"/>
  <c r="BC63" i="4"/>
  <c r="AZ63" i="4"/>
  <c r="BF63" i="4"/>
  <c r="AY63" i="4"/>
  <c r="AX63" i="4"/>
  <c r="BA63" i="4"/>
  <c r="BI63" i="4"/>
  <c r="CG63" i="4"/>
  <c r="BB63" i="4"/>
  <c r="AF63" i="4"/>
  <c r="AW63" i="4"/>
  <c r="Z63" i="4"/>
  <c r="AG63" i="4"/>
  <c r="BT107" i="4"/>
  <c r="AY107" i="4"/>
  <c r="BM107" i="4"/>
  <c r="BF107" i="4"/>
  <c r="AW107" i="4"/>
  <c r="AX107" i="4"/>
  <c r="AF107" i="4"/>
  <c r="AB107" i="4"/>
  <c r="AC107" i="4"/>
  <c r="BH107" i="4"/>
  <c r="CO107" i="4"/>
  <c r="BJ107" i="4"/>
  <c r="CB139" i="4"/>
  <c r="BM139" i="4"/>
  <c r="BK139" i="4"/>
  <c r="BA139" i="4"/>
  <c r="Z139" i="4"/>
  <c r="AD139" i="4"/>
  <c r="BE139" i="4"/>
  <c r="AZ139" i="4"/>
  <c r="AU139" i="4"/>
  <c r="AK139" i="4"/>
  <c r="AW139" i="4"/>
  <c r="BJ139" i="4"/>
  <c r="BH139" i="4"/>
  <c r="CO139" i="4"/>
  <c r="AB139" i="4"/>
  <c r="AC139" i="4"/>
  <c r="AY152" i="4"/>
  <c r="BJ152" i="4"/>
  <c r="BK152" i="4"/>
  <c r="BB152" i="4"/>
  <c r="AV152" i="4"/>
  <c r="AX152" i="4"/>
  <c r="BM152" i="4"/>
  <c r="BL152" i="4"/>
  <c r="AW152" i="4"/>
  <c r="AK152" i="4"/>
  <c r="BA152" i="4"/>
  <c r="AT152" i="4"/>
  <c r="AA152" i="4"/>
  <c r="AC152" i="4"/>
  <c r="BL159" i="4"/>
  <c r="BF159" i="4"/>
  <c r="BB159" i="4"/>
  <c r="CJ159" i="4"/>
  <c r="BN159" i="4"/>
  <c r="BK159" i="4"/>
  <c r="AU159" i="4"/>
  <c r="AZ159" i="4"/>
  <c r="BD159" i="4"/>
  <c r="BM159" i="4"/>
  <c r="AV159" i="4"/>
  <c r="AT159" i="4"/>
  <c r="AA159" i="4"/>
  <c r="BJ159" i="4"/>
  <c r="AY159" i="4"/>
  <c r="CB165" i="4"/>
  <c r="AX165" i="4"/>
  <c r="BK165" i="4"/>
  <c r="AU165" i="4"/>
  <c r="BL165" i="4"/>
  <c r="AZ165" i="4"/>
  <c r="BJ165" i="4"/>
  <c r="AF165" i="4"/>
  <c r="AJ165" i="4"/>
  <c r="BC165" i="4"/>
  <c r="BD165" i="4"/>
  <c r="BH165" i="4"/>
  <c r="AD165" i="4"/>
  <c r="AI165" i="4"/>
  <c r="BT175" i="4"/>
  <c r="CB175" i="4"/>
  <c r="BG175" i="4"/>
  <c r="BF175" i="4"/>
  <c r="AT175" i="4"/>
  <c r="BK175" i="4"/>
  <c r="BJ175" i="4"/>
  <c r="BB175" i="4"/>
  <c r="AX175" i="4"/>
  <c r="AU175" i="4"/>
  <c r="AA175" i="4"/>
  <c r="AC175" i="4"/>
  <c r="AY175" i="4"/>
  <c r="AB175" i="4"/>
  <c r="AG175" i="4"/>
  <c r="BI175" i="4"/>
  <c r="CM175" i="4"/>
  <c r="AD175" i="4"/>
  <c r="BF200" i="4"/>
  <c r="AY200" i="4"/>
  <c r="BG200" i="4"/>
  <c r="CB200" i="4"/>
  <c r="AU200" i="4"/>
  <c r="BH200" i="4"/>
  <c r="BI200" i="4"/>
  <c r="AV200" i="4"/>
  <c r="AG200" i="4"/>
  <c r="BL200" i="4"/>
  <c r="AK200" i="4"/>
  <c r="AA200" i="4"/>
  <c r="BN200" i="4"/>
  <c r="BB200" i="4"/>
  <c r="AE200" i="4"/>
  <c r="BT205" i="4"/>
  <c r="CJ205" i="4"/>
  <c r="BB205" i="4"/>
  <c r="BC205" i="4"/>
  <c r="Z205" i="4"/>
  <c r="BN205" i="4"/>
  <c r="BH205" i="4"/>
  <c r="AF205" i="4"/>
  <c r="BD205" i="4"/>
  <c r="AV205" i="4"/>
  <c r="AJ205" i="4"/>
  <c r="AB205" i="4"/>
  <c r="AE205" i="4"/>
  <c r="BT214" i="4"/>
  <c r="BC214" i="4"/>
  <c r="BG214" i="4"/>
  <c r="AW214" i="4"/>
  <c r="AK214" i="4"/>
  <c r="AG214" i="4"/>
  <c r="AT214" i="4"/>
  <c r="BF214" i="4"/>
  <c r="AA214" i="4"/>
  <c r="Z214" i="4"/>
  <c r="AE214" i="4"/>
  <c r="BJ214" i="4"/>
  <c r="BK214" i="4"/>
  <c r="AD214" i="4"/>
  <c r="BW247" i="4"/>
  <c r="N17" i="7"/>
  <c r="BG45" i="4"/>
  <c r="BM45" i="4"/>
  <c r="BF45" i="4"/>
  <c r="BI115" i="4"/>
  <c r="BK115" i="4"/>
  <c r="AW67" i="4"/>
  <c r="BC67" i="4"/>
  <c r="AF67" i="4"/>
  <c r="BK266" i="4"/>
  <c r="BB266" i="4"/>
  <c r="BH273" i="4"/>
  <c r="AV273" i="4"/>
  <c r="AW256" i="4"/>
  <c r="BA256" i="4"/>
  <c r="AZ232" i="4"/>
  <c r="AT232" i="4"/>
  <c r="AU56" i="4"/>
  <c r="BN56" i="4"/>
  <c r="BF103" i="4"/>
  <c r="AW225" i="4"/>
  <c r="AU97" i="4"/>
  <c r="BT33" i="4"/>
  <c r="BH43" i="4"/>
  <c r="AX43" i="4"/>
  <c r="BG43" i="4"/>
  <c r="CJ49" i="4"/>
  <c r="BD49" i="4"/>
  <c r="AX49" i="4"/>
  <c r="CE49" i="4" s="1"/>
  <c r="BA49" i="4"/>
  <c r="AY49" i="4"/>
  <c r="BT61" i="4"/>
  <c r="CJ61" i="4"/>
  <c r="CB73" i="4"/>
  <c r="CJ73" i="4"/>
  <c r="BB73" i="4"/>
  <c r="BC73" i="4"/>
  <c r="BH73" i="4"/>
  <c r="BT73" i="4"/>
  <c r="AT73" i="4"/>
  <c r="AU73" i="4"/>
  <c r="AW73" i="4"/>
  <c r="CJ101" i="4"/>
  <c r="CB119" i="4"/>
  <c r="BN119" i="4"/>
  <c r="BG119" i="4"/>
  <c r="BK119" i="4"/>
  <c r="BI119" i="4"/>
  <c r="CN119" i="4"/>
  <c r="AX119" i="4"/>
  <c r="AU119" i="4"/>
  <c r="BL119" i="4"/>
  <c r="BL140" i="4"/>
  <c r="AY145" i="4"/>
  <c r="AT145" i="4"/>
  <c r="BH145" i="4"/>
  <c r="CJ145" i="4"/>
  <c r="BJ145" i="4"/>
  <c r="CB153" i="4"/>
  <c r="CJ237" i="4"/>
  <c r="BT237" i="4"/>
  <c r="K119" i="7"/>
  <c r="BT119" i="4"/>
  <c r="J39" i="7"/>
  <c r="K39" i="7"/>
  <c r="BL45" i="4"/>
  <c r="AY45" i="4"/>
  <c r="AU115" i="4"/>
  <c r="BI67" i="4"/>
  <c r="BN67" i="4"/>
  <c r="AY266" i="4"/>
  <c r="BM266" i="4"/>
  <c r="AY273" i="4"/>
  <c r="BH256" i="4"/>
  <c r="BA232" i="4"/>
  <c r="BL56" i="4"/>
  <c r="AY56" i="4"/>
  <c r="AT103" i="4"/>
  <c r="CJ24" i="4"/>
  <c r="BM24" i="4"/>
  <c r="AU24" i="4"/>
  <c r="BT24" i="4"/>
  <c r="BI24" i="4"/>
  <c r="BJ24" i="4"/>
  <c r="CJ33" i="4"/>
  <c r="BI33" i="4"/>
  <c r="BH33" i="4"/>
  <c r="BF33" i="4"/>
  <c r="BL33" i="4"/>
  <c r="BK33" i="4"/>
  <c r="AV33" i="4"/>
  <c r="BN33" i="4"/>
  <c r="BM33" i="4"/>
  <c r="BC33" i="4"/>
  <c r="CJ37" i="4"/>
  <c r="AX37" i="4"/>
  <c r="BA37" i="4"/>
  <c r="BL74" i="4"/>
  <c r="BN74" i="4"/>
  <c r="BI74" i="4"/>
  <c r="AY74" i="4"/>
  <c r="BK74" i="4"/>
  <c r="BG96" i="4"/>
  <c r="AU96" i="4"/>
  <c r="BB96" i="4"/>
  <c r="AX96" i="4"/>
  <c r="AW96" i="4"/>
  <c r="BT198" i="4"/>
  <c r="CJ198" i="4"/>
  <c r="BT202" i="4"/>
  <c r="CJ202" i="4"/>
  <c r="CB202" i="4"/>
  <c r="AW224" i="4"/>
  <c r="BI224" i="4"/>
  <c r="AZ224" i="4"/>
  <c r="AX224" i="4"/>
  <c r="BT266" i="4"/>
  <c r="CB272" i="4"/>
  <c r="AX272" i="4"/>
  <c r="BD272" i="4"/>
  <c r="BJ272" i="4"/>
  <c r="BH272" i="4"/>
  <c r="CK272" i="4"/>
  <c r="AW272" i="4"/>
  <c r="BT38" i="4"/>
  <c r="CJ45" i="4"/>
  <c r="BT45" i="4"/>
  <c r="BF56" i="4"/>
  <c r="AT56" i="4"/>
  <c r="AW56" i="4"/>
  <c r="BG56" i="4"/>
  <c r="BB56" i="4"/>
  <c r="BH56" i="4"/>
  <c r="CF56" i="4"/>
  <c r="BG67" i="4"/>
  <c r="BA67" i="4"/>
  <c r="BK67" i="4"/>
  <c r="CB67" i="4"/>
  <c r="AY97" i="4"/>
  <c r="CB97" i="4"/>
  <c r="BN97" i="4"/>
  <c r="BT97" i="4"/>
  <c r="AT97" i="4"/>
  <c r="BT103" i="4"/>
  <c r="CJ103" i="4"/>
  <c r="BL103" i="4"/>
  <c r="AX103" i="4"/>
  <c r="BH103" i="4"/>
  <c r="BA103" i="4"/>
  <c r="AW103" i="4"/>
  <c r="AV103" i="4"/>
  <c r="BM103" i="4"/>
  <c r="BI103" i="4"/>
  <c r="BT110" i="4"/>
  <c r="CJ110" i="4"/>
  <c r="BB115" i="4"/>
  <c r="BJ115" i="4"/>
  <c r="BL225" i="4"/>
  <c r="AX225" i="4"/>
  <c r="BJ225" i="4"/>
  <c r="AV225" i="4"/>
  <c r="AU225" i="4"/>
  <c r="CC225" i="4" s="1"/>
  <c r="AY225" i="4"/>
  <c r="BM232" i="4"/>
  <c r="BC232" i="4"/>
  <c r="BK232" i="4"/>
  <c r="BB232" i="4"/>
  <c r="AV232" i="4"/>
  <c r="AT256" i="4"/>
  <c r="BG256" i="4"/>
  <c r="BC256" i="4"/>
  <c r="AX256" i="4"/>
  <c r="CB266" i="4"/>
  <c r="CJ266" i="4"/>
  <c r="BA266" i="4"/>
  <c r="BN266" i="4"/>
  <c r="AW266" i="4"/>
  <c r="AV266" i="4"/>
  <c r="AZ266" i="4"/>
  <c r="BF273" i="4"/>
  <c r="BB273" i="4"/>
  <c r="CJ273" i="4"/>
  <c r="BA273" i="4"/>
  <c r="AU273" i="4"/>
  <c r="J18" i="7"/>
  <c r="K18" i="7"/>
  <c r="BM23" i="4"/>
  <c r="AW23" i="4"/>
  <c r="BF26" i="4"/>
  <c r="BD26" i="4"/>
  <c r="BM26" i="4"/>
  <c r="BB26" i="4"/>
  <c r="BV26" i="4" s="1"/>
  <c r="M63" i="7" s="1"/>
  <c r="BT35" i="4"/>
  <c r="AY35" i="4"/>
  <c r="BF35" i="4"/>
  <c r="AU35" i="4"/>
  <c r="CJ35" i="4"/>
  <c r="BB35" i="4"/>
  <c r="BM35" i="4"/>
  <c r="CB40" i="4"/>
  <c r="AX40" i="4"/>
  <c r="BX40" i="4"/>
  <c r="O77" i="7"/>
  <c r="BC40" i="4"/>
  <c r="CJ40" i="4"/>
  <c r="CJ62" i="4"/>
  <c r="BK68" i="4"/>
  <c r="BW68" i="4"/>
  <c r="N105" i="7"/>
  <c r="AW68" i="4"/>
  <c r="AZ68" i="4"/>
  <c r="BU81" i="4"/>
  <c r="CJ109" i="4"/>
  <c r="CJ114" i="4"/>
  <c r="BC120" i="4"/>
  <c r="BG120" i="4"/>
  <c r="BL120" i="4"/>
  <c r="CJ120" i="4"/>
  <c r="CJ125" i="4"/>
  <c r="BI130" i="4"/>
  <c r="BG130" i="4"/>
  <c r="BC130" i="4"/>
  <c r="BL130" i="4"/>
  <c r="BM130" i="4"/>
  <c r="BN130" i="4"/>
  <c r="CJ146" i="4"/>
  <c r="BT146" i="4"/>
  <c r="CJ177" i="4"/>
  <c r="BT177" i="4"/>
  <c r="CB194" i="4"/>
  <c r="BD194" i="4"/>
  <c r="BN194" i="4"/>
  <c r="BG194" i="4"/>
  <c r="AF194" i="4"/>
  <c r="BK194" i="4"/>
  <c r="AW194" i="4"/>
  <c r="AX194" i="4"/>
  <c r="AY231" i="4"/>
  <c r="AU231" i="4"/>
  <c r="BF231" i="4"/>
  <c r="CJ241" i="4"/>
  <c r="AZ241" i="4"/>
  <c r="AF241" i="4"/>
  <c r="AY241" i="4"/>
  <c r="BT258" i="4"/>
  <c r="CJ263" i="4"/>
  <c r="CB263" i="4"/>
  <c r="BK263" i="4"/>
  <c r="AW263" i="4"/>
  <c r="BB263" i="4"/>
  <c r="BG275" i="4"/>
  <c r="AU275" i="4"/>
  <c r="BN275" i="4"/>
  <c r="BT281" i="4"/>
  <c r="BG281" i="4"/>
  <c r="BD281" i="4"/>
  <c r="BE281" i="4"/>
  <c r="BN288" i="4"/>
  <c r="BM288" i="4"/>
  <c r="AY288" i="4"/>
  <c r="K20" i="7"/>
  <c r="K67" i="7"/>
  <c r="J166" i="7"/>
  <c r="AA166" i="7"/>
  <c r="AB166" i="7"/>
  <c r="CJ16" i="4"/>
  <c r="AX16" i="4"/>
  <c r="BJ16" i="4"/>
  <c r="AV16" i="4"/>
  <c r="CJ23" i="4"/>
  <c r="AF23" i="4"/>
  <c r="BF23" i="4"/>
  <c r="AT23" i="4"/>
  <c r="BT23" i="4"/>
  <c r="BT28" i="4"/>
  <c r="CJ36" i="4"/>
  <c r="BM36" i="4"/>
  <c r="AZ36" i="4"/>
  <c r="AY36" i="4"/>
  <c r="BY36" i="4"/>
  <c r="P73" i="7"/>
  <c r="CJ42" i="4"/>
  <c r="BM42" i="4"/>
  <c r="AX42" i="4"/>
  <c r="BH42" i="4"/>
  <c r="BT53" i="4"/>
  <c r="CJ82" i="4"/>
  <c r="AV82" i="4"/>
  <c r="BI82" i="4"/>
  <c r="CE82" i="4"/>
  <c r="BF104" i="4"/>
  <c r="BJ104" i="4"/>
  <c r="BM104" i="4"/>
  <c r="BT173" i="4"/>
  <c r="BT201" i="4"/>
  <c r="BT213" i="4"/>
  <c r="CJ213" i="4"/>
  <c r="BH220" i="4"/>
  <c r="BU220" i="4"/>
  <c r="CJ226" i="4"/>
  <c r="BT238" i="4"/>
  <c r="CJ238" i="4"/>
  <c r="CJ243" i="4"/>
  <c r="CJ285" i="4"/>
  <c r="CJ253" i="4"/>
  <c r="CB191" i="4"/>
  <c r="CJ216" i="4"/>
  <c r="CJ122" i="4"/>
  <c r="BT70" i="4"/>
  <c r="BT90" i="4"/>
  <c r="BX95" i="4"/>
  <c r="CB154" i="4"/>
  <c r="CJ154" i="4"/>
  <c r="BS182" i="4"/>
  <c r="J170" i="7"/>
  <c r="AA170" i="7"/>
  <c r="AB170" i="7"/>
  <c r="CB186" i="4"/>
  <c r="CJ244" i="4"/>
  <c r="BS31" i="4"/>
  <c r="J68" i="7"/>
  <c r="AA68" i="7"/>
  <c r="AB68" i="7"/>
  <c r="BT106" i="4"/>
  <c r="CJ71" i="4"/>
  <c r="BW117" i="4"/>
  <c r="N127" i="7"/>
  <c r="BT155" i="4"/>
  <c r="CB176" i="4"/>
  <c r="CB280" i="4"/>
  <c r="BT142" i="4"/>
  <c r="K28" i="7"/>
  <c r="K58" i="7"/>
  <c r="BN155" i="4"/>
  <c r="BE155" i="4"/>
  <c r="AV155" i="4"/>
  <c r="AY122" i="4"/>
  <c r="BG122" i="4"/>
  <c r="BA122" i="4"/>
  <c r="AU106" i="4"/>
  <c r="AY106" i="4"/>
  <c r="AF106" i="4"/>
  <c r="BC105" i="4"/>
  <c r="BH105" i="4"/>
  <c r="BI105" i="4"/>
  <c r="CN105" i="4" s="1"/>
  <c r="BC17" i="4"/>
  <c r="BK17" i="4"/>
  <c r="BA17" i="4"/>
  <c r="CK17" i="4" s="1"/>
  <c r="BJ280" i="4"/>
  <c r="AU280" i="4"/>
  <c r="BL216" i="4"/>
  <c r="BM216" i="4"/>
  <c r="BB216" i="4"/>
  <c r="AT176" i="4"/>
  <c r="BN176" i="4"/>
  <c r="BM136" i="4"/>
  <c r="BF136" i="4"/>
  <c r="BE48" i="4"/>
  <c r="BC48" i="4"/>
  <c r="BG48" i="4"/>
  <c r="BF191" i="4"/>
  <c r="AT191" i="4"/>
  <c r="BL191" i="4"/>
  <c r="AY135" i="4"/>
  <c r="BE135" i="4"/>
  <c r="BH135" i="4"/>
  <c r="CM135" i="4"/>
  <c r="BB111" i="4"/>
  <c r="BI111" i="4"/>
  <c r="BN111" i="4"/>
  <c r="BE71" i="4"/>
  <c r="AX71" i="4"/>
  <c r="BL71" i="4"/>
  <c r="BN147" i="4"/>
  <c r="BD154" i="4"/>
  <c r="AT154" i="4"/>
  <c r="BI154" i="4"/>
  <c r="BG121" i="4"/>
  <c r="CJ11" i="4"/>
  <c r="BT13" i="4"/>
  <c r="CJ32" i="4"/>
  <c r="BT55" i="4"/>
  <c r="CJ81" i="4"/>
  <c r="BT86" i="4"/>
  <c r="BU123" i="4"/>
  <c r="CJ162" i="4"/>
  <c r="BT265" i="4"/>
  <c r="BT286" i="4"/>
  <c r="BT77" i="4"/>
  <c r="BT111" i="4"/>
  <c r="BT271" i="4"/>
  <c r="AO8" i="4"/>
  <c r="BT229" i="4"/>
  <c r="CJ255" i="4"/>
  <c r="BV75" i="4"/>
  <c r="BT133" i="4"/>
  <c r="BT15" i="4"/>
  <c r="BT218" i="4"/>
  <c r="BT242" i="4"/>
  <c r="CO44" i="4"/>
  <c r="CL44" i="4"/>
  <c r="CO56" i="4"/>
  <c r="CO18" i="4"/>
  <c r="CM30" i="4"/>
  <c r="CF156" i="4"/>
  <c r="CK156" i="4"/>
  <c r="BV44" i="4"/>
  <c r="M81" i="7"/>
  <c r="BX44" i="4"/>
  <c r="O81" i="7"/>
  <c r="BS44" i="4"/>
  <c r="J81" i="7"/>
  <c r="AA81" i="7"/>
  <c r="AB81" i="7"/>
  <c r="BY44" i="4"/>
  <c r="P81" i="7"/>
  <c r="BW44" i="4"/>
  <c r="N81" i="7"/>
  <c r="CF62" i="4"/>
  <c r="CC44" i="4"/>
  <c r="BU44" i="4"/>
  <c r="L81" i="7"/>
  <c r="CE255" i="4"/>
  <c r="CA255" i="4"/>
  <c r="CD255" i="4"/>
  <c r="CC255" i="4"/>
  <c r="CG255" i="4"/>
  <c r="CF255" i="4"/>
  <c r="CA132" i="4"/>
  <c r="CC132" i="4"/>
  <c r="CE132" i="4"/>
  <c r="CF132" i="4"/>
  <c r="CG132" i="4"/>
  <c r="CG254" i="4"/>
  <c r="CC254" i="4"/>
  <c r="CF254" i="4"/>
  <c r="CA254" i="4"/>
  <c r="CE254" i="4"/>
  <c r="CD254" i="4"/>
  <c r="BV160" i="4"/>
  <c r="BY160" i="4"/>
  <c r="BX160" i="4"/>
  <c r="BS160" i="4"/>
  <c r="BU160" i="4"/>
  <c r="BW160" i="4"/>
  <c r="BS65" i="4"/>
  <c r="J102" i="7"/>
  <c r="BY65" i="4"/>
  <c r="P102" i="7"/>
  <c r="BV65" i="4"/>
  <c r="M102" i="7"/>
  <c r="BU65" i="4"/>
  <c r="L102" i="7"/>
  <c r="K102" i="7"/>
  <c r="CF264" i="4"/>
  <c r="BW264" i="4"/>
  <c r="N34" i="7"/>
  <c r="BX264" i="4"/>
  <c r="O34" i="7"/>
  <c r="CO264" i="4"/>
  <c r="CN264" i="4"/>
  <c r="CG264" i="4"/>
  <c r="CD264" i="4"/>
  <c r="BY264" i="4"/>
  <c r="P34" i="7"/>
  <c r="CE264" i="4"/>
  <c r="CC264" i="4"/>
  <c r="BV264" i="4"/>
  <c r="M34" i="7"/>
  <c r="CL264" i="4"/>
  <c r="K86" i="7"/>
  <c r="BS49" i="4"/>
  <c r="J86" i="7"/>
  <c r="AA86" i="7"/>
  <c r="AB86" i="7"/>
  <c r="CD59" i="4"/>
  <c r="CF59" i="4"/>
  <c r="CA59" i="4"/>
  <c r="CG59" i="4"/>
  <c r="CC59" i="4"/>
  <c r="CE59" i="4"/>
  <c r="CM51" i="4"/>
  <c r="CO51" i="4"/>
  <c r="CF51" i="4"/>
  <c r="BY51" i="4"/>
  <c r="P88" i="7"/>
  <c r="BV51" i="4"/>
  <c r="M88" i="7"/>
  <c r="CN51" i="4"/>
  <c r="BU51" i="4"/>
  <c r="L88" i="7"/>
  <c r="CK51" i="4"/>
  <c r="CL51" i="4"/>
  <c r="CE51" i="4"/>
  <c r="CC51" i="4"/>
  <c r="CK290" i="4"/>
  <c r="BU290" i="4"/>
  <c r="L51" i="7"/>
  <c r="BV231" i="4"/>
  <c r="BW231" i="4"/>
  <c r="BY231" i="4"/>
  <c r="BU231" i="4"/>
  <c r="BS231" i="4"/>
  <c r="BX231" i="4"/>
  <c r="BS280" i="4"/>
  <c r="BX280" i="4"/>
  <c r="BV280" i="4"/>
  <c r="BW280" i="4"/>
  <c r="BU280" i="4"/>
  <c r="BY280" i="4"/>
  <c r="CD258" i="4"/>
  <c r="CF258" i="4"/>
  <c r="BU250" i="4"/>
  <c r="L20" i="7"/>
  <c r="BX250" i="4"/>
  <c r="O20" i="7"/>
  <c r="BY250" i="4"/>
  <c r="P20" i="7"/>
  <c r="BV250" i="4"/>
  <c r="M20" i="7"/>
  <c r="BS250" i="4"/>
  <c r="J20" i="7"/>
  <c r="BW250" i="4"/>
  <c r="N20" i="7"/>
  <c r="CE31" i="4"/>
  <c r="CF31" i="4"/>
  <c r="CD31" i="4"/>
  <c r="CC31" i="4"/>
  <c r="BY31" i="4"/>
  <c r="P68" i="7"/>
  <c r="CG31" i="4"/>
  <c r="BW31" i="4"/>
  <c r="N68" i="7"/>
  <c r="CI86" i="4"/>
  <c r="CO86" i="4"/>
  <c r="CM86" i="4"/>
  <c r="CL86" i="4"/>
  <c r="CG62" i="4"/>
  <c r="CA62" i="4"/>
  <c r="CD62" i="4"/>
  <c r="CE62" i="4"/>
  <c r="CL286" i="4"/>
  <c r="CO286" i="4"/>
  <c r="CI286" i="4"/>
  <c r="CM286" i="4"/>
  <c r="CN286" i="4"/>
  <c r="CG286" i="4"/>
  <c r="CA286" i="4"/>
  <c r="CF286" i="4"/>
  <c r="CD286" i="4"/>
  <c r="CC286" i="4"/>
  <c r="CK264" i="4"/>
  <c r="CO148" i="4"/>
  <c r="CE239" i="4"/>
  <c r="CO239" i="4"/>
  <c r="CC37" i="4"/>
  <c r="CG37" i="4"/>
  <c r="CG258" i="4"/>
  <c r="CI229" i="4"/>
  <c r="CK229" i="4"/>
  <c r="CN229" i="4"/>
  <c r="CL229" i="4"/>
  <c r="CO229" i="4"/>
  <c r="CM229" i="4"/>
  <c r="CC23" i="4"/>
  <c r="CF23" i="4"/>
  <c r="CG23" i="4"/>
  <c r="CE23" i="4"/>
  <c r="CD23" i="4"/>
  <c r="AA122" i="7"/>
  <c r="AB122" i="7"/>
  <c r="BX156" i="4"/>
  <c r="O137" i="7"/>
  <c r="CN156" i="4"/>
  <c r="CM156" i="4"/>
  <c r="CL156" i="4"/>
  <c r="BU156" i="4"/>
  <c r="L137" i="7"/>
  <c r="CK142" i="4"/>
  <c r="CN142" i="4"/>
  <c r="CM142" i="4"/>
  <c r="CO142" i="4"/>
  <c r="CI142" i="4"/>
  <c r="CL142" i="4"/>
  <c r="CK86" i="4"/>
  <c r="BU255" i="4"/>
  <c r="L25" i="7"/>
  <c r="BX255" i="4"/>
  <c r="O25" i="7"/>
  <c r="K25" i="7"/>
  <c r="BY255" i="4"/>
  <c r="P25" i="7"/>
  <c r="BW255" i="4"/>
  <c r="N25" i="7"/>
  <c r="BS255" i="4"/>
  <c r="J25" i="7"/>
  <c r="AA25" i="7"/>
  <c r="AB25" i="7"/>
  <c r="BV255" i="4"/>
  <c r="M25" i="7"/>
  <c r="CE20" i="4"/>
  <c r="CD20" i="4"/>
  <c r="CG20" i="4"/>
  <c r="BU20" i="4"/>
  <c r="L57" i="7"/>
  <c r="S57" i="7"/>
  <c r="CC20" i="4"/>
  <c r="CF20" i="4"/>
  <c r="BY20" i="4"/>
  <c r="P57" i="7"/>
  <c r="BW20" i="4"/>
  <c r="N57" i="7"/>
  <c r="BV20" i="4"/>
  <c r="M57" i="7"/>
  <c r="BX20" i="4"/>
  <c r="O57" i="7"/>
  <c r="CO20" i="4"/>
  <c r="CN20" i="4"/>
  <c r="CL20" i="4"/>
  <c r="CD156" i="4"/>
  <c r="CN64" i="4"/>
  <c r="BY64" i="4"/>
  <c r="P101" i="7"/>
  <c r="BV64" i="4"/>
  <c r="M101" i="7"/>
  <c r="BU64" i="4"/>
  <c r="L101" i="7"/>
  <c r="S101" i="7"/>
  <c r="CD64" i="4"/>
  <c r="BX64" i="4"/>
  <c r="O101" i="7"/>
  <c r="CK64" i="4"/>
  <c r="CO64" i="4"/>
  <c r="CI64" i="4"/>
  <c r="CM64" i="4"/>
  <c r="CL64" i="4"/>
  <c r="BW85" i="4"/>
  <c r="CM56" i="4"/>
  <c r="BV174" i="4"/>
  <c r="M142" i="7"/>
  <c r="BV62" i="4"/>
  <c r="M99" i="7"/>
  <c r="CE148" i="4"/>
  <c r="BS27" i="4"/>
  <c r="J64" i="7"/>
  <c r="AA64" i="7"/>
  <c r="AB64" i="7"/>
  <c r="BX27" i="4"/>
  <c r="O64" i="7"/>
  <c r="BY27" i="4"/>
  <c r="P64" i="7"/>
  <c r="BV27" i="4"/>
  <c r="M64" i="7"/>
  <c r="K64" i="7"/>
  <c r="BU27" i="4"/>
  <c r="L64" i="7"/>
  <c r="S64" i="7"/>
  <c r="BW27" i="4"/>
  <c r="N64" i="7"/>
  <c r="CG235" i="4"/>
  <c r="BW235" i="4"/>
  <c r="N8" i="7"/>
  <c r="BV235" i="4"/>
  <c r="M8" i="7"/>
  <c r="CC235" i="4"/>
  <c r="CD235" i="4"/>
  <c r="BU235" i="4"/>
  <c r="L8" i="7"/>
  <c r="BY235" i="4"/>
  <c r="P8" i="7"/>
  <c r="CE235" i="4"/>
  <c r="CL166" i="4"/>
  <c r="CK166" i="4"/>
  <c r="CI166" i="4"/>
  <c r="CM166" i="4"/>
  <c r="CN166" i="4"/>
  <c r="CO166" i="4"/>
  <c r="CM59" i="4"/>
  <c r="CO59" i="4"/>
  <c r="CI59" i="4"/>
  <c r="CN59" i="4"/>
  <c r="CL59" i="4"/>
  <c r="CK59" i="4"/>
  <c r="CC253" i="4"/>
  <c r="CD253" i="4"/>
  <c r="BV253" i="4"/>
  <c r="M23" i="7"/>
  <c r="BY253" i="4"/>
  <c r="P23" i="7"/>
  <c r="CG253" i="4"/>
  <c r="BU253" i="4"/>
  <c r="L23" i="7"/>
  <c r="S23" i="7"/>
  <c r="BW253" i="4"/>
  <c r="N23" i="7"/>
  <c r="CF253" i="4"/>
  <c r="BY66" i="4"/>
  <c r="P103" i="7"/>
  <c r="CO66" i="4"/>
  <c r="CF231" i="4"/>
  <c r="CE231" i="4"/>
  <c r="CG231" i="4"/>
  <c r="CL258" i="4"/>
  <c r="CO258" i="4"/>
  <c r="CN258" i="4"/>
  <c r="CI258" i="4"/>
  <c r="CK258" i="4"/>
  <c r="CM258" i="4"/>
  <c r="CN31" i="4"/>
  <c r="CI31" i="4"/>
  <c r="CM31" i="4"/>
  <c r="CO31" i="4"/>
  <c r="CK31" i="4"/>
  <c r="CL31" i="4"/>
  <c r="CK28" i="4"/>
  <c r="CM28" i="4"/>
  <c r="CN28" i="4"/>
  <c r="CD28" i="4"/>
  <c r="CF28" i="4"/>
  <c r="CC28" i="4"/>
  <c r="CO28" i="4"/>
  <c r="CG28" i="4"/>
  <c r="CL28" i="4"/>
  <c r="CE28" i="4"/>
  <c r="BU225" i="4"/>
  <c r="L160" i="7"/>
  <c r="CA210" i="4"/>
  <c r="CE210" i="4"/>
  <c r="CD210" i="4"/>
  <c r="CF210" i="4"/>
  <c r="CG210" i="4"/>
  <c r="CC210" i="4"/>
  <c r="BV210" i="4"/>
  <c r="CO210" i="4"/>
  <c r="BX183" i="4"/>
  <c r="O171" i="7"/>
  <c r="CD231" i="4"/>
  <c r="CK20" i="4"/>
  <c r="CD217" i="4"/>
  <c r="CF217" i="4"/>
  <c r="CA217" i="4"/>
  <c r="CE217" i="4"/>
  <c r="CC217" i="4"/>
  <c r="CG217" i="4"/>
  <c r="BS79" i="4"/>
  <c r="BV79" i="4"/>
  <c r="BW79" i="4"/>
  <c r="BX79" i="4"/>
  <c r="BY79" i="4"/>
  <c r="BU79" i="4"/>
  <c r="BY156" i="4"/>
  <c r="P137" i="7"/>
  <c r="CI232" i="4"/>
  <c r="CO232" i="4"/>
  <c r="BS37" i="4"/>
  <c r="J74" i="7"/>
  <c r="AA74" i="7"/>
  <c r="AB74" i="7"/>
  <c r="K74" i="7"/>
  <c r="BV37" i="4"/>
  <c r="M74" i="7"/>
  <c r="BX37" i="4"/>
  <c r="O74" i="7"/>
  <c r="BY183" i="4"/>
  <c r="P171" i="7"/>
  <c r="BW227" i="4"/>
  <c r="N161" i="7"/>
  <c r="CL26" i="4"/>
  <c r="BW156" i="4"/>
  <c r="N137" i="7"/>
  <c r="BS254" i="4"/>
  <c r="J24" i="7"/>
  <c r="AA24" i="7"/>
  <c r="AB24" i="7"/>
  <c r="BW254" i="4"/>
  <c r="N24" i="7"/>
  <c r="BU254" i="4"/>
  <c r="L24" i="7"/>
  <c r="K24" i="7"/>
  <c r="BV254" i="4"/>
  <c r="M24" i="7"/>
  <c r="CN95" i="4"/>
  <c r="CI95" i="4"/>
  <c r="CK95" i="4"/>
  <c r="CL95" i="4"/>
  <c r="CO95" i="4"/>
  <c r="CM95" i="4"/>
  <c r="CL65" i="4"/>
  <c r="CM65" i="4"/>
  <c r="CI65" i="4"/>
  <c r="CN65" i="4"/>
  <c r="CK65" i="4"/>
  <c r="CO65" i="4"/>
  <c r="CG229" i="4"/>
  <c r="CE229" i="4"/>
  <c r="CD229" i="4"/>
  <c r="CM20" i="4"/>
  <c r="BU37" i="4"/>
  <c r="L74" i="7"/>
  <c r="BU57" i="4"/>
  <c r="L94" i="7"/>
  <c r="BX254" i="4"/>
  <c r="O24" i="7"/>
  <c r="CN22" i="4"/>
  <c r="CO85" i="4"/>
  <c r="BS75" i="4"/>
  <c r="BY75" i="4"/>
  <c r="BW75" i="4"/>
  <c r="BU75" i="4"/>
  <c r="BX75" i="4"/>
  <c r="CL27" i="4"/>
  <c r="CN27" i="4"/>
  <c r="CK27" i="4"/>
  <c r="CO27" i="4"/>
  <c r="CI27" i="4"/>
  <c r="CM27" i="4"/>
  <c r="BU247" i="4"/>
  <c r="L17" i="7"/>
  <c r="S17" i="7"/>
  <c r="BY247" i="4"/>
  <c r="P17" i="7"/>
  <c r="CC247" i="4"/>
  <c r="CK247" i="4"/>
  <c r="CE247" i="4"/>
  <c r="CD247" i="4"/>
  <c r="BX247" i="4"/>
  <c r="O17" i="7"/>
  <c r="BV247" i="4"/>
  <c r="M17" i="7"/>
  <c r="CG166" i="4"/>
  <c r="CA166" i="4"/>
  <c r="CC166" i="4"/>
  <c r="CE166" i="4"/>
  <c r="CD166" i="4"/>
  <c r="CF166" i="4"/>
  <c r="CN283" i="4"/>
  <c r="CO283" i="4"/>
  <c r="CG283" i="4"/>
  <c r="CE283" i="4"/>
  <c r="CF283" i="4"/>
  <c r="CD283" i="4"/>
  <c r="CK283" i="4"/>
  <c r="BY283" i="4"/>
  <c r="P47" i="7"/>
  <c r="CL283" i="4"/>
  <c r="BW283" i="4"/>
  <c r="N47" i="7"/>
  <c r="CM234" i="4"/>
  <c r="CO234" i="4"/>
  <c r="CI234" i="4"/>
  <c r="CK234" i="4"/>
  <c r="CN234" i="4"/>
  <c r="CL234" i="4"/>
  <c r="BS95" i="4"/>
  <c r="BW95" i="4"/>
  <c r="BY95" i="4"/>
  <c r="BU95" i="4"/>
  <c r="BV95" i="4"/>
  <c r="CN84" i="4"/>
  <c r="CI84" i="4"/>
  <c r="CO84" i="4"/>
  <c r="CL84" i="4"/>
  <c r="CK84" i="4"/>
  <c r="BU278" i="4"/>
  <c r="L45" i="7"/>
  <c r="CL278" i="4"/>
  <c r="CF271" i="4"/>
  <c r="CE271" i="4"/>
  <c r="CO271" i="4"/>
  <c r="CL271" i="4"/>
  <c r="CD271" i="4"/>
  <c r="CG271" i="4"/>
  <c r="BX196" i="4"/>
  <c r="O146" i="7"/>
  <c r="CG196" i="4"/>
  <c r="BY196" i="4"/>
  <c r="P146" i="7"/>
  <c r="CF30" i="4"/>
  <c r="CN30" i="4"/>
  <c r="BW30" i="4"/>
  <c r="N67" i="7"/>
  <c r="CK30" i="4"/>
  <c r="CC30" i="4"/>
  <c r="CD51" i="4"/>
  <c r="CL290" i="4"/>
  <c r="AA29" i="7"/>
  <c r="AB29" i="7"/>
  <c r="S29" i="7"/>
  <c r="CF235" i="4"/>
  <c r="BV257" i="4"/>
  <c r="M27" i="7"/>
  <c r="CL257" i="4"/>
  <c r="BV148" i="4"/>
  <c r="M129" i="7"/>
  <c r="BY148" i="4"/>
  <c r="P129" i="7"/>
  <c r="CL148" i="4"/>
  <c r="BW148" i="4"/>
  <c r="N129" i="7"/>
  <c r="CN148" i="4"/>
  <c r="BX148" i="4"/>
  <c r="O129" i="7"/>
  <c r="BU148" i="4"/>
  <c r="L129" i="7"/>
  <c r="CK148" i="4"/>
  <c r="CF148" i="4"/>
  <c r="CG148" i="4"/>
  <c r="BS56" i="4"/>
  <c r="J93" i="7"/>
  <c r="AA93" i="7"/>
  <c r="AB93" i="7"/>
  <c r="BV216" i="4"/>
  <c r="BX216" i="4"/>
  <c r="BS216" i="4"/>
  <c r="BU216" i="4"/>
  <c r="BY216" i="4"/>
  <c r="BW216" i="4"/>
  <c r="CG82" i="4"/>
  <c r="CD82" i="4"/>
  <c r="CF229" i="4"/>
  <c r="BX220" i="4"/>
  <c r="CM247" i="4"/>
  <c r="CC148" i="4"/>
  <c r="BX235" i="4"/>
  <c r="O8" i="7"/>
  <c r="BU264" i="4"/>
  <c r="L34" i="7"/>
  <c r="S34" i="7"/>
  <c r="CM283" i="4"/>
  <c r="CE56" i="4"/>
  <c r="CD56" i="4"/>
  <c r="CM290" i="4"/>
  <c r="CG49" i="4"/>
  <c r="BW57" i="4"/>
  <c r="N94" i="7"/>
  <c r="CN199" i="4"/>
  <c r="BW208" i="4"/>
  <c r="N156" i="7"/>
  <c r="CE70" i="4"/>
  <c r="CA70" i="4"/>
  <c r="CD70" i="4"/>
  <c r="CF70" i="4"/>
  <c r="CC70" i="4"/>
  <c r="CK210" i="4"/>
  <c r="CL210" i="4"/>
  <c r="CM210" i="4"/>
  <c r="CN210" i="4"/>
  <c r="CF204" i="4"/>
  <c r="BY204" i="4"/>
  <c r="P152" i="7"/>
  <c r="CG204" i="4"/>
  <c r="CE204" i="4"/>
  <c r="CC204" i="4"/>
  <c r="CF183" i="4"/>
  <c r="CA183" i="4"/>
  <c r="CG183" i="4"/>
  <c r="CD183" i="4"/>
  <c r="CE183" i="4"/>
  <c r="CC183" i="4"/>
  <c r="BV204" i="4"/>
  <c r="M152" i="7"/>
  <c r="CD288" i="4"/>
  <c r="S134" i="7"/>
  <c r="CG270" i="4"/>
  <c r="CF270" i="4"/>
  <c r="CA270" i="4"/>
  <c r="CE270" i="4"/>
  <c r="CD270" i="4"/>
  <c r="CC270" i="4"/>
  <c r="CN242" i="4"/>
  <c r="CO242" i="4"/>
  <c r="BW241" i="4"/>
  <c r="N13" i="7"/>
  <c r="CE241" i="4"/>
  <c r="BU241" i="4"/>
  <c r="L13" i="7"/>
  <c r="S13" i="7"/>
  <c r="CD241" i="4"/>
  <c r="CL96" i="4"/>
  <c r="CO96" i="4"/>
  <c r="CK96" i="4"/>
  <c r="BW96" i="4"/>
  <c r="CM96" i="4"/>
  <c r="BU96" i="4"/>
  <c r="CN96" i="4"/>
  <c r="CD96" i="4"/>
  <c r="BV96" i="4"/>
  <c r="CF96" i="4"/>
  <c r="CO261" i="4"/>
  <c r="CM261" i="4"/>
  <c r="CI261" i="4"/>
  <c r="CN261" i="4"/>
  <c r="CK261" i="4"/>
  <c r="CL261" i="4"/>
  <c r="CL279" i="4"/>
  <c r="CK279" i="4"/>
  <c r="CM279" i="4"/>
  <c r="CO279" i="4"/>
  <c r="CI279" i="4"/>
  <c r="CN279" i="4"/>
  <c r="CC55" i="4"/>
  <c r="CM55" i="4"/>
  <c r="CN55" i="4"/>
  <c r="CL55" i="4"/>
  <c r="CO55" i="4"/>
  <c r="BV40" i="4"/>
  <c r="M77" i="7"/>
  <c r="BY40" i="4"/>
  <c r="P77" i="7"/>
  <c r="CA290" i="4"/>
  <c r="CG290" i="4"/>
  <c r="CE290" i="4"/>
  <c r="CD290" i="4"/>
  <c r="CC290" i="4"/>
  <c r="CK136" i="4"/>
  <c r="CN136" i="4"/>
  <c r="CM136" i="4"/>
  <c r="CI136" i="4"/>
  <c r="CL136" i="4"/>
  <c r="CO136" i="4"/>
  <c r="CM85" i="4"/>
  <c r="CL85" i="4"/>
  <c r="CI85" i="4"/>
  <c r="CN85" i="4"/>
  <c r="CI278" i="4"/>
  <c r="CO278" i="4"/>
  <c r="CK278" i="4"/>
  <c r="CN278" i="4"/>
  <c r="CO217" i="4"/>
  <c r="CL217" i="4"/>
  <c r="BY217" i="4"/>
  <c r="CM217" i="4"/>
  <c r="BV217" i="4"/>
  <c r="CK217" i="4"/>
  <c r="CN217" i="4"/>
  <c r="BU210" i="4"/>
  <c r="BW210" i="4"/>
  <c r="BX210" i="4"/>
  <c r="BY210" i="4"/>
  <c r="BS210" i="4"/>
  <c r="CK239" i="4"/>
  <c r="CN239" i="4"/>
  <c r="BY239" i="4"/>
  <c r="P11" i="7"/>
  <c r="CM239" i="4"/>
  <c r="BV239" i="4"/>
  <c r="M11" i="7"/>
  <c r="CA239" i="4"/>
  <c r="CC239" i="4"/>
  <c r="BU40" i="4"/>
  <c r="L77" i="7"/>
  <c r="CK176" i="4"/>
  <c r="CO176" i="4"/>
  <c r="CM176" i="4"/>
  <c r="CL176" i="4"/>
  <c r="CN176" i="4"/>
  <c r="CI176" i="4"/>
  <c r="CE44" i="4"/>
  <c r="CD44" i="4"/>
  <c r="CF44" i="4"/>
  <c r="CG44" i="4"/>
  <c r="BX96" i="4"/>
  <c r="BY17" i="4"/>
  <c r="P54" i="7"/>
  <c r="CO17" i="4"/>
  <c r="BW178" i="4"/>
  <c r="N166" i="7"/>
  <c r="CD277" i="4"/>
  <c r="CE78" i="4"/>
  <c r="S15" i="7"/>
  <c r="CC241" i="4"/>
  <c r="BU288" i="4"/>
  <c r="BX288" i="4"/>
  <c r="BV288" i="4"/>
  <c r="BY288" i="4"/>
  <c r="CC288" i="4"/>
  <c r="CL288" i="4"/>
  <c r="CN288" i="4"/>
  <c r="BW288" i="4"/>
  <c r="CK288" i="4"/>
  <c r="CA250" i="4"/>
  <c r="CC250" i="4"/>
  <c r="CE250" i="4"/>
  <c r="CG250" i="4"/>
  <c r="CD250" i="4"/>
  <c r="CF250" i="4"/>
  <c r="BW93" i="4"/>
  <c r="CC93" i="4"/>
  <c r="CG93" i="4"/>
  <c r="BU93" i="4"/>
  <c r="BY93" i="4"/>
  <c r="BX93" i="4"/>
  <c r="CN93" i="4"/>
  <c r="CG86" i="4"/>
  <c r="CD86" i="4"/>
  <c r="CA86" i="4"/>
  <c r="CC86" i="4"/>
  <c r="CF86" i="4"/>
  <c r="CE86" i="4"/>
  <c r="BY85" i="4"/>
  <c r="BV85" i="4"/>
  <c r="BU85" i="4"/>
  <c r="BX85" i="4"/>
  <c r="BS85" i="4"/>
  <c r="BS62" i="4"/>
  <c r="J99" i="7"/>
  <c r="AA99" i="7"/>
  <c r="AB99" i="7"/>
  <c r="BX62" i="4"/>
  <c r="O99" i="7"/>
  <c r="K99" i="7"/>
  <c r="BW62" i="4"/>
  <c r="N99" i="7"/>
  <c r="BU62" i="4"/>
  <c r="L99" i="7"/>
  <c r="CM183" i="4"/>
  <c r="CL183" i="4"/>
  <c r="CN183" i="4"/>
  <c r="CK183" i="4"/>
  <c r="CO183" i="4"/>
  <c r="BV183" i="4"/>
  <c r="M171" i="7"/>
  <c r="CD170" i="4"/>
  <c r="CG170" i="4"/>
  <c r="CF170" i="4"/>
  <c r="CC170" i="4"/>
  <c r="CA170" i="4"/>
  <c r="CE170" i="4"/>
  <c r="CG288" i="4"/>
  <c r="BX16" i="4"/>
  <c r="O53" i="7"/>
  <c r="CF49" i="4"/>
  <c r="BW159" i="4"/>
  <c r="N140" i="7"/>
  <c r="CL240" i="4"/>
  <c r="BY174" i="4"/>
  <c r="P142" i="7"/>
  <c r="CM272" i="4"/>
  <c r="BX215" i="4"/>
  <c r="CI270" i="4"/>
  <c r="CK270" i="4"/>
  <c r="CO270" i="4"/>
  <c r="CN270" i="4"/>
  <c r="CM270" i="4"/>
  <c r="CL270" i="4"/>
  <c r="BX261" i="4"/>
  <c r="O31" i="7"/>
  <c r="BY261" i="4"/>
  <c r="P31" i="7"/>
  <c r="BW261" i="4"/>
  <c r="N31" i="7"/>
  <c r="K31" i="7"/>
  <c r="BS261" i="4"/>
  <c r="J31" i="7"/>
  <c r="AA31" i="7"/>
  <c r="AB31" i="7"/>
  <c r="BU261" i="4"/>
  <c r="L31" i="7"/>
  <c r="BS279" i="4"/>
  <c r="J46" i="7"/>
  <c r="BV279" i="4"/>
  <c r="M46" i="7"/>
  <c r="BX279" i="4"/>
  <c r="O46" i="7"/>
  <c r="K46" i="7"/>
  <c r="BY279" i="4"/>
  <c r="P46" i="7"/>
  <c r="BW279" i="4"/>
  <c r="N46" i="7"/>
  <c r="BU279" i="4"/>
  <c r="L46" i="7"/>
  <c r="BS36" i="4"/>
  <c r="J73" i="7"/>
  <c r="AA73" i="7"/>
  <c r="AB73" i="7"/>
  <c r="BV36" i="4"/>
  <c r="M73" i="7"/>
  <c r="K73" i="7"/>
  <c r="BY290" i="4"/>
  <c r="P51" i="7"/>
  <c r="BV290" i="4"/>
  <c r="M51" i="7"/>
  <c r="CN290" i="4"/>
  <c r="BX290" i="4"/>
  <c r="O51" i="7"/>
  <c r="BW290" i="4"/>
  <c r="N51" i="7"/>
  <c r="CI231" i="4"/>
  <c r="CO231" i="4"/>
  <c r="CL231" i="4"/>
  <c r="CM231" i="4"/>
  <c r="CN231" i="4"/>
  <c r="CK231" i="4"/>
  <c r="CF281" i="4"/>
  <c r="CE281" i="4"/>
  <c r="CL281" i="4"/>
  <c r="CO281" i="4"/>
  <c r="CC16" i="4"/>
  <c r="CD16" i="4"/>
  <c r="CE16" i="4"/>
  <c r="CG16" i="4"/>
  <c r="CF16" i="4"/>
  <c r="CL280" i="4"/>
  <c r="CO280" i="4"/>
  <c r="CK280" i="4"/>
  <c r="CI280" i="4"/>
  <c r="CN280" i="4"/>
  <c r="CM280" i="4"/>
  <c r="CI250" i="4"/>
  <c r="CO250" i="4"/>
  <c r="CN250" i="4"/>
  <c r="CM250" i="4"/>
  <c r="CM170" i="4"/>
  <c r="CN170" i="4"/>
  <c r="CI170" i="4"/>
  <c r="CO170" i="4"/>
  <c r="CK170" i="4"/>
  <c r="CL170" i="4"/>
  <c r="CG142" i="4"/>
  <c r="CC142" i="4"/>
  <c r="CD142" i="4"/>
  <c r="CE142" i="4"/>
  <c r="CA142" i="4"/>
  <c r="CF142" i="4"/>
  <c r="CE196" i="4"/>
  <c r="CD196" i="4"/>
  <c r="BS176" i="4"/>
  <c r="J164" i="7"/>
  <c r="AA164" i="7"/>
  <c r="AB164" i="7"/>
  <c r="K164" i="7"/>
  <c r="BS30" i="4"/>
  <c r="J67" i="7"/>
  <c r="AA67" i="7"/>
  <c r="AB67" i="7"/>
  <c r="BU30" i="4"/>
  <c r="L67" i="7"/>
  <c r="S67" i="7"/>
  <c r="BV30" i="4"/>
  <c r="M67" i="7"/>
  <c r="BX30" i="4"/>
  <c r="O67" i="7"/>
  <c r="BY30" i="4"/>
  <c r="P67" i="7"/>
  <c r="CG64" i="4"/>
  <c r="CE64" i="4"/>
  <c r="CC64" i="4"/>
  <c r="CF64" i="4"/>
  <c r="CO290" i="4"/>
  <c r="CG281" i="4"/>
  <c r="CD281" i="4"/>
  <c r="CK281" i="4"/>
  <c r="CF196" i="4"/>
  <c r="BX241" i="4"/>
  <c r="O13" i="7"/>
  <c r="CN25" i="4"/>
  <c r="CF257" i="4"/>
  <c r="CF215" i="4"/>
  <c r="BV287" i="4"/>
  <c r="M50" i="7"/>
  <c r="BV128" i="4"/>
  <c r="CL242" i="4"/>
  <c r="CC242" i="4"/>
  <c r="CG242" i="4"/>
  <c r="CD242" i="4"/>
  <c r="CK242" i="4"/>
  <c r="CE242" i="4"/>
  <c r="CF242" i="4"/>
  <c r="CI186" i="4"/>
  <c r="CO186" i="4"/>
  <c r="CL186" i="4"/>
  <c r="CK186" i="4"/>
  <c r="CD279" i="4"/>
  <c r="CF279" i="4"/>
  <c r="CG279" i="4"/>
  <c r="CC279" i="4"/>
  <c r="BY208" i="4"/>
  <c r="P156" i="7"/>
  <c r="CK76" i="4"/>
  <c r="CO76" i="4"/>
  <c r="CI76" i="4"/>
  <c r="CN76" i="4"/>
  <c r="CL76" i="4"/>
  <c r="CM76" i="4"/>
  <c r="CF85" i="4"/>
  <c r="CE85" i="4"/>
  <c r="CD85" i="4"/>
  <c r="CA85" i="4"/>
  <c r="CG85" i="4"/>
  <c r="CC85" i="4"/>
  <c r="CL70" i="4"/>
  <c r="CM70" i="4"/>
  <c r="CO70" i="4"/>
  <c r="CN70" i="4"/>
  <c r="CK70" i="4"/>
  <c r="CC278" i="4"/>
  <c r="CE278" i="4"/>
  <c r="CA278" i="4"/>
  <c r="CF278" i="4"/>
  <c r="CD278" i="4"/>
  <c r="CD177" i="4"/>
  <c r="CF177" i="4"/>
  <c r="CC177" i="4"/>
  <c r="BX170" i="4"/>
  <c r="BS170" i="4"/>
  <c r="BW170" i="4"/>
  <c r="BY170" i="4"/>
  <c r="BV170" i="4"/>
  <c r="BU170" i="4"/>
  <c r="CA216" i="4"/>
  <c r="CD216" i="4"/>
  <c r="CF216" i="4"/>
  <c r="CC216" i="4"/>
  <c r="CG216" i="4"/>
  <c r="CE216" i="4"/>
  <c r="CG203" i="4"/>
  <c r="CF203" i="4"/>
  <c r="BU203" i="4"/>
  <c r="CD203" i="4"/>
  <c r="CC203" i="4"/>
  <c r="CE203" i="4"/>
  <c r="BW203" i="4"/>
  <c r="BY203" i="4"/>
  <c r="CI203" i="4"/>
  <c r="CM203" i="4"/>
  <c r="CL203" i="4"/>
  <c r="CN203" i="4"/>
  <c r="CK203" i="4"/>
  <c r="CO203" i="4"/>
  <c r="BV196" i="4"/>
  <c r="M146" i="7"/>
  <c r="BU208" i="4"/>
  <c r="L156" i="7"/>
  <c r="S156" i="7"/>
  <c r="CC79" i="4"/>
  <c r="CG79" i="4"/>
  <c r="CF79" i="4"/>
  <c r="CD79" i="4"/>
  <c r="CE79" i="4"/>
  <c r="CA79" i="4"/>
  <c r="CE152" i="4"/>
  <c r="CF47" i="4"/>
  <c r="CL175" i="4"/>
  <c r="S146" i="7"/>
  <c r="BW186" i="4"/>
  <c r="N174" i="7"/>
  <c r="BU186" i="4"/>
  <c r="L174" i="7"/>
  <c r="BS186" i="4"/>
  <c r="J174" i="7"/>
  <c r="AA174" i="7"/>
  <c r="AB174" i="7"/>
  <c r="K174" i="7"/>
  <c r="BY186" i="4"/>
  <c r="P174" i="7"/>
  <c r="BX186" i="4"/>
  <c r="O174" i="7"/>
  <c r="BV186" i="4"/>
  <c r="M174" i="7"/>
  <c r="CK235" i="4"/>
  <c r="CI235" i="4"/>
  <c r="CL235" i="4"/>
  <c r="CO235" i="4"/>
  <c r="K47" i="7"/>
  <c r="BV283" i="4"/>
  <c r="M47" i="7"/>
  <c r="BS283" i="4"/>
  <c r="J47" i="7"/>
  <c r="AA47" i="7"/>
  <c r="AB47" i="7"/>
  <c r="CA234" i="4"/>
  <c r="CG234" i="4"/>
  <c r="CD234" i="4"/>
  <c r="CF234" i="4"/>
  <c r="CC234" i="4"/>
  <c r="CE234" i="4"/>
  <c r="CD171" i="4"/>
  <c r="CA171" i="4"/>
  <c r="CF171" i="4"/>
  <c r="CA95" i="4"/>
  <c r="CD95" i="4"/>
  <c r="CG95" i="4"/>
  <c r="CC95" i="4"/>
  <c r="CE95" i="4"/>
  <c r="CF95" i="4"/>
  <c r="CO80" i="4"/>
  <c r="CK80" i="4"/>
  <c r="CL80" i="4"/>
  <c r="BW80" i="4"/>
  <c r="CM80" i="4"/>
  <c r="CN80" i="4"/>
  <c r="BY80" i="4"/>
  <c r="CF80" i="4"/>
  <c r="BX80" i="4"/>
  <c r="CD80" i="4"/>
  <c r="BU80" i="4"/>
  <c r="BV80" i="4"/>
  <c r="CC80" i="4"/>
  <c r="CN245" i="4"/>
  <c r="CM245" i="4"/>
  <c r="CL245" i="4"/>
  <c r="CO245" i="4"/>
  <c r="CK245" i="4"/>
  <c r="CI245" i="4"/>
  <c r="CF208" i="4"/>
  <c r="CE208" i="4"/>
  <c r="CG208" i="4"/>
  <c r="CC208" i="4"/>
  <c r="CD208" i="4"/>
  <c r="CA208" i="4"/>
  <c r="K68" i="7"/>
  <c r="BV31" i="4"/>
  <c r="M68" i="7"/>
  <c r="CM93" i="4"/>
  <c r="CI93" i="4"/>
  <c r="CK93" i="4"/>
  <c r="CL93" i="4"/>
  <c r="BU136" i="4"/>
  <c r="CE136" i="4"/>
  <c r="BX136" i="4"/>
  <c r="CD136" i="4"/>
  <c r="BW136" i="4"/>
  <c r="CG136" i="4"/>
  <c r="CF136" i="4"/>
  <c r="BV136" i="4"/>
  <c r="CC136" i="4"/>
  <c r="BY136" i="4"/>
  <c r="CE279" i="4"/>
  <c r="BY278" i="4"/>
  <c r="P45" i="7"/>
  <c r="BV278" i="4"/>
  <c r="M45" i="7"/>
  <c r="BW278" i="4"/>
  <c r="N45" i="7"/>
  <c r="BX278" i="4"/>
  <c r="O45" i="7"/>
  <c r="CI156" i="4"/>
  <c r="CO156" i="4"/>
  <c r="CA156" i="4"/>
  <c r="CE156" i="4"/>
  <c r="CG156" i="4"/>
  <c r="CC156" i="4"/>
  <c r="BS239" i="4"/>
  <c r="J11" i="7"/>
  <c r="AA11" i="7"/>
  <c r="AB11" i="7"/>
  <c r="BX239" i="4"/>
  <c r="O11" i="7"/>
  <c r="BW239" i="4"/>
  <c r="N11" i="7"/>
  <c r="K11" i="7"/>
  <c r="BU239" i="4"/>
  <c r="L11" i="7"/>
  <c r="CD37" i="4"/>
  <c r="CA37" i="4"/>
  <c r="CI30" i="4"/>
  <c r="CO30" i="4"/>
  <c r="BX208" i="4"/>
  <c r="O156" i="7"/>
  <c r="CM44" i="4"/>
  <c r="CN44" i="4"/>
  <c r="CK44" i="4"/>
  <c r="CG188" i="4"/>
  <c r="BV208" i="4"/>
  <c r="M156" i="7"/>
  <c r="CC83" i="4"/>
  <c r="CF83" i="4"/>
  <c r="CE83" i="4"/>
  <c r="CG83" i="4"/>
  <c r="CD83" i="4"/>
  <c r="CA83" i="4"/>
  <c r="BX240" i="4"/>
  <c r="O12" i="7"/>
  <c r="K14" i="7"/>
  <c r="BS242" i="4"/>
  <c r="J14" i="7"/>
  <c r="AA14" i="7"/>
  <c r="AB14" i="7"/>
  <c r="BW242" i="4"/>
  <c r="N14" i="7"/>
  <c r="BX242" i="4"/>
  <c r="O14" i="7"/>
  <c r="BV242" i="4"/>
  <c r="M14" i="7"/>
  <c r="BU242" i="4"/>
  <c r="L14" i="7"/>
  <c r="BY242" i="4"/>
  <c r="P14" i="7"/>
  <c r="BU271" i="4"/>
  <c r="L41" i="7"/>
  <c r="BY271" i="4"/>
  <c r="P41" i="7"/>
  <c r="BW271" i="4"/>
  <c r="N41" i="7"/>
  <c r="K41" i="7"/>
  <c r="BV271" i="4"/>
  <c r="M41" i="7"/>
  <c r="BX271" i="4"/>
  <c r="O41" i="7"/>
  <c r="BS271" i="4"/>
  <c r="J41" i="7"/>
  <c r="AA41" i="7"/>
  <c r="AB41" i="7"/>
  <c r="CI81" i="4"/>
  <c r="CL81" i="4"/>
  <c r="CM81" i="4"/>
  <c r="CO81" i="4"/>
  <c r="CK81" i="4"/>
  <c r="CN81" i="4"/>
  <c r="BS55" i="4"/>
  <c r="J92" i="7"/>
  <c r="AA92" i="7"/>
  <c r="AB92" i="7"/>
  <c r="BU55" i="4"/>
  <c r="L92" i="7"/>
  <c r="BW55" i="4"/>
  <c r="N92" i="7"/>
  <c r="BX55" i="4"/>
  <c r="O92" i="7"/>
  <c r="BV55" i="4"/>
  <c r="M92" i="7"/>
  <c r="BY55" i="4"/>
  <c r="P92" i="7"/>
  <c r="K92" i="7"/>
  <c r="CF280" i="4"/>
  <c r="CE280" i="4"/>
  <c r="CD280" i="4"/>
  <c r="CA280" i="4"/>
  <c r="CC280" i="4"/>
  <c r="CG280" i="4"/>
  <c r="CL154" i="4"/>
  <c r="CM154" i="4"/>
  <c r="CI154" i="4"/>
  <c r="CO154" i="4"/>
  <c r="CK154" i="4"/>
  <c r="CN154" i="4"/>
  <c r="BS70" i="4"/>
  <c r="BU70" i="4"/>
  <c r="BY70" i="4"/>
  <c r="BW70" i="4"/>
  <c r="BX70" i="4"/>
  <c r="BV70" i="4"/>
  <c r="CI122" i="4"/>
  <c r="CO122" i="4"/>
  <c r="CN122" i="4"/>
  <c r="CK122" i="4"/>
  <c r="CM122" i="4"/>
  <c r="CL122" i="4"/>
  <c r="CO238" i="4"/>
  <c r="CM238" i="4"/>
  <c r="CL238" i="4"/>
  <c r="CN238" i="4"/>
  <c r="CK238" i="4"/>
  <c r="CI238" i="4"/>
  <c r="BS53" i="4"/>
  <c r="J90" i="7"/>
  <c r="AA90" i="7"/>
  <c r="AB90" i="7"/>
  <c r="K90" i="7"/>
  <c r="BX53" i="4"/>
  <c r="O90" i="7"/>
  <c r="BV53" i="4"/>
  <c r="M90" i="7"/>
  <c r="BW53" i="4"/>
  <c r="N90" i="7"/>
  <c r="BU53" i="4"/>
  <c r="L90" i="7"/>
  <c r="BY53" i="4"/>
  <c r="P90" i="7"/>
  <c r="CF40" i="4"/>
  <c r="CD40" i="4"/>
  <c r="CA40" i="4"/>
  <c r="CC40" i="4"/>
  <c r="CE40" i="4"/>
  <c r="CG40" i="4"/>
  <c r="CM232" i="4"/>
  <c r="CF232" i="4"/>
  <c r="BU232" i="4"/>
  <c r="L6" i="7"/>
  <c r="BV232" i="4"/>
  <c r="M6" i="7"/>
  <c r="CE232" i="4"/>
  <c r="CD232" i="4"/>
  <c r="BX232" i="4"/>
  <c r="O6" i="7"/>
  <c r="BW232" i="4"/>
  <c r="N6" i="7"/>
  <c r="CG232" i="4"/>
  <c r="CL232" i="4"/>
  <c r="CC232" i="4"/>
  <c r="BY232" i="4"/>
  <c r="P6" i="7"/>
  <c r="CG205" i="4"/>
  <c r="CE205" i="4"/>
  <c r="CF205" i="4"/>
  <c r="CD205" i="4"/>
  <c r="CC205" i="4"/>
  <c r="CA175" i="4"/>
  <c r="CE175" i="4"/>
  <c r="CD175" i="4"/>
  <c r="CG175" i="4"/>
  <c r="CC175" i="4"/>
  <c r="CF175" i="4"/>
  <c r="CO165" i="4"/>
  <c r="CL165" i="4"/>
  <c r="CM165" i="4"/>
  <c r="CN165" i="4"/>
  <c r="CK165" i="4"/>
  <c r="BW165" i="4"/>
  <c r="BU165" i="4"/>
  <c r="BY165" i="4"/>
  <c r="BX165" i="4"/>
  <c r="BV165" i="4"/>
  <c r="CL63" i="4"/>
  <c r="BW63" i="4"/>
  <c r="N100" i="7"/>
  <c r="CN63" i="4"/>
  <c r="CK63" i="4"/>
  <c r="BU63" i="4"/>
  <c r="L100" i="7"/>
  <c r="BV63" i="4"/>
  <c r="M100" i="7"/>
  <c r="CM63" i="4"/>
  <c r="BY63" i="4"/>
  <c r="P100" i="7"/>
  <c r="BX63" i="4"/>
  <c r="O100" i="7"/>
  <c r="CO63" i="4"/>
  <c r="CC57" i="4"/>
  <c r="CF57" i="4"/>
  <c r="CE57" i="4"/>
  <c r="CD57" i="4"/>
  <c r="CA57" i="4"/>
  <c r="CG57" i="4"/>
  <c r="BU19" i="4"/>
  <c r="L56" i="7"/>
  <c r="BW19" i="4"/>
  <c r="N56" i="7"/>
  <c r="BV19" i="4"/>
  <c r="M56" i="7"/>
  <c r="BY19" i="4"/>
  <c r="P56" i="7"/>
  <c r="BX19" i="4"/>
  <c r="O56" i="7"/>
  <c r="K56" i="7"/>
  <c r="BS19" i="4"/>
  <c r="J56" i="7"/>
  <c r="AA56" i="7"/>
  <c r="AB56" i="7"/>
  <c r="CL168" i="4"/>
  <c r="BU168" i="4"/>
  <c r="CD168" i="4"/>
  <c r="BW168" i="4"/>
  <c r="CC168" i="4"/>
  <c r="CM168" i="4"/>
  <c r="BY168" i="4"/>
  <c r="CE168" i="4"/>
  <c r="CN168" i="4"/>
  <c r="BX168" i="4"/>
  <c r="CG168" i="4"/>
  <c r="CF168" i="4"/>
  <c r="BV168" i="4"/>
  <c r="CK168" i="4"/>
  <c r="CO168" i="4"/>
  <c r="BV163" i="4"/>
  <c r="CO163" i="4"/>
  <c r="CL163" i="4"/>
  <c r="CE163" i="4"/>
  <c r="BW163" i="4"/>
  <c r="CM163" i="4"/>
  <c r="CF163" i="4"/>
  <c r="CC163" i="4"/>
  <c r="CG163" i="4"/>
  <c r="CD163" i="4"/>
  <c r="BU163" i="4"/>
  <c r="CK163" i="4"/>
  <c r="BX163" i="4"/>
  <c r="BY163" i="4"/>
  <c r="CN163" i="4"/>
  <c r="CI251" i="4"/>
  <c r="CL251" i="4"/>
  <c r="CK251" i="4"/>
  <c r="CM251" i="4"/>
  <c r="CO251" i="4"/>
  <c r="CN251" i="4"/>
  <c r="CF150" i="4"/>
  <c r="CD150" i="4"/>
  <c r="CE150" i="4"/>
  <c r="CG150" i="4"/>
  <c r="CC150" i="4"/>
  <c r="CA150" i="4"/>
  <c r="S109" i="7"/>
  <c r="CM69" i="4"/>
  <c r="CL69" i="4"/>
  <c r="CI69" i="4"/>
  <c r="CK69" i="4"/>
  <c r="CN69" i="4"/>
  <c r="CO69" i="4"/>
  <c r="BS157" i="4"/>
  <c r="J138" i="7"/>
  <c r="AA138" i="7"/>
  <c r="AB138" i="7"/>
  <c r="K138" i="7"/>
  <c r="BU157" i="4"/>
  <c r="L138" i="7"/>
  <c r="BY157" i="4"/>
  <c r="P138" i="7"/>
  <c r="BW157" i="4"/>
  <c r="N138" i="7"/>
  <c r="BX157" i="4"/>
  <c r="O138" i="7"/>
  <c r="BV157" i="4"/>
  <c r="M138" i="7"/>
  <c r="BY149" i="4"/>
  <c r="P130" i="7"/>
  <c r="BW149" i="4"/>
  <c r="N130" i="7"/>
  <c r="BV149" i="4"/>
  <c r="M130" i="7"/>
  <c r="K130" i="7"/>
  <c r="BS149" i="4"/>
  <c r="J130" i="7"/>
  <c r="AA130" i="7"/>
  <c r="AB130" i="7"/>
  <c r="BU149" i="4"/>
  <c r="L130" i="7"/>
  <c r="BX149" i="4"/>
  <c r="O130" i="7"/>
  <c r="CG209" i="4"/>
  <c r="CF209" i="4"/>
  <c r="CE209" i="4"/>
  <c r="CD209" i="4"/>
  <c r="CC209" i="4"/>
  <c r="CG174" i="4"/>
  <c r="AA123" i="7"/>
  <c r="AB123" i="7"/>
  <c r="S123" i="7"/>
  <c r="K66" i="7"/>
  <c r="BV29" i="4"/>
  <c r="M66" i="7"/>
  <c r="BX29" i="4"/>
  <c r="O66" i="7"/>
  <c r="BU29" i="4"/>
  <c r="L66" i="7"/>
  <c r="BY29" i="4"/>
  <c r="P66" i="7"/>
  <c r="BW29" i="4"/>
  <c r="N66" i="7"/>
  <c r="BS29" i="4"/>
  <c r="J66" i="7"/>
  <c r="AA66" i="7"/>
  <c r="AB66" i="7"/>
  <c r="CD52" i="4"/>
  <c r="CN52" i="4"/>
  <c r="CC52" i="4"/>
  <c r="CL52" i="4"/>
  <c r="CM52" i="4"/>
  <c r="BW52" i="4"/>
  <c r="N89" i="7"/>
  <c r="CO52" i="4"/>
  <c r="CF52" i="4"/>
  <c r="CE52" i="4"/>
  <c r="CG52" i="4"/>
  <c r="BX52" i="4"/>
  <c r="O89" i="7"/>
  <c r="CK52" i="4"/>
  <c r="CE240" i="4"/>
  <c r="S47" i="7"/>
  <c r="BX83" i="4"/>
  <c r="BY83" i="4"/>
  <c r="BV83" i="4"/>
  <c r="BW83" i="4"/>
  <c r="BS83" i="4"/>
  <c r="BU83" i="4"/>
  <c r="CC63" i="4"/>
  <c r="BX128" i="4"/>
  <c r="BW240" i="4"/>
  <c r="N12" i="7"/>
  <c r="BU128" i="4"/>
  <c r="BX287" i="4"/>
  <c r="O50" i="7"/>
  <c r="CO267" i="4"/>
  <c r="CG225" i="4"/>
  <c r="S9" i="7"/>
  <c r="CM139" i="4"/>
  <c r="BV240" i="4"/>
  <c r="M12" i="7"/>
  <c r="CD257" i="4"/>
  <c r="BW225" i="4"/>
  <c r="N160" i="7"/>
  <c r="BX68" i="4"/>
  <c r="O105" i="7"/>
  <c r="CO240" i="4"/>
  <c r="CL146" i="4"/>
  <c r="CO146" i="4"/>
  <c r="CK146" i="4"/>
  <c r="CN146" i="4"/>
  <c r="CM146" i="4"/>
  <c r="CI146" i="4"/>
  <c r="K36" i="7"/>
  <c r="BV266" i="4"/>
  <c r="M36" i="7"/>
  <c r="BW266" i="4"/>
  <c r="N36" i="7"/>
  <c r="BU266" i="4"/>
  <c r="L36" i="7"/>
  <c r="BY266" i="4"/>
  <c r="P36" i="7"/>
  <c r="BX266" i="4"/>
  <c r="O36" i="7"/>
  <c r="BS266" i="4"/>
  <c r="J36" i="7"/>
  <c r="AA36" i="7"/>
  <c r="AB36" i="7"/>
  <c r="CG69" i="4"/>
  <c r="CF69" i="4"/>
  <c r="CE69" i="4"/>
  <c r="CC69" i="4"/>
  <c r="CA69" i="4"/>
  <c r="CD69" i="4"/>
  <c r="BY138" i="4"/>
  <c r="BX138" i="4"/>
  <c r="BS138" i="4"/>
  <c r="BW138" i="4"/>
  <c r="BV138" i="4"/>
  <c r="BU138" i="4"/>
  <c r="CO185" i="4"/>
  <c r="CN185" i="4"/>
  <c r="CL185" i="4"/>
  <c r="CM185" i="4"/>
  <c r="CK185" i="4"/>
  <c r="CN282" i="4"/>
  <c r="CK282" i="4"/>
  <c r="CO282" i="4"/>
  <c r="CL282" i="4"/>
  <c r="CM282" i="4"/>
  <c r="CI282" i="4"/>
  <c r="CO199" i="4"/>
  <c r="CE257" i="4"/>
  <c r="CL255" i="4"/>
  <c r="CM255" i="4"/>
  <c r="CI255" i="4"/>
  <c r="CK255" i="4"/>
  <c r="CO255" i="4"/>
  <c r="CN255" i="4"/>
  <c r="BV229" i="4"/>
  <c r="BS229" i="4"/>
  <c r="BX229" i="4"/>
  <c r="BU229" i="4"/>
  <c r="BY229" i="4"/>
  <c r="BW229" i="4"/>
  <c r="BS286" i="4"/>
  <c r="J49" i="7"/>
  <c r="AA49" i="7"/>
  <c r="AB49" i="7"/>
  <c r="K49" i="7"/>
  <c r="BU286" i="4"/>
  <c r="L49" i="7"/>
  <c r="BV286" i="4"/>
  <c r="M49" i="7"/>
  <c r="BX286" i="4"/>
  <c r="O49" i="7"/>
  <c r="BY286" i="4"/>
  <c r="P49" i="7"/>
  <c r="BW286" i="4"/>
  <c r="N49" i="7"/>
  <c r="CN106" i="4"/>
  <c r="CM106" i="4"/>
  <c r="CL106" i="4"/>
  <c r="CO106" i="4"/>
  <c r="CK106" i="4"/>
  <c r="CM71" i="4"/>
  <c r="CI71" i="4"/>
  <c r="CO71" i="4"/>
  <c r="CL71" i="4"/>
  <c r="CK71" i="4"/>
  <c r="CN71" i="4"/>
  <c r="BS106" i="4"/>
  <c r="J116" i="7"/>
  <c r="AA116" i="7"/>
  <c r="AB116" i="7"/>
  <c r="K116" i="7"/>
  <c r="BV106" i="4"/>
  <c r="M116" i="7"/>
  <c r="BW106" i="4"/>
  <c r="N116" i="7"/>
  <c r="BU106" i="4"/>
  <c r="L116" i="7"/>
  <c r="BX106" i="4"/>
  <c r="O116" i="7"/>
  <c r="BY106" i="4"/>
  <c r="P116" i="7"/>
  <c r="CL253" i="4"/>
  <c r="CM253" i="4"/>
  <c r="CK253" i="4"/>
  <c r="CI253" i="4"/>
  <c r="CO253" i="4"/>
  <c r="CN253" i="4"/>
  <c r="BS213" i="4"/>
  <c r="BU213" i="4"/>
  <c r="BY213" i="4"/>
  <c r="BX213" i="4"/>
  <c r="BW213" i="4"/>
  <c r="BV213" i="4"/>
  <c r="CA194" i="4"/>
  <c r="CE194" i="4"/>
  <c r="CD194" i="4"/>
  <c r="CG194" i="4"/>
  <c r="CC194" i="4"/>
  <c r="CF194" i="4"/>
  <c r="CI125" i="4"/>
  <c r="CK125" i="4"/>
  <c r="CO125" i="4"/>
  <c r="CN125" i="4"/>
  <c r="CL125" i="4"/>
  <c r="CM125" i="4"/>
  <c r="CL109" i="4"/>
  <c r="CM109" i="4"/>
  <c r="CN109" i="4"/>
  <c r="CO109" i="4"/>
  <c r="CI109" i="4"/>
  <c r="CK109" i="4"/>
  <c r="CL62" i="4"/>
  <c r="CO62" i="4"/>
  <c r="CM62" i="4"/>
  <c r="CK62" i="4"/>
  <c r="CI62" i="4"/>
  <c r="CN62" i="4"/>
  <c r="CN273" i="4"/>
  <c r="CM273" i="4"/>
  <c r="CI273" i="4"/>
  <c r="CL273" i="4"/>
  <c r="CO273" i="4"/>
  <c r="CK273" i="4"/>
  <c r="BS110" i="4"/>
  <c r="J120" i="7"/>
  <c r="AA120" i="7"/>
  <c r="AB120" i="7"/>
  <c r="BW110" i="4"/>
  <c r="N120" i="7"/>
  <c r="BX110" i="4"/>
  <c r="O120" i="7"/>
  <c r="BV110" i="4"/>
  <c r="M120" i="7"/>
  <c r="BU110" i="4"/>
  <c r="L120" i="7"/>
  <c r="BY110" i="4"/>
  <c r="P120" i="7"/>
  <c r="K120" i="7"/>
  <c r="CM103" i="4"/>
  <c r="CL103" i="4"/>
  <c r="CK103" i="4"/>
  <c r="CI103" i="4"/>
  <c r="CN103" i="4"/>
  <c r="CO103" i="4"/>
  <c r="CA97" i="4"/>
  <c r="BS38" i="4"/>
  <c r="J75" i="7"/>
  <c r="AA75" i="7"/>
  <c r="AB75" i="7"/>
  <c r="K75" i="7"/>
  <c r="BU38" i="4"/>
  <c r="L75" i="7"/>
  <c r="BV38" i="4"/>
  <c r="M75" i="7"/>
  <c r="BX38" i="4"/>
  <c r="O75" i="7"/>
  <c r="BW38" i="4"/>
  <c r="N75" i="7"/>
  <c r="BY38" i="4"/>
  <c r="P75" i="7"/>
  <c r="CA272" i="4"/>
  <c r="CD272" i="4"/>
  <c r="CC272" i="4"/>
  <c r="CF272" i="4"/>
  <c r="CG272" i="4"/>
  <c r="CE272" i="4"/>
  <c r="BU224" i="4"/>
  <c r="L159" i="7"/>
  <c r="CK224" i="4"/>
  <c r="CM224" i="4"/>
  <c r="BY224" i="4"/>
  <c r="P159" i="7"/>
  <c r="CE224" i="4"/>
  <c r="CC224" i="4"/>
  <c r="BW224" i="4"/>
  <c r="N159" i="7"/>
  <c r="CO224" i="4"/>
  <c r="CD224" i="4"/>
  <c r="BV224" i="4"/>
  <c r="M159" i="7"/>
  <c r="CN224" i="4"/>
  <c r="CG224" i="4"/>
  <c r="BX224" i="4"/>
  <c r="O159" i="7"/>
  <c r="CL224" i="4"/>
  <c r="CF224" i="4"/>
  <c r="BS198" i="4"/>
  <c r="BY198" i="4"/>
  <c r="BU198" i="4"/>
  <c r="BW198" i="4"/>
  <c r="BV198" i="4"/>
  <c r="BX198" i="4"/>
  <c r="BX67" i="4"/>
  <c r="O104" i="7"/>
  <c r="BV67" i="4"/>
  <c r="M104" i="7"/>
  <c r="BW67" i="4"/>
  <c r="N104" i="7"/>
  <c r="BY67" i="4"/>
  <c r="P104" i="7"/>
  <c r="BU67" i="4"/>
  <c r="L104" i="7"/>
  <c r="AA39" i="7"/>
  <c r="AB39" i="7"/>
  <c r="S39" i="7"/>
  <c r="BU145" i="4"/>
  <c r="BX145" i="4"/>
  <c r="BW145" i="4"/>
  <c r="CD145" i="4"/>
  <c r="CG145" i="4"/>
  <c r="CC145" i="4"/>
  <c r="CE145" i="4"/>
  <c r="CF145" i="4"/>
  <c r="BY145" i="4"/>
  <c r="BU49" i="4"/>
  <c r="L86" i="7"/>
  <c r="BW49" i="4"/>
  <c r="N86" i="7"/>
  <c r="BV49" i="4"/>
  <c r="M86" i="7"/>
  <c r="CD49" i="4"/>
  <c r="BY49" i="4"/>
  <c r="P86" i="7"/>
  <c r="CD165" i="4"/>
  <c r="CC165" i="4"/>
  <c r="CG165" i="4"/>
  <c r="CF165" i="4"/>
  <c r="CE165" i="4"/>
  <c r="CA165" i="4"/>
  <c r="BS158" i="4"/>
  <c r="J139" i="7"/>
  <c r="AA139" i="7"/>
  <c r="AB139" i="7"/>
  <c r="BU158" i="4"/>
  <c r="L139" i="7"/>
  <c r="BY158" i="4"/>
  <c r="P139" i="7"/>
  <c r="BV158" i="4"/>
  <c r="M139" i="7"/>
  <c r="BW158" i="4"/>
  <c r="N139" i="7"/>
  <c r="K139" i="7"/>
  <c r="BX158" i="4"/>
  <c r="O139" i="7"/>
  <c r="CC240" i="4"/>
  <c r="CD240" i="4"/>
  <c r="CG240" i="4"/>
  <c r="CE227" i="4"/>
  <c r="CC227" i="4"/>
  <c r="CM227" i="4"/>
  <c r="CE151" i="4"/>
  <c r="BY151" i="4"/>
  <c r="P132" i="7"/>
  <c r="CF151" i="4"/>
  <c r="BV151" i="4"/>
  <c r="M132" i="7"/>
  <c r="BX151" i="4"/>
  <c r="O132" i="7"/>
  <c r="CD151" i="4"/>
  <c r="BU151" i="4"/>
  <c r="L132" i="7"/>
  <c r="CC151" i="4"/>
  <c r="BW151" i="4"/>
  <c r="N132" i="7"/>
  <c r="CG151" i="4"/>
  <c r="BY233" i="4"/>
  <c r="P7" i="7"/>
  <c r="BX233" i="4"/>
  <c r="O7" i="7"/>
  <c r="K7" i="7"/>
  <c r="BV233" i="4"/>
  <c r="M7" i="7"/>
  <c r="BS233" i="4"/>
  <c r="J7" i="7"/>
  <c r="AA7" i="7"/>
  <c r="AB7" i="7"/>
  <c r="BU233" i="4"/>
  <c r="L7" i="7"/>
  <c r="S7" i="7"/>
  <c r="BW233" i="4"/>
  <c r="N7" i="7"/>
  <c r="CA185" i="4"/>
  <c r="CE185" i="4"/>
  <c r="CD185" i="4"/>
  <c r="CG185" i="4"/>
  <c r="CC185" i="4"/>
  <c r="CF185" i="4"/>
  <c r="S45" i="7"/>
  <c r="CK199" i="4"/>
  <c r="CL119" i="4"/>
  <c r="BY16" i="4"/>
  <c r="P53" i="7"/>
  <c r="CE274" i="4"/>
  <c r="CC274" i="4"/>
  <c r="CF274" i="4"/>
  <c r="CD274" i="4"/>
  <c r="CA274" i="4"/>
  <c r="CG274" i="4"/>
  <c r="CA267" i="4"/>
  <c r="CE267" i="4"/>
  <c r="CG267" i="4"/>
  <c r="CD267" i="4"/>
  <c r="CF267" i="4"/>
  <c r="CC267" i="4"/>
  <c r="CA190" i="4"/>
  <c r="CD190" i="4"/>
  <c r="CE190" i="4"/>
  <c r="CC190" i="4"/>
  <c r="CG190" i="4"/>
  <c r="CF190" i="4"/>
  <c r="CL72" i="4"/>
  <c r="CM72" i="4"/>
  <c r="CK72" i="4"/>
  <c r="CN72" i="4"/>
  <c r="CO72" i="4"/>
  <c r="BW58" i="4"/>
  <c r="N95" i="7"/>
  <c r="BY58" i="4"/>
  <c r="P95" i="7"/>
  <c r="BV58" i="4"/>
  <c r="M95" i="7"/>
  <c r="BX58" i="4"/>
  <c r="O95" i="7"/>
  <c r="BU58" i="4"/>
  <c r="L95" i="7"/>
  <c r="AA88" i="7"/>
  <c r="AB88" i="7"/>
  <c r="S88" i="7"/>
  <c r="BS39" i="4"/>
  <c r="J76" i="7"/>
  <c r="AA76" i="7"/>
  <c r="AB76" i="7"/>
  <c r="K76" i="7"/>
  <c r="BY39" i="4"/>
  <c r="P76" i="7"/>
  <c r="BU39" i="4"/>
  <c r="L76" i="7"/>
  <c r="BX39" i="4"/>
  <c r="O76" i="7"/>
  <c r="BV39" i="4"/>
  <c r="M76" i="7"/>
  <c r="BW39" i="4"/>
  <c r="N76" i="7"/>
  <c r="CG78" i="4"/>
  <c r="S111" i="7"/>
  <c r="CF63" i="4"/>
  <c r="BW139" i="4"/>
  <c r="BY240" i="4"/>
  <c r="P12" i="7"/>
  <c r="CF152" i="4"/>
  <c r="CN18" i="4"/>
  <c r="CC174" i="4"/>
  <c r="CC233" i="4"/>
  <c r="AA143" i="7"/>
  <c r="AB143" i="7"/>
  <c r="CD144" i="4"/>
  <c r="CL139" i="4"/>
  <c r="CE225" i="4"/>
  <c r="BU105" i="4"/>
  <c r="L115" i="7"/>
  <c r="BY215" i="4"/>
  <c r="CK227" i="4"/>
  <c r="BU267" i="4"/>
  <c r="L37" i="7"/>
  <c r="CN252" i="4"/>
  <c r="S172" i="7"/>
  <c r="CM105" i="4"/>
  <c r="CG227" i="4"/>
  <c r="BV115" i="4"/>
  <c r="M125" i="7"/>
  <c r="CM18" i="4"/>
  <c r="CO252" i="4"/>
  <c r="BU227" i="4"/>
  <c r="L161" i="7"/>
  <c r="BX18" i="4"/>
  <c r="O55" i="7"/>
  <c r="CG155" i="4"/>
  <c r="CN155" i="4"/>
  <c r="CD155" i="4"/>
  <c r="CE155" i="4"/>
  <c r="CF155" i="4"/>
  <c r="CK155" i="4"/>
  <c r="CL155" i="4"/>
  <c r="CO155" i="4"/>
  <c r="CC155" i="4"/>
  <c r="CM155" i="4"/>
  <c r="BU281" i="4"/>
  <c r="BV281" i="4"/>
  <c r="BY281" i="4"/>
  <c r="BS281" i="4"/>
  <c r="BW281" i="4"/>
  <c r="BX281" i="4"/>
  <c r="CO177" i="4"/>
  <c r="CL177" i="4"/>
  <c r="CI177" i="4"/>
  <c r="CN177" i="4"/>
  <c r="CM177" i="4"/>
  <c r="CK177" i="4"/>
  <c r="CK68" i="4"/>
  <c r="CO68" i="4"/>
  <c r="CN68" i="4"/>
  <c r="CL68" i="4"/>
  <c r="CM68" i="4"/>
  <c r="BU68" i="4"/>
  <c r="L105" i="7"/>
  <c r="CN101" i="4"/>
  <c r="CL101" i="4"/>
  <c r="CM101" i="4"/>
  <c r="CI101" i="4"/>
  <c r="CK101" i="4"/>
  <c r="CO101" i="4"/>
  <c r="CF45" i="4"/>
  <c r="CD45" i="4"/>
  <c r="CE45" i="4"/>
  <c r="CC45" i="4"/>
  <c r="CG45" i="4"/>
  <c r="CD200" i="4"/>
  <c r="CA200" i="4"/>
  <c r="CE200" i="4"/>
  <c r="CF200" i="4"/>
  <c r="CG200" i="4"/>
  <c r="CC200" i="4"/>
  <c r="CN152" i="4"/>
  <c r="CO152" i="4"/>
  <c r="BU152" i="4"/>
  <c r="L133" i="7"/>
  <c r="BX152" i="4"/>
  <c r="O133" i="7"/>
  <c r="BY152" i="4"/>
  <c r="P133" i="7"/>
  <c r="BV152" i="4"/>
  <c r="M133" i="7"/>
  <c r="BW152" i="4"/>
  <c r="N133" i="7"/>
  <c r="CL152" i="4"/>
  <c r="CK152" i="4"/>
  <c r="CC152" i="4"/>
  <c r="CM152" i="4"/>
  <c r="BS252" i="4"/>
  <c r="J22" i="7"/>
  <c r="AA22" i="7"/>
  <c r="AB22" i="7"/>
  <c r="BY252" i="4"/>
  <c r="P22" i="7"/>
  <c r="BU252" i="4"/>
  <c r="L22" i="7"/>
  <c r="BV252" i="4"/>
  <c r="M22" i="7"/>
  <c r="K22" i="7"/>
  <c r="BX252" i="4"/>
  <c r="O22" i="7"/>
  <c r="BW252" i="4"/>
  <c r="N22" i="7"/>
  <c r="CF158" i="4"/>
  <c r="CA158" i="4"/>
  <c r="CC158" i="4"/>
  <c r="CD158" i="4"/>
  <c r="CE158" i="4"/>
  <c r="CG158" i="4"/>
  <c r="CL158" i="4"/>
  <c r="CM158" i="4"/>
  <c r="CK158" i="4"/>
  <c r="CI158" i="4"/>
  <c r="CN158" i="4"/>
  <c r="CO158" i="4"/>
  <c r="CA54" i="4"/>
  <c r="CG54" i="4"/>
  <c r="CD54" i="4"/>
  <c r="CF54" i="4"/>
  <c r="CE54" i="4"/>
  <c r="CC54" i="4"/>
  <c r="CF195" i="4"/>
  <c r="BV195" i="4"/>
  <c r="M145" i="7"/>
  <c r="CK195" i="4"/>
  <c r="CG195" i="4"/>
  <c r="BS282" i="4"/>
  <c r="BW282" i="4"/>
  <c r="BU282" i="4"/>
  <c r="BY282" i="4"/>
  <c r="BX282" i="4"/>
  <c r="BV282" i="4"/>
  <c r="K157" i="7"/>
  <c r="BS209" i="4"/>
  <c r="J157" i="7"/>
  <c r="AA157" i="7"/>
  <c r="AB157" i="7"/>
  <c r="BY209" i="4"/>
  <c r="P157" i="7"/>
  <c r="BX209" i="4"/>
  <c r="O157" i="7"/>
  <c r="BV209" i="4"/>
  <c r="M157" i="7"/>
  <c r="BU209" i="4"/>
  <c r="L157" i="7"/>
  <c r="BW209" i="4"/>
  <c r="N157" i="7"/>
  <c r="CN257" i="4"/>
  <c r="BX174" i="4"/>
  <c r="O142" i="7"/>
  <c r="CL18" i="4"/>
  <c r="CN135" i="4"/>
  <c r="CL135" i="4"/>
  <c r="CO135" i="4"/>
  <c r="CA202" i="4"/>
  <c r="CE202" i="4"/>
  <c r="CD202" i="4"/>
  <c r="CG202" i="4"/>
  <c r="CC202" i="4"/>
  <c r="CF202" i="4"/>
  <c r="CE24" i="4"/>
  <c r="CF24" i="4"/>
  <c r="CC24" i="4"/>
  <c r="CD24" i="4"/>
  <c r="CG24" i="4"/>
  <c r="BX73" i="4"/>
  <c r="BW73" i="4"/>
  <c r="BV73" i="4"/>
  <c r="BS73" i="4"/>
  <c r="BY73" i="4"/>
  <c r="BU73" i="4"/>
  <c r="BX15" i="4"/>
  <c r="O52" i="7"/>
  <c r="BY15" i="4"/>
  <c r="P52" i="7"/>
  <c r="BU15" i="4"/>
  <c r="L52" i="7"/>
  <c r="K52" i="7"/>
  <c r="BS15" i="4"/>
  <c r="J52" i="7"/>
  <c r="AA52" i="7"/>
  <c r="AB52" i="7"/>
  <c r="BV15" i="4"/>
  <c r="M52" i="7"/>
  <c r="BW15" i="4"/>
  <c r="N52" i="7"/>
  <c r="BS35" i="4"/>
  <c r="J72" i="7"/>
  <c r="AA72" i="7"/>
  <c r="AB72" i="7"/>
  <c r="K72" i="7"/>
  <c r="BX26" i="4"/>
  <c r="O63" i="7"/>
  <c r="CK26" i="4"/>
  <c r="BU26" i="4"/>
  <c r="L63" i="7"/>
  <c r="CO26" i="4"/>
  <c r="CK110" i="4"/>
  <c r="CL110" i="4"/>
  <c r="CM110" i="4"/>
  <c r="CN110" i="4"/>
  <c r="CO110" i="4"/>
  <c r="CI110" i="4"/>
  <c r="CK198" i="4"/>
  <c r="CI198" i="4"/>
  <c r="CL198" i="4"/>
  <c r="CM198" i="4"/>
  <c r="CN198" i="4"/>
  <c r="CO198" i="4"/>
  <c r="CD33" i="4"/>
  <c r="CE33" i="4"/>
  <c r="CG33" i="4"/>
  <c r="CC33" i="4"/>
  <c r="CF33" i="4"/>
  <c r="K70" i="7"/>
  <c r="BU33" i="4"/>
  <c r="L70" i="7"/>
  <c r="BY33" i="4"/>
  <c r="P70" i="7"/>
  <c r="BV33" i="4"/>
  <c r="M70" i="7"/>
  <c r="BX33" i="4"/>
  <c r="O70" i="7"/>
  <c r="BW33" i="4"/>
  <c r="N70" i="7"/>
  <c r="BS33" i="4"/>
  <c r="J70" i="7"/>
  <c r="AA70" i="7"/>
  <c r="AB70" i="7"/>
  <c r="BV69" i="4"/>
  <c r="BS69" i="4"/>
  <c r="BW69" i="4"/>
  <c r="BY69" i="4"/>
  <c r="BU69" i="4"/>
  <c r="BX69" i="4"/>
  <c r="CE277" i="4"/>
  <c r="CC277" i="4"/>
  <c r="CC287" i="4"/>
  <c r="CF287" i="4"/>
  <c r="CD287" i="4"/>
  <c r="CG287" i="4"/>
  <c r="CE287" i="4"/>
  <c r="AA124" i="7"/>
  <c r="AB124" i="7"/>
  <c r="BV57" i="4"/>
  <c r="M94" i="7"/>
  <c r="CD78" i="4"/>
  <c r="S73" i="7"/>
  <c r="BU174" i="4"/>
  <c r="L142" i="7"/>
  <c r="CL195" i="4"/>
  <c r="CF233" i="4"/>
  <c r="CE233" i="4"/>
  <c r="S33" i="7"/>
  <c r="BU17" i="4"/>
  <c r="L54" i="7"/>
  <c r="CM17" i="4"/>
  <c r="BX17" i="4"/>
  <c r="O54" i="7"/>
  <c r="BW17" i="4"/>
  <c r="N54" i="7"/>
  <c r="CA176" i="4"/>
  <c r="CF176" i="4"/>
  <c r="CE176" i="4"/>
  <c r="CG176" i="4"/>
  <c r="CC176" i="4"/>
  <c r="CD176" i="4"/>
  <c r="BS155" i="4"/>
  <c r="J136" i="7"/>
  <c r="AA136" i="7"/>
  <c r="AB136" i="7"/>
  <c r="BU155" i="4"/>
  <c r="L136" i="7"/>
  <c r="BY155" i="4"/>
  <c r="P136" i="7"/>
  <c r="BV155" i="4"/>
  <c r="M136" i="7"/>
  <c r="BX155" i="4"/>
  <c r="O136" i="7"/>
  <c r="K136" i="7"/>
  <c r="BW155" i="4"/>
  <c r="N136" i="7"/>
  <c r="CI285" i="4"/>
  <c r="CL285" i="4"/>
  <c r="CN285" i="4"/>
  <c r="CK285" i="4"/>
  <c r="CM285" i="4"/>
  <c r="CO285" i="4"/>
  <c r="CD220" i="4"/>
  <c r="CG220" i="4"/>
  <c r="CC220" i="4"/>
  <c r="CF220" i="4"/>
  <c r="CE220" i="4"/>
  <c r="CK220" i="4"/>
  <c r="CO220" i="4"/>
  <c r="CL220" i="4"/>
  <c r="CM220" i="4"/>
  <c r="CN220" i="4"/>
  <c r="BW220" i="4"/>
  <c r="BV220" i="4"/>
  <c r="BY220" i="4"/>
  <c r="CN82" i="4"/>
  <c r="CK82" i="4"/>
  <c r="CI82" i="4"/>
  <c r="CO82" i="4"/>
  <c r="CL82" i="4"/>
  <c r="CM82" i="4"/>
  <c r="BS28" i="4"/>
  <c r="J65" i="7"/>
  <c r="AA65" i="7"/>
  <c r="AB65" i="7"/>
  <c r="BU28" i="4"/>
  <c r="L65" i="7"/>
  <c r="BX28" i="4"/>
  <c r="O65" i="7"/>
  <c r="BY28" i="4"/>
  <c r="P65" i="7"/>
  <c r="BW28" i="4"/>
  <c r="N65" i="7"/>
  <c r="BV28" i="4"/>
  <c r="M65" i="7"/>
  <c r="K65" i="7"/>
  <c r="CI23" i="4"/>
  <c r="AA20" i="7"/>
  <c r="AB20" i="7"/>
  <c r="S20" i="7"/>
  <c r="BS258" i="4"/>
  <c r="J28" i="7"/>
  <c r="AA28" i="7"/>
  <c r="AB28" i="7"/>
  <c r="BY258" i="4"/>
  <c r="P28" i="7"/>
  <c r="BU258" i="4"/>
  <c r="L28" i="7"/>
  <c r="BX258" i="4"/>
  <c r="O28" i="7"/>
  <c r="BV258" i="4"/>
  <c r="M28" i="7"/>
  <c r="BW258" i="4"/>
  <c r="N28" i="7"/>
  <c r="CM40" i="4"/>
  <c r="CI40" i="4"/>
  <c r="CO40" i="4"/>
  <c r="CN40" i="4"/>
  <c r="CK40" i="4"/>
  <c r="CL40" i="4"/>
  <c r="CA266" i="4"/>
  <c r="CF266" i="4"/>
  <c r="CC266" i="4"/>
  <c r="CD266" i="4"/>
  <c r="CE266" i="4"/>
  <c r="CG266" i="4"/>
  <c r="BY103" i="4"/>
  <c r="P113" i="7"/>
  <c r="BW103" i="4"/>
  <c r="N113" i="7"/>
  <c r="BU103" i="4"/>
  <c r="L113" i="7"/>
  <c r="BX103" i="4"/>
  <c r="O113" i="7"/>
  <c r="BV103" i="4"/>
  <c r="M113" i="7"/>
  <c r="BS103" i="4"/>
  <c r="J113" i="7"/>
  <c r="AA113" i="7"/>
  <c r="AB113" i="7"/>
  <c r="K113" i="7"/>
  <c r="BY56" i="4"/>
  <c r="P93" i="7"/>
  <c r="BX56" i="4"/>
  <c r="O93" i="7"/>
  <c r="BV56" i="4"/>
  <c r="M93" i="7"/>
  <c r="BW56" i="4"/>
  <c r="N93" i="7"/>
  <c r="CK56" i="4"/>
  <c r="CC56" i="4"/>
  <c r="CN56" i="4"/>
  <c r="CL56" i="4"/>
  <c r="BS202" i="4"/>
  <c r="J151" i="7"/>
  <c r="AA151" i="7"/>
  <c r="AB151" i="7"/>
  <c r="BX202" i="4"/>
  <c r="O151" i="7"/>
  <c r="BW202" i="4"/>
  <c r="N151" i="7"/>
  <c r="K151" i="7"/>
  <c r="BV202" i="4"/>
  <c r="M151" i="7"/>
  <c r="BU202" i="4"/>
  <c r="L151" i="7"/>
  <c r="BY202" i="4"/>
  <c r="P151" i="7"/>
  <c r="CM74" i="4"/>
  <c r="CC74" i="4"/>
  <c r="CL74" i="4"/>
  <c r="BV74" i="4"/>
  <c r="CN74" i="4"/>
  <c r="BX74" i="4"/>
  <c r="CK74" i="4"/>
  <c r="BY74" i="4"/>
  <c r="CG74" i="4"/>
  <c r="BW74" i="4"/>
  <c r="CE74" i="4"/>
  <c r="BU74" i="4"/>
  <c r="CF74" i="4"/>
  <c r="CD74" i="4"/>
  <c r="CO74" i="4"/>
  <c r="BY37" i="4"/>
  <c r="P74" i="7"/>
  <c r="CE37" i="4"/>
  <c r="CF37" i="4"/>
  <c r="CO33" i="4"/>
  <c r="CK33" i="4"/>
  <c r="CI33" i="4"/>
  <c r="CL33" i="4"/>
  <c r="CN33" i="4"/>
  <c r="CM33" i="4"/>
  <c r="CI61" i="4"/>
  <c r="CK61" i="4"/>
  <c r="CL61" i="4"/>
  <c r="CO61" i="4"/>
  <c r="CM61" i="4"/>
  <c r="CN61" i="4"/>
  <c r="CE115" i="4"/>
  <c r="CG115" i="4"/>
  <c r="CC115" i="4"/>
  <c r="CF115" i="4"/>
  <c r="CD115" i="4"/>
  <c r="BY115" i="4"/>
  <c r="P125" i="7"/>
  <c r="CL115" i="4"/>
  <c r="CD107" i="4"/>
  <c r="CG107" i="4"/>
  <c r="CF107" i="4"/>
  <c r="CE107" i="4"/>
  <c r="CL107" i="4"/>
  <c r="CC107" i="4"/>
  <c r="CM107" i="4"/>
  <c r="CE149" i="4"/>
  <c r="CG149" i="4"/>
  <c r="CD149" i="4"/>
  <c r="CC149" i="4"/>
  <c r="CF149" i="4"/>
  <c r="CA149" i="4"/>
  <c r="CI174" i="4"/>
  <c r="CM174" i="4"/>
  <c r="CL174" i="4"/>
  <c r="CK174" i="4"/>
  <c r="CN174" i="4"/>
  <c r="CO174" i="4"/>
  <c r="BU169" i="4"/>
  <c r="CO169" i="4"/>
  <c r="BV169" i="4"/>
  <c r="CL169" i="4"/>
  <c r="BW169" i="4"/>
  <c r="BY169" i="4"/>
  <c r="CN169" i="4"/>
  <c r="BX169" i="4"/>
  <c r="CM169" i="4"/>
  <c r="CK169" i="4"/>
  <c r="CM151" i="4"/>
  <c r="CO151" i="4"/>
  <c r="CI151" i="4"/>
  <c r="CK151" i="4"/>
  <c r="CN151" i="4"/>
  <c r="CL151" i="4"/>
  <c r="CD87" i="4"/>
  <c r="CC87" i="4"/>
  <c r="CE87" i="4"/>
  <c r="CF87" i="4"/>
  <c r="CG87" i="4"/>
  <c r="CA87" i="4"/>
  <c r="BU56" i="4"/>
  <c r="L93" i="7"/>
  <c r="S93" i="7"/>
  <c r="CA251" i="4"/>
  <c r="CD251" i="4"/>
  <c r="CE251" i="4"/>
  <c r="CF251" i="4"/>
  <c r="CG251" i="4"/>
  <c r="CC251" i="4"/>
  <c r="CN233" i="4"/>
  <c r="CI233" i="4"/>
  <c r="CM233" i="4"/>
  <c r="CL233" i="4"/>
  <c r="CO233" i="4"/>
  <c r="CK233" i="4"/>
  <c r="BW40" i="4"/>
  <c r="N77" i="7"/>
  <c r="CL25" i="4"/>
  <c r="CL190" i="4"/>
  <c r="CM190" i="4"/>
  <c r="CK190" i="4"/>
  <c r="CO190" i="4"/>
  <c r="CN190" i="4"/>
  <c r="CI190" i="4"/>
  <c r="CC29" i="4"/>
  <c r="CG29" i="4"/>
  <c r="CD29" i="4"/>
  <c r="CE29" i="4"/>
  <c r="CF29" i="4"/>
  <c r="CO29" i="4"/>
  <c r="CM29" i="4"/>
  <c r="CL29" i="4"/>
  <c r="CE47" i="4"/>
  <c r="CC47" i="4"/>
  <c r="CG47" i="4"/>
  <c r="CD47" i="4"/>
  <c r="BS47" i="4"/>
  <c r="J84" i="7"/>
  <c r="AA84" i="7"/>
  <c r="AB84" i="7"/>
  <c r="BV47" i="4"/>
  <c r="M84" i="7"/>
  <c r="BY47" i="4"/>
  <c r="P84" i="7"/>
  <c r="BW47" i="4"/>
  <c r="N84" i="7"/>
  <c r="BX47" i="4"/>
  <c r="O84" i="7"/>
  <c r="BU47" i="4"/>
  <c r="L84" i="7"/>
  <c r="CD159" i="4"/>
  <c r="BV159" i="4"/>
  <c r="M140" i="7"/>
  <c r="S83" i="7"/>
  <c r="CO175" i="4"/>
  <c r="CC49" i="4"/>
  <c r="CN29" i="4"/>
  <c r="CO25" i="4"/>
  <c r="CC78" i="4"/>
  <c r="CK119" i="4"/>
  <c r="BX139" i="4"/>
  <c r="CE144" i="4"/>
  <c r="CO257" i="4"/>
  <c r="CN195" i="4"/>
  <c r="CF174" i="4"/>
  <c r="S114" i="7"/>
  <c r="CN107" i="4"/>
  <c r="BY195" i="4"/>
  <c r="P145" i="7"/>
  <c r="CM240" i="4"/>
  <c r="BV267" i="4"/>
  <c r="M37" i="7"/>
  <c r="CD152" i="4"/>
  <c r="BY241" i="4"/>
  <c r="P13" i="7"/>
  <c r="CF227" i="4"/>
  <c r="CK139" i="4"/>
  <c r="BV227" i="4"/>
  <c r="M161" i="7"/>
  <c r="CG233" i="4"/>
  <c r="BU133" i="4"/>
  <c r="BV133" i="4"/>
  <c r="BX133" i="4"/>
  <c r="BW133" i="4"/>
  <c r="BY133" i="4"/>
  <c r="BS133" i="4"/>
  <c r="CM111" i="4"/>
  <c r="CF111" i="4"/>
  <c r="CO111" i="4"/>
  <c r="CE111" i="4"/>
  <c r="CD111" i="4"/>
  <c r="CN111" i="4"/>
  <c r="CG111" i="4"/>
  <c r="CK111" i="4"/>
  <c r="CC111" i="4"/>
  <c r="CL111" i="4"/>
  <c r="CC105" i="4"/>
  <c r="CD105" i="4"/>
  <c r="CE105" i="4"/>
  <c r="CF105" i="4"/>
  <c r="BX105" i="4"/>
  <c r="O115" i="7"/>
  <c r="CG105" i="4"/>
  <c r="BW105" i="4"/>
  <c r="N115" i="7"/>
  <c r="CK105" i="4"/>
  <c r="BV105" i="4"/>
  <c r="M115" i="7"/>
  <c r="CL105" i="4"/>
  <c r="BY105" i="4"/>
  <c r="P115" i="7"/>
  <c r="CO105" i="4"/>
  <c r="BW90" i="4"/>
  <c r="BX90" i="4"/>
  <c r="BY90" i="4"/>
  <c r="BU90" i="4"/>
  <c r="BV90" i="4"/>
  <c r="BS90" i="4"/>
  <c r="CI226" i="4"/>
  <c r="CM226" i="4"/>
  <c r="CN226" i="4"/>
  <c r="CL226" i="4"/>
  <c r="CK226" i="4"/>
  <c r="CO226" i="4"/>
  <c r="CO36" i="4"/>
  <c r="CI36" i="4"/>
  <c r="CM36" i="4"/>
  <c r="CN36" i="4"/>
  <c r="CL36" i="4"/>
  <c r="CK36" i="4"/>
  <c r="CN19" i="4"/>
  <c r="CL19" i="4"/>
  <c r="CO19" i="4"/>
  <c r="CK19" i="4"/>
  <c r="CI19" i="4"/>
  <c r="CM19" i="4"/>
  <c r="CM149" i="4"/>
  <c r="CN149" i="4"/>
  <c r="CL149" i="4"/>
  <c r="CO149" i="4"/>
  <c r="CK149" i="4"/>
  <c r="CI149" i="4"/>
  <c r="CF221" i="4"/>
  <c r="CE221" i="4"/>
  <c r="CD221" i="4"/>
  <c r="CG221" i="4"/>
  <c r="CC221" i="4"/>
  <c r="CA221" i="4"/>
  <c r="CA189" i="4"/>
  <c r="CF189" i="4"/>
  <c r="CD189" i="4"/>
  <c r="CC189" i="4"/>
  <c r="CE189" i="4"/>
  <c r="CG189" i="4"/>
  <c r="CK134" i="4"/>
  <c r="CL134" i="4"/>
  <c r="CO134" i="4"/>
  <c r="CM134" i="4"/>
  <c r="CI134" i="4"/>
  <c r="CN134" i="4"/>
  <c r="CL47" i="4"/>
  <c r="CK47" i="4"/>
  <c r="CI47" i="4"/>
  <c r="CO47" i="4"/>
  <c r="CN47" i="4"/>
  <c r="CM47" i="4"/>
  <c r="CI58" i="4"/>
  <c r="CO58" i="4"/>
  <c r="CM58" i="4"/>
  <c r="CK58" i="4"/>
  <c r="CL58" i="4"/>
  <c r="CN58" i="4"/>
  <c r="BV249" i="4"/>
  <c r="M19" i="7"/>
  <c r="BU249" i="4"/>
  <c r="L19" i="7"/>
  <c r="CL249" i="4"/>
  <c r="CK249" i="4"/>
  <c r="BX249" i="4"/>
  <c r="O19" i="7"/>
  <c r="CN249" i="4"/>
  <c r="BW249" i="4"/>
  <c r="N19" i="7"/>
  <c r="CM249" i="4"/>
  <c r="BY249" i="4"/>
  <c r="P19" i="7"/>
  <c r="CD186" i="4"/>
  <c r="CF186" i="4"/>
  <c r="CA186" i="4"/>
  <c r="CC186" i="4"/>
  <c r="CE186" i="4"/>
  <c r="CG186" i="4"/>
  <c r="CI216" i="4"/>
  <c r="CK216" i="4"/>
  <c r="CM216" i="4"/>
  <c r="CN216" i="4"/>
  <c r="CL216" i="4"/>
  <c r="CO216" i="4"/>
  <c r="CO213" i="4"/>
  <c r="CM213" i="4"/>
  <c r="CL213" i="4"/>
  <c r="CI213" i="4"/>
  <c r="CK213" i="4"/>
  <c r="CN213" i="4"/>
  <c r="BS201" i="4"/>
  <c r="J150" i="7"/>
  <c r="AA150" i="7"/>
  <c r="AB150" i="7"/>
  <c r="BX201" i="4"/>
  <c r="O150" i="7"/>
  <c r="BY201" i="4"/>
  <c r="P150" i="7"/>
  <c r="BV201" i="4"/>
  <c r="M150" i="7"/>
  <c r="BW201" i="4"/>
  <c r="N150" i="7"/>
  <c r="BU201" i="4"/>
  <c r="L150" i="7"/>
  <c r="K150" i="7"/>
  <c r="BV16" i="4"/>
  <c r="M53" i="7"/>
  <c r="BW16" i="4"/>
  <c r="N53" i="7"/>
  <c r="BX225" i="4"/>
  <c r="O160" i="7"/>
  <c r="BY225" i="4"/>
  <c r="P160" i="7"/>
  <c r="CF225" i="4"/>
  <c r="CD225" i="4"/>
  <c r="BV139" i="4"/>
  <c r="BU139" i="4"/>
  <c r="CN144" i="4"/>
  <c r="BV144" i="4"/>
  <c r="BW144" i="4"/>
  <c r="BU144" i="4"/>
  <c r="CK144" i="4"/>
  <c r="BY144" i="4"/>
  <c r="BX144" i="4"/>
  <c r="CO144" i="4"/>
  <c r="CM144" i="4"/>
  <c r="CL144" i="4"/>
  <c r="BU257" i="4"/>
  <c r="L27" i="7"/>
  <c r="CA178" i="4"/>
  <c r="CE178" i="4"/>
  <c r="CD178" i="4"/>
  <c r="CC178" i="4"/>
  <c r="CF178" i="4"/>
  <c r="CG178" i="4"/>
  <c r="CD128" i="4"/>
  <c r="CC128" i="4"/>
  <c r="CG128" i="4"/>
  <c r="CF128" i="4"/>
  <c r="CE128" i="4"/>
  <c r="CA128" i="4"/>
  <c r="S58" i="7"/>
  <c r="CI189" i="4"/>
  <c r="CL189" i="4"/>
  <c r="CM189" i="4"/>
  <c r="CN189" i="4"/>
  <c r="CK189" i="4"/>
  <c r="CO189" i="4"/>
  <c r="CA134" i="4"/>
  <c r="CE134" i="4"/>
  <c r="CC134" i="4"/>
  <c r="CG134" i="4"/>
  <c r="CF134" i="4"/>
  <c r="CD134" i="4"/>
  <c r="CC58" i="4"/>
  <c r="CA58" i="4"/>
  <c r="CD58" i="4"/>
  <c r="CF58" i="4"/>
  <c r="CG58" i="4"/>
  <c r="CE58" i="4"/>
  <c r="BS78" i="4"/>
  <c r="BY78" i="4"/>
  <c r="BU78" i="4"/>
  <c r="BW78" i="4"/>
  <c r="BX78" i="4"/>
  <c r="BV78" i="4"/>
  <c r="CM83" i="4"/>
  <c r="CK83" i="4"/>
  <c r="CN83" i="4"/>
  <c r="CO83" i="4"/>
  <c r="CL83" i="4"/>
  <c r="CI83" i="4"/>
  <c r="CG257" i="4"/>
  <c r="S170" i="7"/>
  <c r="CO249" i="4"/>
  <c r="BW18" i="4"/>
  <c r="N55" i="7"/>
  <c r="BW77" i="4"/>
  <c r="BS77" i="4"/>
  <c r="BV77" i="4"/>
  <c r="BY77" i="4"/>
  <c r="BX77" i="4"/>
  <c r="BU77" i="4"/>
  <c r="BS86" i="4"/>
  <c r="J106" i="7"/>
  <c r="AA106" i="7"/>
  <c r="AB106" i="7"/>
  <c r="K106" i="7"/>
  <c r="BX86" i="4"/>
  <c r="O106" i="7"/>
  <c r="BV86" i="4"/>
  <c r="M106" i="7"/>
  <c r="BW86" i="4"/>
  <c r="N106" i="7"/>
  <c r="BU86" i="4"/>
  <c r="L106" i="7"/>
  <c r="BY86" i="4"/>
  <c r="P106" i="7"/>
  <c r="BS142" i="4"/>
  <c r="BW142" i="4"/>
  <c r="BU142" i="4"/>
  <c r="BY142" i="4"/>
  <c r="BX142" i="4"/>
  <c r="BV142" i="4"/>
  <c r="CC154" i="4"/>
  <c r="CA154" i="4"/>
  <c r="CG154" i="4"/>
  <c r="CF154" i="4"/>
  <c r="CD154" i="4"/>
  <c r="CE154" i="4"/>
  <c r="CA191" i="4"/>
  <c r="CF191" i="4"/>
  <c r="CE191" i="4"/>
  <c r="CD191" i="4"/>
  <c r="CC191" i="4"/>
  <c r="CG191" i="4"/>
  <c r="BW238" i="4"/>
  <c r="BU238" i="4"/>
  <c r="BV238" i="4"/>
  <c r="BY238" i="4"/>
  <c r="BS238" i="4"/>
  <c r="BX238" i="4"/>
  <c r="BW82" i="4"/>
  <c r="BY82" i="4"/>
  <c r="BU82" i="4"/>
  <c r="CC82" i="4"/>
  <c r="BV82" i="4"/>
  <c r="CF82" i="4"/>
  <c r="BX82" i="4"/>
  <c r="BW194" i="4"/>
  <c r="N144" i="7"/>
  <c r="BY194" i="4"/>
  <c r="P144" i="7"/>
  <c r="BV194" i="4"/>
  <c r="M144" i="7"/>
  <c r="BX194" i="4"/>
  <c r="O144" i="7"/>
  <c r="BU194" i="4"/>
  <c r="L144" i="7"/>
  <c r="CI266" i="4"/>
  <c r="CK266" i="4"/>
  <c r="CO266" i="4"/>
  <c r="CL266" i="4"/>
  <c r="CN266" i="4"/>
  <c r="CM266" i="4"/>
  <c r="CO202" i="4"/>
  <c r="CI202" i="4"/>
  <c r="CL202" i="4"/>
  <c r="CK202" i="4"/>
  <c r="CM202" i="4"/>
  <c r="CN202" i="4"/>
  <c r="BU24" i="4"/>
  <c r="L61" i="7"/>
  <c r="BY24" i="4"/>
  <c r="P61" i="7"/>
  <c r="BW24" i="4"/>
  <c r="N61" i="7"/>
  <c r="BV24" i="4"/>
  <c r="M61" i="7"/>
  <c r="K61" i="7"/>
  <c r="BX24" i="4"/>
  <c r="O61" i="7"/>
  <c r="BS24" i="4"/>
  <c r="J61" i="7"/>
  <c r="AA61" i="7"/>
  <c r="AB61" i="7"/>
  <c r="BX49" i="4"/>
  <c r="O86" i="7"/>
  <c r="BS246" i="4"/>
  <c r="J16" i="7"/>
  <c r="AA16" i="7"/>
  <c r="AB16" i="7"/>
  <c r="BW246" i="4"/>
  <c r="N16" i="7"/>
  <c r="BY246" i="4"/>
  <c r="P16" i="7"/>
  <c r="BV246" i="4"/>
  <c r="M16" i="7"/>
  <c r="BX246" i="4"/>
  <c r="O16" i="7"/>
  <c r="BU246" i="4"/>
  <c r="L16" i="7"/>
  <c r="BW134" i="4"/>
  <c r="BV134" i="4"/>
  <c r="BS134" i="4"/>
  <c r="BU134" i="4"/>
  <c r="BX134" i="4"/>
  <c r="BY134" i="4"/>
  <c r="CG159" i="4"/>
  <c r="CL78" i="4"/>
  <c r="CO78" i="4"/>
  <c r="CK78" i="4"/>
  <c r="CI78" i="4"/>
  <c r="CN78" i="4"/>
  <c r="CM78" i="4"/>
  <c r="CE63" i="4"/>
  <c r="BU195" i="4"/>
  <c r="L145" i="7"/>
  <c r="CC144" i="4"/>
  <c r="CE195" i="4"/>
  <c r="BX265" i="4"/>
  <c r="O35" i="7"/>
  <c r="BU265" i="4"/>
  <c r="L35" i="7"/>
  <c r="BV265" i="4"/>
  <c r="M35" i="7"/>
  <c r="BY265" i="4"/>
  <c r="P35" i="7"/>
  <c r="BW265" i="4"/>
  <c r="N35" i="7"/>
  <c r="K35" i="7"/>
  <c r="BS265" i="4"/>
  <c r="J35" i="7"/>
  <c r="AA35" i="7"/>
  <c r="AB35" i="7"/>
  <c r="CI162" i="4"/>
  <c r="CN162" i="4"/>
  <c r="CO162" i="4"/>
  <c r="CL162" i="4"/>
  <c r="CK162" i="4"/>
  <c r="CM162" i="4"/>
  <c r="BW176" i="4"/>
  <c r="N164" i="7"/>
  <c r="BX176" i="4"/>
  <c r="O164" i="7"/>
  <c r="BY176" i="4"/>
  <c r="P164" i="7"/>
  <c r="BU176" i="4"/>
  <c r="L164" i="7"/>
  <c r="BV176" i="4"/>
  <c r="M164" i="7"/>
  <c r="CA263" i="4"/>
  <c r="CG263" i="4"/>
  <c r="CF263" i="4"/>
  <c r="CE263" i="4"/>
  <c r="CD263" i="4"/>
  <c r="CC263" i="4"/>
  <c r="CL241" i="4"/>
  <c r="CN241" i="4"/>
  <c r="CK241" i="4"/>
  <c r="CI241" i="4"/>
  <c r="CM241" i="4"/>
  <c r="CO241" i="4"/>
  <c r="BS146" i="4"/>
  <c r="BU146" i="4"/>
  <c r="BX146" i="4"/>
  <c r="BW146" i="4"/>
  <c r="BY146" i="4"/>
  <c r="BV146" i="4"/>
  <c r="CF67" i="4"/>
  <c r="CC67" i="4"/>
  <c r="CE67" i="4"/>
  <c r="CG67" i="4"/>
  <c r="CD67" i="4"/>
  <c r="CA67" i="4"/>
  <c r="BX272" i="4"/>
  <c r="O42" i="7"/>
  <c r="BW272" i="4"/>
  <c r="N42" i="7"/>
  <c r="BY272" i="4"/>
  <c r="P42" i="7"/>
  <c r="BU272" i="4"/>
  <c r="L42" i="7"/>
  <c r="BV272" i="4"/>
  <c r="M42" i="7"/>
  <c r="CL37" i="4"/>
  <c r="CM37" i="4"/>
  <c r="CN37" i="4"/>
  <c r="CI37" i="4"/>
  <c r="CK37" i="4"/>
  <c r="CO37" i="4"/>
  <c r="BY119" i="4"/>
  <c r="BU119" i="4"/>
  <c r="BS119" i="4"/>
  <c r="BW119" i="4"/>
  <c r="BX119" i="4"/>
  <c r="BV119" i="4"/>
  <c r="BV237" i="4"/>
  <c r="M10" i="7"/>
  <c r="BY237" i="4"/>
  <c r="P10" i="7"/>
  <c r="BU237" i="4"/>
  <c r="L10" i="7"/>
  <c r="BS237" i="4"/>
  <c r="J10" i="7"/>
  <c r="AA10" i="7"/>
  <c r="AB10" i="7"/>
  <c r="BX237" i="4"/>
  <c r="O10" i="7"/>
  <c r="BW237" i="4"/>
  <c r="N10" i="7"/>
  <c r="K10" i="7"/>
  <c r="CD153" i="4"/>
  <c r="CF153" i="4"/>
  <c r="CE153" i="4"/>
  <c r="CC153" i="4"/>
  <c r="CG153" i="4"/>
  <c r="CA153" i="4"/>
  <c r="CC119" i="4"/>
  <c r="CF119" i="4"/>
  <c r="CE119" i="4"/>
  <c r="CA119" i="4"/>
  <c r="CG119" i="4"/>
  <c r="CD119" i="4"/>
  <c r="CK73" i="4"/>
  <c r="CL73" i="4"/>
  <c r="CI73" i="4"/>
  <c r="CM73" i="4"/>
  <c r="CO73" i="4"/>
  <c r="CN73" i="4"/>
  <c r="CI49" i="4"/>
  <c r="CK49" i="4"/>
  <c r="CM49" i="4"/>
  <c r="CO49" i="4"/>
  <c r="CL49" i="4"/>
  <c r="CN49" i="4"/>
  <c r="CM43" i="4"/>
  <c r="BW43" i="4"/>
  <c r="N80" i="7"/>
  <c r="BU43" i="4"/>
  <c r="L80" i="7"/>
  <c r="CE43" i="4"/>
  <c r="BY43" i="4"/>
  <c r="P80" i="7"/>
  <c r="CG43" i="4"/>
  <c r="CL43" i="4"/>
  <c r="CO43" i="4"/>
  <c r="CD43" i="4"/>
  <c r="CK43" i="4"/>
  <c r="CC43" i="4"/>
  <c r="CN43" i="4"/>
  <c r="BX43" i="4"/>
  <c r="O80" i="7"/>
  <c r="CF43" i="4"/>
  <c r="BV43" i="4"/>
  <c r="M80" i="7"/>
  <c r="CE273" i="4"/>
  <c r="CD273" i="4"/>
  <c r="BW273" i="4"/>
  <c r="N43" i="7"/>
  <c r="BV273" i="4"/>
  <c r="M43" i="7"/>
  <c r="CF273" i="4"/>
  <c r="CG273" i="4"/>
  <c r="CC273" i="4"/>
  <c r="BX273" i="4"/>
  <c r="O43" i="7"/>
  <c r="BU273" i="4"/>
  <c r="L43" i="7"/>
  <c r="BY273" i="4"/>
  <c r="P43" i="7"/>
  <c r="BW214" i="4"/>
  <c r="BS214" i="4"/>
  <c r="BV214" i="4"/>
  <c r="BU214" i="4"/>
  <c r="BX214" i="4"/>
  <c r="BY214" i="4"/>
  <c r="CI205" i="4"/>
  <c r="CM205" i="4"/>
  <c r="CL205" i="4"/>
  <c r="CO205" i="4"/>
  <c r="CK205" i="4"/>
  <c r="CN205" i="4"/>
  <c r="BU200" i="4"/>
  <c r="L149" i="7"/>
  <c r="BV200" i="4"/>
  <c r="M149" i="7"/>
  <c r="CO200" i="4"/>
  <c r="CL200" i="4"/>
  <c r="BX200" i="4"/>
  <c r="O149" i="7"/>
  <c r="CN200" i="4"/>
  <c r="BY200" i="4"/>
  <c r="P149" i="7"/>
  <c r="CM200" i="4"/>
  <c r="CK200" i="4"/>
  <c r="BW200" i="4"/>
  <c r="N149" i="7"/>
  <c r="CL159" i="4"/>
  <c r="CN159" i="4"/>
  <c r="CO159" i="4"/>
  <c r="CK159" i="4"/>
  <c r="CI159" i="4"/>
  <c r="CM159" i="4"/>
  <c r="CF139" i="4"/>
  <c r="CD139" i="4"/>
  <c r="CG139" i="4"/>
  <c r="CC139" i="4"/>
  <c r="CE139" i="4"/>
  <c r="CA139" i="4"/>
  <c r="CI57" i="4"/>
  <c r="CO57" i="4"/>
  <c r="CL57" i="4"/>
  <c r="CN57" i="4"/>
  <c r="CK57" i="4"/>
  <c r="CM57" i="4"/>
  <c r="CD199" i="4"/>
  <c r="CA199" i="4"/>
  <c r="CF199" i="4"/>
  <c r="CE199" i="4"/>
  <c r="CG199" i="4"/>
  <c r="CC199" i="4"/>
  <c r="CA169" i="4"/>
  <c r="CD169" i="4"/>
  <c r="CF169" i="4"/>
  <c r="CE169" i="4"/>
  <c r="CG169" i="4"/>
  <c r="CC169" i="4"/>
  <c r="CM87" i="4"/>
  <c r="CN87" i="4"/>
  <c r="CO87" i="4"/>
  <c r="CK87" i="4"/>
  <c r="CI87" i="4"/>
  <c r="CL87" i="4"/>
  <c r="BW87" i="4"/>
  <c r="N107" i="7"/>
  <c r="BU87" i="4"/>
  <c r="L107" i="7"/>
  <c r="BS87" i="4"/>
  <c r="J107" i="7"/>
  <c r="AA107" i="7"/>
  <c r="AB107" i="7"/>
  <c r="BV87" i="4"/>
  <c r="M107" i="7"/>
  <c r="BX87" i="4"/>
  <c r="O107" i="7"/>
  <c r="K107" i="7"/>
  <c r="BY87" i="4"/>
  <c r="P107" i="7"/>
  <c r="CC18" i="4"/>
  <c r="CG18" i="4"/>
  <c r="CF18" i="4"/>
  <c r="CE18" i="4"/>
  <c r="CD18" i="4"/>
  <c r="CK18" i="4"/>
  <c r="BV18" i="4"/>
  <c r="M55" i="7"/>
  <c r="CK150" i="4"/>
  <c r="CL150" i="4"/>
  <c r="CO150" i="4"/>
  <c r="CM150" i="4"/>
  <c r="CN150" i="4"/>
  <c r="CI150" i="4"/>
  <c r="BU277" i="4"/>
  <c r="L44" i="7"/>
  <c r="BX277" i="4"/>
  <c r="O44" i="7"/>
  <c r="K44" i="7"/>
  <c r="BW277" i="4"/>
  <c r="N44" i="7"/>
  <c r="BS277" i="4"/>
  <c r="J44" i="7"/>
  <c r="AA44" i="7"/>
  <c r="AB44" i="7"/>
  <c r="BY277" i="4"/>
  <c r="P44" i="7"/>
  <c r="BV277" i="4"/>
  <c r="M44" i="7"/>
  <c r="BW185" i="4"/>
  <c r="N173" i="7"/>
  <c r="BY185" i="4"/>
  <c r="P173" i="7"/>
  <c r="K173" i="7"/>
  <c r="BS185" i="4"/>
  <c r="J173" i="7"/>
  <c r="AA173" i="7"/>
  <c r="AB173" i="7"/>
  <c r="BV185" i="4"/>
  <c r="M173" i="7"/>
  <c r="BU185" i="4"/>
  <c r="L173" i="7"/>
  <c r="BX185" i="4"/>
  <c r="O173" i="7"/>
  <c r="CG157" i="4"/>
  <c r="CF157" i="4"/>
  <c r="CC157" i="4"/>
  <c r="CD157" i="4"/>
  <c r="CE157" i="4"/>
  <c r="CA157" i="4"/>
  <c r="BS262" i="4"/>
  <c r="J32" i="7"/>
  <c r="K32" i="7"/>
  <c r="BY262" i="4"/>
  <c r="P32" i="7"/>
  <c r="BU262" i="4"/>
  <c r="L32" i="7"/>
  <c r="BW262" i="4"/>
  <c r="N32" i="7"/>
  <c r="BV262" i="4"/>
  <c r="M32" i="7"/>
  <c r="BX262" i="4"/>
  <c r="O32" i="7"/>
  <c r="CG215" i="4"/>
  <c r="CC215" i="4"/>
  <c r="BV215" i="4"/>
  <c r="CO215" i="4"/>
  <c r="CI215" i="4"/>
  <c r="CM215" i="4"/>
  <c r="CK215" i="4"/>
  <c r="CN215" i="4"/>
  <c r="CL215" i="4"/>
  <c r="S77" i="7"/>
  <c r="AA77" i="7"/>
  <c r="AB77" i="7"/>
  <c r="CI209" i="4"/>
  <c r="CL209" i="4"/>
  <c r="CN209" i="4"/>
  <c r="CK209" i="4"/>
  <c r="CM209" i="4"/>
  <c r="CO209" i="4"/>
  <c r="BY221" i="4"/>
  <c r="BW221" i="4"/>
  <c r="BS221" i="4"/>
  <c r="BU221" i="4"/>
  <c r="BV221" i="4"/>
  <c r="BX221" i="4"/>
  <c r="CM119" i="4"/>
  <c r="CC22" i="4"/>
  <c r="CD22" i="4"/>
  <c r="CG22" i="4"/>
  <c r="CF22" i="4"/>
  <c r="CE22" i="4"/>
  <c r="CL22" i="4"/>
  <c r="CM22" i="4"/>
  <c r="CO22" i="4"/>
  <c r="BU16" i="4"/>
  <c r="L53" i="7"/>
  <c r="CM274" i="4"/>
  <c r="CL274" i="4"/>
  <c r="CN274" i="4"/>
  <c r="CO274" i="4"/>
  <c r="CI274" i="4"/>
  <c r="CK274" i="4"/>
  <c r="BV190" i="4"/>
  <c r="BW190" i="4"/>
  <c r="BS190" i="4"/>
  <c r="BX190" i="4"/>
  <c r="BU190" i="4"/>
  <c r="BY190" i="4"/>
  <c r="CE159" i="4"/>
  <c r="CK22" i="4"/>
  <c r="BX159" i="4"/>
  <c r="O140" i="7"/>
  <c r="CM39" i="4"/>
  <c r="CO39" i="4"/>
  <c r="CN39" i="4"/>
  <c r="CK39" i="4"/>
  <c r="CL39" i="4"/>
  <c r="CI39" i="4"/>
  <c r="CN175" i="4"/>
  <c r="CN17" i="4"/>
  <c r="CN232" i="4"/>
  <c r="BX36" i="4"/>
  <c r="O73" i="7"/>
  <c r="CO119" i="4"/>
  <c r="BY139" i="4"/>
  <c r="CK135" i="4"/>
  <c r="CM257" i="4"/>
  <c r="BW174" i="4"/>
  <c r="N142" i="7"/>
  <c r="CC195" i="4"/>
  <c r="CK115" i="4"/>
  <c r="BU52" i="4"/>
  <c r="L89" i="7"/>
  <c r="BV68" i="4"/>
  <c r="M105" i="7"/>
  <c r="CN240" i="4"/>
  <c r="CK240" i="4"/>
  <c r="BU215" i="4"/>
  <c r="BY26" i="4"/>
  <c r="P63" i="7"/>
  <c r="CM26" i="4"/>
  <c r="CG152" i="4"/>
  <c r="BU159" i="4"/>
  <c r="L140" i="7"/>
  <c r="S140" i="7"/>
  <c r="BV225" i="4"/>
  <c r="M160" i="7"/>
  <c r="CF252" i="4"/>
  <c r="CN115" i="4"/>
  <c r="S110" i="7"/>
  <c r="BX257" i="4"/>
  <c r="O27" i="7"/>
  <c r="BY227" i="4"/>
  <c r="P161" i="7"/>
  <c r="BU115" i="4"/>
  <c r="L125" i="7"/>
  <c r="BY287" i="4"/>
  <c r="P50" i="7"/>
  <c r="CM195" i="4"/>
  <c r="K60" i="7"/>
  <c r="BS23" i="4"/>
  <c r="J60" i="7"/>
  <c r="AA60" i="7"/>
  <c r="AB60" i="7"/>
  <c r="AA18" i="7"/>
  <c r="AB18" i="7"/>
  <c r="S18" i="7"/>
  <c r="CL45" i="4"/>
  <c r="CK45" i="4"/>
  <c r="CO45" i="4"/>
  <c r="CI45" i="4"/>
  <c r="CN45" i="4"/>
  <c r="CM45" i="4"/>
  <c r="CN24" i="4"/>
  <c r="CL24" i="4"/>
  <c r="CK24" i="4"/>
  <c r="CO24" i="4"/>
  <c r="CI24" i="4"/>
  <c r="CM24" i="4"/>
  <c r="CD246" i="4"/>
  <c r="CM246" i="4"/>
  <c r="CL246" i="4"/>
  <c r="CC246" i="4"/>
  <c r="CN246" i="4"/>
  <c r="CE246" i="4"/>
  <c r="CO246" i="4"/>
  <c r="CK246" i="4"/>
  <c r="CF246" i="4"/>
  <c r="CG246" i="4"/>
  <c r="S50" i="7"/>
  <c r="BS218" i="4"/>
  <c r="BS111" i="4"/>
  <c r="J121" i="7"/>
  <c r="AA121" i="7"/>
  <c r="AB121" i="7"/>
  <c r="K121" i="7"/>
  <c r="BV111" i="4"/>
  <c r="M121" i="7"/>
  <c r="BW111" i="4"/>
  <c r="N121" i="7"/>
  <c r="BU111" i="4"/>
  <c r="L121" i="7"/>
  <c r="BY111" i="4"/>
  <c r="P121" i="7"/>
  <c r="BX111" i="4"/>
  <c r="O121" i="7"/>
  <c r="CI42" i="4"/>
  <c r="CO42" i="4"/>
  <c r="CK42" i="4"/>
  <c r="CL42" i="4"/>
  <c r="CN42" i="4"/>
  <c r="CM42" i="4"/>
  <c r="BS97" i="4"/>
  <c r="BS175" i="4"/>
  <c r="J163" i="7"/>
  <c r="AA163" i="7"/>
  <c r="AB163" i="7"/>
  <c r="BY175" i="4"/>
  <c r="P163" i="7"/>
  <c r="K163" i="7"/>
  <c r="BW175" i="4"/>
  <c r="N163" i="7"/>
  <c r="BV175" i="4"/>
  <c r="M163" i="7"/>
  <c r="BX175" i="4"/>
  <c r="O163" i="7"/>
  <c r="BU175" i="4"/>
  <c r="L163" i="7"/>
  <c r="CL199" i="4"/>
  <c r="CM199" i="4"/>
  <c r="CM138" i="4"/>
  <c r="CL138" i="4"/>
  <c r="CK138" i="4"/>
  <c r="CI138" i="4"/>
  <c r="CO138" i="4"/>
  <c r="CN138" i="4"/>
  <c r="CC219" i="4"/>
  <c r="CD219" i="4"/>
  <c r="CE219" i="4"/>
  <c r="CG219" i="4"/>
  <c r="CF219" i="4"/>
  <c r="BS150" i="4"/>
  <c r="J131" i="7"/>
  <c r="AA131" i="7"/>
  <c r="AB131" i="7"/>
  <c r="BX150" i="4"/>
  <c r="O131" i="7"/>
  <c r="BY150" i="4"/>
  <c r="P131" i="7"/>
  <c r="K131" i="7"/>
  <c r="BU150" i="4"/>
  <c r="L131" i="7"/>
  <c r="BW150" i="4"/>
  <c r="N131" i="7"/>
  <c r="BV150" i="4"/>
  <c r="M131" i="7"/>
  <c r="CA282" i="4"/>
  <c r="CC282" i="4"/>
  <c r="CE282" i="4"/>
  <c r="CD282" i="4"/>
  <c r="CG282" i="4"/>
  <c r="CF282" i="4"/>
  <c r="BY22" i="4"/>
  <c r="P59" i="7"/>
  <c r="BV22" i="4"/>
  <c r="M59" i="7"/>
  <c r="BW22" i="4"/>
  <c r="N59" i="7"/>
  <c r="BX22" i="4"/>
  <c r="O59" i="7"/>
  <c r="K59" i="7"/>
  <c r="BS22" i="4"/>
  <c r="J59" i="7"/>
  <c r="AA59" i="7"/>
  <c r="AB59" i="7"/>
  <c r="BU22" i="4"/>
  <c r="L59" i="7"/>
  <c r="CL267" i="4"/>
  <c r="BY267" i="4"/>
  <c r="P37" i="7"/>
  <c r="CN267" i="4"/>
  <c r="CC159" i="4"/>
  <c r="BU72" i="4"/>
  <c r="BW72" i="4"/>
  <c r="BY72" i="4"/>
  <c r="BS72" i="4"/>
  <c r="BX72" i="4"/>
  <c r="BV72" i="4"/>
  <c r="CE39" i="4"/>
  <c r="CF39" i="4"/>
  <c r="CC39" i="4"/>
  <c r="CG39" i="4"/>
  <c r="CD39" i="4"/>
  <c r="CA39" i="4"/>
  <c r="CD63" i="4"/>
  <c r="S118" i="7"/>
  <c r="BW257" i="4"/>
  <c r="N27" i="7"/>
  <c r="BX267" i="4"/>
  <c r="O37" i="7"/>
  <c r="BU18" i="4"/>
  <c r="L55" i="7"/>
  <c r="CC257" i="4"/>
  <c r="CK267" i="4"/>
  <c r="S176" i="7"/>
  <c r="BX195" i="4"/>
  <c r="O145" i="7"/>
  <c r="CI244" i="4"/>
  <c r="CL244" i="4"/>
  <c r="CN244" i="4"/>
  <c r="CK244" i="4"/>
  <c r="CO244" i="4"/>
  <c r="CM244" i="4"/>
  <c r="CI145" i="4"/>
  <c r="CK145" i="4"/>
  <c r="CO145" i="4"/>
  <c r="CL145" i="4"/>
  <c r="CM145" i="4"/>
  <c r="CN145" i="4"/>
  <c r="CG262" i="4"/>
  <c r="CC262" i="4"/>
  <c r="CE262" i="4"/>
  <c r="CF262" i="4"/>
  <c r="BS189" i="4"/>
  <c r="J177" i="7"/>
  <c r="AA177" i="7"/>
  <c r="AB177" i="7"/>
  <c r="K177" i="7"/>
  <c r="BX189" i="4"/>
  <c r="O177" i="7"/>
  <c r="BY189" i="4"/>
  <c r="P177" i="7"/>
  <c r="BW189" i="4"/>
  <c r="N177" i="7"/>
  <c r="BV189" i="4"/>
  <c r="M177" i="7"/>
  <c r="BU189" i="4"/>
  <c r="L177" i="7"/>
  <c r="CA72" i="4"/>
  <c r="CE72" i="4"/>
  <c r="CC72" i="4"/>
  <c r="CG72" i="4"/>
  <c r="CD72" i="4"/>
  <c r="CF72" i="4"/>
  <c r="CD249" i="4"/>
  <c r="CC249" i="4"/>
  <c r="CA249" i="4"/>
  <c r="CF249" i="4"/>
  <c r="CG249" i="4"/>
  <c r="CE249" i="4"/>
  <c r="CO195" i="4"/>
  <c r="CM267" i="4"/>
  <c r="S171" i="7"/>
  <c r="CI32" i="4"/>
  <c r="CN243" i="4"/>
  <c r="CK243" i="4"/>
  <c r="CI243" i="4"/>
  <c r="CM243" i="4"/>
  <c r="CO243" i="4"/>
  <c r="CL243" i="4"/>
  <c r="BY173" i="4"/>
  <c r="P141" i="7"/>
  <c r="BX173" i="4"/>
  <c r="O141" i="7"/>
  <c r="BW173" i="4"/>
  <c r="N141" i="7"/>
  <c r="BV173" i="4"/>
  <c r="M141" i="7"/>
  <c r="K141" i="7"/>
  <c r="BU173" i="4"/>
  <c r="L141" i="7"/>
  <c r="BS173" i="4"/>
  <c r="J141" i="7"/>
  <c r="AA141" i="7"/>
  <c r="AB141" i="7"/>
  <c r="BY42" i="4"/>
  <c r="P79" i="7"/>
  <c r="CF42" i="4"/>
  <c r="BU42" i="4"/>
  <c r="L79" i="7"/>
  <c r="CG42" i="4"/>
  <c r="BX42" i="4"/>
  <c r="O79" i="7"/>
  <c r="CD42" i="4"/>
  <c r="CE42" i="4"/>
  <c r="BW42" i="4"/>
  <c r="N79" i="7"/>
  <c r="BV42" i="4"/>
  <c r="M79" i="7"/>
  <c r="CC42" i="4"/>
  <c r="CI16" i="4"/>
  <c r="CL16" i="4"/>
  <c r="CK16" i="4"/>
  <c r="CO16" i="4"/>
  <c r="CM16" i="4"/>
  <c r="CN16" i="4"/>
  <c r="CO263" i="4"/>
  <c r="CN263" i="4"/>
  <c r="CM263" i="4"/>
  <c r="CI263" i="4"/>
  <c r="CL263" i="4"/>
  <c r="CK263" i="4"/>
  <c r="BV177" i="4"/>
  <c r="M165" i="7"/>
  <c r="BW177" i="4"/>
  <c r="N165" i="7"/>
  <c r="BY177" i="4"/>
  <c r="P165" i="7"/>
  <c r="BS177" i="4"/>
  <c r="J165" i="7"/>
  <c r="AA165" i="7"/>
  <c r="AB165" i="7"/>
  <c r="BX177" i="4"/>
  <c r="O165" i="7"/>
  <c r="BU177" i="4"/>
  <c r="L165" i="7"/>
  <c r="K165" i="7"/>
  <c r="CG130" i="4"/>
  <c r="CF130" i="4"/>
  <c r="CE130" i="4"/>
  <c r="CD130" i="4"/>
  <c r="CC130" i="4"/>
  <c r="CL120" i="4"/>
  <c r="CO120" i="4"/>
  <c r="CN120" i="4"/>
  <c r="CI120" i="4"/>
  <c r="CM120" i="4"/>
  <c r="CK120" i="4"/>
  <c r="CL114" i="4"/>
  <c r="CI114" i="4"/>
  <c r="CN114" i="4"/>
  <c r="CM114" i="4"/>
  <c r="CO114" i="4"/>
  <c r="CK114" i="4"/>
  <c r="CI35" i="4"/>
  <c r="CE103" i="4"/>
  <c r="CG103" i="4"/>
  <c r="CF103" i="4"/>
  <c r="CC103" i="4"/>
  <c r="CD103" i="4"/>
  <c r="K82" i="7"/>
  <c r="BS45" i="4"/>
  <c r="J82" i="7"/>
  <c r="AA82" i="7"/>
  <c r="AB82" i="7"/>
  <c r="BX45" i="4"/>
  <c r="O82" i="7"/>
  <c r="BU45" i="4"/>
  <c r="L82" i="7"/>
  <c r="BY45" i="4"/>
  <c r="P82" i="7"/>
  <c r="BV45" i="4"/>
  <c r="M82" i="7"/>
  <c r="BW45" i="4"/>
  <c r="N82" i="7"/>
  <c r="BW256" i="4"/>
  <c r="N26" i="7"/>
  <c r="BU256" i="4"/>
  <c r="L26" i="7"/>
  <c r="CG256" i="4"/>
  <c r="BV256" i="4"/>
  <c r="M26" i="7"/>
  <c r="CM256" i="4"/>
  <c r="CC256" i="4"/>
  <c r="CL256" i="4"/>
  <c r="BY256" i="4"/>
  <c r="P26" i="7"/>
  <c r="CO256" i="4"/>
  <c r="CN256" i="4"/>
  <c r="CF256" i="4"/>
  <c r="BX256" i="4"/>
  <c r="O26" i="7"/>
  <c r="CK256" i="4"/>
  <c r="CD256" i="4"/>
  <c r="CE256" i="4"/>
  <c r="CL237" i="4"/>
  <c r="CN237" i="4"/>
  <c r="CI237" i="4"/>
  <c r="CM237" i="4"/>
  <c r="CO237" i="4"/>
  <c r="CK237" i="4"/>
  <c r="CA73" i="4"/>
  <c r="CG73" i="4"/>
  <c r="CF73" i="4"/>
  <c r="CC73" i="4"/>
  <c r="CD73" i="4"/>
  <c r="CE73" i="4"/>
  <c r="K98" i="7"/>
  <c r="BY61" i="4"/>
  <c r="P98" i="7"/>
  <c r="BU61" i="4"/>
  <c r="L98" i="7"/>
  <c r="BW61" i="4"/>
  <c r="N98" i="7"/>
  <c r="BX61" i="4"/>
  <c r="O98" i="7"/>
  <c r="BV61" i="4"/>
  <c r="M98" i="7"/>
  <c r="BS61" i="4"/>
  <c r="J98" i="7"/>
  <c r="AA98" i="7"/>
  <c r="AB98" i="7"/>
  <c r="BS205" i="4"/>
  <c r="J153" i="7"/>
  <c r="AA153" i="7"/>
  <c r="AB153" i="7"/>
  <c r="BX205" i="4"/>
  <c r="O153" i="7"/>
  <c r="K153" i="7"/>
  <c r="BV205" i="4"/>
  <c r="M153" i="7"/>
  <c r="BY205" i="4"/>
  <c r="P153" i="7"/>
  <c r="BU205" i="4"/>
  <c r="L153" i="7"/>
  <c r="BW205" i="4"/>
  <c r="N153" i="7"/>
  <c r="BV145" i="4"/>
  <c r="K117" i="7"/>
  <c r="BS107" i="4"/>
  <c r="J117" i="7"/>
  <c r="AA117" i="7"/>
  <c r="AB117" i="7"/>
  <c r="BU107" i="4"/>
  <c r="L117" i="7"/>
  <c r="S117" i="7"/>
  <c r="BX107" i="4"/>
  <c r="O117" i="7"/>
  <c r="BY107" i="4"/>
  <c r="P117" i="7"/>
  <c r="BV107" i="4"/>
  <c r="M117" i="7"/>
  <c r="BW107" i="4"/>
  <c r="N117" i="7"/>
  <c r="BX57" i="4"/>
  <c r="O94" i="7"/>
  <c r="S68" i="7"/>
  <c r="K148" i="7"/>
  <c r="BS199" i="4"/>
  <c r="J148" i="7"/>
  <c r="AA148" i="7"/>
  <c r="AB148" i="7"/>
  <c r="BX199" i="4"/>
  <c r="O148" i="7"/>
  <c r="BW199" i="4"/>
  <c r="N148" i="7"/>
  <c r="BY199" i="4"/>
  <c r="P148" i="7"/>
  <c r="BV199" i="4"/>
  <c r="M148" i="7"/>
  <c r="BU199" i="4"/>
  <c r="L148" i="7"/>
  <c r="BW37" i="4"/>
  <c r="N74" i="7"/>
  <c r="BW251" i="4"/>
  <c r="N21" i="7"/>
  <c r="BY251" i="4"/>
  <c r="P21" i="7"/>
  <c r="BS251" i="4"/>
  <c r="J21" i="7"/>
  <c r="AA21" i="7"/>
  <c r="AB21" i="7"/>
  <c r="K21" i="7"/>
  <c r="BU251" i="4"/>
  <c r="L21" i="7"/>
  <c r="BV251" i="4"/>
  <c r="M21" i="7"/>
  <c r="BX251" i="4"/>
  <c r="O21" i="7"/>
  <c r="BW219" i="4"/>
  <c r="BX219" i="4"/>
  <c r="BU219" i="4"/>
  <c r="BS219" i="4"/>
  <c r="BY219" i="4"/>
  <c r="BV219" i="4"/>
  <c r="CI219" i="4"/>
  <c r="CL219" i="4"/>
  <c r="CK219" i="4"/>
  <c r="CN219" i="4"/>
  <c r="CM219" i="4"/>
  <c r="CO219" i="4"/>
  <c r="CI277" i="4"/>
  <c r="CK277" i="4"/>
  <c r="CN277" i="4"/>
  <c r="CM277" i="4"/>
  <c r="CO277" i="4"/>
  <c r="CL277" i="4"/>
  <c r="CI157" i="4"/>
  <c r="CN157" i="4"/>
  <c r="CM157" i="4"/>
  <c r="CK157" i="4"/>
  <c r="CL157" i="4"/>
  <c r="CO157" i="4"/>
  <c r="CL54" i="4"/>
  <c r="CI54" i="4"/>
  <c r="CO54" i="4"/>
  <c r="CN54" i="4"/>
  <c r="CK54" i="4"/>
  <c r="CM54" i="4"/>
  <c r="CM268" i="4"/>
  <c r="CG268" i="4"/>
  <c r="CE268" i="4"/>
  <c r="CO268" i="4"/>
  <c r="BV268" i="4"/>
  <c r="M38" i="7"/>
  <c r="BW268" i="4"/>
  <c r="N38" i="7"/>
  <c r="CD268" i="4"/>
  <c r="BY268" i="4"/>
  <c r="P38" i="7"/>
  <c r="CN268" i="4"/>
  <c r="BU268" i="4"/>
  <c r="L38" i="7"/>
  <c r="CC268" i="4"/>
  <c r="CL268" i="4"/>
  <c r="CF268" i="4"/>
  <c r="CK268" i="4"/>
  <c r="BX268" i="4"/>
  <c r="O38" i="7"/>
  <c r="CI262" i="4"/>
  <c r="CM262" i="4"/>
  <c r="CK262" i="4"/>
  <c r="CN262" i="4"/>
  <c r="CL262" i="4"/>
  <c r="CO262" i="4"/>
  <c r="CK25" i="4"/>
  <c r="CL221" i="4"/>
  <c r="CM221" i="4"/>
  <c r="CK221" i="4"/>
  <c r="CI221" i="4"/>
  <c r="CO221" i="4"/>
  <c r="CN221" i="4"/>
  <c r="CI287" i="4"/>
  <c r="CM287" i="4"/>
  <c r="CN287" i="4"/>
  <c r="CO287" i="4"/>
  <c r="CL287" i="4"/>
  <c r="CK287" i="4"/>
  <c r="CO178" i="4"/>
  <c r="CI178" i="4"/>
  <c r="CN178" i="4"/>
  <c r="CM178" i="4"/>
  <c r="CK178" i="4"/>
  <c r="CL178" i="4"/>
  <c r="BX178" i="4"/>
  <c r="O166" i="7"/>
  <c r="BV178" i="4"/>
  <c r="M166" i="7"/>
  <c r="BY178" i="4"/>
  <c r="P166" i="7"/>
  <c r="BU178" i="4"/>
  <c r="L166" i="7"/>
  <c r="CI128" i="4"/>
  <c r="CN128" i="4"/>
  <c r="CO128" i="4"/>
  <c r="CM128" i="4"/>
  <c r="CK128" i="4"/>
  <c r="CL128" i="4"/>
  <c r="BY128" i="4"/>
  <c r="CG277" i="4"/>
  <c r="CF159" i="4"/>
  <c r="CK175" i="4"/>
  <c r="CG56" i="4"/>
  <c r="CL17" i="4"/>
  <c r="BY57" i="4"/>
  <c r="P94" i="7"/>
  <c r="CK232" i="4"/>
  <c r="CK257" i="4"/>
  <c r="CE174" i="4"/>
  <c r="CD195" i="4"/>
  <c r="BU240" i="4"/>
  <c r="L12" i="7"/>
  <c r="BW287" i="4"/>
  <c r="N50" i="7"/>
  <c r="BV52" i="4"/>
  <c r="M89" i="7"/>
  <c r="BW195" i="4"/>
  <c r="N145" i="7"/>
  <c r="CN139" i="4"/>
  <c r="CG144" i="4"/>
  <c r="CO272" i="4"/>
  <c r="BW26" i="4"/>
  <c r="N63" i="7"/>
  <c r="S8" i="7"/>
  <c r="S168" i="7"/>
  <c r="CN26" i="4"/>
  <c r="BY159" i="4"/>
  <c r="P140" i="7"/>
  <c r="CF241" i="4"/>
  <c r="BY68" i="4"/>
  <c r="P105" i="7"/>
  <c r="BY257" i="4"/>
  <c r="P27" i="7"/>
  <c r="BX227" i="4"/>
  <c r="O161" i="7"/>
  <c r="CG241" i="4"/>
  <c r="S129" i="7"/>
  <c r="S174" i="7"/>
  <c r="S31" i="7"/>
  <c r="S102" i="7"/>
  <c r="AA102" i="7"/>
  <c r="AB102" i="7"/>
  <c r="S137" i="7"/>
  <c r="S25" i="7"/>
  <c r="S99" i="7"/>
  <c r="S74" i="7"/>
  <c r="S11" i="7"/>
  <c r="S24" i="7"/>
  <c r="S173" i="7"/>
  <c r="S157" i="7"/>
  <c r="S139" i="7"/>
  <c r="S49" i="7"/>
  <c r="S130" i="7"/>
  <c r="S6" i="7"/>
  <c r="S92" i="7"/>
  <c r="S41" i="7"/>
  <c r="S38" i="7"/>
  <c r="S21" i="7"/>
  <c r="S59" i="7"/>
  <c r="S164" i="7"/>
  <c r="S19" i="7"/>
  <c r="S84" i="7"/>
  <c r="S142" i="7"/>
  <c r="S52" i="7"/>
  <c r="S75" i="7"/>
  <c r="S55" i="7"/>
  <c r="S35" i="7"/>
  <c r="S161" i="7"/>
  <c r="S159" i="7"/>
  <c r="S145" i="7"/>
  <c r="S70" i="7"/>
  <c r="S121" i="7"/>
  <c r="S89" i="7"/>
  <c r="S44" i="7"/>
  <c r="S131" i="7"/>
  <c r="S144" i="7"/>
  <c r="S22" i="7"/>
  <c r="S105" i="7"/>
  <c r="S132" i="7"/>
  <c r="S90" i="7"/>
  <c r="S151" i="7"/>
  <c r="S65" i="7"/>
  <c r="S133" i="7"/>
  <c r="S120" i="7"/>
  <c r="S36" i="7"/>
  <c r="S141" i="7"/>
  <c r="S107" i="7"/>
  <c r="S43" i="7"/>
  <c r="S113" i="7"/>
  <c r="S138" i="7"/>
  <c r="S153" i="7"/>
  <c r="S79" i="7"/>
  <c r="S177" i="7"/>
  <c r="S149" i="7"/>
  <c r="S61" i="7"/>
  <c r="S63" i="7"/>
  <c r="S116" i="7"/>
  <c r="S14" i="7"/>
  <c r="S28" i="7"/>
  <c r="S148" i="7"/>
  <c r="S98" i="7"/>
  <c r="S82" i="7"/>
  <c r="S106" i="7"/>
  <c r="S27" i="7"/>
  <c r="S76" i="7"/>
  <c r="S66" i="7"/>
  <c r="S16" i="7"/>
  <c r="S150" i="7"/>
  <c r="S12" i="7"/>
  <c r="S53" i="7"/>
  <c r="S42" i="7"/>
  <c r="S136" i="7"/>
  <c r="S37" i="7"/>
  <c r="S100" i="7"/>
  <c r="S26" i="7"/>
  <c r="S125" i="7"/>
  <c r="S115" i="7"/>
  <c r="S95" i="7"/>
  <c r="S86" i="7"/>
  <c r="S56" i="7"/>
  <c r="S166" i="7"/>
  <c r="S165" i="7"/>
  <c r="S163" i="7"/>
  <c r="S32" i="7"/>
  <c r="AA32" i="7"/>
  <c r="AB32" i="7"/>
  <c r="S10" i="7"/>
  <c r="S160" i="7"/>
  <c r="AA46" i="7"/>
  <c r="AB46" i="7"/>
  <c r="S46" i="7"/>
  <c r="S81" i="7"/>
  <c r="S94" i="7"/>
  <c r="B1468" i="6"/>
  <c r="S1468" i="6"/>
  <c r="S1138" i="6"/>
  <c r="AO1138" i="6"/>
  <c r="B1471" i="6"/>
  <c r="S1471" i="6"/>
  <c r="S1141" i="6"/>
  <c r="AO1141" i="6"/>
  <c r="D1563" i="6"/>
  <c r="O1233" i="6"/>
  <c r="D1517" i="6"/>
  <c r="O1187" i="6"/>
  <c r="D1454" i="6"/>
  <c r="E1454" i="6" s="1"/>
  <c r="A1124" i="6"/>
  <c r="O1124" i="6"/>
  <c r="D1583" i="6"/>
  <c r="O1253" i="6"/>
  <c r="AO1253" i="6"/>
  <c r="B1639" i="6"/>
  <c r="S1639" i="6"/>
  <c r="S1309" i="6"/>
  <c r="B1085" i="6"/>
  <c r="S755" i="6"/>
  <c r="AO755" i="6"/>
  <c r="D1469" i="6"/>
  <c r="E1469" i="6" s="1"/>
  <c r="O1139" i="6"/>
  <c r="A1139" i="6"/>
  <c r="CL227" i="4"/>
  <c r="CL30" i="4"/>
  <c r="D1527" i="6"/>
  <c r="B1389" i="6"/>
  <c r="S1389" i="6"/>
  <c r="S1059" i="6"/>
  <c r="AO1059" i="6"/>
  <c r="D1541" i="6"/>
  <c r="AO1211" i="6"/>
  <c r="O1211" i="6"/>
  <c r="B1564" i="6"/>
  <c r="S1564" i="6"/>
  <c r="S1234" i="6"/>
  <c r="AO1234" i="6"/>
  <c r="D1445" i="6"/>
  <c r="E1445" i="6" s="1"/>
  <c r="AO1115" i="6"/>
  <c r="O1115" i="6"/>
  <c r="A1115" i="6"/>
  <c r="S698" i="6"/>
  <c r="B1028" i="6"/>
  <c r="S870" i="6"/>
  <c r="AO870" i="6"/>
  <c r="B1200" i="6"/>
  <c r="B1221" i="6"/>
  <c r="S891" i="6"/>
  <c r="AO891" i="6"/>
  <c r="S888" i="6"/>
  <c r="AO888" i="6"/>
  <c r="B1218" i="6"/>
  <c r="B1484" i="6"/>
  <c r="S1484" i="6"/>
  <c r="S1154" i="6"/>
  <c r="AO1154" i="6"/>
  <c r="D1457" i="6"/>
  <c r="E1457" i="6" s="1"/>
  <c r="O1127" i="6"/>
  <c r="A1127" i="6"/>
  <c r="CM161" i="4"/>
  <c r="CL161" i="4"/>
  <c r="CO161" i="4"/>
  <c r="B1421" i="6"/>
  <c r="S1421" i="6"/>
  <c r="S1091" i="6"/>
  <c r="AO1091" i="6"/>
  <c r="D1596" i="6"/>
  <c r="AO1266" i="6"/>
  <c r="O1266" i="6"/>
  <c r="B1648" i="6"/>
  <c r="S1318" i="6"/>
  <c r="AO1318" i="6"/>
  <c r="D1650" i="6"/>
  <c r="O1320" i="6"/>
  <c r="AO1320" i="6"/>
  <c r="K104" i="7"/>
  <c r="BS67" i="4"/>
  <c r="J104" i="7"/>
  <c r="CE184" i="4"/>
  <c r="CD184" i="4"/>
  <c r="CF184" i="4"/>
  <c r="BX184" i="4"/>
  <c r="O172" i="7"/>
  <c r="CC184" i="4"/>
  <c r="CG184" i="4"/>
  <c r="K51" i="7"/>
  <c r="BS290" i="4"/>
  <c r="J51" i="7"/>
  <c r="AA51" i="7"/>
  <c r="AB51" i="7"/>
  <c r="S152" i="7"/>
  <c r="CO115" i="4"/>
  <c r="CC281" i="4"/>
  <c r="CN281" i="4"/>
  <c r="CM281" i="4"/>
  <c r="CD148" i="4"/>
  <c r="CM148" i="4"/>
  <c r="D1585" i="6"/>
  <c r="O1255" i="6"/>
  <c r="B1498" i="6"/>
  <c r="S1498" i="6"/>
  <c r="S1168" i="6"/>
  <c r="AO1168" i="6"/>
  <c r="B1580" i="6"/>
  <c r="S1580" i="6"/>
  <c r="S1250" i="6"/>
  <c r="AO1250" i="6"/>
  <c r="D1633" i="6"/>
  <c r="B1642" i="6"/>
  <c r="S1312" i="6"/>
  <c r="AO1312" i="6"/>
  <c r="B1412" i="6"/>
  <c r="S1412" i="6"/>
  <c r="S1082" i="6"/>
  <c r="AO1082" i="6"/>
  <c r="B1391" i="6"/>
  <c r="S1391" i="6"/>
  <c r="S1061" i="6"/>
  <c r="AO1061" i="6"/>
  <c r="D1186" i="6"/>
  <c r="AO856" i="6"/>
  <c r="D1309" i="6"/>
  <c r="AO979" i="6"/>
  <c r="O979" i="6"/>
  <c r="O698" i="6"/>
  <c r="AO698" i="6"/>
  <c r="A698" i="6"/>
  <c r="D1028" i="6"/>
  <c r="E1028" i="6" s="1"/>
  <c r="D1259" i="6"/>
  <c r="AO929" i="6"/>
  <c r="O929" i="6"/>
  <c r="AO807" i="6"/>
  <c r="A807" i="6"/>
  <c r="O807" i="6"/>
  <c r="D1137" i="6"/>
  <c r="E1137" i="6" s="1"/>
  <c r="B1563" i="6"/>
  <c r="S1563" i="6"/>
  <c r="S1233" i="6"/>
  <c r="AO1233" i="6"/>
  <c r="CE96" i="4"/>
  <c r="CC96" i="4"/>
  <c r="CG96" i="4"/>
  <c r="B1601" i="6"/>
  <c r="S1271" i="6"/>
  <c r="AO1271" i="6"/>
  <c r="B1495" i="6"/>
  <c r="S1495" i="6"/>
  <c r="S1165" i="6"/>
  <c r="AO1165" i="6"/>
  <c r="B1545" i="6"/>
  <c r="S1215" i="6"/>
  <c r="AO1215" i="6"/>
  <c r="B1605" i="6"/>
  <c r="S1605" i="6"/>
  <c r="S1275" i="6"/>
  <c r="D1653" i="6"/>
  <c r="AO1323" i="6"/>
  <c r="D1332" i="6"/>
  <c r="E1332" i="6" s="1"/>
  <c r="AO1002" i="6"/>
  <c r="O1002" i="6"/>
  <c r="A1002" i="6"/>
  <c r="S782" i="6"/>
  <c r="AO782" i="6"/>
  <c r="B1112" i="6"/>
  <c r="AO705" i="6"/>
  <c r="O705" i="6"/>
  <c r="D1035" i="6"/>
  <c r="E1035" i="6" s="1"/>
  <c r="CN272" i="4"/>
  <c r="CK107" i="4"/>
  <c r="CM115" i="4"/>
  <c r="B1426" i="6"/>
  <c r="S1426" i="6"/>
  <c r="S1096" i="6"/>
  <c r="AO1096" i="6"/>
  <c r="B1473" i="6"/>
  <c r="S1473" i="6"/>
  <c r="S1143" i="6"/>
  <c r="AO1143" i="6"/>
  <c r="D1336" i="6"/>
  <c r="E1336" i="6" s="1"/>
  <c r="AO1006" i="6"/>
  <c r="A1006" i="6"/>
  <c r="D1482" i="6"/>
  <c r="E1482" i="6" s="1"/>
  <c r="O1152" i="6"/>
  <c r="A1152" i="6"/>
  <c r="AO1152" i="6"/>
  <c r="B1157" i="6"/>
  <c r="S827" i="6"/>
  <c r="AO827" i="6"/>
  <c r="B1349" i="6"/>
  <c r="S1349" i="6"/>
  <c r="S1019" i="6"/>
  <c r="AO1019" i="6"/>
  <c r="BV17" i="4"/>
  <c r="M54" i="7"/>
  <c r="B1513" i="6"/>
  <c r="S1183" i="6"/>
  <c r="AO907" i="6"/>
  <c r="B1475" i="6"/>
  <c r="S1475" i="6"/>
  <c r="S1145" i="6"/>
  <c r="AO1145" i="6"/>
  <c r="B1264" i="6"/>
  <c r="S934" i="6"/>
  <c r="AO934" i="6"/>
  <c r="S680" i="6"/>
  <c r="AO680" i="6"/>
  <c r="B1010" i="6"/>
  <c r="CL272" i="4"/>
  <c r="CG55" i="4"/>
  <c r="BW66" i="4"/>
  <c r="N103" i="7"/>
  <c r="S147" i="7"/>
  <c r="D1381" i="6"/>
  <c r="E1381" i="6" s="1"/>
  <c r="O1051" i="6"/>
  <c r="A1051" i="6"/>
  <c r="AO1051" i="6"/>
  <c r="B1402" i="6"/>
  <c r="S1402" i="6"/>
  <c r="S1072" i="6"/>
  <c r="AO1072" i="6"/>
  <c r="S710" i="6"/>
  <c r="AO710" i="6"/>
  <c r="B1040" i="6"/>
  <c r="B1631" i="6"/>
  <c r="S1301" i="6"/>
  <c r="S723" i="6"/>
  <c r="AO723" i="6"/>
  <c r="B1053" i="6"/>
  <c r="CN260" i="4"/>
  <c r="CM260" i="4"/>
  <c r="CC260" i="4"/>
  <c r="BW260" i="4"/>
  <c r="N30" i="7"/>
  <c r="BX260" i="4"/>
  <c r="O30" i="7"/>
  <c r="CG260" i="4"/>
  <c r="CF260" i="4"/>
  <c r="CE260" i="4"/>
  <c r="BY260" i="4"/>
  <c r="P30" i="7"/>
  <c r="BU260" i="4"/>
  <c r="L30" i="7"/>
  <c r="S1290" i="6"/>
  <c r="AO1290" i="6"/>
  <c r="S1018" i="6"/>
  <c r="AO1018" i="6"/>
  <c r="S1064" i="6"/>
  <c r="AO1521" i="6"/>
  <c r="O1521" i="6"/>
  <c r="AO1525" i="6"/>
  <c r="O1525" i="6"/>
  <c r="S1080" i="6"/>
  <c r="AO1080" i="6"/>
  <c r="D1427" i="6"/>
  <c r="E1427" i="6" s="1"/>
  <c r="AO1591" i="6"/>
  <c r="O1591" i="6"/>
  <c r="O1545" i="6"/>
  <c r="D1337" i="6"/>
  <c r="E1337" i="6" s="1"/>
  <c r="S1014" i="6"/>
  <c r="S1306" i="6"/>
  <c r="AO1306" i="6"/>
  <c r="S1179" i="6"/>
  <c r="AO1179" i="6"/>
  <c r="AO1183" i="6"/>
  <c r="S1011" i="6"/>
  <c r="AO1011" i="6"/>
  <c r="D1549" i="6"/>
  <c r="D1275" i="6"/>
  <c r="S1054" i="6"/>
  <c r="CE244" i="4"/>
  <c r="BX101" i="4"/>
  <c r="O111" i="7"/>
  <c r="K111" i="7"/>
  <c r="CI113" i="4"/>
  <c r="CM113" i="4"/>
  <c r="CO113" i="4"/>
  <c r="CN113" i="4"/>
  <c r="BU161" i="4"/>
  <c r="BV161" i="4"/>
  <c r="S1304" i="6"/>
  <c r="AO1304" i="6"/>
  <c r="D1608" i="6"/>
  <c r="AO1278" i="6"/>
  <c r="AO1629" i="6"/>
  <c r="O1629" i="6"/>
  <c r="AO1205" i="6"/>
  <c r="AO1509" i="6"/>
  <c r="O1509" i="6"/>
  <c r="D1377" i="6"/>
  <c r="E1377" i="6" s="1"/>
  <c r="AO769" i="6"/>
  <c r="D1339" i="6"/>
  <c r="E1339" i="6" s="1"/>
  <c r="AO708" i="6"/>
  <c r="AO1621" i="6"/>
  <c r="O1621" i="6"/>
  <c r="D1417" i="6"/>
  <c r="E1417" i="6" s="1"/>
  <c r="CK260" i="4"/>
  <c r="K96" i="7"/>
  <c r="BS59" i="4"/>
  <c r="J96" i="7"/>
  <c r="AA96" i="7"/>
  <c r="AB96" i="7"/>
  <c r="BU59" i="4"/>
  <c r="L96" i="7"/>
  <c r="BX59" i="4"/>
  <c r="O96" i="7"/>
  <c r="CL102" i="4"/>
  <c r="CN102" i="4"/>
  <c r="BX114" i="4"/>
  <c r="O124" i="7"/>
  <c r="BU114" i="4"/>
  <c r="L124" i="7"/>
  <c r="K124" i="7"/>
  <c r="K154" i="7"/>
  <c r="CE288" i="4"/>
  <c r="A995" i="6"/>
  <c r="D1362" i="6"/>
  <c r="E1362" i="6" s="1"/>
  <c r="D1433" i="6"/>
  <c r="E1433" i="6" s="1"/>
  <c r="D1437" i="6"/>
  <c r="E1437" i="6" s="1"/>
  <c r="S1077" i="6"/>
  <c r="AO1077" i="6"/>
  <c r="S1261" i="6"/>
  <c r="AO1261" i="6"/>
  <c r="S1087" i="6"/>
  <c r="AO1087" i="6"/>
  <c r="S1048" i="6"/>
  <c r="AO1048" i="6"/>
  <c r="D1378" i="6"/>
  <c r="E1378" i="6" s="1"/>
  <c r="D1366" i="6"/>
  <c r="E1366" i="6" s="1"/>
  <c r="D1429" i="6"/>
  <c r="E1429" i="6" s="1"/>
  <c r="AO1099" i="6"/>
  <c r="O923" i="6"/>
  <c r="S1223" i="6"/>
  <c r="AO1223" i="6"/>
  <c r="S1274" i="6"/>
  <c r="AO1274" i="6"/>
  <c r="S1139" i="6"/>
  <c r="AO1139" i="6"/>
  <c r="S1299" i="6"/>
  <c r="AO1299" i="6"/>
  <c r="D1561" i="6"/>
  <c r="AO1231" i="6"/>
  <c r="S1092" i="6"/>
  <c r="AO1092" i="6"/>
  <c r="S1286" i="6"/>
  <c r="AO1286" i="6"/>
  <c r="S1260" i="6"/>
  <c r="AO1260" i="6"/>
  <c r="AO1586" i="6"/>
  <c r="O1586" i="6"/>
  <c r="AO672" i="6"/>
  <c r="D1350" i="6"/>
  <c r="E1350" i="6" s="1"/>
  <c r="BU193" i="4"/>
  <c r="L143" i="7"/>
  <c r="CD260" i="4"/>
  <c r="CI41" i="4"/>
  <c r="CM41" i="4"/>
  <c r="CN41" i="4"/>
  <c r="CO41" i="4"/>
  <c r="CL41" i="4"/>
  <c r="CF61" i="4"/>
  <c r="CA61" i="4"/>
  <c r="CG61" i="4"/>
  <c r="CA223" i="4"/>
  <c r="CE223" i="4"/>
  <c r="CD223" i="4"/>
  <c r="CG223" i="4"/>
  <c r="BW230" i="4"/>
  <c r="N5" i="7"/>
  <c r="BS230" i="4"/>
  <c r="J5" i="7"/>
  <c r="AA5" i="7"/>
  <c r="AB5" i="7"/>
  <c r="BU230" i="4"/>
  <c r="L5" i="7"/>
  <c r="BY230" i="4"/>
  <c r="P5" i="7"/>
  <c r="BY270" i="4"/>
  <c r="P40" i="7"/>
  <c r="BS270" i="4"/>
  <c r="J40" i="7"/>
  <c r="AA40" i="7"/>
  <c r="AB40" i="7"/>
  <c r="BU270" i="4"/>
  <c r="L40" i="7"/>
  <c r="BV270" i="4"/>
  <c r="M40" i="7"/>
  <c r="O995" i="6"/>
  <c r="S1247" i="6"/>
  <c r="AO1247" i="6"/>
  <c r="S1107" i="6"/>
  <c r="AO1107" i="6"/>
  <c r="AO1535" i="6"/>
  <c r="O1535" i="6"/>
  <c r="S1119" i="6"/>
  <c r="AO1119" i="6"/>
  <c r="D1416" i="6"/>
  <c r="E1416" i="6" s="1"/>
  <c r="AO1195" i="6"/>
  <c r="S1123" i="6"/>
  <c r="AO1123" i="6"/>
  <c r="AO1032" i="6"/>
  <c r="S1255" i="6"/>
  <c r="AO1255" i="6"/>
  <c r="S1277" i="6"/>
  <c r="AO1277" i="6"/>
  <c r="S1127" i="6"/>
  <c r="AO1127" i="6"/>
  <c r="AO1567" i="6"/>
  <c r="O1567" i="6"/>
  <c r="S1042" i="6"/>
  <c r="AO1042" i="6"/>
  <c r="AO692" i="6"/>
  <c r="D1369" i="6"/>
  <c r="E1369" i="6" s="1"/>
  <c r="AO1039" i="6"/>
  <c r="S1246" i="6"/>
  <c r="AO1246" i="6"/>
  <c r="AO772" i="6"/>
  <c r="AO1576" i="6"/>
  <c r="O1576" i="6"/>
  <c r="D1400" i="6"/>
  <c r="E1400" i="6" s="1"/>
  <c r="AO1007" i="6"/>
  <c r="BV260" i="4"/>
  <c r="M30" i="7"/>
  <c r="D1375" i="6"/>
  <c r="E1375" i="6" s="1"/>
  <c r="D1459" i="6"/>
  <c r="E1459" i="6" s="1"/>
  <c r="D1325" i="6"/>
  <c r="E1325" i="6" s="1"/>
  <c r="D1368" i="6"/>
  <c r="E1368" i="6" s="1"/>
  <c r="D1410" i="6"/>
  <c r="E1410" i="6" s="1"/>
  <c r="D1344" i="6"/>
  <c r="E1344" i="6" s="1"/>
  <c r="D1422" i="6"/>
  <c r="E1422" i="6" s="1"/>
  <c r="AO1613" i="6"/>
  <c r="O1613" i="6"/>
  <c r="D1352" i="6"/>
  <c r="E1352" i="6" s="1"/>
  <c r="AO1022" i="6"/>
  <c r="D1384" i="6"/>
  <c r="E1384" i="6" s="1"/>
  <c r="AO1054" i="6"/>
  <c r="O1566" i="6"/>
  <c r="D1453" i="6"/>
  <c r="E1453" i="6" s="1"/>
  <c r="D1363" i="6"/>
  <c r="E1363" i="6" s="1"/>
  <c r="K80" i="7"/>
  <c r="BS43" i="4"/>
  <c r="J80" i="7"/>
  <c r="BS117" i="4"/>
  <c r="J127" i="7"/>
  <c r="AA127" i="7"/>
  <c r="AB127" i="7"/>
  <c r="BY117" i="4"/>
  <c r="P127" i="7"/>
  <c r="BU117" i="4"/>
  <c r="L127" i="7"/>
  <c r="K127" i="7"/>
  <c r="BX117" i="4"/>
  <c r="O127" i="7"/>
  <c r="BV117" i="4"/>
  <c r="M127" i="7"/>
  <c r="BS206" i="4"/>
  <c r="J154" i="7"/>
  <c r="BX206" i="4"/>
  <c r="O154" i="7"/>
  <c r="D1512" i="6"/>
  <c r="O1182" i="6"/>
  <c r="D1415" i="6"/>
  <c r="E1415" i="6" s="1"/>
  <c r="O1085" i="6"/>
  <c r="A1085" i="6"/>
  <c r="S1162" i="6"/>
  <c r="AO1162" i="6"/>
  <c r="S1101" i="6"/>
  <c r="AO1101" i="6"/>
  <c r="D1348" i="6"/>
  <c r="E1348" i="6" s="1"/>
  <c r="S1197" i="6"/>
  <c r="AO1197" i="6"/>
  <c r="S1227" i="6"/>
  <c r="AO1227" i="6"/>
  <c r="S1045" i="6"/>
  <c r="AO1045" i="6"/>
  <c r="S1186" i="6"/>
  <c r="S1149" i="6"/>
  <c r="AO1149" i="6"/>
  <c r="O1631" i="6"/>
  <c r="AO1237" i="6"/>
  <c r="AO1301" i="6"/>
  <c r="O1590" i="6"/>
  <c r="AO1590" i="6"/>
  <c r="AO1557" i="6"/>
  <c r="O1557" i="6"/>
  <c r="S1033" i="6"/>
  <c r="AO1033" i="6"/>
  <c r="S1198" i="6"/>
  <c r="AO1198" i="6"/>
  <c r="D1313" i="6"/>
  <c r="AO1636" i="6"/>
  <c r="O1636" i="6"/>
  <c r="A692" i="6"/>
  <c r="S1283" i="6"/>
  <c r="AO1283" i="6"/>
  <c r="D1473" i="6"/>
  <c r="E1473" i="6" s="1"/>
  <c r="AO1637" i="6"/>
  <c r="O1637" i="6"/>
  <c r="D1606" i="6"/>
  <c r="AO1038" i="6"/>
  <c r="O1571" i="6"/>
  <c r="AO1571" i="6"/>
  <c r="D1449" i="6"/>
  <c r="E1449" i="6" s="1"/>
  <c r="BS17" i="4"/>
  <c r="J54" i="7"/>
  <c r="K54" i="7"/>
  <c r="CE38" i="4"/>
  <c r="CA38" i="4"/>
  <c r="BW112" i="4"/>
  <c r="N122" i="7"/>
  <c r="BU112" i="4"/>
  <c r="L122" i="7"/>
  <c r="BX112" i="4"/>
  <c r="O122" i="7"/>
  <c r="CK118" i="4"/>
  <c r="CL118" i="4"/>
  <c r="CM118" i="4"/>
  <c r="BW166" i="4"/>
  <c r="BY166" i="4"/>
  <c r="BX166" i="4"/>
  <c r="CM207" i="4"/>
  <c r="CI207" i="4"/>
  <c r="CN207" i="4"/>
  <c r="CK207" i="4"/>
  <c r="CL207" i="4"/>
  <c r="CE213" i="4"/>
  <c r="CC213" i="4"/>
  <c r="CD213" i="4"/>
  <c r="O1513" i="6"/>
  <c r="D1432" i="6"/>
  <c r="E1432" i="6" s="1"/>
  <c r="AO1577" i="6"/>
  <c r="O1577" i="6"/>
  <c r="AO1014" i="6"/>
  <c r="O983" i="6"/>
  <c r="O692" i="6"/>
  <c r="O1548" i="6"/>
  <c r="AO799" i="6"/>
  <c r="B1433" i="6"/>
  <c r="S1433" i="6"/>
  <c r="S1103" i="6"/>
  <c r="AO1103" i="6"/>
  <c r="BW125" i="4"/>
  <c r="BV125" i="4"/>
  <c r="BX125" i="4"/>
  <c r="BY125" i="4"/>
  <c r="BS125" i="4"/>
  <c r="BU125" i="4"/>
  <c r="BS226" i="4"/>
  <c r="BU226" i="4"/>
  <c r="BW226" i="4"/>
  <c r="BX226" i="4"/>
  <c r="BV226" i="4"/>
  <c r="D1421" i="6"/>
  <c r="E1421" i="6" s="1"/>
  <c r="D1359" i="6"/>
  <c r="E1359" i="6" s="1"/>
  <c r="S1276" i="6"/>
  <c r="AO1276" i="6"/>
  <c r="S1129" i="6"/>
  <c r="AO1129" i="6"/>
  <c r="D1329" i="6"/>
  <c r="E1329" i="6" s="1"/>
  <c r="D1560" i="6"/>
  <c r="D1447" i="6"/>
  <c r="E1447" i="6" s="1"/>
  <c r="BT41" i="4"/>
  <c r="D1533" i="6"/>
  <c r="O1203" i="6"/>
  <c r="D1580" i="6"/>
  <c r="O1250" i="6"/>
  <c r="D1380" i="6"/>
  <c r="E1380" i="6" s="1"/>
  <c r="D1610" i="6"/>
  <c r="D1603" i="6"/>
  <c r="O1273" i="6"/>
  <c r="O1614" i="6"/>
  <c r="AO1614" i="6"/>
  <c r="D1345" i="6"/>
  <c r="E1345" i="6" s="1"/>
  <c r="O1015" i="6"/>
  <c r="D1564" i="6"/>
  <c r="O1234" i="6"/>
  <c r="O1595" i="6"/>
  <c r="D1462" i="6"/>
  <c r="E1462" i="6" s="1"/>
  <c r="D1491" i="6"/>
  <c r="E1491" i="6" s="1"/>
  <c r="O1161" i="6"/>
  <c r="D1426" i="6"/>
  <c r="E1426" i="6" s="1"/>
  <c r="D1419" i="6"/>
  <c r="E1419" i="6" s="1"/>
  <c r="AO1559" i="6"/>
  <c r="O1559" i="6"/>
  <c r="D1430" i="6"/>
  <c r="E1430" i="6" s="1"/>
  <c r="O1100" i="6"/>
  <c r="D1511" i="6"/>
  <c r="O1181" i="6"/>
  <c r="D1478" i="6"/>
  <c r="E1478" i="6" s="1"/>
  <c r="O1148" i="6"/>
  <c r="D1520" i="6"/>
  <c r="O1190" i="6"/>
  <c r="D1373" i="6"/>
  <c r="E1373" i="6" s="1"/>
  <c r="O1043" i="6"/>
  <c r="D1652" i="6"/>
  <c r="O1322" i="6"/>
  <c r="O820" i="6"/>
  <c r="D1150" i="6"/>
  <c r="E1150" i="6" s="1"/>
  <c r="O855" i="6"/>
  <c r="D1185" i="6"/>
  <c r="B735" i="6"/>
  <c r="S405" i="6"/>
  <c r="AO405" i="6"/>
  <c r="B1209" i="6"/>
  <c r="S879" i="6"/>
  <c r="D1485" i="6"/>
  <c r="E1485" i="6" s="1"/>
  <c r="D1465" i="6"/>
  <c r="E1465" i="6" s="1"/>
  <c r="AO1604" i="6"/>
  <c r="O1604" i="6"/>
  <c r="AO1607" i="6"/>
  <c r="O1607" i="6"/>
  <c r="D1330" i="6"/>
  <c r="E1330" i="6" s="1"/>
  <c r="AO1251" i="6"/>
  <c r="BJ48" i="4"/>
  <c r="BI48" i="4"/>
  <c r="BH32" i="4"/>
  <c r="AZ32" i="4"/>
  <c r="BG32" i="4"/>
  <c r="AU207" i="4"/>
  <c r="BL135" i="4"/>
  <c r="AT135" i="4"/>
  <c r="BK95" i="4"/>
  <c r="AZ71" i="4"/>
  <c r="BF71" i="4"/>
  <c r="BL23" i="4"/>
  <c r="AW35" i="4"/>
  <c r="BG35" i="4"/>
  <c r="BN218" i="4"/>
  <c r="BE218" i="4"/>
  <c r="BB218" i="4"/>
  <c r="BF130" i="4"/>
  <c r="BH289" i="4"/>
  <c r="AZ121" i="4"/>
  <c r="CB8" i="4"/>
  <c r="CJ67" i="4"/>
  <c r="CJ191" i="4"/>
  <c r="CJ160" i="4"/>
  <c r="CB50" i="4"/>
  <c r="BT154" i="4"/>
  <c r="BT11" i="4"/>
  <c r="BT118" i="4"/>
  <c r="D1425" i="6"/>
  <c r="E1425" i="6" s="1"/>
  <c r="D1471" i="6"/>
  <c r="E1471" i="6" s="1"/>
  <c r="O1141" i="6"/>
  <c r="D1534" i="6"/>
  <c r="O1232" i="6"/>
  <c r="AO1554" i="6"/>
  <c r="O1554" i="6"/>
  <c r="D1383" i="6"/>
  <c r="E1383" i="6" s="1"/>
  <c r="O1289" i="6"/>
  <c r="O1542" i="6"/>
  <c r="AO1542" i="6"/>
  <c r="D1418" i="6"/>
  <c r="E1418" i="6" s="1"/>
  <c r="O1249" i="6"/>
  <c r="O1194" i="6"/>
  <c r="O1192" i="6"/>
  <c r="D1484" i="6"/>
  <c r="E1484" i="6" s="1"/>
  <c r="D1507" i="6"/>
  <c r="O1177" i="6"/>
  <c r="AO1620" i="6"/>
  <c r="O1620" i="6"/>
  <c r="D1612" i="6"/>
  <c r="O1282" i="6"/>
  <c r="D1514" i="6"/>
  <c r="O1184" i="6"/>
  <c r="A809" i="6"/>
  <c r="D1027" i="6"/>
  <c r="E1027" i="6" s="1"/>
  <c r="A814" i="6"/>
  <c r="O754" i="6"/>
  <c r="O800" i="6"/>
  <c r="A800" i="6"/>
  <c r="B818" i="6"/>
  <c r="S488" i="6"/>
  <c r="AO488" i="6"/>
  <c r="S550" i="6"/>
  <c r="AO550" i="6"/>
  <c r="B880" i="6"/>
  <c r="B935" i="6"/>
  <c r="S605" i="6"/>
  <c r="AO605" i="6"/>
  <c r="B1361" i="6"/>
  <c r="S1361" i="6"/>
  <c r="S1031" i="6"/>
  <c r="AO1031" i="6"/>
  <c r="AT48" i="4"/>
  <c r="AX48" i="4"/>
  <c r="BJ32" i="4"/>
  <c r="BL32" i="4"/>
  <c r="BB135" i="4"/>
  <c r="BF135" i="4"/>
  <c r="AW71" i="4"/>
  <c r="BN71" i="4"/>
  <c r="BE35" i="4"/>
  <c r="AZ35" i="4"/>
  <c r="AV218" i="4"/>
  <c r="BF218" i="4"/>
  <c r="BK218" i="4"/>
  <c r="AW289" i="4"/>
  <c r="BA121" i="4"/>
  <c r="CJ79" i="4"/>
  <c r="CB160" i="4"/>
  <c r="CB167" i="4"/>
  <c r="BT25" i="4"/>
  <c r="CB48" i="4"/>
  <c r="BT135" i="4"/>
  <c r="BT207" i="4"/>
  <c r="BT223" i="4"/>
  <c r="AY234" i="4"/>
  <c r="BT245" i="4"/>
  <c r="BD289" i="4"/>
  <c r="D1622" i="6"/>
  <c r="D1503" i="6"/>
  <c r="O1173" i="6"/>
  <c r="D1428" i="6"/>
  <c r="E1428" i="6" s="1"/>
  <c r="AO1562" i="6"/>
  <c r="O1562" i="6"/>
  <c r="D1458" i="6"/>
  <c r="E1458" i="6" s="1"/>
  <c r="O1128" i="6"/>
  <c r="O1619" i="6"/>
  <c r="D1398" i="6"/>
  <c r="E1398" i="6" s="1"/>
  <c r="D1498" i="6"/>
  <c r="O1168" i="6"/>
  <c r="D1371" i="6"/>
  <c r="E1371" i="6" s="1"/>
  <c r="D1392" i="6"/>
  <c r="E1392" i="6" s="1"/>
  <c r="O1199" i="6"/>
  <c r="O1579" i="6"/>
  <c r="D1624" i="6"/>
  <c r="O1294" i="6"/>
  <c r="AO1524" i="6"/>
  <c r="O1524" i="6"/>
  <c r="AO1522" i="6"/>
  <c r="O1522" i="6"/>
  <c r="D1379" i="6"/>
  <c r="E1379" i="6" s="1"/>
  <c r="D1598" i="6"/>
  <c r="D1617" i="6"/>
  <c r="O1287" i="6"/>
  <c r="O726" i="6"/>
  <c r="A726" i="6"/>
  <c r="AO1504" i="6"/>
  <c r="O1504" i="6"/>
  <c r="B1013" i="6"/>
  <c r="S683" i="6"/>
  <c r="AO683" i="6"/>
  <c r="B706" i="6"/>
  <c r="S376" i="6"/>
  <c r="AO376" i="6"/>
  <c r="B1088" i="6"/>
  <c r="S758" i="6"/>
  <c r="S786" i="6"/>
  <c r="B1116" i="6"/>
  <c r="O909" i="6"/>
  <c r="D1239" i="6"/>
  <c r="D1389" i="6"/>
  <c r="E1389" i="6" s="1"/>
  <c r="S1137" i="6"/>
  <c r="D1391" i="6"/>
  <c r="E1391" i="6" s="1"/>
  <c r="D1346" i="6"/>
  <c r="E1346" i="6" s="1"/>
  <c r="AO1581" i="6"/>
  <c r="O1581" i="6"/>
  <c r="O1530" i="6"/>
  <c r="D1479" i="6"/>
  <c r="E1479" i="6" s="1"/>
  <c r="BT54" i="4"/>
  <c r="D1404" i="6"/>
  <c r="E1404" i="6" s="1"/>
  <c r="D1370" i="6"/>
  <c r="E1370" i="6" s="1"/>
  <c r="D1333" i="6"/>
  <c r="E1333" i="6" s="1"/>
  <c r="D1592" i="6"/>
  <c r="D1409" i="6"/>
  <c r="E1409" i="6" s="1"/>
  <c r="D1434" i="6"/>
  <c r="E1434" i="6" s="1"/>
  <c r="D1556" i="6"/>
  <c r="O1226" i="6"/>
  <c r="D1627" i="6"/>
  <c r="O1297" i="6"/>
  <c r="D1489" i="6"/>
  <c r="E1489" i="6" s="1"/>
  <c r="O1159" i="6"/>
  <c r="O1529" i="6"/>
  <c r="D1570" i="6"/>
  <c r="O1240" i="6"/>
  <c r="D1508" i="6"/>
  <c r="O1178" i="6"/>
  <c r="AO852" i="6"/>
  <c r="O852" i="6"/>
  <c r="A755" i="6"/>
  <c r="O755" i="6"/>
  <c r="A828" i="6"/>
  <c r="O828" i="6"/>
  <c r="D1158" i="6"/>
  <c r="E1158" i="6" s="1"/>
  <c r="O802" i="6"/>
  <c r="D1483" i="6"/>
  <c r="E1483" i="6" s="1"/>
  <c r="D1081" i="6"/>
  <c r="E1081" i="6" s="1"/>
  <c r="O751" i="6"/>
  <c r="B794" i="6"/>
  <c r="S464" i="6"/>
  <c r="AO464" i="6"/>
  <c r="B892" i="6"/>
  <c r="S562" i="6"/>
  <c r="AO562" i="6"/>
  <c r="S640" i="6"/>
  <c r="AO640" i="6"/>
  <c r="B970" i="6"/>
  <c r="O386" i="6"/>
  <c r="A386" i="6"/>
  <c r="D716" i="6"/>
  <c r="E716" i="6" s="1"/>
  <c r="AO1616" i="6"/>
  <c r="O1616" i="6"/>
  <c r="O1642" i="6"/>
  <c r="S1219" i="6"/>
  <c r="AO1219" i="6"/>
  <c r="D1407" i="6"/>
  <c r="E1407" i="6" s="1"/>
  <c r="CB135" i="4"/>
  <c r="D1399" i="6"/>
  <c r="E1399" i="6" s="1"/>
  <c r="O1069" i="6"/>
  <c r="D1487" i="6"/>
  <c r="E1487" i="6" s="1"/>
  <c r="D1374" i="6"/>
  <c r="E1374" i="6" s="1"/>
  <c r="D1388" i="6"/>
  <c r="E1388" i="6" s="1"/>
  <c r="D1360" i="6"/>
  <c r="E1360" i="6" s="1"/>
  <c r="AO1532" i="6"/>
  <c r="O1532" i="6"/>
  <c r="D1536" i="6"/>
  <c r="O1206" i="6"/>
  <c r="O1293" i="6"/>
  <c r="O1518" i="6"/>
  <c r="AO1518" i="6"/>
  <c r="AO1572" i="6"/>
  <c r="O1572" i="6"/>
  <c r="D1396" i="6"/>
  <c r="E1396" i="6" s="1"/>
  <c r="O1066" i="6"/>
  <c r="D1588" i="6"/>
  <c r="O1258" i="6"/>
  <c r="AO1634" i="6"/>
  <c r="O1634" i="6"/>
  <c r="O1214" i="6"/>
  <c r="D1402" i="6"/>
  <c r="E1402" i="6" s="1"/>
  <c r="O1072" i="6"/>
  <c r="D1597" i="6"/>
  <c r="O1267" i="6"/>
  <c r="D1382" i="6"/>
  <c r="E1382" i="6" s="1"/>
  <c r="D1122" i="6"/>
  <c r="E1122" i="6" s="1"/>
  <c r="O792" i="6"/>
  <c r="B1069" i="6"/>
  <c r="S739" i="6"/>
  <c r="B767" i="6"/>
  <c r="S437" i="6"/>
  <c r="AO437" i="6"/>
  <c r="S484" i="6"/>
  <c r="B814" i="6"/>
  <c r="O1574" i="6"/>
  <c r="S1303" i="6"/>
  <c r="AO1303" i="6" s="1"/>
  <c r="D1420" i="6"/>
  <c r="E1420" i="6" s="1"/>
  <c r="D1474" i="6"/>
  <c r="E1474" i="6" s="1"/>
  <c r="AO1578" i="6"/>
  <c r="O1578" i="6"/>
  <c r="S1020" i="6"/>
  <c r="AO1020" i="6"/>
  <c r="D1372" i="6"/>
  <c r="E1372" i="6" s="1"/>
  <c r="AO1568" i="6"/>
  <c r="O1568" i="6"/>
  <c r="AZ48" i="4"/>
  <c r="AU48" i="4"/>
  <c r="AY48" i="4"/>
  <c r="AV32" i="4"/>
  <c r="AU32" i="4"/>
  <c r="AX32" i="4"/>
  <c r="BN135" i="4"/>
  <c r="BK135" i="4"/>
  <c r="BG23" i="4"/>
  <c r="BC35" i="4"/>
  <c r="BA35" i="4"/>
  <c r="BJ35" i="4"/>
  <c r="BD218" i="4"/>
  <c r="AX218" i="4"/>
  <c r="AT289" i="4"/>
  <c r="BI289" i="4"/>
  <c r="BH121" i="4"/>
  <c r="BH97" i="4"/>
  <c r="CM97" i="4"/>
  <c r="CB206" i="4"/>
  <c r="CB41" i="4"/>
  <c r="CJ223" i="4"/>
  <c r="CJ143" i="4"/>
  <c r="CJ130" i="4"/>
  <c r="CB218" i="4"/>
  <c r="BT94" i="4"/>
  <c r="BT98" i="4"/>
  <c r="BT130" i="4"/>
  <c r="AO1538" i="6"/>
  <c r="O1538" i="6"/>
  <c r="D1442" i="6"/>
  <c r="E1442" i="6" s="1"/>
  <c r="D1349" i="6"/>
  <c r="E1349" i="6" s="1"/>
  <c r="D1356" i="6"/>
  <c r="E1356" i="6" s="1"/>
  <c r="O1026" i="6"/>
  <c r="D1408" i="6"/>
  <c r="E1408" i="6" s="1"/>
  <c r="O1078" i="6"/>
  <c r="D1341" i="6"/>
  <c r="E1341" i="6" s="1"/>
  <c r="D1510" i="6"/>
  <c r="O1180" i="6"/>
  <c r="D1464" i="6"/>
  <c r="E1464" i="6" s="1"/>
  <c r="O1134" i="6"/>
  <c r="D1412" i="6"/>
  <c r="E1412" i="6" s="1"/>
  <c r="O1082" i="6"/>
  <c r="D1390" i="6"/>
  <c r="E1390" i="6" s="1"/>
  <c r="AO1623" i="6"/>
  <c r="O1623" i="6"/>
  <c r="D1424" i="6"/>
  <c r="E1424" i="6" s="1"/>
  <c r="D1444" i="6"/>
  <c r="E1444" i="6" s="1"/>
  <c r="O1114" i="6"/>
  <c r="D1327" i="6"/>
  <c r="E1327" i="6" s="1"/>
  <c r="D1441" i="6"/>
  <c r="E1441" i="6" s="1"/>
  <c r="D1626" i="6"/>
  <c r="O1296" i="6"/>
  <c r="D1386" i="6"/>
  <c r="E1386" i="6" s="1"/>
  <c r="O1056" i="6"/>
  <c r="AO1544" i="6"/>
  <c r="O1544" i="6"/>
  <c r="D1531" i="6"/>
  <c r="O1201" i="6"/>
  <c r="O790" i="6"/>
  <c r="A790" i="6"/>
  <c r="A764" i="6"/>
  <c r="D1446" i="6"/>
  <c r="E1446" i="6" s="1"/>
  <c r="S1035" i="6"/>
  <c r="AO1553" i="6"/>
  <c r="O1553" i="6"/>
  <c r="D1481" i="6"/>
  <c r="E1481" i="6" s="1"/>
  <c r="D1343" i="6"/>
  <c r="E1343" i="6" s="1"/>
  <c r="BL48" i="4"/>
  <c r="BH48" i="4"/>
  <c r="BM32" i="4"/>
  <c r="BK32" i="4"/>
  <c r="BF32" i="4"/>
  <c r="AX135" i="4"/>
  <c r="AZ135" i="4"/>
  <c r="BM71" i="4"/>
  <c r="BG71" i="4"/>
  <c r="AV71" i="4"/>
  <c r="BA23" i="4"/>
  <c r="BD35" i="4"/>
  <c r="BN35" i="4"/>
  <c r="BG218" i="4"/>
  <c r="BI218" i="4"/>
  <c r="BB289" i="4"/>
  <c r="AV289" i="4"/>
  <c r="BJ121" i="4"/>
  <c r="AV97" i="4"/>
  <c r="CB143" i="4"/>
  <c r="CJ48" i="4"/>
  <c r="CJ218" i="4"/>
  <c r="BT127" i="4"/>
  <c r="BT162" i="4"/>
  <c r="CB275" i="4"/>
  <c r="BT102" i="4"/>
  <c r="BT234" i="4"/>
  <c r="D1326" i="6"/>
  <c r="E1326" i="6" s="1"/>
  <c r="O996" i="6"/>
  <c r="D1351" i="6"/>
  <c r="E1351" i="6" s="1"/>
  <c r="AO1602" i="6"/>
  <c r="O1602" i="6"/>
  <c r="D1611" i="6"/>
  <c r="AO1281" i="6"/>
  <c r="O1281" i="6"/>
  <c r="D1354" i="6"/>
  <c r="E1354" i="6" s="1"/>
  <c r="AO1500" i="6"/>
  <c r="O1500" i="6"/>
  <c r="D1492" i="6"/>
  <c r="E1492" i="6" s="1"/>
  <c r="D1654" i="6"/>
  <c r="D1618" i="6"/>
  <c r="O1288" i="6"/>
  <c r="D1385" i="6"/>
  <c r="E1385" i="6" s="1"/>
  <c r="O1638" i="6"/>
  <c r="AO1638" i="6"/>
  <c r="D1451" i="6"/>
  <c r="E1451" i="6" s="1"/>
  <c r="D1547" i="6"/>
  <c r="O1217" i="6"/>
  <c r="D1644" i="6"/>
  <c r="O1314" i="6"/>
  <c r="D1406" i="6"/>
  <c r="E1406" i="6" s="1"/>
  <c r="D1468" i="6"/>
  <c r="E1468" i="6" s="1"/>
  <c r="O1138" i="6"/>
  <c r="D1551" i="6"/>
  <c r="O1221" i="6"/>
  <c r="O782" i="6"/>
  <c r="AO847" i="6"/>
  <c r="O847" i="6"/>
  <c r="O736" i="6"/>
  <c r="D1305" i="6"/>
  <c r="O975" i="6"/>
  <c r="B748" i="6"/>
  <c r="S418" i="6"/>
  <c r="AO418" i="6"/>
  <c r="S635" i="6"/>
  <c r="AO635" i="6"/>
  <c r="B965" i="6"/>
  <c r="AO762" i="6"/>
  <c r="D1646" i="6"/>
  <c r="D1405" i="6"/>
  <c r="E1405" i="6" s="1"/>
  <c r="AO1632" i="6"/>
  <c r="O1632" i="6"/>
  <c r="O1587" i="6"/>
  <c r="D1395" i="6"/>
  <c r="E1395" i="6" s="1"/>
  <c r="BB48" i="4"/>
  <c r="BE32" i="4"/>
  <c r="BB32" i="4"/>
  <c r="BC207" i="4"/>
  <c r="BD135" i="4"/>
  <c r="AW135" i="4"/>
  <c r="AZ95" i="4"/>
  <c r="BA71" i="4"/>
  <c r="AT71" i="4"/>
  <c r="BD71" i="4"/>
  <c r="BI35" i="4"/>
  <c r="AU218" i="4"/>
  <c r="BD130" i="4"/>
  <c r="BK121" i="4"/>
  <c r="CJ206" i="4"/>
  <c r="CJ21" i="4"/>
  <c r="CB127" i="4"/>
  <c r="BT71" i="4"/>
  <c r="AX95" i="4"/>
  <c r="BN121" i="4"/>
  <c r="BT143" i="4"/>
  <c r="BT167" i="4"/>
  <c r="D1472" i="6"/>
  <c r="E1472" i="6" s="1"/>
  <c r="O1142" i="6"/>
  <c r="D1335" i="6"/>
  <c r="E1335" i="6" s="1"/>
  <c r="D1431" i="6"/>
  <c r="E1431" i="6" s="1"/>
  <c r="D1413" i="6"/>
  <c r="E1413" i="6" s="1"/>
  <c r="O1050" i="6"/>
  <c r="O1280" i="6"/>
  <c r="D1476" i="6"/>
  <c r="E1476" i="6" s="1"/>
  <c r="O1284" i="6"/>
  <c r="D1463" i="6"/>
  <c r="E1463" i="6" s="1"/>
  <c r="D1526" i="6"/>
  <c r="O1196" i="6"/>
  <c r="D1460" i="6"/>
  <c r="E1460" i="6" s="1"/>
  <c r="D1403" i="6"/>
  <c r="E1403" i="6" s="1"/>
  <c r="AO1565" i="6"/>
  <c r="O1565" i="6"/>
  <c r="O1265" i="6"/>
  <c r="A802" i="6"/>
  <c r="O1499" i="6"/>
  <c r="AO1499" i="6"/>
  <c r="O1089" i="6"/>
  <c r="D1495" i="6"/>
  <c r="E1495" i="6" s="1"/>
  <c r="D1340" i="6"/>
  <c r="E1340" i="6" s="1"/>
  <c r="O1010" i="6"/>
  <c r="O1229" i="6"/>
  <c r="D1414" i="6"/>
  <c r="E1414" i="6" s="1"/>
  <c r="O1084" i="6"/>
  <c r="D1450" i="6"/>
  <c r="E1450" i="6" s="1"/>
  <c r="D1448" i="6"/>
  <c r="E1448" i="6" s="1"/>
  <c r="D1550" i="6"/>
  <c r="O1220" i="6"/>
  <c r="A729" i="6"/>
  <c r="S426" i="6"/>
  <c r="AO426" i="6"/>
  <c r="B756" i="6"/>
  <c r="B1483" i="6"/>
  <c r="S1483" i="6"/>
  <c r="S1153" i="6"/>
  <c r="AO1153" i="6"/>
  <c r="D1210" i="6"/>
  <c r="A825" i="6"/>
  <c r="D1435" i="6"/>
  <c r="E1435" i="6" s="1"/>
  <c r="D1364" i="6"/>
  <c r="E1364" i="6" s="1"/>
  <c r="D1001" i="6"/>
  <c r="E1001" i="6" s="1"/>
  <c r="D1438" i="6"/>
  <c r="E1438" i="6" s="1"/>
  <c r="AO1575" i="6"/>
  <c r="O1575" i="6"/>
  <c r="A784" i="6"/>
  <c r="D1443" i="6"/>
  <c r="E1443" i="6" s="1"/>
  <c r="O1222" i="6"/>
  <c r="D1004" i="6"/>
  <c r="E1004" i="6" s="1"/>
  <c r="O1295" i="6"/>
  <c r="D1298" i="6"/>
  <c r="A770" i="6"/>
  <c r="O1228" i="6"/>
  <c r="D1252" i="6"/>
  <c r="D1057" i="6"/>
  <c r="E1057" i="6" s="1"/>
  <c r="AO1584" i="6"/>
  <c r="O1584" i="6"/>
  <c r="D1477" i="6"/>
  <c r="E1477" i="6" s="1"/>
  <c r="D1163" i="6"/>
  <c r="E1163" i="6" s="1"/>
  <c r="AO1528" i="6"/>
  <c r="O1528" i="6"/>
  <c r="O1502" i="6"/>
  <c r="D1136" i="6"/>
  <c r="E1136" i="6" s="1"/>
  <c r="A741" i="6"/>
  <c r="O1315" i="6"/>
  <c r="AO1537" i="6"/>
  <c r="O1537" i="6"/>
  <c r="O994" i="6"/>
  <c r="O806" i="6"/>
  <c r="O758" i="6"/>
  <c r="O771" i="6"/>
  <c r="O691" i="6"/>
  <c r="AO786" i="6"/>
  <c r="O788" i="6"/>
  <c r="O1263" i="6"/>
  <c r="AO783" i="6"/>
  <c r="O810" i="6"/>
  <c r="O832" i="6"/>
  <c r="O768" i="6"/>
  <c r="O1225" i="6"/>
  <c r="O680" i="6"/>
  <c r="O744" i="6"/>
  <c r="S347" i="6"/>
  <c r="AO347" i="6"/>
  <c r="S353" i="6"/>
  <c r="AO353" i="6"/>
  <c r="B733" i="6"/>
  <c r="S424" i="6"/>
  <c r="AO424" i="6"/>
  <c r="S443" i="6"/>
  <c r="AO443" i="6"/>
  <c r="S477" i="6"/>
  <c r="AO477" i="6"/>
  <c r="S525" i="6"/>
  <c r="AO525" i="6"/>
  <c r="B906" i="6"/>
  <c r="S576" i="6"/>
  <c r="AO576" i="6"/>
  <c r="B950" i="6"/>
  <c r="S661" i="6"/>
  <c r="AO661" i="6"/>
  <c r="B991" i="6"/>
  <c r="B717" i="6"/>
  <c r="B738" i="6"/>
  <c r="B770" i="6"/>
  <c r="AO788" i="6"/>
  <c r="B826" i="6"/>
  <c r="B850" i="6"/>
  <c r="B869" i="6"/>
  <c r="B895" i="6"/>
  <c r="B962" i="6"/>
  <c r="S1268" i="6"/>
  <c r="AO1268" i="6"/>
  <c r="O1552" i="6"/>
  <c r="O1625" i="6"/>
  <c r="D1355" i="6"/>
  <c r="E1355" i="6" s="1"/>
  <c r="O1558" i="6"/>
  <c r="AO1558" i="6"/>
  <c r="D1455" i="6"/>
  <c r="E1455" i="6" s="1"/>
  <c r="D1353" i="6"/>
  <c r="E1353" i="6" s="1"/>
  <c r="D1071" i="6"/>
  <c r="E1071" i="6" s="1"/>
  <c r="AO1645" i="6"/>
  <c r="O1645" i="6"/>
  <c r="O681" i="6"/>
  <c r="O678" i="6"/>
  <c r="AO860" i="6"/>
  <c r="O1593" i="6"/>
  <c r="O815" i="6"/>
  <c r="O770" i="6"/>
  <c r="AO719" i="6"/>
  <c r="O674" i="6"/>
  <c r="O775" i="6"/>
  <c r="O733" i="6"/>
  <c r="O695" i="6"/>
  <c r="O1555" i="6"/>
  <c r="O696" i="6"/>
  <c r="D1651" i="6"/>
  <c r="AO695" i="6"/>
  <c r="AO701" i="6"/>
  <c r="AO704" i="6"/>
  <c r="S379" i="6"/>
  <c r="AO379" i="6"/>
  <c r="S411" i="6"/>
  <c r="AO411" i="6"/>
  <c r="AO758" i="6"/>
  <c r="S501" i="6"/>
  <c r="AO501" i="6"/>
  <c r="S515" i="6"/>
  <c r="AO515" i="6"/>
  <c r="S544" i="6"/>
  <c r="AO544" i="6"/>
  <c r="S581" i="6"/>
  <c r="AO581" i="6"/>
  <c r="B933" i="6"/>
  <c r="S603" i="6"/>
  <c r="AO603" i="6"/>
  <c r="S634" i="6"/>
  <c r="AO634" i="6"/>
  <c r="B983" i="6"/>
  <c r="B1089" i="6"/>
  <c r="S1204" i="6"/>
  <c r="AO1204" i="6"/>
  <c r="D1423" i="6"/>
  <c r="E1423" i="6" s="1"/>
  <c r="AO746" i="6"/>
  <c r="AO759" i="6"/>
  <c r="B740" i="6"/>
  <c r="B810" i="6"/>
  <c r="B837" i="6"/>
  <c r="S874" i="6"/>
  <c r="AO874" i="6"/>
  <c r="B927" i="6"/>
  <c r="B1128" i="6"/>
  <c r="D1440" i="6"/>
  <c r="E1440" i="6" s="1"/>
  <c r="D1439" i="6"/>
  <c r="E1439" i="6" s="1"/>
  <c r="D1328" i="6"/>
  <c r="E1328" i="6" s="1"/>
  <c r="A746" i="6"/>
  <c r="A796" i="6"/>
  <c r="O1539" i="6"/>
  <c r="O1594" i="6"/>
  <c r="AO1641" i="6"/>
  <c r="O1641" i="6"/>
  <c r="O1269" i="6"/>
  <c r="O950" i="6"/>
  <c r="AO854" i="6"/>
  <c r="O1243" i="6"/>
  <c r="O673" i="6"/>
  <c r="O830" i="6"/>
  <c r="O671" i="6"/>
  <c r="O829" i="6"/>
  <c r="O791" i="6"/>
  <c r="O765" i="6"/>
  <c r="O727" i="6"/>
  <c r="O685" i="6"/>
  <c r="O722" i="6"/>
  <c r="AO879" i="6"/>
  <c r="O714" i="6"/>
  <c r="S345" i="6"/>
  <c r="AO345" i="6"/>
  <c r="AO739" i="6"/>
  <c r="S421" i="6"/>
  <c r="AO421" i="6"/>
  <c r="S432" i="6"/>
  <c r="AO432" i="6"/>
  <c r="B779" i="6"/>
  <c r="S453" i="6"/>
  <c r="AO453" i="6"/>
  <c r="S474" i="6"/>
  <c r="AO474" i="6"/>
  <c r="S512" i="6"/>
  <c r="AO512" i="6"/>
  <c r="B842" i="6"/>
  <c r="S527" i="6"/>
  <c r="AO527" i="6"/>
  <c r="B857" i="6"/>
  <c r="S549" i="6"/>
  <c r="AO549" i="6"/>
  <c r="S573" i="6"/>
  <c r="AO573" i="6"/>
  <c r="S1025" i="6"/>
  <c r="AO1025" i="6"/>
  <c r="D1393" i="6"/>
  <c r="E1393" i="6" s="1"/>
  <c r="D1456" i="6"/>
  <c r="E1456" i="6" s="1"/>
  <c r="AO1599" i="6"/>
  <c r="O1599" i="6"/>
  <c r="AO1573" i="6"/>
  <c r="O1573" i="6"/>
  <c r="D1630" i="6"/>
  <c r="AO675" i="6"/>
  <c r="AO724" i="6"/>
  <c r="B686" i="6"/>
  <c r="S413" i="6"/>
  <c r="AO413" i="6"/>
  <c r="B743" i="6"/>
  <c r="B922" i="6"/>
  <c r="S592" i="6"/>
  <c r="AO592" i="6"/>
  <c r="B780" i="6"/>
  <c r="D1475" i="6"/>
  <c r="E1475" i="6" s="1"/>
  <c r="D1367" i="6"/>
  <c r="E1367" i="6" s="1"/>
  <c r="AO1506" i="6"/>
  <c r="O1506" i="6"/>
  <c r="D1397" i="6"/>
  <c r="E1397" i="6" s="1"/>
  <c r="D1008" i="6"/>
  <c r="E1008" i="6" s="1"/>
  <c r="O1648" i="6"/>
  <c r="D1470" i="6"/>
  <c r="E1470" i="6" s="1"/>
  <c r="A671" i="6"/>
  <c r="AO1609" i="6"/>
  <c r="O1609" i="6"/>
  <c r="D1164" i="6"/>
  <c r="E1164" i="6" s="1"/>
  <c r="D1486" i="6"/>
  <c r="E1486" i="6" s="1"/>
  <c r="AO1543" i="6"/>
  <c r="O1543" i="6"/>
  <c r="D1166" i="6"/>
  <c r="E1166" i="6" s="1"/>
  <c r="D1361" i="6"/>
  <c r="E1361" i="6" s="1"/>
  <c r="D1160" i="6"/>
  <c r="E1160" i="6" s="1"/>
  <c r="D1461" i="6"/>
  <c r="E1461" i="6" s="1"/>
  <c r="D1436" i="6"/>
  <c r="E1436" i="6" s="1"/>
  <c r="A833" i="6"/>
  <c r="AO1546" i="6"/>
  <c r="O1546" i="6"/>
  <c r="D1193" i="6"/>
  <c r="O1601" i="6"/>
  <c r="O804" i="6"/>
  <c r="O796" i="6"/>
  <c r="O834" i="6"/>
  <c r="O741" i="6"/>
  <c r="O732" i="6"/>
  <c r="O784" i="6"/>
  <c r="O720" i="6"/>
  <c r="O1175" i="6"/>
  <c r="S386" i="6"/>
  <c r="AO386" i="6"/>
  <c r="S394" i="6"/>
  <c r="AO394" i="6"/>
  <c r="S402" i="6"/>
  <c r="AO402" i="6"/>
  <c r="S429" i="6"/>
  <c r="AO429" i="6"/>
  <c r="B764" i="6"/>
  <c r="S434" i="6"/>
  <c r="AO434" i="6"/>
  <c r="S504" i="6"/>
  <c r="AO504" i="6"/>
  <c r="S514" i="6"/>
  <c r="AO514" i="6"/>
  <c r="S517" i="6"/>
  <c r="AO517" i="6"/>
  <c r="S559" i="6"/>
  <c r="AO559" i="6"/>
  <c r="B914" i="6"/>
  <c r="S584" i="6"/>
  <c r="AO584" i="6"/>
  <c r="S589" i="6"/>
  <c r="AO589" i="6"/>
  <c r="B919" i="6"/>
  <c r="S616" i="6"/>
  <c r="AO616" i="6"/>
  <c r="S1041" i="6"/>
  <c r="AO1041" i="6"/>
  <c r="AO804" i="6"/>
  <c r="S938" i="6"/>
  <c r="AO938" i="6"/>
  <c r="S959" i="6"/>
  <c r="AO959" i="6"/>
  <c r="B1289" i="6"/>
  <c r="A335" i="6"/>
  <c r="O501" i="6"/>
  <c r="O1270" i="6"/>
  <c r="D1600" i="6"/>
  <c r="D1347" i="6"/>
  <c r="E1347" i="6" s="1"/>
  <c r="AO823" i="6"/>
  <c r="AO1505" i="6"/>
  <c r="O1505" i="6"/>
  <c r="O343" i="6"/>
  <c r="A343" i="6"/>
  <c r="O472" i="6"/>
  <c r="B967" i="6"/>
  <c r="S637" i="6"/>
  <c r="AO637" i="6"/>
  <c r="A349" i="6"/>
  <c r="O355" i="6"/>
  <c r="A355" i="6"/>
  <c r="O409" i="6"/>
  <c r="O424" i="6"/>
  <c r="O448" i="6"/>
  <c r="A448" i="6"/>
  <c r="O467" i="6"/>
  <c r="A467" i="6"/>
  <c r="O650" i="6"/>
  <c r="D980" i="6"/>
  <c r="AO650" i="6"/>
  <c r="A381" i="6"/>
  <c r="O414" i="6"/>
  <c r="O462" i="6"/>
  <c r="O438" i="6"/>
  <c r="O625" i="6"/>
  <c r="D955" i="6"/>
  <c r="A370" i="6"/>
  <c r="O401" i="6"/>
  <c r="A401" i="6"/>
  <c r="A439" i="6"/>
  <c r="A444" i="6"/>
  <c r="AO626" i="6"/>
  <c r="A365" i="6"/>
  <c r="O411" i="6"/>
  <c r="A411" i="6"/>
  <c r="A481" i="6"/>
  <c r="O360" i="6"/>
  <c r="D989" i="6"/>
  <c r="O659" i="6"/>
  <c r="B975" i="6"/>
  <c r="S645" i="6"/>
  <c r="AO645" i="6"/>
  <c r="O392" i="6"/>
  <c r="O428" i="6"/>
  <c r="A428" i="6"/>
  <c r="D837" i="6"/>
  <c r="E837" i="6" s="1"/>
  <c r="AO507" i="6"/>
  <c r="O507" i="6"/>
  <c r="A507" i="6"/>
  <c r="O502" i="6"/>
  <c r="AO449" i="6"/>
  <c r="O497" i="6"/>
  <c r="O503" i="6"/>
  <c r="O571" i="6"/>
  <c r="O627" i="6"/>
  <c r="O337" i="6"/>
  <c r="O358" i="6"/>
  <c r="O363" i="6"/>
  <c r="O383" i="6"/>
  <c r="O395" i="6"/>
  <c r="O417" i="6"/>
  <c r="O431" i="6"/>
  <c r="O436" i="6"/>
  <c r="O446" i="6"/>
  <c r="O453" i="6"/>
  <c r="O475" i="6"/>
  <c r="O483" i="6"/>
  <c r="O487" i="6"/>
  <c r="O492" i="6"/>
  <c r="O498" i="6"/>
  <c r="D859" i="6"/>
  <c r="O433" i="6"/>
  <c r="O499" i="6"/>
  <c r="AO524" i="6"/>
  <c r="O450" i="6"/>
  <c r="D682" i="6"/>
  <c r="E682" i="6" s="1"/>
  <c r="O359" i="6"/>
  <c r="O364" i="6"/>
  <c r="A369" i="6"/>
  <c r="O374" i="6"/>
  <c r="O380" i="6"/>
  <c r="O396" i="6"/>
  <c r="O418" i="6"/>
  <c r="O451" i="6"/>
  <c r="O454" i="6"/>
  <c r="O476" i="6"/>
  <c r="AO480" i="6"/>
  <c r="AO484" i="6"/>
  <c r="O493" i="6"/>
  <c r="O500" i="6"/>
  <c r="AO593" i="6"/>
  <c r="AO658" i="6"/>
  <c r="D734" i="6"/>
  <c r="E734" i="6" s="1"/>
  <c r="O494" i="6"/>
  <c r="AO553" i="6"/>
  <c r="D841" i="6"/>
  <c r="O553" i="6"/>
  <c r="O626" i="6"/>
  <c r="O640" i="6"/>
  <c r="O658" i="6"/>
  <c r="O616" i="6"/>
  <c r="O488" i="6"/>
  <c r="AO1435" i="6"/>
  <c r="O1435" i="6"/>
  <c r="A1435" i="6"/>
  <c r="O1403" i="6"/>
  <c r="A1403" i="6"/>
  <c r="D1635" i="6"/>
  <c r="O1305" i="6"/>
  <c r="AO1351" i="6"/>
  <c r="O1351" i="6"/>
  <c r="A1351" i="6"/>
  <c r="AA54" i="7"/>
  <c r="AB54" i="7"/>
  <c r="S54" i="7"/>
  <c r="AO1339" i="6"/>
  <c r="O1339" i="6"/>
  <c r="A1339" i="6"/>
  <c r="D1467" i="6"/>
  <c r="E1467" i="6" s="1"/>
  <c r="AO1137" i="6"/>
  <c r="A1137" i="6"/>
  <c r="O1137" i="6"/>
  <c r="AO1585" i="6"/>
  <c r="O1585" i="6"/>
  <c r="AO1445" i="6"/>
  <c r="O1445" i="6"/>
  <c r="A1445" i="6"/>
  <c r="S975" i="6"/>
  <c r="AO975" i="6"/>
  <c r="B1305" i="6"/>
  <c r="B1094" i="6"/>
  <c r="S764" i="6"/>
  <c r="AO764" i="6"/>
  <c r="O1470" i="6"/>
  <c r="A1470" i="6"/>
  <c r="B1172" i="6"/>
  <c r="S842" i="6"/>
  <c r="AO842" i="6"/>
  <c r="AO1328" i="6"/>
  <c r="O1328" i="6"/>
  <c r="A1328" i="6"/>
  <c r="B1458" i="6"/>
  <c r="S1458" i="6"/>
  <c r="S1128" i="6"/>
  <c r="AO1128" i="6"/>
  <c r="B1199" i="6"/>
  <c r="S869" i="6"/>
  <c r="AO869" i="6"/>
  <c r="S733" i="6"/>
  <c r="AO733" i="6"/>
  <c r="B1063" i="6"/>
  <c r="D1493" i="6"/>
  <c r="E1493" i="6" s="1"/>
  <c r="O1163" i="6"/>
  <c r="A1163" i="6"/>
  <c r="AO1163" i="6"/>
  <c r="O1414" i="6"/>
  <c r="A1414" i="6"/>
  <c r="AO1414" i="6"/>
  <c r="AO1476" i="6"/>
  <c r="O1476" i="6"/>
  <c r="A1476" i="6"/>
  <c r="AO1335" i="6"/>
  <c r="O1335" i="6"/>
  <c r="A1335" i="6"/>
  <c r="BW143" i="4"/>
  <c r="BV143" i="4"/>
  <c r="BU143" i="4"/>
  <c r="BY143" i="4"/>
  <c r="BS143" i="4"/>
  <c r="BX143" i="4"/>
  <c r="O1551" i="6"/>
  <c r="AO1354" i="6"/>
  <c r="O1354" i="6"/>
  <c r="A1354" i="6"/>
  <c r="BY162" i="4"/>
  <c r="BX162" i="4"/>
  <c r="BU162" i="4"/>
  <c r="BS162" i="4"/>
  <c r="BW162" i="4"/>
  <c r="BV162" i="4"/>
  <c r="O1446" i="6"/>
  <c r="A1446" i="6"/>
  <c r="AO1626" i="6"/>
  <c r="O1626" i="6"/>
  <c r="AO1412" i="6"/>
  <c r="A1412" i="6"/>
  <c r="O1412" i="6"/>
  <c r="CI143" i="4"/>
  <c r="CL143" i="4"/>
  <c r="CO143" i="4"/>
  <c r="CN143" i="4"/>
  <c r="CM143" i="4"/>
  <c r="CK143" i="4"/>
  <c r="O1382" i="6"/>
  <c r="AO1382" i="6"/>
  <c r="A1382" i="6"/>
  <c r="AO1360" i="6"/>
  <c r="O1360" i="6"/>
  <c r="A1360" i="6"/>
  <c r="S970" i="6"/>
  <c r="AO970" i="6"/>
  <c r="B1300" i="6"/>
  <c r="AO1508" i="6"/>
  <c r="O1508" i="6"/>
  <c r="BS54" i="4"/>
  <c r="J91" i="7"/>
  <c r="AA91" i="7"/>
  <c r="AB91" i="7"/>
  <c r="K91" i="7"/>
  <c r="BY54" i="4"/>
  <c r="P91" i="7"/>
  <c r="BX54" i="4"/>
  <c r="O91" i="7"/>
  <c r="BU54" i="4"/>
  <c r="L91" i="7"/>
  <c r="BW54" i="4"/>
  <c r="N91" i="7"/>
  <c r="BV54" i="4"/>
  <c r="M91" i="7"/>
  <c r="B1343" i="6"/>
  <c r="S1343" i="6"/>
  <c r="S1013" i="6"/>
  <c r="AO1013" i="6"/>
  <c r="AO1503" i="6"/>
  <c r="O1503" i="6"/>
  <c r="K155" i="7"/>
  <c r="BS207" i="4"/>
  <c r="J155" i="7"/>
  <c r="AA155" i="7"/>
  <c r="AB155" i="7"/>
  <c r="BX207" i="4"/>
  <c r="O155" i="7"/>
  <c r="BU207" i="4"/>
  <c r="L155" i="7"/>
  <c r="BV207" i="4"/>
  <c r="M155" i="7"/>
  <c r="BY207" i="4"/>
  <c r="P155" i="7"/>
  <c r="BW207" i="4"/>
  <c r="N155" i="7"/>
  <c r="S880" i="6"/>
  <c r="AO880" i="6"/>
  <c r="B1210" i="6"/>
  <c r="O1507" i="6"/>
  <c r="AO1507" i="6"/>
  <c r="BU118" i="4"/>
  <c r="L128" i="7"/>
  <c r="BV118" i="4"/>
  <c r="M128" i="7"/>
  <c r="BW118" i="4"/>
  <c r="N128" i="7"/>
  <c r="BS118" i="4"/>
  <c r="J128" i="7"/>
  <c r="AA128" i="7"/>
  <c r="AB128" i="7"/>
  <c r="BX118" i="4"/>
  <c r="O128" i="7"/>
  <c r="BY118" i="4"/>
  <c r="P128" i="7"/>
  <c r="K128" i="7"/>
  <c r="O1430" i="6"/>
  <c r="A1430" i="6"/>
  <c r="O1603" i="6"/>
  <c r="AO1603" i="6"/>
  <c r="AO1533" i="6"/>
  <c r="O1533" i="6"/>
  <c r="O1560" i="6"/>
  <c r="O1449" i="6"/>
  <c r="A1449" i="6"/>
  <c r="AO1449" i="6"/>
  <c r="AO1512" i="6"/>
  <c r="O1512" i="6"/>
  <c r="AO1352" i="6"/>
  <c r="O1352" i="6"/>
  <c r="A1352" i="6"/>
  <c r="AO1410" i="6"/>
  <c r="O1410" i="6"/>
  <c r="A1410" i="6"/>
  <c r="AO1429" i="6"/>
  <c r="O1429" i="6"/>
  <c r="A1429" i="6"/>
  <c r="AO1653" i="6"/>
  <c r="O1653" i="6"/>
  <c r="S1601" i="6"/>
  <c r="AO1601" i="6"/>
  <c r="D1516" i="6"/>
  <c r="AO1186" i="6"/>
  <c r="O1186" i="6"/>
  <c r="O1633" i="6"/>
  <c r="AO1633" i="6"/>
  <c r="AO1457" i="6"/>
  <c r="O1457" i="6"/>
  <c r="A1457" i="6"/>
  <c r="B1530" i="6"/>
  <c r="S1200" i="6"/>
  <c r="AO1200" i="6"/>
  <c r="D1411" i="6"/>
  <c r="E1411" i="6" s="1"/>
  <c r="A1081" i="6"/>
  <c r="O1081" i="6"/>
  <c r="AO1081" i="6"/>
  <c r="AO1617" i="6"/>
  <c r="O1617" i="6"/>
  <c r="AO1348" i="6"/>
  <c r="O1348" i="6"/>
  <c r="A1348" i="6"/>
  <c r="O859" i="6"/>
  <c r="D1189" i="6"/>
  <c r="AO859" i="6"/>
  <c r="O980" i="6"/>
  <c r="D1310" i="6"/>
  <c r="AO980" i="6"/>
  <c r="AO1347" i="6"/>
  <c r="O1347" i="6"/>
  <c r="A1347" i="6"/>
  <c r="B1619" i="6"/>
  <c r="S1289" i="6"/>
  <c r="AO1289" i="6"/>
  <c r="AO1461" i="6"/>
  <c r="O1461" i="6"/>
  <c r="A1461" i="6"/>
  <c r="O1486" i="6"/>
  <c r="A1486" i="6"/>
  <c r="AO1367" i="6"/>
  <c r="O1367" i="6"/>
  <c r="A1367" i="6"/>
  <c r="S922" i="6"/>
  <c r="AO922" i="6"/>
  <c r="B1252" i="6"/>
  <c r="O1393" i="6"/>
  <c r="A1393" i="6"/>
  <c r="S927" i="6"/>
  <c r="AO927" i="6"/>
  <c r="B1257" i="6"/>
  <c r="B1419" i="6"/>
  <c r="S1419" i="6"/>
  <c r="S1089" i="6"/>
  <c r="AO1089" i="6"/>
  <c r="A1455" i="6"/>
  <c r="AO1455" i="6"/>
  <c r="O1455" i="6"/>
  <c r="B1180" i="6"/>
  <c r="S850" i="6"/>
  <c r="AO850" i="6"/>
  <c r="S950" i="6"/>
  <c r="AO950" i="6"/>
  <c r="B1280" i="6"/>
  <c r="AO1477" i="6"/>
  <c r="O1477" i="6"/>
  <c r="A1477" i="6"/>
  <c r="D1628" i="6"/>
  <c r="O1298" i="6"/>
  <c r="AO1298" i="6"/>
  <c r="AO1460" i="6"/>
  <c r="A1460" i="6"/>
  <c r="O1460" i="6"/>
  <c r="O1547" i="6"/>
  <c r="AO1547" i="6"/>
  <c r="AO1618" i="6"/>
  <c r="O1618" i="6"/>
  <c r="BS127" i="4"/>
  <c r="BU127" i="4"/>
  <c r="BW127" i="4"/>
  <c r="BV127" i="4"/>
  <c r="BX127" i="4"/>
  <c r="BY127" i="4"/>
  <c r="BW218" i="4"/>
  <c r="BY218" i="4"/>
  <c r="BU218" i="4"/>
  <c r="BX218" i="4"/>
  <c r="BV218" i="4"/>
  <c r="AO1343" i="6"/>
  <c r="O1343" i="6"/>
  <c r="A1343" i="6"/>
  <c r="O1531" i="6"/>
  <c r="AO1531" i="6"/>
  <c r="AO1441" i="6"/>
  <c r="O1441" i="6"/>
  <c r="A1441" i="6"/>
  <c r="O1424" i="6"/>
  <c r="A1424" i="6"/>
  <c r="O1442" i="6"/>
  <c r="A1442" i="6"/>
  <c r="CO223" i="4"/>
  <c r="CM223" i="4"/>
  <c r="CK223" i="4"/>
  <c r="CI223" i="4"/>
  <c r="CL223" i="4"/>
  <c r="CN223" i="4"/>
  <c r="AO1372" i="6"/>
  <c r="O1372" i="6"/>
  <c r="A1372" i="6"/>
  <c r="AO1420" i="6"/>
  <c r="O1420" i="6"/>
  <c r="A1420" i="6"/>
  <c r="O1483" i="6"/>
  <c r="AO1483" i="6"/>
  <c r="A1483" i="6"/>
  <c r="O1627" i="6"/>
  <c r="O1592" i="6"/>
  <c r="AO1479" i="6"/>
  <c r="O1479" i="6"/>
  <c r="A1479" i="6"/>
  <c r="AO1391" i="6"/>
  <c r="O1391" i="6"/>
  <c r="A1391" i="6"/>
  <c r="B1446" i="6"/>
  <c r="S1446" i="6"/>
  <c r="AO1446" i="6"/>
  <c r="S1116" i="6"/>
  <c r="AO1116" i="6"/>
  <c r="O1598" i="6"/>
  <c r="AO1598" i="6"/>
  <c r="AO1624" i="6"/>
  <c r="O1624" i="6"/>
  <c r="AO1458" i="6"/>
  <c r="O1458" i="6"/>
  <c r="A1458" i="6"/>
  <c r="O1622" i="6"/>
  <c r="BS135" i="4"/>
  <c r="BY135" i="4"/>
  <c r="BV135" i="4"/>
  <c r="BU135" i="4"/>
  <c r="BW135" i="4"/>
  <c r="BX135" i="4"/>
  <c r="AO1514" i="6"/>
  <c r="O1514" i="6"/>
  <c r="AO1484" i="6"/>
  <c r="A1484" i="6"/>
  <c r="O1484" i="6"/>
  <c r="BW289" i="4"/>
  <c r="CN289" i="4"/>
  <c r="CC289" i="4"/>
  <c r="CE289" i="4"/>
  <c r="CK289" i="4"/>
  <c r="CD289" i="4"/>
  <c r="CF289" i="4"/>
  <c r="CL289" i="4"/>
  <c r="CM289" i="4"/>
  <c r="BV289" i="4"/>
  <c r="CG289" i="4"/>
  <c r="BU289" i="4"/>
  <c r="BX289" i="4"/>
  <c r="CO289" i="4"/>
  <c r="BY289" i="4"/>
  <c r="BV32" i="4"/>
  <c r="M69" i="7"/>
  <c r="BU32" i="4"/>
  <c r="L69" i="7"/>
  <c r="CE32" i="4"/>
  <c r="BY32" i="4"/>
  <c r="P69" i="7"/>
  <c r="BX32" i="4"/>
  <c r="O69" i="7"/>
  <c r="CG32" i="4"/>
  <c r="CC32" i="4"/>
  <c r="CF32" i="4"/>
  <c r="BW32" i="4"/>
  <c r="N69" i="7"/>
  <c r="CD32" i="4"/>
  <c r="CK32" i="4"/>
  <c r="CM32" i="4"/>
  <c r="CO32" i="4"/>
  <c r="CN32" i="4"/>
  <c r="CL32" i="4"/>
  <c r="B1539" i="6"/>
  <c r="S1209" i="6"/>
  <c r="AO1209" i="6"/>
  <c r="AO1520" i="6"/>
  <c r="O1520" i="6"/>
  <c r="AO1564" i="6"/>
  <c r="O1564" i="6"/>
  <c r="BW41" i="4"/>
  <c r="N78" i="7"/>
  <c r="BV41" i="4"/>
  <c r="M78" i="7"/>
  <c r="K78" i="7"/>
  <c r="BU41" i="4"/>
  <c r="L78" i="7"/>
  <c r="BS41" i="4"/>
  <c r="J78" i="7"/>
  <c r="AA78" i="7"/>
  <c r="AB78" i="7"/>
  <c r="BY41" i="4"/>
  <c r="P78" i="7"/>
  <c r="BX41" i="4"/>
  <c r="O78" i="7"/>
  <c r="AO1329" i="6"/>
  <c r="O1329" i="6"/>
  <c r="A1329" i="6"/>
  <c r="AO1473" i="6"/>
  <c r="O1473" i="6"/>
  <c r="A1473" i="6"/>
  <c r="AA80" i="7"/>
  <c r="AB80" i="7"/>
  <c r="S80" i="7"/>
  <c r="AO1375" i="6"/>
  <c r="O1375" i="6"/>
  <c r="A1375" i="6"/>
  <c r="AO1561" i="6"/>
  <c r="O1561" i="6"/>
  <c r="AO1362" i="6"/>
  <c r="O1362" i="6"/>
  <c r="A1362" i="6"/>
  <c r="B1487" i="6"/>
  <c r="S1487" i="6"/>
  <c r="S1157" i="6"/>
  <c r="AO1157" i="6"/>
  <c r="AO1336" i="6"/>
  <c r="O1336" i="6"/>
  <c r="A1336" i="6"/>
  <c r="S1648" i="6"/>
  <c r="AO1648" i="6"/>
  <c r="AO1527" i="6"/>
  <c r="O1527" i="6"/>
  <c r="AO1469" i="6"/>
  <c r="O1469" i="6"/>
  <c r="A1469" i="6"/>
  <c r="AO1583" i="6"/>
  <c r="O1583" i="6"/>
  <c r="O1517" i="6"/>
  <c r="A1353" i="6"/>
  <c r="AO1353" i="6"/>
  <c r="O1353" i="6"/>
  <c r="S895" i="6"/>
  <c r="AO895" i="6"/>
  <c r="B1225" i="6"/>
  <c r="K62" i="7"/>
  <c r="BS25" i="4"/>
  <c r="J62" i="7"/>
  <c r="AA62" i="7"/>
  <c r="AB62" i="7"/>
  <c r="BV25" i="4"/>
  <c r="M62" i="7"/>
  <c r="BU25" i="4"/>
  <c r="L62" i="7"/>
  <c r="BW25" i="4"/>
  <c r="N62" i="7"/>
  <c r="BY25" i="4"/>
  <c r="P62" i="7"/>
  <c r="BX25" i="4"/>
  <c r="O62" i="7"/>
  <c r="S935" i="6"/>
  <c r="AO935" i="6"/>
  <c r="B1265" i="6"/>
  <c r="O1418" i="6"/>
  <c r="A1418" i="6"/>
  <c r="AO1426" i="6"/>
  <c r="O1426" i="6"/>
  <c r="A1426" i="6"/>
  <c r="AO1432" i="6"/>
  <c r="O1432" i="6"/>
  <c r="A1432" i="6"/>
  <c r="S124" i="7"/>
  <c r="O1377" i="6"/>
  <c r="A1377" i="6"/>
  <c r="AO1650" i="6"/>
  <c r="O1650" i="6"/>
  <c r="B1551" i="6"/>
  <c r="S1551" i="6"/>
  <c r="AO1551" i="6"/>
  <c r="S1221" i="6"/>
  <c r="AO1221" i="6"/>
  <c r="D1012" i="6"/>
  <c r="E1012" i="6" s="1"/>
  <c r="AO682" i="6"/>
  <c r="O682" i="6"/>
  <c r="A682" i="6"/>
  <c r="O989" i="6"/>
  <c r="D1319" i="6"/>
  <c r="AO989" i="6"/>
  <c r="S914" i="6"/>
  <c r="AO914" i="6"/>
  <c r="B1244" i="6"/>
  <c r="B1073" i="6"/>
  <c r="S743" i="6"/>
  <c r="AO743" i="6"/>
  <c r="O1630" i="6"/>
  <c r="S983" i="6"/>
  <c r="AO983" i="6"/>
  <c r="B1313" i="6"/>
  <c r="S826" i="6"/>
  <c r="AO826" i="6"/>
  <c r="B1156" i="6"/>
  <c r="O1438" i="6"/>
  <c r="A1438" i="6"/>
  <c r="AO1438" i="6"/>
  <c r="D1540" i="6"/>
  <c r="O1210" i="6"/>
  <c r="O1550" i="6"/>
  <c r="AO1550" i="6"/>
  <c r="CC35" i="4"/>
  <c r="CF35" i="4"/>
  <c r="CG35" i="4"/>
  <c r="CE35" i="4"/>
  <c r="CD35" i="4"/>
  <c r="CO35" i="4"/>
  <c r="BU35" i="4"/>
  <c r="L72" i="7"/>
  <c r="CL35" i="4"/>
  <c r="BX35" i="4"/>
  <c r="O72" i="7"/>
  <c r="BW35" i="4"/>
  <c r="N72" i="7"/>
  <c r="CN35" i="4"/>
  <c r="BY35" i="4"/>
  <c r="P72" i="7"/>
  <c r="CK35" i="4"/>
  <c r="BV35" i="4"/>
  <c r="M72" i="7"/>
  <c r="CM35" i="4"/>
  <c r="B1295" i="6"/>
  <c r="S965" i="6"/>
  <c r="AO965" i="6"/>
  <c r="AO1468" i="6"/>
  <c r="O1468" i="6"/>
  <c r="A1468" i="6"/>
  <c r="AO1451" i="6"/>
  <c r="O1451" i="6"/>
  <c r="A1451" i="6"/>
  <c r="O1326" i="6"/>
  <c r="A1326" i="6"/>
  <c r="AO1326" i="6"/>
  <c r="CI218" i="4"/>
  <c r="CN218" i="4"/>
  <c r="CK218" i="4"/>
  <c r="CM218" i="4"/>
  <c r="CL218" i="4"/>
  <c r="CO218" i="4"/>
  <c r="O1408" i="6"/>
  <c r="A1408" i="6"/>
  <c r="CF41" i="4"/>
  <c r="CA41" i="4"/>
  <c r="CG41" i="4"/>
  <c r="CC41" i="4"/>
  <c r="CD41" i="4"/>
  <c r="CE41" i="4"/>
  <c r="S767" i="6"/>
  <c r="AO767" i="6"/>
  <c r="B1097" i="6"/>
  <c r="AO1388" i="6"/>
  <c r="O1388" i="6"/>
  <c r="A1388" i="6"/>
  <c r="O1399" i="6"/>
  <c r="A1399" i="6"/>
  <c r="AO1570" i="6"/>
  <c r="O1570" i="6"/>
  <c r="AO1333" i="6"/>
  <c r="O1333" i="6"/>
  <c r="A1333" i="6"/>
  <c r="AO1379" i="6"/>
  <c r="O1379" i="6"/>
  <c r="A1379" i="6"/>
  <c r="AO1498" i="6"/>
  <c r="O1498" i="6"/>
  <c r="CG167" i="4"/>
  <c r="CA167" i="4"/>
  <c r="CD167" i="4"/>
  <c r="CC167" i="4"/>
  <c r="CF167" i="4"/>
  <c r="CE167" i="4"/>
  <c r="O1534" i="6"/>
  <c r="AO1534" i="6"/>
  <c r="BS154" i="4"/>
  <c r="J135" i="7"/>
  <c r="AA135" i="7"/>
  <c r="AB135" i="7"/>
  <c r="K135" i="7"/>
  <c r="BW154" i="4"/>
  <c r="N135" i="7"/>
  <c r="BY154" i="4"/>
  <c r="P135" i="7"/>
  <c r="BX154" i="4"/>
  <c r="O135" i="7"/>
  <c r="BV154" i="4"/>
  <c r="M135" i="7"/>
  <c r="BU154" i="4"/>
  <c r="L135" i="7"/>
  <c r="O1491" i="6"/>
  <c r="AO1491" i="6"/>
  <c r="A1491" i="6"/>
  <c r="O1610" i="6"/>
  <c r="S122" i="7"/>
  <c r="AA154" i="7"/>
  <c r="AB154" i="7"/>
  <c r="S154" i="7"/>
  <c r="AO1384" i="6"/>
  <c r="O1384" i="6"/>
  <c r="A1384" i="6"/>
  <c r="AO1368" i="6"/>
  <c r="O1368" i="6"/>
  <c r="A1368" i="6"/>
  <c r="O1366" i="6"/>
  <c r="A1366" i="6"/>
  <c r="AO1417" i="6"/>
  <c r="O1417" i="6"/>
  <c r="A1417" i="6"/>
  <c r="S1631" i="6"/>
  <c r="AO1631" i="6"/>
  <c r="AO1381" i="6"/>
  <c r="O1381" i="6"/>
  <c r="A1381" i="6"/>
  <c r="B1358" i="6"/>
  <c r="S1358" i="6"/>
  <c r="S1028" i="6"/>
  <c r="S51" i="7"/>
  <c r="D1064" i="6"/>
  <c r="E1064" i="6" s="1"/>
  <c r="O734" i="6"/>
  <c r="A734" i="6"/>
  <c r="AO734" i="6"/>
  <c r="O837" i="6"/>
  <c r="A837" i="6"/>
  <c r="D1167" i="6"/>
  <c r="E1167" i="6" s="1"/>
  <c r="S780" i="6"/>
  <c r="AO780" i="6"/>
  <c r="B1110" i="6"/>
  <c r="O1646" i="6"/>
  <c r="CD275" i="4"/>
  <c r="CA275" i="4"/>
  <c r="CC275" i="4"/>
  <c r="CF275" i="4"/>
  <c r="CE275" i="4"/>
  <c r="CG275" i="4"/>
  <c r="AO1349" i="6"/>
  <c r="O1349" i="6"/>
  <c r="A1349" i="6"/>
  <c r="B1144" i="6"/>
  <c r="S814" i="6"/>
  <c r="AO814" i="6"/>
  <c r="O841" i="6"/>
  <c r="D1171" i="6"/>
  <c r="AO841" i="6"/>
  <c r="S967" i="6"/>
  <c r="AO967" i="6"/>
  <c r="B1297" i="6"/>
  <c r="AO1600" i="6"/>
  <c r="O1600" i="6"/>
  <c r="D1523" i="6"/>
  <c r="O1193" i="6"/>
  <c r="AO1193" i="6"/>
  <c r="D1490" i="6"/>
  <c r="E1490" i="6" s="1"/>
  <c r="O1160" i="6"/>
  <c r="A1160" i="6"/>
  <c r="AO1160" i="6"/>
  <c r="D1494" i="6"/>
  <c r="E1494" i="6" s="1"/>
  <c r="O1164" i="6"/>
  <c r="A1164" i="6"/>
  <c r="AO1164" i="6"/>
  <c r="O1475" i="6"/>
  <c r="AO1475" i="6"/>
  <c r="A1475" i="6"/>
  <c r="A1439" i="6"/>
  <c r="O1439" i="6"/>
  <c r="S837" i="6"/>
  <c r="AO837" i="6" s="1"/>
  <c r="B1167" i="6"/>
  <c r="O1651" i="6"/>
  <c r="S906" i="6"/>
  <c r="AO906" i="6"/>
  <c r="B1236" i="6"/>
  <c r="D1466" i="6"/>
  <c r="E1466" i="6" s="1"/>
  <c r="O1136" i="6"/>
  <c r="A1136" i="6"/>
  <c r="AO1136" i="6"/>
  <c r="D1334" i="6"/>
  <c r="E1334" i="6" s="1"/>
  <c r="O1004" i="6"/>
  <c r="A1004" i="6"/>
  <c r="AO1004" i="6"/>
  <c r="AO1448" i="6"/>
  <c r="O1448" i="6"/>
  <c r="A1448" i="6"/>
  <c r="AO1472" i="6"/>
  <c r="O1472" i="6"/>
  <c r="A1472" i="6"/>
  <c r="BV71" i="4"/>
  <c r="BX71" i="4"/>
  <c r="BS71" i="4"/>
  <c r="BU71" i="4"/>
  <c r="BY71" i="4"/>
  <c r="BW71" i="4"/>
  <c r="O1654" i="6"/>
  <c r="CI48" i="4"/>
  <c r="CL48" i="4"/>
  <c r="CK48" i="4"/>
  <c r="CN48" i="4"/>
  <c r="CO48" i="4"/>
  <c r="CM48" i="4"/>
  <c r="AO1481" i="6"/>
  <c r="O1481" i="6"/>
  <c r="A1481" i="6"/>
  <c r="AO1327" i="6"/>
  <c r="O1327" i="6"/>
  <c r="A1327" i="6"/>
  <c r="AO1464" i="6"/>
  <c r="O1464" i="6"/>
  <c r="A1464" i="6"/>
  <c r="BU94" i="4"/>
  <c r="BX94" i="4"/>
  <c r="BS94" i="4"/>
  <c r="BY94" i="4"/>
  <c r="BV94" i="4"/>
  <c r="BW94" i="4"/>
  <c r="CA206" i="4"/>
  <c r="CE206" i="4"/>
  <c r="CD206" i="4"/>
  <c r="CG206" i="4"/>
  <c r="CF206" i="4"/>
  <c r="CC206" i="4"/>
  <c r="AO1597" i="6"/>
  <c r="O1597" i="6"/>
  <c r="AO1588" i="6"/>
  <c r="O1588" i="6"/>
  <c r="S892" i="6"/>
  <c r="AO892" i="6"/>
  <c r="B1222" i="6"/>
  <c r="AO1556" i="6"/>
  <c r="O1556" i="6"/>
  <c r="O1398" i="6"/>
  <c r="A1398" i="6"/>
  <c r="CG160" i="4"/>
  <c r="CE160" i="4"/>
  <c r="CC160" i="4"/>
  <c r="CF160" i="4"/>
  <c r="CA160" i="4"/>
  <c r="CD160" i="4"/>
  <c r="S818" i="6"/>
  <c r="AO818" i="6"/>
  <c r="B1148" i="6"/>
  <c r="CA50" i="4"/>
  <c r="CD50" i="4"/>
  <c r="CE50" i="4"/>
  <c r="CC50" i="4"/>
  <c r="CF50" i="4"/>
  <c r="CG50" i="4"/>
  <c r="AO1465" i="6"/>
  <c r="O1465" i="6"/>
  <c r="A1465" i="6"/>
  <c r="S735" i="6"/>
  <c r="AO735" i="6"/>
  <c r="B1065" i="6"/>
  <c r="O1478" i="6"/>
  <c r="A1478" i="6"/>
  <c r="AO1345" i="6"/>
  <c r="O1345" i="6"/>
  <c r="A1345" i="6"/>
  <c r="AO1380" i="6"/>
  <c r="O1380" i="6"/>
  <c r="A1380" i="6"/>
  <c r="AO1363" i="6"/>
  <c r="O1363" i="6"/>
  <c r="A1363" i="6"/>
  <c r="S5" i="7"/>
  <c r="S143" i="7"/>
  <c r="O1427" i="6"/>
  <c r="A1427" i="6"/>
  <c r="B1370" i="6"/>
  <c r="S1370" i="6"/>
  <c r="S1040" i="6"/>
  <c r="AO1040" i="6"/>
  <c r="B1340" i="6"/>
  <c r="S1340" i="6"/>
  <c r="AO1340" i="6"/>
  <c r="S1010" i="6"/>
  <c r="AO1010" i="6"/>
  <c r="S1513" i="6"/>
  <c r="AO1513" i="6"/>
  <c r="D1365" i="6"/>
  <c r="E1365" i="6" s="1"/>
  <c r="AO1035" i="6"/>
  <c r="O1035" i="6"/>
  <c r="A1035" i="6"/>
  <c r="AA104" i="7"/>
  <c r="AB104" i="7"/>
  <c r="S104" i="7"/>
  <c r="B1249" i="6"/>
  <c r="S919" i="6"/>
  <c r="AO919" i="6"/>
  <c r="AO1456" i="6"/>
  <c r="O1456" i="6"/>
  <c r="A1456" i="6"/>
  <c r="BY167" i="4"/>
  <c r="BW167" i="4"/>
  <c r="BX167" i="4"/>
  <c r="BS167" i="4"/>
  <c r="BU167" i="4"/>
  <c r="BV167" i="4"/>
  <c r="AO1341" i="6"/>
  <c r="O1341" i="6"/>
  <c r="A1341" i="6"/>
  <c r="O1474" i="6"/>
  <c r="A1474" i="6"/>
  <c r="AO1371" i="6"/>
  <c r="O1371" i="6"/>
  <c r="A1371" i="6"/>
  <c r="D1643" i="6"/>
  <c r="O1313" i="6"/>
  <c r="S40" i="7"/>
  <c r="AO1608" i="6"/>
  <c r="O1608" i="6"/>
  <c r="B1383" i="6"/>
  <c r="S1383" i="6"/>
  <c r="AO1383" i="6"/>
  <c r="S1053" i="6"/>
  <c r="AO1053" i="6"/>
  <c r="B1442" i="6"/>
  <c r="S1442" i="6"/>
  <c r="AO1442" i="6"/>
  <c r="S1112" i="6"/>
  <c r="AO1112" i="6"/>
  <c r="D1358" i="6"/>
  <c r="E1358" i="6" s="1"/>
  <c r="A1028" i="6"/>
  <c r="AO1028" i="6"/>
  <c r="O1028" i="6"/>
  <c r="AO1361" i="6"/>
  <c r="O1361" i="6"/>
  <c r="A1361" i="6"/>
  <c r="D1338" i="6"/>
  <c r="E1338" i="6" s="1"/>
  <c r="A1008" i="6"/>
  <c r="O1008" i="6"/>
  <c r="AO1008" i="6"/>
  <c r="S686" i="6"/>
  <c r="AO686" i="6"/>
  <c r="B1016" i="6"/>
  <c r="B1109" i="6"/>
  <c r="S779" i="6"/>
  <c r="AO779" i="6"/>
  <c r="B1140" i="6"/>
  <c r="S810" i="6"/>
  <c r="AO810" i="6"/>
  <c r="S770" i="6"/>
  <c r="AO770" i="6"/>
  <c r="B1100" i="6"/>
  <c r="D1331" i="6"/>
  <c r="E1331" i="6" s="1"/>
  <c r="A1001" i="6"/>
  <c r="O1001" i="6"/>
  <c r="AO1001" i="6"/>
  <c r="O1340" i="6"/>
  <c r="A1340" i="6"/>
  <c r="O1526" i="6"/>
  <c r="AO1526" i="6"/>
  <c r="AO1413" i="6"/>
  <c r="O1413" i="6"/>
  <c r="A1413" i="6"/>
  <c r="CA127" i="4"/>
  <c r="CD127" i="4"/>
  <c r="CC127" i="4"/>
  <c r="CE127" i="4"/>
  <c r="CG127" i="4"/>
  <c r="CF127" i="4"/>
  <c r="AO1405" i="6"/>
  <c r="O1405" i="6"/>
  <c r="A1405" i="6"/>
  <c r="O1406" i="6"/>
  <c r="A1406" i="6"/>
  <c r="AO1406" i="6"/>
  <c r="AO1492" i="6"/>
  <c r="O1492" i="6"/>
  <c r="A1492" i="6"/>
  <c r="O1611" i="6"/>
  <c r="AO1611" i="6"/>
  <c r="BS234" i="4"/>
  <c r="BX234" i="4"/>
  <c r="BW234" i="4"/>
  <c r="BY234" i="4"/>
  <c r="BU234" i="4"/>
  <c r="BV234" i="4"/>
  <c r="CE143" i="4"/>
  <c r="CA143" i="4"/>
  <c r="CG143" i="4"/>
  <c r="CC143" i="4"/>
  <c r="CD143" i="4"/>
  <c r="CF143" i="4"/>
  <c r="CO97" i="4"/>
  <c r="CK97" i="4"/>
  <c r="CL97" i="4"/>
  <c r="CN97" i="4"/>
  <c r="CE97" i="4"/>
  <c r="CG97" i="4"/>
  <c r="CC97" i="4"/>
  <c r="CD97" i="4"/>
  <c r="BY97" i="4"/>
  <c r="CF97" i="4"/>
  <c r="BV97" i="4"/>
  <c r="BW97" i="4"/>
  <c r="BU97" i="4"/>
  <c r="BX97" i="4"/>
  <c r="B1399" i="6"/>
  <c r="S1399" i="6"/>
  <c r="AO1399" i="6"/>
  <c r="S1069" i="6"/>
  <c r="AO1069" i="6"/>
  <c r="O1374" i="6"/>
  <c r="AO1374" i="6"/>
  <c r="A1374" i="6"/>
  <c r="CA135" i="4"/>
  <c r="CE135" i="4"/>
  <c r="CF135" i="4"/>
  <c r="CC135" i="4"/>
  <c r="CG135" i="4"/>
  <c r="CD135" i="4"/>
  <c r="O716" i="6"/>
  <c r="D1046" i="6"/>
  <c r="E1046" i="6" s="1"/>
  <c r="A716" i="6"/>
  <c r="AO716" i="6"/>
  <c r="AO1434" i="6"/>
  <c r="O1434" i="6"/>
  <c r="A1434" i="6"/>
  <c r="AO1370" i="6"/>
  <c r="O1370" i="6"/>
  <c r="A1370" i="6"/>
  <c r="AO1389" i="6"/>
  <c r="O1389" i="6"/>
  <c r="A1389" i="6"/>
  <c r="B1418" i="6"/>
  <c r="S1418" i="6"/>
  <c r="AO1418" i="6"/>
  <c r="S1088" i="6"/>
  <c r="AO1088" i="6"/>
  <c r="BW245" i="4"/>
  <c r="BS245" i="4"/>
  <c r="BX245" i="4"/>
  <c r="BY245" i="4"/>
  <c r="BV245" i="4"/>
  <c r="BU245" i="4"/>
  <c r="CO79" i="4"/>
  <c r="CI79" i="4"/>
  <c r="CL79" i="4"/>
  <c r="CK79" i="4"/>
  <c r="CN79" i="4"/>
  <c r="CM79" i="4"/>
  <c r="D1357" i="6"/>
  <c r="E1357" i="6" s="1"/>
  <c r="O1027" i="6"/>
  <c r="A1027" i="6"/>
  <c r="AO1027" i="6"/>
  <c r="AO1612" i="6"/>
  <c r="O1612" i="6"/>
  <c r="O1383" i="6"/>
  <c r="A1383" i="6"/>
  <c r="A1471" i="6"/>
  <c r="AO1471" i="6"/>
  <c r="O1471" i="6"/>
  <c r="CI160" i="4"/>
  <c r="CK160" i="4"/>
  <c r="CM160" i="4"/>
  <c r="CO160" i="4"/>
  <c r="CN160" i="4"/>
  <c r="CL160" i="4"/>
  <c r="D1515" i="6"/>
  <c r="O1185" i="6"/>
  <c r="AO1185" i="6"/>
  <c r="A1185" i="6"/>
  <c r="AO1652" i="6"/>
  <c r="O1652" i="6"/>
  <c r="O1462" i="6"/>
  <c r="A1462" i="6"/>
  <c r="AO1462" i="6"/>
  <c r="O1422" i="6"/>
  <c r="A1422" i="6"/>
  <c r="AO1422" i="6"/>
  <c r="AO1325" i="6"/>
  <c r="O1325" i="6"/>
  <c r="A1325" i="6"/>
  <c r="AE128" i="8"/>
  <c r="AE39" i="8"/>
  <c r="AE148" i="8"/>
  <c r="AE23" i="8"/>
  <c r="AE145" i="8"/>
  <c r="AE187" i="8"/>
  <c r="AE28" i="8"/>
  <c r="AE133" i="8"/>
  <c r="AE40" i="8"/>
  <c r="AE152" i="8"/>
  <c r="AE37" i="8"/>
  <c r="AE150" i="8"/>
  <c r="AE160" i="8"/>
  <c r="AE18" i="8"/>
  <c r="AE161" i="8"/>
  <c r="AE59" i="8"/>
  <c r="AE156" i="8"/>
  <c r="AE146" i="8"/>
  <c r="AE132" i="8"/>
  <c r="AE151" i="8"/>
  <c r="AE189" i="8"/>
  <c r="AE164" i="8"/>
  <c r="AE158" i="8"/>
  <c r="AE17" i="8"/>
  <c r="AE142" i="8"/>
  <c r="AE198" i="8"/>
  <c r="AE32" i="8"/>
  <c r="AE196" i="8"/>
  <c r="AE19" i="8"/>
  <c r="AE24" i="8"/>
  <c r="AE25" i="8"/>
  <c r="AE14" i="8"/>
  <c r="AE30" i="8"/>
  <c r="AE199" i="8"/>
  <c r="AE200" i="8"/>
  <c r="AE29" i="8"/>
  <c r="AE139" i="8"/>
  <c r="AE141" i="8"/>
  <c r="AE169" i="8"/>
  <c r="AE193" i="8"/>
  <c r="AE186" i="8"/>
  <c r="AE138" i="8"/>
  <c r="AE188" i="8"/>
  <c r="AE22" i="8"/>
  <c r="AE173" i="8"/>
  <c r="AE166" i="8"/>
  <c r="AE10" i="8"/>
  <c r="AE165" i="8"/>
  <c r="AE163" i="8"/>
  <c r="AE135" i="8"/>
  <c r="AE153" i="8"/>
  <c r="AE154" i="8"/>
  <c r="AE170" i="8"/>
  <c r="AE38" i="8"/>
  <c r="AE36" i="8"/>
  <c r="AE162" i="8"/>
  <c r="AE11" i="8"/>
  <c r="AE35" i="8"/>
  <c r="AE21" i="8"/>
  <c r="AE140" i="8"/>
  <c r="AE195" i="8"/>
  <c r="AE16" i="8"/>
  <c r="AE34" i="8"/>
  <c r="AE185" i="8"/>
  <c r="AE149" i="8"/>
  <c r="AE191" i="8"/>
  <c r="AE33" i="8"/>
  <c r="AE58" i="8"/>
  <c r="AE155" i="8"/>
  <c r="AE134" i="8"/>
  <c r="AE12" i="8"/>
  <c r="AE15" i="8"/>
  <c r="AE9" i="8"/>
  <c r="AE194" i="8"/>
  <c r="AE27" i="8"/>
  <c r="AE192" i="8"/>
  <c r="AE190" i="8"/>
  <c r="AE147" i="8"/>
  <c r="AE184" i="8"/>
  <c r="AE131" i="8"/>
  <c r="AO1437" i="6"/>
  <c r="O1437" i="6"/>
  <c r="A1437" i="6"/>
  <c r="S96" i="7"/>
  <c r="AE31" i="8"/>
  <c r="D1605" i="6"/>
  <c r="O1275" i="6"/>
  <c r="AO1275" i="6"/>
  <c r="AO1337" i="6"/>
  <c r="O1337" i="6"/>
  <c r="A1337" i="6"/>
  <c r="S1545" i="6"/>
  <c r="AO1545" i="6"/>
  <c r="AO1596" i="6"/>
  <c r="O1596" i="6"/>
  <c r="B1548" i="6"/>
  <c r="S1218" i="6"/>
  <c r="AO1218" i="6"/>
  <c r="B1415" i="6"/>
  <c r="S1415" i="6"/>
  <c r="S1085" i="6"/>
  <c r="AO1085" i="6"/>
  <c r="O1454" i="6"/>
  <c r="A1454" i="6"/>
  <c r="O1563" i="6"/>
  <c r="AO1563" i="6"/>
  <c r="AO1433" i="6"/>
  <c r="O1433" i="6"/>
  <c r="A1433" i="6"/>
  <c r="AO1397" i="6"/>
  <c r="O1397" i="6"/>
  <c r="A1397" i="6"/>
  <c r="O1440" i="6"/>
  <c r="A1440" i="6"/>
  <c r="B1070" i="6"/>
  <c r="S740" i="6"/>
  <c r="AO740" i="6"/>
  <c r="A1423" i="6"/>
  <c r="AO1423" i="6"/>
  <c r="O1423" i="6"/>
  <c r="S738" i="6"/>
  <c r="AO738" i="6"/>
  <c r="B1068" i="6"/>
  <c r="D1387" i="6"/>
  <c r="E1387" i="6" s="1"/>
  <c r="O1057" i="6"/>
  <c r="A1057" i="6"/>
  <c r="AO1057" i="6"/>
  <c r="AO1443" i="6"/>
  <c r="O1443" i="6"/>
  <c r="A1443" i="6"/>
  <c r="AO1364" i="6"/>
  <c r="A1364" i="6"/>
  <c r="O1364" i="6"/>
  <c r="B1086" i="6"/>
  <c r="S756" i="6"/>
  <c r="AO756" i="6"/>
  <c r="AO1450" i="6"/>
  <c r="O1450" i="6"/>
  <c r="A1450" i="6"/>
  <c r="AO1463" i="6"/>
  <c r="O1463" i="6"/>
  <c r="A1463" i="6"/>
  <c r="CI21" i="4"/>
  <c r="CN21" i="4"/>
  <c r="CO21" i="4"/>
  <c r="CM21" i="4"/>
  <c r="CK21" i="4"/>
  <c r="CL21" i="4"/>
  <c r="CJ2" i="4"/>
  <c r="B1078" i="6"/>
  <c r="S748" i="6"/>
  <c r="AO748" i="6"/>
  <c r="BX102" i="4"/>
  <c r="O112" i="7"/>
  <c r="BW102" i="4"/>
  <c r="N112" i="7"/>
  <c r="BY102" i="4"/>
  <c r="P112" i="7"/>
  <c r="BU102" i="4"/>
  <c r="L112" i="7"/>
  <c r="K112" i="7"/>
  <c r="BV102" i="4"/>
  <c r="M112" i="7"/>
  <c r="BS102" i="4"/>
  <c r="J112" i="7"/>
  <c r="AA112" i="7"/>
  <c r="AB112" i="7"/>
  <c r="AO1386" i="6"/>
  <c r="O1386" i="6"/>
  <c r="A1386" i="6"/>
  <c r="O1390" i="6"/>
  <c r="AO1390" i="6"/>
  <c r="A1390" i="6"/>
  <c r="AO1356" i="6"/>
  <c r="O1356" i="6"/>
  <c r="A1356" i="6"/>
  <c r="BS130" i="4"/>
  <c r="BY130" i="4"/>
  <c r="BV130" i="4"/>
  <c r="BU130" i="4"/>
  <c r="BX130" i="4"/>
  <c r="BW130" i="4"/>
  <c r="CC121" i="4"/>
  <c r="CD121" i="4"/>
  <c r="CG121" i="4"/>
  <c r="CE121" i="4"/>
  <c r="CF121" i="4"/>
  <c r="BU121" i="4"/>
  <c r="CL121" i="4"/>
  <c r="CO121" i="4"/>
  <c r="CN121" i="4"/>
  <c r="CK121" i="4"/>
  <c r="BV121" i="4"/>
  <c r="BW121" i="4"/>
  <c r="BY121" i="4"/>
  <c r="CM121" i="4"/>
  <c r="BX121" i="4"/>
  <c r="BV23" i="4"/>
  <c r="M60" i="7"/>
  <c r="CO23" i="4"/>
  <c r="BY23" i="4"/>
  <c r="P60" i="7"/>
  <c r="CN23" i="4"/>
  <c r="BX23" i="4"/>
  <c r="O60" i="7"/>
  <c r="BU23" i="4"/>
  <c r="L60" i="7"/>
  <c r="CL23" i="4"/>
  <c r="CM23" i="4"/>
  <c r="CK23" i="4"/>
  <c r="BW23" i="4"/>
  <c r="N60" i="7"/>
  <c r="AO1402" i="6"/>
  <c r="O1402" i="6"/>
  <c r="A1402" i="6"/>
  <c r="AO1396" i="6"/>
  <c r="A1396" i="6"/>
  <c r="O1396" i="6"/>
  <c r="AO1536" i="6"/>
  <c r="O1536" i="6"/>
  <c r="A1407" i="6"/>
  <c r="AO1407" i="6"/>
  <c r="O1407" i="6"/>
  <c r="B1124" i="6"/>
  <c r="S794" i="6"/>
  <c r="AO794" i="6"/>
  <c r="D1488" i="6"/>
  <c r="E1488" i="6" s="1"/>
  <c r="A1158" i="6"/>
  <c r="O1158" i="6"/>
  <c r="AO1158" i="6"/>
  <c r="AO1392" i="6"/>
  <c r="O1392" i="6"/>
  <c r="A1392" i="6"/>
  <c r="AO1428" i="6"/>
  <c r="A1428" i="6"/>
  <c r="O1428" i="6"/>
  <c r="CO191" i="4"/>
  <c r="CK191" i="4"/>
  <c r="CL191" i="4"/>
  <c r="CI191" i="4"/>
  <c r="CN191" i="4"/>
  <c r="CM191" i="4"/>
  <c r="AO1330" i="6"/>
  <c r="O1330" i="6"/>
  <c r="A1330" i="6"/>
  <c r="AO1485" i="6"/>
  <c r="O1485" i="6"/>
  <c r="A1485" i="6"/>
  <c r="AO1419" i="6"/>
  <c r="O1419" i="6"/>
  <c r="A1419" i="6"/>
  <c r="AO1447" i="6"/>
  <c r="O1447" i="6"/>
  <c r="A1447" i="6"/>
  <c r="AO1359" i="6"/>
  <c r="O1359" i="6"/>
  <c r="A1359" i="6"/>
  <c r="AO1415" i="6"/>
  <c r="O1415" i="6"/>
  <c r="A1415" i="6"/>
  <c r="AO1453" i="6"/>
  <c r="O1453" i="6"/>
  <c r="A1453" i="6"/>
  <c r="AO1369" i="6"/>
  <c r="A1369" i="6"/>
  <c r="O1369" i="6"/>
  <c r="O1416" i="6"/>
  <c r="A1416" i="6"/>
  <c r="O1350" i="6"/>
  <c r="AO1350" i="6"/>
  <c r="A1350" i="6"/>
  <c r="AO1378" i="6"/>
  <c r="O1378" i="6"/>
  <c r="A1378" i="6"/>
  <c r="S30" i="7"/>
  <c r="A1193" i="6"/>
  <c r="AO1482" i="6"/>
  <c r="O1482" i="6"/>
  <c r="A1482" i="6"/>
  <c r="AO1332" i="6"/>
  <c r="O1332" i="6"/>
  <c r="A1332" i="6"/>
  <c r="AO1541" i="6"/>
  <c r="O1541" i="6"/>
  <c r="A1541" i="6"/>
  <c r="AO1436" i="6"/>
  <c r="O1436" i="6"/>
  <c r="A1436" i="6"/>
  <c r="B1321" i="6"/>
  <c r="S991" i="6"/>
  <c r="AO991" i="6"/>
  <c r="AO1644" i="6"/>
  <c r="O1644" i="6"/>
  <c r="CI130" i="4"/>
  <c r="CN130" i="4"/>
  <c r="CO130" i="4"/>
  <c r="CK130" i="4"/>
  <c r="CL130" i="4"/>
  <c r="CM130" i="4"/>
  <c r="O1346" i="6"/>
  <c r="A1346" i="6"/>
  <c r="AO1421" i="6"/>
  <c r="O1421" i="6"/>
  <c r="A1421" i="6"/>
  <c r="AO1459" i="6"/>
  <c r="O1459" i="6"/>
  <c r="A1459" i="6"/>
  <c r="O955" i="6"/>
  <c r="D1285" i="6"/>
  <c r="AO955" i="6"/>
  <c r="D1496" i="6"/>
  <c r="E1496" i="6" s="1"/>
  <c r="A1166" i="6"/>
  <c r="O1166" i="6"/>
  <c r="AO1166" i="6"/>
  <c r="B1187" i="6"/>
  <c r="S857" i="6"/>
  <c r="AO857" i="6"/>
  <c r="S933" i="6"/>
  <c r="AO933" i="6"/>
  <c r="B1263" i="6"/>
  <c r="D1401" i="6"/>
  <c r="E1401" i="6" s="1"/>
  <c r="A1071" i="6"/>
  <c r="AO1071" i="6"/>
  <c r="O1071" i="6"/>
  <c r="AO1355" i="6"/>
  <c r="O1355" i="6"/>
  <c r="A1355" i="6"/>
  <c r="S962" i="6"/>
  <c r="AO962" i="6"/>
  <c r="B1292" i="6"/>
  <c r="B1047" i="6"/>
  <c r="S717" i="6"/>
  <c r="AO717" i="6"/>
  <c r="D1582" i="6"/>
  <c r="O1252" i="6"/>
  <c r="AO1495" i="6"/>
  <c r="O1495" i="6"/>
  <c r="A1495" i="6"/>
  <c r="AO1431" i="6"/>
  <c r="O1431" i="6"/>
  <c r="A1431" i="6"/>
  <c r="CO206" i="4"/>
  <c r="CI206" i="4"/>
  <c r="CN206" i="4"/>
  <c r="CM206" i="4"/>
  <c r="CK206" i="4"/>
  <c r="CL206" i="4"/>
  <c r="O1395" i="6"/>
  <c r="A1395" i="6"/>
  <c r="O1385" i="6"/>
  <c r="A1385" i="6"/>
  <c r="AO1385" i="6"/>
  <c r="BY48" i="4"/>
  <c r="P85" i="7"/>
  <c r="BU48" i="4"/>
  <c r="L85" i="7"/>
  <c r="BV48" i="4"/>
  <c r="M85" i="7"/>
  <c r="BX48" i="4"/>
  <c r="O85" i="7"/>
  <c r="BW48" i="4"/>
  <c r="N85" i="7"/>
  <c r="AO1444" i="6"/>
  <c r="A1444" i="6"/>
  <c r="O1444" i="6"/>
  <c r="O1510" i="6"/>
  <c r="A1510" i="6"/>
  <c r="BW98" i="4"/>
  <c r="BU98" i="4"/>
  <c r="BV98" i="4"/>
  <c r="BX98" i="4"/>
  <c r="BS98" i="4"/>
  <c r="BY98" i="4"/>
  <c r="CA218" i="4"/>
  <c r="CG218" i="4"/>
  <c r="CE218" i="4"/>
  <c r="CC218" i="4"/>
  <c r="CD218" i="4"/>
  <c r="CF218" i="4"/>
  <c r="D1452" i="6"/>
  <c r="E1452" i="6" s="1"/>
  <c r="A1122" i="6"/>
  <c r="AO1122" i="6"/>
  <c r="O1122" i="6"/>
  <c r="AO1487" i="6"/>
  <c r="O1487" i="6"/>
  <c r="A1487" i="6"/>
  <c r="AO1489" i="6"/>
  <c r="O1489" i="6"/>
  <c r="A1489" i="6"/>
  <c r="AO1409" i="6"/>
  <c r="O1409" i="6"/>
  <c r="A1409" i="6"/>
  <c r="AO1404" i="6"/>
  <c r="O1404" i="6"/>
  <c r="A1404" i="6"/>
  <c r="D1569" i="6"/>
  <c r="O1239" i="6"/>
  <c r="AO1239" i="6"/>
  <c r="S706" i="6"/>
  <c r="AO706" i="6"/>
  <c r="B1036" i="6"/>
  <c r="BX223" i="4"/>
  <c r="BS223" i="4"/>
  <c r="BY223" i="4"/>
  <c r="BW223" i="4"/>
  <c r="BV223" i="4"/>
  <c r="BU223" i="4"/>
  <c r="CA48" i="4"/>
  <c r="CG48" i="4"/>
  <c r="CE48" i="4"/>
  <c r="CD48" i="4"/>
  <c r="CF48" i="4"/>
  <c r="CC48" i="4"/>
  <c r="AO1425" i="6"/>
  <c r="O1425" i="6"/>
  <c r="A1425" i="6"/>
  <c r="CI67" i="4"/>
  <c r="CM67" i="4"/>
  <c r="CL67" i="4"/>
  <c r="CK67" i="4"/>
  <c r="CN67" i="4"/>
  <c r="CO67" i="4"/>
  <c r="CG207" i="4"/>
  <c r="CD207" i="4"/>
  <c r="CF207" i="4"/>
  <c r="CE207" i="4"/>
  <c r="CC207" i="4"/>
  <c r="D1480" i="6"/>
  <c r="E1480" i="6" s="1"/>
  <c r="O1150" i="6"/>
  <c r="A1150" i="6"/>
  <c r="AO1150" i="6"/>
  <c r="AO1373" i="6"/>
  <c r="O1373" i="6"/>
  <c r="A1373" i="6"/>
  <c r="AO1511" i="6"/>
  <c r="O1511" i="6"/>
  <c r="A1511" i="6"/>
  <c r="AO1580" i="6"/>
  <c r="O1580" i="6"/>
  <c r="O1606" i="6"/>
  <c r="AO1606" i="6"/>
  <c r="S127" i="7"/>
  <c r="AO1344" i="6"/>
  <c r="O1344" i="6"/>
  <c r="A1344" i="6"/>
  <c r="O1400" i="6"/>
  <c r="A1400" i="6"/>
  <c r="AO1549" i="6"/>
  <c r="O1549" i="6"/>
  <c r="B1594" i="6"/>
  <c r="S1264" i="6"/>
  <c r="AO1264" i="6"/>
  <c r="D1589" i="6"/>
  <c r="O1259" i="6"/>
  <c r="AO1259" i="6"/>
  <c r="D1639" i="6"/>
  <c r="O1309" i="6"/>
  <c r="AO1309" i="6"/>
  <c r="S1642" i="6"/>
  <c r="AO1642" i="6"/>
  <c r="S85" i="7"/>
  <c r="AE20" i="8"/>
  <c r="B1517" i="6"/>
  <c r="S1187" i="6"/>
  <c r="AO1187" i="6"/>
  <c r="A1536" i="6"/>
  <c r="AO1387" i="6"/>
  <c r="O1387" i="6"/>
  <c r="A1387" i="6"/>
  <c r="AE183" i="8"/>
  <c r="AE97" i="8"/>
  <c r="AE108" i="8"/>
  <c r="AE181" i="8"/>
  <c r="AE71" i="8"/>
  <c r="AO1357" i="6"/>
  <c r="O1357" i="6"/>
  <c r="A1357" i="6"/>
  <c r="O1358" i="6"/>
  <c r="AO1358" i="6"/>
  <c r="A1358" i="6"/>
  <c r="AO1365" i="6"/>
  <c r="O1365" i="6"/>
  <c r="A1365" i="6"/>
  <c r="B1395" i="6"/>
  <c r="S1065" i="6"/>
  <c r="AO1065" i="6"/>
  <c r="B1566" i="6"/>
  <c r="S1236" i="6"/>
  <c r="AO1236" i="6"/>
  <c r="S72" i="7"/>
  <c r="B1486" i="6"/>
  <c r="S1156" i="6"/>
  <c r="AO1156" i="6"/>
  <c r="S62" i="7"/>
  <c r="S69" i="7"/>
  <c r="B1610" i="6"/>
  <c r="S1280" i="6"/>
  <c r="AO1280" i="6"/>
  <c r="S91" i="7"/>
  <c r="AE26" i="8"/>
  <c r="B1393" i="6"/>
  <c r="S1063" i="6"/>
  <c r="AO1063" i="6"/>
  <c r="B1622" i="6"/>
  <c r="S1292" i="6"/>
  <c r="AO1292" i="6"/>
  <c r="AO1639" i="6"/>
  <c r="O1639" i="6"/>
  <c r="O1582" i="6"/>
  <c r="AO1401" i="6"/>
  <c r="O1401" i="6"/>
  <c r="A1401" i="6"/>
  <c r="B1651" i="6"/>
  <c r="S1321" i="6"/>
  <c r="AO1321" i="6"/>
  <c r="B1454" i="6"/>
  <c r="S1124" i="6"/>
  <c r="AO1124" i="6"/>
  <c r="B1416" i="6"/>
  <c r="S1086" i="6"/>
  <c r="AO1086" i="6"/>
  <c r="AE68" i="8"/>
  <c r="AE78" i="8"/>
  <c r="AE99" i="8"/>
  <c r="B1579" i="6"/>
  <c r="S1249" i="6"/>
  <c r="AO1249" i="6"/>
  <c r="B1552" i="6"/>
  <c r="S1222" i="6"/>
  <c r="AO1222" i="6"/>
  <c r="D1501" i="6"/>
  <c r="O1171" i="6"/>
  <c r="AO1171" i="6"/>
  <c r="A1171" i="6"/>
  <c r="A1534" i="6"/>
  <c r="O1540" i="6"/>
  <c r="A1540" i="6"/>
  <c r="A1517" i="6"/>
  <c r="AO1628" i="6"/>
  <c r="O1628" i="6"/>
  <c r="S1619" i="6"/>
  <c r="AO1619" i="6"/>
  <c r="D1519" i="6"/>
  <c r="O1189" i="6"/>
  <c r="AO1189" i="6"/>
  <c r="A1189" i="6"/>
  <c r="AO1411" i="6"/>
  <c r="O1411" i="6"/>
  <c r="A1411" i="6"/>
  <c r="AO1516" i="6"/>
  <c r="O1516" i="6"/>
  <c r="A1516" i="6"/>
  <c r="B1635" i="6"/>
  <c r="S1635" i="6"/>
  <c r="S1305" i="6"/>
  <c r="AO1305" i="6"/>
  <c r="S60" i="7"/>
  <c r="AE76" i="8"/>
  <c r="AE178" i="8"/>
  <c r="AE101" i="8"/>
  <c r="B1470" i="6"/>
  <c r="S1140" i="6"/>
  <c r="AO1140" i="6"/>
  <c r="A178" i="6"/>
  <c r="E178" i="6" s="1"/>
  <c r="A508" i="6"/>
  <c r="A1168" i="6"/>
  <c r="A838" i="6"/>
  <c r="A531" i="6"/>
  <c r="A186" i="6"/>
  <c r="E186" i="6" s="1"/>
  <c r="A554" i="6"/>
  <c r="A1525" i="6"/>
  <c r="A858" i="6"/>
  <c r="A189" i="6"/>
  <c r="E189" i="6" s="1"/>
  <c r="A212" i="6"/>
  <c r="E212" i="6" s="1"/>
  <c r="A521" i="6"/>
  <c r="A542" i="6"/>
  <c r="A1200" i="6"/>
  <c r="A221" i="6"/>
  <c r="E221" i="6" s="1"/>
  <c r="A515" i="6"/>
  <c r="A182" i="6"/>
  <c r="E182" i="6" s="1"/>
  <c r="A211" i="6"/>
  <c r="E211" i="6" s="1"/>
  <c r="A227" i="6"/>
  <c r="E227" i="6" s="1"/>
  <c r="A517" i="6"/>
  <c r="A524" i="6"/>
  <c r="A559" i="6"/>
  <c r="A1543" i="6"/>
  <c r="A865" i="6"/>
  <c r="A195" i="6"/>
  <c r="E195" i="6" s="1"/>
  <c r="A850" i="6"/>
  <c r="A1209" i="6"/>
  <c r="A546" i="6"/>
  <c r="A194" i="6"/>
  <c r="E194" i="6" s="1"/>
  <c r="A1546" i="6"/>
  <c r="A235" i="6"/>
  <c r="E235" i="6" s="1"/>
  <c r="A556" i="6"/>
  <c r="A215" i="6"/>
  <c r="E215" i="6" s="1"/>
  <c r="A868" i="6"/>
  <c r="A568" i="6"/>
  <c r="A877" i="6"/>
  <c r="A1524" i="6"/>
  <c r="A1529" i="6"/>
  <c r="A210" i="6"/>
  <c r="E210" i="6" s="1"/>
  <c r="A855" i="6"/>
  <c r="A1548" i="6"/>
  <c r="A856" i="6"/>
  <c r="A1217" i="6"/>
  <c r="A1535" i="6"/>
  <c r="A562" i="6"/>
  <c r="A892" i="6"/>
  <c r="A552" i="6"/>
  <c r="A1172" i="6"/>
  <c r="A1553" i="6"/>
  <c r="A842" i="6"/>
  <c r="A845" i="6"/>
  <c r="A231" i="6"/>
  <c r="E231" i="6" s="1"/>
  <c r="A1179" i="6"/>
  <c r="A1219" i="6"/>
  <c r="A1555" i="6"/>
  <c r="A862" i="6"/>
  <c r="A851" i="6"/>
  <c r="A1522" i="6"/>
  <c r="A548" i="6"/>
  <c r="A1175" i="6"/>
  <c r="A512" i="6"/>
  <c r="A561" i="6"/>
  <c r="A852" i="6"/>
  <c r="A511" i="6"/>
  <c r="A1195" i="6"/>
  <c r="A209" i="6"/>
  <c r="E209" i="6" s="1"/>
  <c r="A525" i="6"/>
  <c r="A1552" i="6"/>
  <c r="A528" i="6"/>
  <c r="A874" i="6"/>
  <c r="A1558" i="6"/>
  <c r="A861" i="6"/>
  <c r="A1203" i="6"/>
  <c r="A897" i="6"/>
  <c r="A532" i="6"/>
  <c r="A1202" i="6"/>
  <c r="A846" i="6"/>
  <c r="A1539" i="6"/>
  <c r="A873" i="6"/>
  <c r="A534" i="6"/>
  <c r="A893" i="6"/>
  <c r="A213" i="6"/>
  <c r="E213" i="6" s="1"/>
  <c r="A558" i="6"/>
  <c r="A899" i="6"/>
  <c r="A1225" i="6"/>
  <c r="A894" i="6"/>
  <c r="A1191" i="6"/>
  <c r="A1544" i="6"/>
  <c r="A1220" i="6"/>
  <c r="A889" i="6"/>
  <c r="A535" i="6"/>
  <c r="A1196" i="6"/>
  <c r="A536" i="6"/>
  <c r="A1221" i="6"/>
  <c r="A225" i="6"/>
  <c r="E225" i="6" s="1"/>
  <c r="A857" i="6"/>
  <c r="A1521" i="6"/>
  <c r="A233" i="6"/>
  <c r="E233" i="6" s="1"/>
  <c r="A513" i="6"/>
  <c r="A569" i="6"/>
  <c r="A541" i="6"/>
  <c r="A863" i="6"/>
  <c r="A547" i="6"/>
  <c r="A844" i="6"/>
  <c r="A188" i="6"/>
  <c r="E188" i="6" s="1"/>
  <c r="A1199" i="6"/>
  <c r="A872" i="6"/>
  <c r="A1222" i="6"/>
  <c r="A1499" i="6"/>
  <c r="A179" i="6"/>
  <c r="E179" i="6" s="1"/>
  <c r="A185" i="6"/>
  <c r="E185" i="6" s="1"/>
  <c r="A875" i="6"/>
  <c r="A1182" i="6"/>
  <c r="A884" i="6"/>
  <c r="A1170" i="6"/>
  <c r="A1518" i="6"/>
  <c r="A555" i="6"/>
  <c r="A1538" i="6"/>
  <c r="A218" i="6"/>
  <c r="E218" i="6" s="1"/>
  <c r="A563" i="6"/>
  <c r="A217" i="6"/>
  <c r="E217" i="6" s="1"/>
  <c r="A1505" i="6"/>
  <c r="A1201" i="6"/>
  <c r="A229" i="6"/>
  <c r="E229" i="6" s="1"/>
  <c r="A849" i="6"/>
  <c r="A224" i="6"/>
  <c r="E224" i="6" s="1"/>
  <c r="A567" i="6"/>
  <c r="A237" i="6"/>
  <c r="E237" i="6" s="1"/>
  <c r="A1229" i="6"/>
  <c r="A1218" i="6"/>
  <c r="A1187" i="6"/>
  <c r="A550" i="6"/>
  <c r="A1181" i="6"/>
  <c r="A545" i="6"/>
  <c r="A886" i="6"/>
  <c r="A232" i="6"/>
  <c r="E232" i="6" s="1"/>
  <c r="A847" i="6"/>
  <c r="A1204" i="6"/>
  <c r="A230" i="6"/>
  <c r="E230" i="6" s="1"/>
  <c r="A871" i="6"/>
  <c r="A518" i="6"/>
  <c r="A184" i="6"/>
  <c r="E184" i="6" s="1"/>
  <c r="A509" i="6"/>
  <c r="A890" i="6"/>
  <c r="A181" i="6"/>
  <c r="E181" i="6" s="1"/>
  <c r="A201" i="6"/>
  <c r="E201" i="6" s="1"/>
  <c r="A205" i="6"/>
  <c r="E205" i="6" s="1"/>
  <c r="A1513" i="6"/>
  <c r="A1504" i="6"/>
  <c r="A881" i="6"/>
  <c r="A854" i="6"/>
  <c r="A530" i="6"/>
  <c r="A234" i="6"/>
  <c r="E234" i="6" s="1"/>
  <c r="A1509" i="6"/>
  <c r="A1194" i="6"/>
  <c r="A898" i="6"/>
  <c r="A199" i="6"/>
  <c r="E199" i="6" s="1"/>
  <c r="A879" i="6"/>
  <c r="A553" i="6"/>
  <c r="A1184" i="6"/>
  <c r="A1206" i="6"/>
  <c r="A1215" i="6"/>
  <c r="A876" i="6"/>
  <c r="A539" i="6"/>
  <c r="A557" i="6"/>
  <c r="A198" i="6"/>
  <c r="E198" i="6" s="1"/>
  <c r="A526" i="6"/>
  <c r="A1177" i="6"/>
  <c r="A196" i="6"/>
  <c r="E196" i="6" s="1"/>
  <c r="A1502" i="6"/>
  <c r="A1190" i="6"/>
  <c r="A207" i="6"/>
  <c r="E207" i="6" s="1"/>
  <c r="A238" i="6"/>
  <c r="E238" i="6" s="1"/>
  <c r="A1169" i="6"/>
  <c r="A878" i="6"/>
  <c r="A1174" i="6"/>
  <c r="A222" i="6"/>
  <c r="E222" i="6" s="1"/>
  <c r="A522" i="6"/>
  <c r="A869" i="6"/>
  <c r="A236" i="6"/>
  <c r="E236" i="6" s="1"/>
  <c r="A560" i="6"/>
  <c r="A202" i="6"/>
  <c r="E202" i="6" s="1"/>
  <c r="A533" i="6"/>
  <c r="A540" i="6"/>
  <c r="A529" i="6"/>
  <c r="A1228" i="6"/>
  <c r="A537" i="6"/>
  <c r="A860" i="6"/>
  <c r="A1198" i="6"/>
  <c r="A1528" i="6"/>
  <c r="A516" i="6"/>
  <c r="A192" i="6"/>
  <c r="E192" i="6" s="1"/>
  <c r="A840" i="6"/>
  <c r="A228" i="6"/>
  <c r="E228" i="6" s="1"/>
  <c r="A883" i="6"/>
  <c r="A1559" i="6"/>
  <c r="A1183" i="6"/>
  <c r="A180" i="6"/>
  <c r="E180" i="6" s="1"/>
  <c r="A187" i="6"/>
  <c r="E187" i="6" s="1"/>
  <c r="A549" i="6"/>
  <c r="A523" i="6"/>
  <c r="A1192" i="6"/>
  <c r="A520" i="6"/>
  <c r="A1176" i="6"/>
  <c r="A882" i="6"/>
  <c r="A208" i="6"/>
  <c r="E208" i="6" s="1"/>
  <c r="A1532" i="6"/>
  <c r="A1207" i="6"/>
  <c r="A519" i="6"/>
  <c r="A866" i="6"/>
  <c r="A191" i="6"/>
  <c r="E191" i="6" s="1"/>
  <c r="A853" i="6"/>
  <c r="A216" i="6"/>
  <c r="E216" i="6" s="1"/>
  <c r="A551" i="6"/>
  <c r="A895" i="6"/>
  <c r="A1180" i="6"/>
  <c r="A1223" i="6"/>
  <c r="A226" i="6"/>
  <c r="E226" i="6" s="1"/>
  <c r="A219" i="6"/>
  <c r="E219" i="6" s="1"/>
  <c r="A1211" i="6"/>
  <c r="A1500" i="6"/>
  <c r="A1208" i="6"/>
  <c r="A204" i="6"/>
  <c r="E204" i="6" s="1"/>
  <c r="A880" i="6"/>
  <c r="A538" i="6"/>
  <c r="A564" i="6"/>
  <c r="A867" i="6"/>
  <c r="A565" i="6"/>
  <c r="A514" i="6"/>
  <c r="A1178" i="6"/>
  <c r="A870" i="6"/>
  <c r="A1224" i="6"/>
  <c r="A544" i="6"/>
  <c r="A183" i="6"/>
  <c r="E183" i="6" s="1"/>
  <c r="A223" i="6"/>
  <c r="E223" i="6" s="1"/>
  <c r="A1542" i="6"/>
  <c r="A843" i="6"/>
  <c r="A220" i="6"/>
  <c r="E220" i="6" s="1"/>
  <c r="A1214" i="6"/>
  <c r="A543" i="6"/>
  <c r="A1205" i="6"/>
  <c r="A887" i="6"/>
  <c r="A197" i="6"/>
  <c r="E197" i="6" s="1"/>
  <c r="A896" i="6"/>
  <c r="A864" i="6"/>
  <c r="A885" i="6"/>
  <c r="A206" i="6"/>
  <c r="E206" i="6" s="1"/>
  <c r="A848" i="6"/>
  <c r="A1216" i="6"/>
  <c r="A193" i="6"/>
  <c r="E193" i="6" s="1"/>
  <c r="A510" i="6"/>
  <c r="A566" i="6"/>
  <c r="A190" i="6"/>
  <c r="E190" i="6" s="1"/>
  <c r="A839" i="6"/>
  <c r="A1557" i="6"/>
  <c r="A1226" i="6"/>
  <c r="A1197" i="6"/>
  <c r="A1506" i="6"/>
  <c r="A1545" i="6"/>
  <c r="A203" i="6"/>
  <c r="E203" i="6" s="1"/>
  <c r="A1537" i="6"/>
  <c r="A200" i="6"/>
  <c r="E200" i="6" s="1"/>
  <c r="A1530" i="6"/>
  <c r="A239" i="6"/>
  <c r="E239" i="6" s="1"/>
  <c r="A214" i="6"/>
  <c r="E214" i="6" s="1"/>
  <c r="A1213" i="6"/>
  <c r="A527" i="6"/>
  <c r="A1188" i="6"/>
  <c r="A1227" i="6"/>
  <c r="A1212" i="6"/>
  <c r="A1173" i="6"/>
  <c r="A891" i="6"/>
  <c r="S135" i="7"/>
  <c r="AE74" i="8"/>
  <c r="D1342" i="6"/>
  <c r="E1342" i="6" s="1"/>
  <c r="O1012" i="6"/>
  <c r="A1012" i="6"/>
  <c r="AO1012" i="6"/>
  <c r="S78" i="7"/>
  <c r="AE13" i="8"/>
  <c r="S1539" i="6"/>
  <c r="AO1539" i="6"/>
  <c r="A1531" i="6"/>
  <c r="S155" i="7"/>
  <c r="AO1467" i="6"/>
  <c r="O1467" i="6"/>
  <c r="A1467" i="6"/>
  <c r="AO1452" i="6"/>
  <c r="O1452" i="6"/>
  <c r="A1452" i="6"/>
  <c r="B1398" i="6"/>
  <c r="S1068" i="6"/>
  <c r="AO1068" i="6"/>
  <c r="S1548" i="6"/>
  <c r="AO1548" i="6"/>
  <c r="AE197" i="8"/>
  <c r="AE182" i="8"/>
  <c r="D1376" i="6"/>
  <c r="E1376" i="6" s="1"/>
  <c r="A1046" i="6"/>
  <c r="O1046" i="6"/>
  <c r="AO1046" i="6"/>
  <c r="AO1331" i="6"/>
  <c r="O1331" i="6"/>
  <c r="A1331" i="6"/>
  <c r="A1556" i="6"/>
  <c r="B1627" i="6"/>
  <c r="S1297" i="6"/>
  <c r="AO1297" i="6"/>
  <c r="D1497" i="6"/>
  <c r="E1497" i="6" s="1"/>
  <c r="O1167" i="6"/>
  <c r="A1167" i="6"/>
  <c r="D1394" i="6"/>
  <c r="E1394" i="6" s="1"/>
  <c r="A1064" i="6"/>
  <c r="AO1064" i="6"/>
  <c r="O1064" i="6"/>
  <c r="B1427" i="6"/>
  <c r="S1097" i="6"/>
  <c r="AO1097" i="6"/>
  <c r="B1643" i="6"/>
  <c r="S1643" i="6"/>
  <c r="AO1643" i="6"/>
  <c r="S1313" i="6"/>
  <c r="AO1313" i="6"/>
  <c r="B1595" i="6"/>
  <c r="S1265" i="6"/>
  <c r="AO1265" i="6"/>
  <c r="A1547" i="6"/>
  <c r="D1640" i="6"/>
  <c r="O1310" i="6"/>
  <c r="AO1310" i="6"/>
  <c r="A1533" i="6"/>
  <c r="B1630" i="6"/>
  <c r="S1300" i="6"/>
  <c r="AO1300" i="6"/>
  <c r="S1594" i="6"/>
  <c r="AO1594" i="6"/>
  <c r="AO1480" i="6"/>
  <c r="O1480" i="6"/>
  <c r="A1480" i="6"/>
  <c r="B1377" i="6"/>
  <c r="S1047" i="6"/>
  <c r="AO1047" i="6"/>
  <c r="B1593" i="6"/>
  <c r="S1263" i="6"/>
  <c r="AO1263" i="6"/>
  <c r="B1400" i="6"/>
  <c r="S1070" i="6"/>
  <c r="AO1070" i="6"/>
  <c r="AE110" i="8"/>
  <c r="AE180" i="8"/>
  <c r="AE159" i="8"/>
  <c r="AE109" i="8"/>
  <c r="AE179" i="8"/>
  <c r="O1643" i="6"/>
  <c r="O1523" i="6"/>
  <c r="AO1523" i="6"/>
  <c r="A1523" i="6"/>
  <c r="B1403" i="6"/>
  <c r="S1073" i="6"/>
  <c r="AO1073" i="6"/>
  <c r="D1649" i="6"/>
  <c r="O1319" i="6"/>
  <c r="AO1319" i="6"/>
  <c r="A1520" i="6"/>
  <c r="B1510" i="6"/>
  <c r="S1180" i="6"/>
  <c r="AO1180" i="6"/>
  <c r="A1512" i="6"/>
  <c r="A1560" i="6"/>
  <c r="B1529" i="6"/>
  <c r="S1199" i="6"/>
  <c r="AO1199" i="6"/>
  <c r="AO1569" i="6"/>
  <c r="O1569" i="6"/>
  <c r="A1569" i="6"/>
  <c r="B1366" i="6"/>
  <c r="S1036" i="6"/>
  <c r="AO1036" i="6"/>
  <c r="D1615" i="6"/>
  <c r="O1285" i="6"/>
  <c r="AO1285" i="6"/>
  <c r="AO1496" i="6"/>
  <c r="O1496" i="6"/>
  <c r="A1496" i="6"/>
  <c r="AO1488" i="6"/>
  <c r="O1488" i="6"/>
  <c r="A1488" i="6"/>
  <c r="B1408" i="6"/>
  <c r="S1078" i="6"/>
  <c r="AO1078" i="6"/>
  <c r="AO1605" i="6"/>
  <c r="O1605" i="6"/>
  <c r="AE102" i="8"/>
  <c r="AE77" i="8"/>
  <c r="AE100" i="8"/>
  <c r="AE73" i="8"/>
  <c r="B1439" i="6"/>
  <c r="S1109" i="6"/>
  <c r="AO1109" i="6"/>
  <c r="AO1338" i="6"/>
  <c r="O1338" i="6"/>
  <c r="A1338" i="6"/>
  <c r="AO1466" i="6"/>
  <c r="O1466" i="6"/>
  <c r="A1466" i="6"/>
  <c r="AO1490" i="6"/>
  <c r="O1490" i="6"/>
  <c r="A1490" i="6"/>
  <c r="B1474" i="6"/>
  <c r="S1144" i="6"/>
  <c r="AO1144" i="6"/>
  <c r="B1555" i="6"/>
  <c r="S1225" i="6"/>
  <c r="AO1225" i="6"/>
  <c r="S1530" i="6"/>
  <c r="AO1530" i="6"/>
  <c r="B1540" i="6"/>
  <c r="S1540" i="6"/>
  <c r="AO1540" i="6"/>
  <c r="S1210" i="6"/>
  <c r="AO1210" i="6"/>
  <c r="AO1493" i="6"/>
  <c r="O1493" i="6"/>
  <c r="A1493" i="6"/>
  <c r="O1635" i="6"/>
  <c r="AO1635" i="6"/>
  <c r="AE104" i="8"/>
  <c r="AE79" i="8"/>
  <c r="AE98" i="8"/>
  <c r="AE75" i="8"/>
  <c r="O1515" i="6"/>
  <c r="AO1515" i="6"/>
  <c r="A1515" i="6"/>
  <c r="B1430" i="6"/>
  <c r="S1100" i="6"/>
  <c r="AO1100" i="6"/>
  <c r="B1478" i="6"/>
  <c r="S1148" i="6"/>
  <c r="AO1148" i="6"/>
  <c r="A1498" i="6"/>
  <c r="A1210" i="6"/>
  <c r="B1574" i="6"/>
  <c r="S1244" i="6"/>
  <c r="AO1244" i="6"/>
  <c r="B1587" i="6"/>
  <c r="S1257" i="6"/>
  <c r="AO1257" i="6"/>
  <c r="B1582" i="6"/>
  <c r="S1582" i="6"/>
  <c r="AO1582" i="6"/>
  <c r="S1252" i="6"/>
  <c r="AO1252" i="6"/>
  <c r="A859" i="6"/>
  <c r="A1186" i="6"/>
  <c r="S128" i="7"/>
  <c r="A1508" i="6"/>
  <c r="AO1589" i="6"/>
  <c r="O1589" i="6"/>
  <c r="S112" i="7"/>
  <c r="AE107" i="8"/>
  <c r="A1526" i="6"/>
  <c r="B1346" i="6"/>
  <c r="S1016" i="6"/>
  <c r="AO1016" i="6"/>
  <c r="O1334" i="6"/>
  <c r="AO1334" i="6"/>
  <c r="A1334" i="6"/>
  <c r="B1497" i="6"/>
  <c r="S1497" i="6"/>
  <c r="S1167" i="6"/>
  <c r="AO1167" i="6"/>
  <c r="O1494" i="6"/>
  <c r="AO1494" i="6"/>
  <c r="A1494" i="6"/>
  <c r="A841" i="6"/>
  <c r="B1440" i="6"/>
  <c r="S1110" i="6"/>
  <c r="AO1110" i="6"/>
  <c r="B1625" i="6"/>
  <c r="S1295" i="6"/>
  <c r="AO1295" i="6"/>
  <c r="A1550" i="6"/>
  <c r="A1527" i="6"/>
  <c r="A1514" i="6"/>
  <c r="A1507" i="6"/>
  <c r="A1503" i="6"/>
  <c r="B1502" i="6"/>
  <c r="S1172" i="6"/>
  <c r="AO1172" i="6"/>
  <c r="B1424" i="6"/>
  <c r="S1094" i="6"/>
  <c r="AO1094" i="6"/>
  <c r="A924" i="6"/>
  <c r="S1424" i="6"/>
  <c r="AO1424" i="6"/>
  <c r="A1583" i="6"/>
  <c r="A1251" i="6"/>
  <c r="A570" i="6"/>
  <c r="A913" i="6"/>
  <c r="A586" i="6"/>
  <c r="A919" i="6"/>
  <c r="A571" i="6"/>
  <c r="A1586" i="6"/>
  <c r="A259" i="6"/>
  <c r="E259" i="6" s="1"/>
  <c r="A1567" i="6"/>
  <c r="A901" i="6"/>
  <c r="A582" i="6"/>
  <c r="A1254" i="6"/>
  <c r="A914" i="6"/>
  <c r="A242" i="6"/>
  <c r="E242" i="6" s="1"/>
  <c r="A252" i="6"/>
  <c r="E252" i="6" s="1"/>
  <c r="S1454" i="6"/>
  <c r="AO1454" i="6"/>
  <c r="S1470" i="6"/>
  <c r="AO1470" i="6"/>
  <c r="S1346" i="6"/>
  <c r="AO1346" i="6"/>
  <c r="A257" i="6"/>
  <c r="E257" i="6" s="1"/>
  <c r="A1575" i="6"/>
  <c r="S1555" i="6"/>
  <c r="AO1555" i="6"/>
  <c r="S1474" i="6"/>
  <c r="AO1474" i="6"/>
  <c r="S1400" i="6"/>
  <c r="AO1400" i="6"/>
  <c r="S1595" i="6"/>
  <c r="AO1595" i="6"/>
  <c r="S1440" i="6"/>
  <c r="AO1440" i="6"/>
  <c r="S1478" i="6"/>
  <c r="AO1478" i="6"/>
  <c r="S1366" i="6"/>
  <c r="AO1366" i="6"/>
  <c r="S1529" i="6"/>
  <c r="AO1529" i="6"/>
  <c r="S1510" i="6"/>
  <c r="AO1510" i="6"/>
  <c r="S1403" i="6"/>
  <c r="AO1403" i="6"/>
  <c r="S1398" i="6"/>
  <c r="AO1398" i="6"/>
  <c r="A1253" i="6"/>
  <c r="A250" i="6"/>
  <c r="E250" i="6" s="1"/>
  <c r="A253" i="6"/>
  <c r="E253" i="6" s="1"/>
  <c r="A1238" i="6"/>
  <c r="A927" i="6"/>
  <c r="A907" i="6"/>
  <c r="A922" i="6"/>
  <c r="A1572" i="6"/>
  <c r="A1571" i="6"/>
  <c r="A266" i="6"/>
  <c r="E266" i="6" s="1"/>
  <c r="A1566" i="6"/>
  <c r="A917" i="6"/>
  <c r="A574" i="6"/>
  <c r="A583" i="6"/>
  <c r="A588" i="6"/>
  <c r="A576" i="6"/>
  <c r="A254" i="6"/>
  <c r="E254" i="6" s="1"/>
  <c r="A1554" i="6"/>
  <c r="A888" i="6"/>
  <c r="AO1519" i="6"/>
  <c r="O1519" i="6"/>
  <c r="A1519" i="6"/>
  <c r="S1552" i="6"/>
  <c r="AO1552" i="6"/>
  <c r="S1393" i="6"/>
  <c r="AO1393" i="6"/>
  <c r="S1486" i="6"/>
  <c r="AO1486" i="6"/>
  <c r="S1566" i="6"/>
  <c r="AO1566" i="6"/>
  <c r="S1574" i="6"/>
  <c r="AO1574" i="6"/>
  <c r="AO1376" i="6"/>
  <c r="O1376" i="6"/>
  <c r="A1376" i="6"/>
  <c r="S1502" i="6"/>
  <c r="AO1502" i="6"/>
  <c r="S1587" i="6"/>
  <c r="AO1587" i="6"/>
  <c r="A1563" i="6"/>
  <c r="S1630" i="6"/>
  <c r="AO1630" i="6"/>
  <c r="AO1640" i="6"/>
  <c r="O1640" i="6"/>
  <c r="O1342" i="6"/>
  <c r="A1342" i="6"/>
  <c r="AO1342" i="6"/>
  <c r="A1240" i="6"/>
  <c r="A261" i="6"/>
  <c r="E261" i="6" s="1"/>
  <c r="A1584" i="6"/>
  <c r="A1576" i="6"/>
  <c r="A909" i="6"/>
  <c r="A1587" i="6"/>
  <c r="A587" i="6"/>
  <c r="A573" i="6"/>
  <c r="A1565" i="6"/>
  <c r="A572" i="6"/>
  <c r="A905" i="6"/>
  <c r="A923" i="6"/>
  <c r="A1579" i="6"/>
  <c r="A908" i="6"/>
  <c r="A920" i="6"/>
  <c r="A1574" i="6"/>
  <c r="A577" i="6"/>
  <c r="S1651" i="6"/>
  <c r="AO1651" i="6"/>
  <c r="A1582" i="6"/>
  <c r="A596" i="6"/>
  <c r="A1236" i="6"/>
  <c r="A246" i="6"/>
  <c r="E246" i="6" s="1"/>
  <c r="A251" i="6"/>
  <c r="E251" i="6" s="1"/>
  <c r="A1243" i="6"/>
  <c r="S1579" i="6"/>
  <c r="AO1579" i="6"/>
  <c r="S1416" i="6"/>
  <c r="AO1416" i="6"/>
  <c r="S1517" i="6"/>
  <c r="AO1517" i="6"/>
  <c r="S1430" i="6"/>
  <c r="AO1430" i="6"/>
  <c r="A1578" i="6"/>
  <c r="A915" i="6"/>
  <c r="S1427" i="6"/>
  <c r="AO1427" i="6"/>
  <c r="A1585" i="6"/>
  <c r="A1561" i="6"/>
  <c r="A256" i="6"/>
  <c r="E256" i="6" s="1"/>
  <c r="A585" i="6"/>
  <c r="A581" i="6"/>
  <c r="A906" i="6"/>
  <c r="A918" i="6"/>
  <c r="A1247" i="6"/>
  <c r="A579" i="6"/>
  <c r="A921" i="6"/>
  <c r="A594" i="6"/>
  <c r="A916" i="6"/>
  <c r="A1245" i="6"/>
  <c r="A1232" i="6"/>
  <c r="A1577" i="6"/>
  <c r="A591" i="6"/>
  <c r="A1233" i="6"/>
  <c r="A260" i="6"/>
  <c r="E260" i="6" s="1"/>
  <c r="A900" i="6"/>
  <c r="S1622" i="6"/>
  <c r="AO1622" i="6"/>
  <c r="S1610" i="6"/>
  <c r="AO1610" i="6"/>
  <c r="AO1497" i="6"/>
  <c r="O1497" i="6"/>
  <c r="A1497" i="6"/>
  <c r="S1593" i="6"/>
  <c r="AO1593" i="6"/>
  <c r="AO1394" i="6"/>
  <c r="O1394" i="6"/>
  <c r="A1394" i="6"/>
  <c r="A1248" i="6"/>
  <c r="S1625" i="6"/>
  <c r="AO1625" i="6"/>
  <c r="A1564" i="6"/>
  <c r="S1439" i="6"/>
  <c r="AO1439" i="6"/>
  <c r="S1408" i="6"/>
  <c r="AO1408" i="6"/>
  <c r="AO1615" i="6"/>
  <c r="O1615" i="6"/>
  <c r="AO1649" i="6"/>
  <c r="O1649" i="6"/>
  <c r="A1570" i="6"/>
  <c r="A262" i="6"/>
  <c r="E262" i="6" s="1"/>
  <c r="A1249" i="6"/>
  <c r="A1235" i="6"/>
  <c r="A247" i="6"/>
  <c r="E247" i="6" s="1"/>
  <c r="A580" i="6"/>
  <c r="A1241" i="6"/>
  <c r="A263" i="6"/>
  <c r="E263" i="6" s="1"/>
  <c r="A578" i="6"/>
  <c r="A902" i="6"/>
  <c r="A265" i="6"/>
  <c r="E265" i="6" s="1"/>
  <c r="A1255" i="6"/>
  <c r="A575" i="6"/>
  <c r="A241" i="6"/>
  <c r="E241" i="6" s="1"/>
  <c r="A1230" i="6"/>
  <c r="A1568" i="6"/>
  <c r="A1242" i="6"/>
  <c r="AO1501" i="6"/>
  <c r="O1501" i="6"/>
  <c r="A1501" i="6"/>
  <c r="A904" i="6"/>
  <c r="S1377" i="6"/>
  <c r="AO1377" i="6"/>
  <c r="S1627" i="6"/>
  <c r="AO1627" i="6"/>
  <c r="A910" i="6"/>
  <c r="A912" i="6"/>
  <c r="A1256" i="6"/>
  <c r="A1562" i="6"/>
  <c r="A1581" i="6"/>
  <c r="A926" i="6"/>
  <c r="A258" i="6"/>
  <c r="E258" i="6" s="1"/>
  <c r="A584" i="6"/>
  <c r="A267" i="6"/>
  <c r="E267" i="6" s="1"/>
  <c r="A1231" i="6"/>
  <c r="A1573" i="6"/>
  <c r="A1257" i="6"/>
  <c r="A243" i="6"/>
  <c r="E243" i="6" s="1"/>
  <c r="A590" i="6"/>
  <c r="A244" i="6"/>
  <c r="E244" i="6" s="1"/>
  <c r="A911" i="6"/>
  <c r="A1234" i="6"/>
  <c r="A1244" i="6"/>
  <c r="A240" i="6"/>
  <c r="E240" i="6" s="1"/>
  <c r="A1252" i="6"/>
  <c r="A1549" i="6"/>
  <c r="A1580" i="6"/>
  <c r="A1239" i="6"/>
  <c r="S1395" i="6"/>
  <c r="AO1395" i="6"/>
  <c r="A592" i="6" l="1"/>
  <c r="A903" i="6"/>
  <c r="A1250" i="6"/>
  <c r="A249" i="6"/>
  <c r="E249" i="6" s="1"/>
  <c r="A597" i="6"/>
  <c r="A589" i="6"/>
  <c r="A248" i="6"/>
  <c r="E248" i="6" s="1"/>
  <c r="A595" i="6"/>
  <c r="A925" i="6"/>
  <c r="A593" i="6"/>
  <c r="A1246" i="6"/>
  <c r="A264" i="6"/>
  <c r="E264" i="6" s="1"/>
  <c r="A1237" i="6"/>
  <c r="A245" i="6"/>
  <c r="E245" i="6" s="1"/>
  <c r="A255" i="6"/>
  <c r="E255" i="6" s="1"/>
  <c r="A1551" i="6"/>
  <c r="E1519" i="6"/>
  <c r="E1501" i="6"/>
  <c r="E1569" i="6"/>
  <c r="E1582" i="6"/>
  <c r="AE111" i="8"/>
  <c r="AE72" i="8"/>
  <c r="AE93" i="8"/>
  <c r="AE106" i="8"/>
  <c r="AE105" i="8"/>
  <c r="AE69" i="8"/>
  <c r="AE70" i="8"/>
  <c r="AE103" i="8"/>
  <c r="E1515" i="6"/>
  <c r="E1523" i="6"/>
  <c r="E1171" i="6"/>
  <c r="E1540" i="6"/>
  <c r="E1189" i="6"/>
  <c r="E1516" i="6"/>
  <c r="E841" i="6"/>
  <c r="E859" i="6"/>
  <c r="E1193" i="6"/>
  <c r="E1252" i="6"/>
  <c r="E1210" i="6"/>
  <c r="E1550" i="6"/>
  <c r="E1526" i="6"/>
  <c r="E1551" i="6"/>
  <c r="E1547" i="6"/>
  <c r="E1531" i="6"/>
  <c r="E1510" i="6"/>
  <c r="CB2" i="4"/>
  <c r="E1536" i="6"/>
  <c r="E1508" i="6"/>
  <c r="E1570" i="6"/>
  <c r="E1556" i="6"/>
  <c r="E1239" i="6"/>
  <c r="E1498" i="6"/>
  <c r="E1503" i="6"/>
  <c r="E1514" i="6"/>
  <c r="E1507" i="6"/>
  <c r="E1534" i="6"/>
  <c r="E1185" i="6"/>
  <c r="E1520" i="6"/>
  <c r="E1511" i="6"/>
  <c r="E1564" i="6"/>
  <c r="E1580" i="6"/>
  <c r="E1533" i="6"/>
  <c r="E1560" i="6"/>
  <c r="E1512" i="6"/>
  <c r="E1561" i="6"/>
  <c r="E1549" i="6"/>
  <c r="E1186" i="6"/>
  <c r="E1585" i="6"/>
  <c r="E1541" i="6"/>
  <c r="E1527" i="6"/>
  <c r="E1583" i="6"/>
  <c r="E1517" i="6"/>
  <c r="E1563" i="6"/>
  <c r="BX115" i="4"/>
  <c r="O125" i="7" s="1"/>
  <c r="BW115" i="4"/>
  <c r="N125" i="7" s="1"/>
  <c r="CF240" i="4"/>
  <c r="CE215" i="4"/>
  <c r="CD215" i="4"/>
  <c r="CN86" i="4"/>
  <c r="BW183" i="4"/>
  <c r="N171" i="7" s="1"/>
  <c r="E1521" i="6"/>
  <c r="E1191" i="6"/>
  <c r="E1197" i="6"/>
  <c r="E1525" i="6"/>
  <c r="E1195" i="6"/>
  <c r="E1211" i="6"/>
  <c r="E1513" i="6"/>
  <c r="E1183" i="6"/>
  <c r="E1233" i="6"/>
  <c r="E1255" i="6"/>
  <c r="E1535" i="6"/>
  <c r="E1205" i="6"/>
  <c r="E1187" i="6"/>
  <c r="E1545" i="6"/>
  <c r="E1215" i="6"/>
  <c r="E1253" i="6"/>
  <c r="E1577" i="6"/>
  <c r="E1247" i="6"/>
  <c r="E1509" i="6"/>
  <c r="E1179" i="6"/>
  <c r="E1557" i="6"/>
  <c r="E1227" i="6"/>
  <c r="E1567" i="6"/>
  <c r="E1237" i="6"/>
  <c r="E1219" i="6"/>
  <c r="E1548" i="6"/>
  <c r="E1218" i="6"/>
  <c r="E856" i="6"/>
  <c r="E903" i="6"/>
  <c r="E853" i="6"/>
  <c r="E907" i="6"/>
  <c r="E875" i="6"/>
  <c r="E849" i="6"/>
  <c r="E867" i="6"/>
  <c r="E925" i="6"/>
  <c r="E917" i="6"/>
  <c r="E881" i="6"/>
  <c r="E923" i="6"/>
  <c r="E857" i="6"/>
  <c r="E897" i="6"/>
  <c r="E885" i="6"/>
  <c r="E865" i="6"/>
  <c r="E861" i="6"/>
  <c r="AO930" i="6"/>
  <c r="E1231" i="6"/>
  <c r="E889" i="6"/>
  <c r="E1586" i="6"/>
  <c r="E1256" i="6"/>
  <c r="E1566" i="6"/>
  <c r="E1236" i="6"/>
  <c r="E1576" i="6"/>
  <c r="E1246" i="6"/>
  <c r="E1571" i="6"/>
  <c r="E1241" i="6"/>
  <c r="E888" i="6"/>
  <c r="E1574" i="6"/>
  <c r="E1244" i="6"/>
  <c r="E1581" i="6"/>
  <c r="E1251" i="6"/>
  <c r="E1578" i="6"/>
  <c r="E1248" i="6"/>
  <c r="E1553" i="6"/>
  <c r="E1223" i="6"/>
  <c r="E1230" i="6"/>
  <c r="E1587" i="6"/>
  <c r="E1257" i="6"/>
  <c r="E1530" i="6"/>
  <c r="E1200" i="6"/>
  <c r="CL252" i="4"/>
  <c r="CK228" i="4"/>
  <c r="CL100" i="4"/>
  <c r="E1568" i="6"/>
  <c r="E1238" i="6"/>
  <c r="BW109" i="4"/>
  <c r="N119" i="7" s="1"/>
  <c r="BV21" i="4"/>
  <c r="M58" i="7" s="1"/>
  <c r="CF248" i="4"/>
  <c r="BU88" i="4"/>
  <c r="L108" i="7" s="1"/>
  <c r="CK15" i="4"/>
  <c r="AQ8" i="4"/>
  <c r="AP8" i="4"/>
  <c r="AQ9" i="4"/>
  <c r="AP9" i="4"/>
  <c r="AO9" i="4"/>
  <c r="AN9" i="4"/>
  <c r="AM9" i="4"/>
  <c r="AQ10" i="4"/>
  <c r="AP10" i="4"/>
  <c r="AO10" i="4"/>
  <c r="AN10" i="4"/>
  <c r="AM10" i="4"/>
  <c r="AQ11" i="4"/>
  <c r="AP11" i="4"/>
  <c r="AO11" i="4"/>
  <c r="AN11" i="4"/>
  <c r="AM11" i="4"/>
  <c r="AQ12" i="4"/>
  <c r="AP12" i="4"/>
  <c r="AO12" i="4"/>
  <c r="AN12" i="4"/>
  <c r="AM12" i="4"/>
  <c r="AQ13" i="4"/>
  <c r="AP13" i="4"/>
  <c r="AO13" i="4"/>
  <c r="AN13" i="4"/>
  <c r="AM13" i="4"/>
  <c r="AQ14" i="4"/>
  <c r="AP14" i="4"/>
  <c r="AO14" i="4"/>
  <c r="AN14" i="4"/>
  <c r="AM14" i="4"/>
  <c r="AQ15" i="4"/>
  <c r="H52" i="7" s="1"/>
  <c r="AP15" i="4"/>
  <c r="G52" i="7" s="1"/>
  <c r="AO15" i="4"/>
  <c r="F52" i="7" s="1"/>
  <c r="AN15" i="4"/>
  <c r="E52" i="7" s="1"/>
  <c r="AM15" i="4"/>
  <c r="D52" i="7" s="1"/>
  <c r="AQ16" i="4"/>
  <c r="H53" i="7" s="1"/>
  <c r="AP16" i="4"/>
  <c r="G53" i="7" s="1"/>
  <c r="AO16" i="4"/>
  <c r="F53" i="7" s="1"/>
  <c r="AN16" i="4"/>
  <c r="E53" i="7" s="1"/>
  <c r="AM16" i="4"/>
  <c r="D53" i="7" s="1"/>
  <c r="AQ17" i="4"/>
  <c r="H54" i="7" s="1"/>
  <c r="AP17" i="4"/>
  <c r="G54" i="7" s="1"/>
  <c r="AO17" i="4"/>
  <c r="F54" i="7" s="1"/>
  <c r="AN17" i="4"/>
  <c r="E54" i="7" s="1"/>
  <c r="AM17" i="4"/>
  <c r="D54" i="7" s="1"/>
  <c r="AQ18" i="4"/>
  <c r="H55" i="7" s="1"/>
  <c r="AP18" i="4"/>
  <c r="G55" i="7" s="1"/>
  <c r="AO18" i="4"/>
  <c r="F55" i="7" s="1"/>
  <c r="AN18" i="4"/>
  <c r="E55" i="7" s="1"/>
  <c r="AM18" i="4"/>
  <c r="D55" i="7" s="1"/>
  <c r="AQ19" i="4"/>
  <c r="H56" i="7" s="1"/>
  <c r="AP19" i="4"/>
  <c r="G56" i="7" s="1"/>
  <c r="AO19" i="4"/>
  <c r="F56" i="7" s="1"/>
  <c r="AN19" i="4"/>
  <c r="E56" i="7" s="1"/>
  <c r="AM19" i="4"/>
  <c r="D56" i="7" s="1"/>
  <c r="AQ20" i="4"/>
  <c r="H57" i="7" s="1"/>
  <c r="AP20" i="4"/>
  <c r="G57" i="7" s="1"/>
  <c r="AO20" i="4"/>
  <c r="F57" i="7" s="1"/>
  <c r="AN20" i="4"/>
  <c r="E57" i="7" s="1"/>
  <c r="AM20" i="4"/>
  <c r="D57" i="7" s="1"/>
  <c r="AQ21" i="4"/>
  <c r="H58" i="7" s="1"/>
  <c r="AP21" i="4"/>
  <c r="G58" i="7" s="1"/>
  <c r="AO21" i="4"/>
  <c r="F58" i="7" s="1"/>
  <c r="AN21" i="4"/>
  <c r="E58" i="7" s="1"/>
  <c r="AM21" i="4"/>
  <c r="D58" i="7" s="1"/>
  <c r="AQ22" i="4"/>
  <c r="H59" i="7" s="1"/>
  <c r="AP22" i="4"/>
  <c r="G59" i="7" s="1"/>
  <c r="AO22" i="4"/>
  <c r="F59" i="7" s="1"/>
  <c r="AN22" i="4"/>
  <c r="E59" i="7" s="1"/>
  <c r="AM22" i="4"/>
  <c r="D59" i="7" s="1"/>
  <c r="AQ23" i="4"/>
  <c r="H60" i="7" s="1"/>
  <c r="AP23" i="4"/>
  <c r="G60" i="7" s="1"/>
  <c r="AO23" i="4"/>
  <c r="F60" i="7" s="1"/>
  <c r="AN23" i="4"/>
  <c r="E60" i="7" s="1"/>
  <c r="AM23" i="4"/>
  <c r="D60" i="7" s="1"/>
  <c r="AQ24" i="4"/>
  <c r="H61" i="7" s="1"/>
  <c r="AP24" i="4"/>
  <c r="G61" i="7" s="1"/>
  <c r="AO24" i="4"/>
  <c r="F61" i="7" s="1"/>
  <c r="AN24" i="4"/>
  <c r="E61" i="7" s="1"/>
  <c r="AM24" i="4"/>
  <c r="D61" i="7" s="1"/>
  <c r="AQ25" i="4"/>
  <c r="H62" i="7" s="1"/>
  <c r="AP25" i="4"/>
  <c r="G62" i="7" s="1"/>
  <c r="AO25" i="4"/>
  <c r="F62" i="7" s="1"/>
  <c r="AN25" i="4"/>
  <c r="E62" i="7" s="1"/>
  <c r="AM25" i="4"/>
  <c r="D62" i="7" s="1"/>
  <c r="AQ26" i="4"/>
  <c r="H63" i="7" s="1"/>
  <c r="AP26" i="4"/>
  <c r="G63" i="7" s="1"/>
  <c r="AO26" i="4"/>
  <c r="F63" i="7" s="1"/>
  <c r="AN26" i="4"/>
  <c r="E63" i="7" s="1"/>
  <c r="AM26" i="4"/>
  <c r="D63" i="7" s="1"/>
  <c r="AQ27" i="4"/>
  <c r="H64" i="7" s="1"/>
  <c r="AP27" i="4"/>
  <c r="G64" i="7" s="1"/>
  <c r="AO27" i="4"/>
  <c r="F64" i="7" s="1"/>
  <c r="AN27" i="4"/>
  <c r="E64" i="7" s="1"/>
  <c r="AM27" i="4"/>
  <c r="D64" i="7" s="1"/>
  <c r="AQ28" i="4"/>
  <c r="H65" i="7" s="1"/>
  <c r="AP28" i="4"/>
  <c r="G65" i="7" s="1"/>
  <c r="AO28" i="4"/>
  <c r="F65" i="7" s="1"/>
  <c r="AN28" i="4"/>
  <c r="E65" i="7" s="1"/>
  <c r="AM28" i="4"/>
  <c r="D65" i="7" s="1"/>
  <c r="AQ29" i="4"/>
  <c r="H66" i="7" s="1"/>
  <c r="AP29" i="4"/>
  <c r="G66" i="7" s="1"/>
  <c r="AO29" i="4"/>
  <c r="F66" i="7" s="1"/>
  <c r="AN29" i="4"/>
  <c r="E66" i="7" s="1"/>
  <c r="AM29" i="4"/>
  <c r="D66" i="7" s="1"/>
  <c r="AQ30" i="4"/>
  <c r="H67" i="7" s="1"/>
  <c r="AP30" i="4"/>
  <c r="G67" i="7" s="1"/>
  <c r="AO30" i="4"/>
  <c r="F67" i="7" s="1"/>
  <c r="AN30" i="4"/>
  <c r="E67" i="7" s="1"/>
  <c r="AM30" i="4"/>
  <c r="D67" i="7" s="1"/>
  <c r="AQ31" i="4"/>
  <c r="H68" i="7" s="1"/>
  <c r="AP31" i="4"/>
  <c r="G68" i="7" s="1"/>
  <c r="AO31" i="4"/>
  <c r="F68" i="7" s="1"/>
  <c r="AN31" i="4"/>
  <c r="E68" i="7" s="1"/>
  <c r="AM31" i="4"/>
  <c r="D68" i="7" s="1"/>
  <c r="AQ32" i="4"/>
  <c r="H69" i="7" s="1"/>
  <c r="AP32" i="4"/>
  <c r="G69" i="7" s="1"/>
  <c r="AO32" i="4"/>
  <c r="F69" i="7" s="1"/>
  <c r="AN32" i="4"/>
  <c r="E69" i="7" s="1"/>
  <c r="AM32" i="4"/>
  <c r="D69" i="7" s="1"/>
  <c r="AQ33" i="4"/>
  <c r="H70" i="7" s="1"/>
  <c r="AP33" i="4"/>
  <c r="G70" i="7" s="1"/>
  <c r="AO33" i="4"/>
  <c r="F70" i="7" s="1"/>
  <c r="AN33" i="4"/>
  <c r="E70" i="7" s="1"/>
  <c r="AM33" i="4"/>
  <c r="D70" i="7" s="1"/>
  <c r="AQ34" i="4"/>
  <c r="H71" i="7" s="1"/>
  <c r="AP34" i="4"/>
  <c r="G71" i="7" s="1"/>
  <c r="AO34" i="4"/>
  <c r="F71" i="7" s="1"/>
  <c r="AN34" i="4"/>
  <c r="E71" i="7" s="1"/>
  <c r="AM34" i="4"/>
  <c r="D71" i="7" s="1"/>
  <c r="AQ35" i="4"/>
  <c r="H72" i="7" s="1"/>
  <c r="AP35" i="4"/>
  <c r="G72" i="7" s="1"/>
  <c r="AO35" i="4"/>
  <c r="F72" i="7" s="1"/>
  <c r="AN35" i="4"/>
  <c r="E72" i="7" s="1"/>
  <c r="AM35" i="4"/>
  <c r="D72" i="7" s="1"/>
  <c r="AQ36" i="4"/>
  <c r="H73" i="7" s="1"/>
  <c r="AP36" i="4"/>
  <c r="G73" i="7" s="1"/>
  <c r="AO36" i="4"/>
  <c r="F73" i="7" s="1"/>
  <c r="AN36" i="4"/>
  <c r="E73" i="7" s="1"/>
  <c r="AM36" i="4"/>
  <c r="D73" i="7" s="1"/>
  <c r="AQ37" i="4"/>
  <c r="H74" i="7" s="1"/>
  <c r="AP37" i="4"/>
  <c r="G74" i="7" s="1"/>
  <c r="AO37" i="4"/>
  <c r="F74" i="7" s="1"/>
  <c r="AN37" i="4"/>
  <c r="E74" i="7" s="1"/>
  <c r="AM37" i="4"/>
  <c r="D74" i="7" s="1"/>
  <c r="AQ38" i="4"/>
  <c r="H75" i="7" s="1"/>
  <c r="AP38" i="4"/>
  <c r="G75" i="7" s="1"/>
  <c r="AO38" i="4"/>
  <c r="F75" i="7" s="1"/>
  <c r="AN38" i="4"/>
  <c r="E75" i="7" s="1"/>
  <c r="AM38" i="4"/>
  <c r="D75" i="7" s="1"/>
  <c r="AQ39" i="4"/>
  <c r="H76" i="7" s="1"/>
  <c r="AP39" i="4"/>
  <c r="G76" i="7" s="1"/>
  <c r="AO39" i="4"/>
  <c r="F76" i="7" s="1"/>
  <c r="AN39" i="4"/>
  <c r="E76" i="7" s="1"/>
  <c r="AM39" i="4"/>
  <c r="D76" i="7" s="1"/>
  <c r="AQ40" i="4"/>
  <c r="H77" i="7" s="1"/>
  <c r="AP40" i="4"/>
  <c r="G77" i="7" s="1"/>
  <c r="AO40" i="4"/>
  <c r="F77" i="7" s="1"/>
  <c r="AN40" i="4"/>
  <c r="E77" i="7" s="1"/>
  <c r="AM40" i="4"/>
  <c r="D77" i="7" s="1"/>
  <c r="AQ41" i="4"/>
  <c r="H78" i="7" s="1"/>
  <c r="AP41" i="4"/>
  <c r="G78" i="7" s="1"/>
  <c r="AO41" i="4"/>
  <c r="F78" i="7" s="1"/>
  <c r="AN41" i="4"/>
  <c r="E78" i="7" s="1"/>
  <c r="AM41" i="4"/>
  <c r="D78" i="7" s="1"/>
  <c r="AQ42" i="4"/>
  <c r="H79" i="7" s="1"/>
  <c r="AP42" i="4"/>
  <c r="G79" i="7" s="1"/>
  <c r="AO42" i="4"/>
  <c r="F79" i="7" s="1"/>
  <c r="AN42" i="4"/>
  <c r="E79" i="7" s="1"/>
  <c r="AM42" i="4"/>
  <c r="D79" i="7" s="1"/>
  <c r="AQ43" i="4"/>
  <c r="H80" i="7" s="1"/>
  <c r="AP43" i="4"/>
  <c r="G80" i="7" s="1"/>
  <c r="AO43" i="4"/>
  <c r="F80" i="7" s="1"/>
  <c r="AN43" i="4"/>
  <c r="E80" i="7" s="1"/>
  <c r="AM43" i="4"/>
  <c r="D80" i="7" s="1"/>
  <c r="AQ44" i="4"/>
  <c r="H81" i="7" s="1"/>
  <c r="AP44" i="4"/>
  <c r="G81" i="7" s="1"/>
  <c r="AO44" i="4"/>
  <c r="F81" i="7" s="1"/>
  <c r="AN44" i="4"/>
  <c r="E81" i="7" s="1"/>
  <c r="AM44" i="4"/>
  <c r="D81" i="7" s="1"/>
  <c r="AQ45" i="4"/>
  <c r="H82" i="7" s="1"/>
  <c r="AP45" i="4"/>
  <c r="G82" i="7" s="1"/>
  <c r="AO45" i="4"/>
  <c r="F82" i="7" s="1"/>
  <c r="AN45" i="4"/>
  <c r="E82" i="7" s="1"/>
  <c r="AM45" i="4"/>
  <c r="D82" i="7" s="1"/>
  <c r="AQ46" i="4"/>
  <c r="H83" i="7" s="1"/>
  <c r="AP46" i="4"/>
  <c r="G83" i="7" s="1"/>
  <c r="AO46" i="4"/>
  <c r="F83" i="7" s="1"/>
  <c r="AN46" i="4"/>
  <c r="E83" i="7" s="1"/>
  <c r="AM46" i="4"/>
  <c r="D83" i="7" s="1"/>
  <c r="AQ47" i="4"/>
  <c r="H84" i="7" s="1"/>
  <c r="AP47" i="4"/>
  <c r="G84" i="7" s="1"/>
  <c r="AO47" i="4"/>
  <c r="F84" i="7" s="1"/>
  <c r="AN47" i="4"/>
  <c r="E84" i="7" s="1"/>
  <c r="AM47" i="4"/>
  <c r="D84" i="7" s="1"/>
  <c r="AQ48" i="4"/>
  <c r="H85" i="7" s="1"/>
  <c r="AP48" i="4"/>
  <c r="G85" i="7" s="1"/>
  <c r="AO48" i="4"/>
  <c r="F85" i="7" s="1"/>
  <c r="AN48" i="4"/>
  <c r="E85" i="7" s="1"/>
  <c r="AM48" i="4"/>
  <c r="D85" i="7" s="1"/>
  <c r="AQ49" i="4"/>
  <c r="H86" i="7" s="1"/>
  <c r="AP49" i="4"/>
  <c r="G86" i="7" s="1"/>
  <c r="AO49" i="4"/>
  <c r="F86" i="7" s="1"/>
  <c r="AN49" i="4"/>
  <c r="E86" i="7" s="1"/>
  <c r="AM49" i="4"/>
  <c r="D86" i="7" s="1"/>
  <c r="AQ50" i="4"/>
  <c r="H87" i="7" s="1"/>
  <c r="AP50" i="4"/>
  <c r="G87" i="7" s="1"/>
  <c r="AO50" i="4"/>
  <c r="F87" i="7" s="1"/>
  <c r="AN50" i="4"/>
  <c r="E87" i="7" s="1"/>
  <c r="AM50" i="4"/>
  <c r="D87" i="7" s="1"/>
  <c r="AQ51" i="4"/>
  <c r="H88" i="7" s="1"/>
  <c r="AP51" i="4"/>
  <c r="G88" i="7" s="1"/>
  <c r="AO51" i="4"/>
  <c r="F88" i="7" s="1"/>
  <c r="AN51" i="4"/>
  <c r="E88" i="7" s="1"/>
  <c r="AM51" i="4"/>
  <c r="D88" i="7" s="1"/>
  <c r="AQ52" i="4"/>
  <c r="H89" i="7" s="1"/>
  <c r="AP52" i="4"/>
  <c r="G89" i="7" s="1"/>
  <c r="AO52" i="4"/>
  <c r="F89" i="7" s="1"/>
  <c r="AN52" i="4"/>
  <c r="E89" i="7" s="1"/>
  <c r="AM52" i="4"/>
  <c r="D89" i="7" s="1"/>
  <c r="AQ53" i="4"/>
  <c r="H90" i="7" s="1"/>
  <c r="AP53" i="4"/>
  <c r="G90" i="7" s="1"/>
  <c r="AO53" i="4"/>
  <c r="F90" i="7" s="1"/>
  <c r="AN53" i="4"/>
  <c r="E90" i="7" s="1"/>
  <c r="AM53" i="4"/>
  <c r="D90" i="7" s="1"/>
  <c r="AQ54" i="4"/>
  <c r="H91" i="7" s="1"/>
  <c r="AP54" i="4"/>
  <c r="G91" i="7" s="1"/>
  <c r="AO54" i="4"/>
  <c r="F91" i="7" s="1"/>
  <c r="AN54" i="4"/>
  <c r="E91" i="7" s="1"/>
  <c r="AM54" i="4"/>
  <c r="D91" i="7" s="1"/>
  <c r="AQ55" i="4"/>
  <c r="H92" i="7" s="1"/>
  <c r="AP55" i="4"/>
  <c r="G92" i="7" s="1"/>
  <c r="AO55" i="4"/>
  <c r="F92" i="7" s="1"/>
  <c r="AN55" i="4"/>
  <c r="E92" i="7" s="1"/>
  <c r="AM55" i="4"/>
  <c r="D92" i="7" s="1"/>
  <c r="AQ56" i="4"/>
  <c r="H93" i="7" s="1"/>
  <c r="AP56" i="4"/>
  <c r="G93" i="7" s="1"/>
  <c r="AO56" i="4"/>
  <c r="F93" i="7" s="1"/>
  <c r="AN56" i="4"/>
  <c r="E93" i="7" s="1"/>
  <c r="AM56" i="4"/>
  <c r="D93" i="7" s="1"/>
  <c r="AQ57" i="4"/>
  <c r="H94" i="7" s="1"/>
  <c r="AP57" i="4"/>
  <c r="G94" i="7" s="1"/>
  <c r="AO57" i="4"/>
  <c r="F94" i="7" s="1"/>
  <c r="AN57" i="4"/>
  <c r="E94" i="7" s="1"/>
  <c r="AM57" i="4"/>
  <c r="D94" i="7" s="1"/>
  <c r="AQ58" i="4"/>
  <c r="H95" i="7" s="1"/>
  <c r="AP58" i="4"/>
  <c r="G95" i="7" s="1"/>
  <c r="AO58" i="4"/>
  <c r="F95" i="7" s="1"/>
  <c r="AN58" i="4"/>
  <c r="E95" i="7" s="1"/>
  <c r="AM58" i="4"/>
  <c r="D95" i="7" s="1"/>
  <c r="AQ59" i="4"/>
  <c r="H96" i="7" s="1"/>
  <c r="AP59" i="4"/>
  <c r="G96" i="7" s="1"/>
  <c r="AO59" i="4"/>
  <c r="F96" i="7" s="1"/>
  <c r="AN59" i="4"/>
  <c r="E96" i="7" s="1"/>
  <c r="AM59" i="4"/>
  <c r="D96" i="7" s="1"/>
  <c r="AQ60" i="4"/>
  <c r="H97" i="7" s="1"/>
  <c r="AP60" i="4"/>
  <c r="G97" i="7" s="1"/>
  <c r="AO60" i="4"/>
  <c r="F97" i="7" s="1"/>
  <c r="AN60" i="4"/>
  <c r="E97" i="7" s="1"/>
  <c r="AM60" i="4"/>
  <c r="D97" i="7" s="1"/>
  <c r="AQ61" i="4"/>
  <c r="H98" i="7" s="1"/>
  <c r="AP61" i="4"/>
  <c r="G98" i="7" s="1"/>
  <c r="AO61" i="4"/>
  <c r="F98" i="7" s="1"/>
  <c r="AN61" i="4"/>
  <c r="E98" i="7" s="1"/>
  <c r="AM61" i="4"/>
  <c r="D98" i="7" s="1"/>
  <c r="AQ62" i="4"/>
  <c r="H99" i="7" s="1"/>
  <c r="AP62" i="4"/>
  <c r="G99" i="7" s="1"/>
  <c r="AO62" i="4"/>
  <c r="F99" i="7" s="1"/>
  <c r="AN62" i="4"/>
  <c r="E99" i="7" s="1"/>
  <c r="AM62" i="4"/>
  <c r="D99" i="7" s="1"/>
  <c r="AQ63" i="4"/>
  <c r="H100" i="7" s="1"/>
  <c r="AP63" i="4"/>
  <c r="G100" i="7" s="1"/>
  <c r="AO63" i="4"/>
  <c r="F100" i="7" s="1"/>
  <c r="AN63" i="4"/>
  <c r="E100" i="7" s="1"/>
  <c r="AM63" i="4"/>
  <c r="D100" i="7" s="1"/>
  <c r="AQ64" i="4"/>
  <c r="H101" i="7" s="1"/>
  <c r="AP64" i="4"/>
  <c r="G101" i="7" s="1"/>
  <c r="AO64" i="4"/>
  <c r="F101" i="7" s="1"/>
  <c r="AN64" i="4"/>
  <c r="E101" i="7" s="1"/>
  <c r="AM64" i="4"/>
  <c r="D101" i="7" s="1"/>
  <c r="AQ65" i="4"/>
  <c r="H102" i="7" s="1"/>
  <c r="AP65" i="4"/>
  <c r="G102" i="7" s="1"/>
  <c r="AO65" i="4"/>
  <c r="F102" i="7" s="1"/>
  <c r="AN65" i="4"/>
  <c r="E102" i="7" s="1"/>
  <c r="AM65" i="4"/>
  <c r="D102" i="7" s="1"/>
  <c r="AQ66" i="4"/>
  <c r="H103" i="7" s="1"/>
  <c r="AP66" i="4"/>
  <c r="G103" i="7" s="1"/>
  <c r="AO66" i="4"/>
  <c r="F103" i="7" s="1"/>
  <c r="AN66" i="4"/>
  <c r="E103" i="7" s="1"/>
  <c r="AM66" i="4"/>
  <c r="D103" i="7" s="1"/>
  <c r="AQ67" i="4"/>
  <c r="H104" i="7" s="1"/>
  <c r="AP67" i="4"/>
  <c r="G104" i="7" s="1"/>
  <c r="AO67" i="4"/>
  <c r="F104" i="7" s="1"/>
  <c r="AN67" i="4"/>
  <c r="E104" i="7" s="1"/>
  <c r="AM67" i="4"/>
  <c r="D104" i="7" s="1"/>
  <c r="AQ68" i="4"/>
  <c r="H105" i="7" s="1"/>
  <c r="AP68" i="4"/>
  <c r="G105" i="7" s="1"/>
  <c r="AO68" i="4"/>
  <c r="F105" i="7" s="1"/>
  <c r="AN68" i="4"/>
  <c r="E105" i="7" s="1"/>
  <c r="AM68" i="4"/>
  <c r="D105" i="7" s="1"/>
  <c r="AQ69" i="4"/>
  <c r="AP69" i="4"/>
  <c r="AO69" i="4"/>
  <c r="AN69" i="4"/>
  <c r="AM69" i="4"/>
  <c r="AQ70" i="4"/>
  <c r="AP70" i="4"/>
  <c r="AO70" i="4"/>
  <c r="AN70" i="4"/>
  <c r="AM70" i="4"/>
  <c r="AQ71" i="4"/>
  <c r="AP71" i="4"/>
  <c r="AO71" i="4"/>
  <c r="AN71" i="4"/>
  <c r="AM71" i="4"/>
  <c r="AQ72" i="4"/>
  <c r="AP72" i="4"/>
  <c r="AO72" i="4"/>
  <c r="AN72" i="4"/>
  <c r="AM72" i="4"/>
  <c r="AQ73" i="4"/>
  <c r="AP73" i="4"/>
  <c r="AO73" i="4"/>
  <c r="AN73" i="4"/>
  <c r="AM73" i="4"/>
  <c r="AQ74" i="4"/>
  <c r="AP74" i="4"/>
  <c r="AO74" i="4"/>
  <c r="AN74" i="4"/>
  <c r="AM74" i="4"/>
  <c r="AQ75" i="4"/>
  <c r="AP75" i="4"/>
  <c r="AO75" i="4"/>
  <c r="AN75" i="4"/>
  <c r="AM75" i="4"/>
  <c r="AQ76" i="4"/>
  <c r="AP76" i="4"/>
  <c r="AO76" i="4"/>
  <c r="AN76" i="4"/>
  <c r="AM76" i="4"/>
  <c r="AQ77" i="4"/>
  <c r="AP77" i="4"/>
  <c r="AO77" i="4"/>
  <c r="AN77" i="4"/>
  <c r="AM77" i="4"/>
  <c r="AQ78" i="4"/>
  <c r="AP78" i="4"/>
  <c r="AO78" i="4"/>
  <c r="AN78" i="4"/>
  <c r="AM78" i="4"/>
  <c r="AQ79" i="4"/>
  <c r="AP79" i="4"/>
  <c r="AO79" i="4"/>
  <c r="AN79" i="4"/>
  <c r="AM79" i="4"/>
  <c r="AQ80" i="4"/>
  <c r="AP80" i="4"/>
  <c r="AO80" i="4"/>
  <c r="AN80" i="4"/>
  <c r="AM80" i="4"/>
  <c r="AQ81" i="4"/>
  <c r="AP81" i="4"/>
  <c r="AO81" i="4"/>
  <c r="AN81" i="4"/>
  <c r="AM81" i="4"/>
  <c r="AQ82" i="4"/>
  <c r="AP82" i="4"/>
  <c r="AO82" i="4"/>
  <c r="AN82" i="4"/>
  <c r="AM82" i="4"/>
  <c r="AQ83" i="4"/>
  <c r="AP83" i="4"/>
  <c r="AO83" i="4"/>
  <c r="AN83" i="4"/>
  <c r="AM83" i="4"/>
  <c r="AQ84" i="4"/>
  <c r="AP84" i="4"/>
  <c r="AO84" i="4"/>
  <c r="AN84" i="4"/>
  <c r="AM84" i="4"/>
  <c r="AQ85" i="4"/>
  <c r="AP85" i="4"/>
  <c r="AO85" i="4"/>
  <c r="AN85" i="4"/>
  <c r="AM85" i="4"/>
  <c r="AQ86" i="4"/>
  <c r="H106" i="7" s="1"/>
  <c r="AP86" i="4"/>
  <c r="G106" i="7" s="1"/>
  <c r="AO86" i="4"/>
  <c r="F106" i="7" s="1"/>
  <c r="AN86" i="4"/>
  <c r="E106" i="7" s="1"/>
  <c r="AM86" i="4"/>
  <c r="D106" i="7" s="1"/>
  <c r="AQ87" i="4"/>
  <c r="H107" i="7" s="1"/>
  <c r="AP87" i="4"/>
  <c r="G107" i="7" s="1"/>
  <c r="AO87" i="4"/>
  <c r="F107" i="7" s="1"/>
  <c r="AN87" i="4"/>
  <c r="E107" i="7" s="1"/>
  <c r="AM87" i="4"/>
  <c r="D107" i="7" s="1"/>
  <c r="AQ88" i="4"/>
  <c r="H108" i="7" s="1"/>
  <c r="AP88" i="4"/>
  <c r="G108" i="7" s="1"/>
  <c r="AO88" i="4"/>
  <c r="F108" i="7" s="1"/>
  <c r="AN88" i="4"/>
  <c r="E108" i="7" s="1"/>
  <c r="AM88" i="4"/>
  <c r="D108" i="7" s="1"/>
  <c r="AQ89" i="4"/>
  <c r="AP89" i="4"/>
  <c r="AO89" i="4"/>
  <c r="AN89" i="4"/>
  <c r="AM89" i="4"/>
  <c r="AQ90" i="4"/>
  <c r="AP90" i="4"/>
  <c r="AO90" i="4"/>
  <c r="AN90" i="4"/>
  <c r="AM90" i="4"/>
  <c r="AQ91" i="4"/>
  <c r="AP91" i="4"/>
  <c r="AO91" i="4"/>
  <c r="AN91" i="4"/>
  <c r="AM91" i="4"/>
  <c r="AQ92" i="4"/>
  <c r="AP92" i="4"/>
  <c r="AO92" i="4"/>
  <c r="AN92" i="4"/>
  <c r="AM92" i="4"/>
  <c r="AQ93" i="4"/>
  <c r="AP93" i="4"/>
  <c r="AO93" i="4"/>
  <c r="AN93" i="4"/>
  <c r="AM93" i="4"/>
  <c r="AQ94" i="4"/>
  <c r="AP94" i="4"/>
  <c r="AO94" i="4"/>
  <c r="AN94" i="4"/>
  <c r="AM94" i="4"/>
  <c r="AQ95" i="4"/>
  <c r="AP95" i="4"/>
  <c r="AO95" i="4"/>
  <c r="AN95" i="4"/>
  <c r="AM95" i="4"/>
  <c r="AQ96" i="4"/>
  <c r="AP96" i="4"/>
  <c r="AO96" i="4"/>
  <c r="AN96" i="4"/>
  <c r="AM96" i="4"/>
  <c r="AQ97" i="4"/>
  <c r="AP97" i="4"/>
  <c r="AO97" i="4"/>
  <c r="AN97" i="4"/>
  <c r="AM97" i="4"/>
  <c r="AQ98" i="4"/>
  <c r="AP98" i="4"/>
  <c r="AO98" i="4"/>
  <c r="AN98" i="4"/>
  <c r="AM98" i="4"/>
  <c r="AQ99" i="4"/>
  <c r="H109" i="7" s="1"/>
  <c r="AP99" i="4"/>
  <c r="G109" i="7" s="1"/>
  <c r="AO99" i="4"/>
  <c r="F109" i="7" s="1"/>
  <c r="AN99" i="4"/>
  <c r="E109" i="7" s="1"/>
  <c r="AM99" i="4"/>
  <c r="D109" i="7" s="1"/>
  <c r="AQ100" i="4"/>
  <c r="H110" i="7" s="1"/>
  <c r="AP100" i="4"/>
  <c r="G110" i="7" s="1"/>
  <c r="AO100" i="4"/>
  <c r="F110" i="7" s="1"/>
  <c r="AN100" i="4"/>
  <c r="E110" i="7" s="1"/>
  <c r="AM100" i="4"/>
  <c r="D110" i="7" s="1"/>
  <c r="AQ101" i="4"/>
  <c r="H111" i="7" s="1"/>
  <c r="AP101" i="4"/>
  <c r="G111" i="7" s="1"/>
  <c r="AO101" i="4"/>
  <c r="F111" i="7" s="1"/>
  <c r="AN101" i="4"/>
  <c r="E111" i="7" s="1"/>
  <c r="AM101" i="4"/>
  <c r="D111" i="7" s="1"/>
  <c r="AQ102" i="4"/>
  <c r="H112" i="7" s="1"/>
  <c r="AP102" i="4"/>
  <c r="G112" i="7" s="1"/>
  <c r="AO102" i="4"/>
  <c r="F112" i="7" s="1"/>
  <c r="AN102" i="4"/>
  <c r="E112" i="7" s="1"/>
  <c r="AM102" i="4"/>
  <c r="D112" i="7" s="1"/>
  <c r="AQ103" i="4"/>
  <c r="H113" i="7" s="1"/>
  <c r="AP103" i="4"/>
  <c r="G113" i="7" s="1"/>
  <c r="AO103" i="4"/>
  <c r="F113" i="7" s="1"/>
  <c r="AN103" i="4"/>
  <c r="E113" i="7" s="1"/>
  <c r="AM103" i="4"/>
  <c r="D113" i="7" s="1"/>
  <c r="AQ104" i="4"/>
  <c r="H114" i="7" s="1"/>
  <c r="AP104" i="4"/>
  <c r="G114" i="7" s="1"/>
  <c r="AO104" i="4"/>
  <c r="F114" i="7" s="1"/>
  <c r="AN104" i="4"/>
  <c r="E114" i="7" s="1"/>
  <c r="AM104" i="4"/>
  <c r="D114" i="7" s="1"/>
  <c r="AQ105" i="4"/>
  <c r="H115" i="7" s="1"/>
  <c r="AP105" i="4"/>
  <c r="G115" i="7" s="1"/>
  <c r="AO105" i="4"/>
  <c r="F115" i="7" s="1"/>
  <c r="AN105" i="4"/>
  <c r="E115" i="7" s="1"/>
  <c r="AM105" i="4"/>
  <c r="D115" i="7" s="1"/>
  <c r="AQ106" i="4"/>
  <c r="H116" i="7" s="1"/>
  <c r="AP106" i="4"/>
  <c r="G116" i="7" s="1"/>
  <c r="AO106" i="4"/>
  <c r="F116" i="7" s="1"/>
  <c r="AN106" i="4"/>
  <c r="E116" i="7" s="1"/>
  <c r="AM106" i="4"/>
  <c r="D116" i="7" s="1"/>
  <c r="AQ107" i="4"/>
  <c r="H117" i="7" s="1"/>
  <c r="AP107" i="4"/>
  <c r="G117" i="7" s="1"/>
  <c r="AO107" i="4"/>
  <c r="F117" i="7" s="1"/>
  <c r="AN107" i="4"/>
  <c r="E117" i="7" s="1"/>
  <c r="AM107" i="4"/>
  <c r="D117" i="7" s="1"/>
  <c r="AQ108" i="4"/>
  <c r="H118" i="7" s="1"/>
  <c r="AP108" i="4"/>
  <c r="G118" i="7" s="1"/>
  <c r="AO108" i="4"/>
  <c r="F118" i="7" s="1"/>
  <c r="AN108" i="4"/>
  <c r="E118" i="7" s="1"/>
  <c r="AM108" i="4"/>
  <c r="D118" i="7" s="1"/>
  <c r="AQ109" i="4"/>
  <c r="H119" i="7" s="1"/>
  <c r="AP109" i="4"/>
  <c r="G119" i="7" s="1"/>
  <c r="AO109" i="4"/>
  <c r="F119" i="7" s="1"/>
  <c r="AN109" i="4"/>
  <c r="E119" i="7" s="1"/>
  <c r="AM109" i="4"/>
  <c r="D119" i="7" s="1"/>
  <c r="AQ110" i="4"/>
  <c r="H120" i="7" s="1"/>
  <c r="AP110" i="4"/>
  <c r="G120" i="7" s="1"/>
  <c r="AO110" i="4"/>
  <c r="F120" i="7" s="1"/>
  <c r="AN110" i="4"/>
  <c r="E120" i="7" s="1"/>
  <c r="AM110" i="4"/>
  <c r="D120" i="7" s="1"/>
  <c r="AQ111" i="4"/>
  <c r="H121" i="7" s="1"/>
  <c r="AP111" i="4"/>
  <c r="G121" i="7" s="1"/>
  <c r="AO111" i="4"/>
  <c r="F121" i="7" s="1"/>
  <c r="AN111" i="4"/>
  <c r="E121" i="7" s="1"/>
  <c r="AM111" i="4"/>
  <c r="D121" i="7" s="1"/>
  <c r="AQ112" i="4"/>
  <c r="H122" i="7" s="1"/>
  <c r="AP112" i="4"/>
  <c r="G122" i="7" s="1"/>
  <c r="AO112" i="4"/>
  <c r="F122" i="7" s="1"/>
  <c r="AN112" i="4"/>
  <c r="E122" i="7" s="1"/>
  <c r="AM112" i="4"/>
  <c r="D122" i="7" s="1"/>
  <c r="AQ113" i="4"/>
  <c r="H123" i="7" s="1"/>
  <c r="AP113" i="4"/>
  <c r="G123" i="7" s="1"/>
  <c r="AO113" i="4"/>
  <c r="F123" i="7" s="1"/>
  <c r="AN113" i="4"/>
  <c r="E123" i="7" s="1"/>
  <c r="AM113" i="4"/>
  <c r="D123" i="7" s="1"/>
  <c r="AQ114" i="4"/>
  <c r="H124" i="7" s="1"/>
  <c r="AP114" i="4"/>
  <c r="G124" i="7" s="1"/>
  <c r="AO114" i="4"/>
  <c r="F124" i="7" s="1"/>
  <c r="AN114" i="4"/>
  <c r="E124" i="7" s="1"/>
  <c r="AM114" i="4"/>
  <c r="D124" i="7" s="1"/>
  <c r="AQ115" i="4"/>
  <c r="H125" i="7" s="1"/>
  <c r="AP115" i="4"/>
  <c r="G125" i="7" s="1"/>
  <c r="AO115" i="4"/>
  <c r="F125" i="7" s="1"/>
  <c r="AN115" i="4"/>
  <c r="E125" i="7" s="1"/>
  <c r="AM115" i="4"/>
  <c r="D125" i="7" s="1"/>
  <c r="AQ116" i="4"/>
  <c r="H126" i="7" s="1"/>
  <c r="AP116" i="4"/>
  <c r="G126" i="7" s="1"/>
  <c r="AO116" i="4"/>
  <c r="F126" i="7" s="1"/>
  <c r="AN116" i="4"/>
  <c r="E126" i="7" s="1"/>
  <c r="AM116" i="4"/>
  <c r="D126" i="7" s="1"/>
  <c r="AQ117" i="4"/>
  <c r="H127" i="7" s="1"/>
  <c r="AP117" i="4"/>
  <c r="G127" i="7" s="1"/>
  <c r="AO117" i="4"/>
  <c r="F127" i="7" s="1"/>
  <c r="AN117" i="4"/>
  <c r="E127" i="7" s="1"/>
  <c r="AM117" i="4"/>
  <c r="D127" i="7" s="1"/>
  <c r="AQ118" i="4"/>
  <c r="H128" i="7" s="1"/>
  <c r="AP118" i="4"/>
  <c r="G128" i="7" s="1"/>
  <c r="AO118" i="4"/>
  <c r="F128" i="7" s="1"/>
  <c r="AN118" i="4"/>
  <c r="E128" i="7" s="1"/>
  <c r="AM118" i="4"/>
  <c r="D128" i="7" s="1"/>
  <c r="AQ119" i="4"/>
  <c r="AP119" i="4"/>
  <c r="AO119" i="4"/>
  <c r="AN119" i="4"/>
  <c r="AM119" i="4"/>
  <c r="AQ120" i="4"/>
  <c r="AP120" i="4"/>
  <c r="AO120" i="4"/>
  <c r="AN120" i="4"/>
  <c r="AM120" i="4"/>
  <c r="AQ121" i="4"/>
  <c r="AP121" i="4"/>
  <c r="AO121" i="4"/>
  <c r="AN121" i="4"/>
  <c r="AM121" i="4"/>
  <c r="AQ122" i="4"/>
  <c r="AP122" i="4"/>
  <c r="AO122" i="4"/>
  <c r="AN122" i="4"/>
  <c r="AM122" i="4"/>
  <c r="BT122" i="4"/>
  <c r="AQ123" i="4"/>
  <c r="AP123" i="4"/>
  <c r="AO123" i="4"/>
  <c r="AN123" i="4"/>
  <c r="AM123" i="4"/>
  <c r="AQ124" i="4"/>
  <c r="AP124" i="4"/>
  <c r="AO124" i="4"/>
  <c r="AN124" i="4"/>
  <c r="AM124" i="4"/>
  <c r="AQ125" i="4"/>
  <c r="AP125" i="4"/>
  <c r="AO125" i="4"/>
  <c r="AN125" i="4"/>
  <c r="AM125" i="4"/>
  <c r="AQ126" i="4"/>
  <c r="AP126" i="4"/>
  <c r="AO126" i="4"/>
  <c r="AN126" i="4"/>
  <c r="AM126" i="4"/>
  <c r="AQ127" i="4"/>
  <c r="AP127" i="4"/>
  <c r="AO127" i="4"/>
  <c r="AN127" i="4"/>
  <c r="AM127" i="4"/>
  <c r="AQ128" i="4"/>
  <c r="AP128" i="4"/>
  <c r="AO128" i="4"/>
  <c r="AN128" i="4"/>
  <c r="AM128" i="4"/>
  <c r="AQ129" i="4"/>
  <c r="AP129" i="4"/>
  <c r="AO129" i="4"/>
  <c r="AN129" i="4"/>
  <c r="AM129" i="4"/>
  <c r="AQ130" i="4"/>
  <c r="AP130" i="4"/>
  <c r="AO130" i="4"/>
  <c r="AN130" i="4"/>
  <c r="AM130" i="4"/>
  <c r="AQ131" i="4"/>
  <c r="AP131" i="4"/>
  <c r="AO131" i="4"/>
  <c r="AN131" i="4"/>
  <c r="AM131" i="4"/>
  <c r="AQ132" i="4"/>
  <c r="AP132" i="4"/>
  <c r="AO132" i="4"/>
  <c r="AN132" i="4"/>
  <c r="AM132" i="4"/>
  <c r="AQ133" i="4"/>
  <c r="AP133" i="4"/>
  <c r="AO133" i="4"/>
  <c r="AN133" i="4"/>
  <c r="AM133" i="4"/>
  <c r="AQ134" i="4"/>
  <c r="AP134" i="4"/>
  <c r="AO134" i="4"/>
  <c r="AN134" i="4"/>
  <c r="AM134" i="4"/>
  <c r="AQ135" i="4"/>
  <c r="AP135" i="4"/>
  <c r="AO135" i="4"/>
  <c r="AN135" i="4"/>
  <c r="AM135" i="4"/>
  <c r="AQ136" i="4"/>
  <c r="AP136" i="4"/>
  <c r="AO136" i="4"/>
  <c r="AN136" i="4"/>
  <c r="AM136" i="4"/>
  <c r="AQ137" i="4"/>
  <c r="AP137" i="4"/>
  <c r="AO137" i="4"/>
  <c r="AN137" i="4"/>
  <c r="AM137" i="4"/>
  <c r="AQ138" i="4"/>
  <c r="AP138" i="4"/>
  <c r="AO138" i="4"/>
  <c r="AN138" i="4"/>
  <c r="AM138" i="4"/>
  <c r="AQ139" i="4"/>
  <c r="AP139" i="4"/>
  <c r="AO139" i="4"/>
  <c r="AN139" i="4"/>
  <c r="AM139" i="4"/>
  <c r="AQ140" i="4"/>
  <c r="AP140" i="4"/>
  <c r="AO140" i="4"/>
  <c r="AN140" i="4"/>
  <c r="AM140" i="4"/>
  <c r="AQ141" i="4"/>
  <c r="AP141" i="4"/>
  <c r="AO141" i="4"/>
  <c r="AN141" i="4"/>
  <c r="AM141" i="4"/>
  <c r="AQ142" i="4"/>
  <c r="AP142" i="4"/>
  <c r="AO142" i="4"/>
  <c r="AN142" i="4"/>
  <c r="AM142" i="4"/>
  <c r="AQ143" i="4"/>
  <c r="AP143" i="4"/>
  <c r="AO143" i="4"/>
  <c r="AN143" i="4"/>
  <c r="AM143" i="4"/>
  <c r="AQ144" i="4"/>
  <c r="AP144" i="4"/>
  <c r="AO144" i="4"/>
  <c r="AN144" i="4"/>
  <c r="AM144" i="4"/>
  <c r="AQ145" i="4"/>
  <c r="AP145" i="4"/>
  <c r="AO145" i="4"/>
  <c r="AN145" i="4"/>
  <c r="AM145" i="4"/>
  <c r="AQ146" i="4"/>
  <c r="AP146" i="4"/>
  <c r="AO146" i="4"/>
  <c r="AN146" i="4"/>
  <c r="AM146" i="4"/>
  <c r="AQ147" i="4"/>
  <c r="AP147" i="4"/>
  <c r="AO147" i="4"/>
  <c r="AN147" i="4"/>
  <c r="AM147" i="4"/>
  <c r="AQ148" i="4"/>
  <c r="H129" i="7" s="1"/>
  <c r="AP148" i="4"/>
  <c r="G129" i="7" s="1"/>
  <c r="AO148" i="4"/>
  <c r="F129" i="7" s="1"/>
  <c r="AN148" i="4"/>
  <c r="E129" i="7" s="1"/>
  <c r="AM148" i="4"/>
  <c r="D129" i="7" s="1"/>
  <c r="AQ149" i="4"/>
  <c r="H130" i="7" s="1"/>
  <c r="AP149" i="4"/>
  <c r="G130" i="7" s="1"/>
  <c r="AO149" i="4"/>
  <c r="F130" i="7" s="1"/>
  <c r="AN149" i="4"/>
  <c r="E130" i="7" s="1"/>
  <c r="AM149" i="4"/>
  <c r="D130" i="7" s="1"/>
  <c r="AQ150" i="4"/>
  <c r="H131" i="7" s="1"/>
  <c r="AP150" i="4"/>
  <c r="G131" i="7" s="1"/>
  <c r="AO150" i="4"/>
  <c r="F131" i="7" s="1"/>
  <c r="AN150" i="4"/>
  <c r="E131" i="7" s="1"/>
  <c r="AM150" i="4"/>
  <c r="D131" i="7" s="1"/>
  <c r="AQ151" i="4"/>
  <c r="H132" i="7" s="1"/>
  <c r="AP151" i="4"/>
  <c r="G132" i="7" s="1"/>
  <c r="AO151" i="4"/>
  <c r="F132" i="7" s="1"/>
  <c r="AN151" i="4"/>
  <c r="E132" i="7" s="1"/>
  <c r="AM151" i="4"/>
  <c r="D132" i="7" s="1"/>
  <c r="AQ152" i="4"/>
  <c r="H133" i="7" s="1"/>
  <c r="AP152" i="4"/>
  <c r="G133" i="7" s="1"/>
  <c r="AO152" i="4"/>
  <c r="F133" i="7" s="1"/>
  <c r="AN152" i="4"/>
  <c r="E133" i="7" s="1"/>
  <c r="AM152" i="4"/>
  <c r="D133" i="7" s="1"/>
  <c r="AQ153" i="4"/>
  <c r="H134" i="7" s="1"/>
  <c r="AP153" i="4"/>
  <c r="G134" i="7" s="1"/>
  <c r="AO153" i="4"/>
  <c r="F134" i="7" s="1"/>
  <c r="AN153" i="4"/>
  <c r="E134" i="7" s="1"/>
  <c r="AM153" i="4"/>
  <c r="D134" i="7" s="1"/>
  <c r="AQ154" i="4"/>
  <c r="H135" i="7" s="1"/>
  <c r="AP154" i="4"/>
  <c r="G135" i="7" s="1"/>
  <c r="AO154" i="4"/>
  <c r="F135" i="7" s="1"/>
  <c r="AN154" i="4"/>
  <c r="E135" i="7" s="1"/>
  <c r="AM154" i="4"/>
  <c r="D135" i="7" s="1"/>
  <c r="AQ155" i="4"/>
  <c r="H136" i="7" s="1"/>
  <c r="AP155" i="4"/>
  <c r="G136" i="7" s="1"/>
  <c r="AO155" i="4"/>
  <c r="F136" i="7" s="1"/>
  <c r="AN155" i="4"/>
  <c r="E136" i="7" s="1"/>
  <c r="AM155" i="4"/>
  <c r="D136" i="7" s="1"/>
  <c r="AQ156" i="4"/>
  <c r="H137" i="7" s="1"/>
  <c r="AP156" i="4"/>
  <c r="G137" i="7" s="1"/>
  <c r="AO156" i="4"/>
  <c r="F137" i="7" s="1"/>
  <c r="AN156" i="4"/>
  <c r="E137" i="7" s="1"/>
  <c r="AM156" i="4"/>
  <c r="D137" i="7" s="1"/>
  <c r="AQ157" i="4"/>
  <c r="H138" i="7" s="1"/>
  <c r="AP157" i="4"/>
  <c r="G138" i="7" s="1"/>
  <c r="AO157" i="4"/>
  <c r="F138" i="7" s="1"/>
  <c r="AN157" i="4"/>
  <c r="E138" i="7" s="1"/>
  <c r="AM157" i="4"/>
  <c r="D138" i="7" s="1"/>
  <c r="AQ158" i="4"/>
  <c r="H139" i="7" s="1"/>
  <c r="AP158" i="4"/>
  <c r="G139" i="7" s="1"/>
  <c r="AO158" i="4"/>
  <c r="F139" i="7" s="1"/>
  <c r="AN158" i="4"/>
  <c r="E139" i="7" s="1"/>
  <c r="AM158" i="4"/>
  <c r="D139" i="7" s="1"/>
  <c r="AQ159" i="4"/>
  <c r="H140" i="7" s="1"/>
  <c r="AP159" i="4"/>
  <c r="G140" i="7" s="1"/>
  <c r="AO159" i="4"/>
  <c r="F140" i="7" s="1"/>
  <c r="AN159" i="4"/>
  <c r="E140" i="7" s="1"/>
  <c r="AM159" i="4"/>
  <c r="D140" i="7" s="1"/>
  <c r="AQ160" i="4"/>
  <c r="AP160" i="4"/>
  <c r="AO160" i="4"/>
  <c r="AN160" i="4"/>
  <c r="AM160" i="4"/>
  <c r="AQ161" i="4"/>
  <c r="AP161" i="4"/>
  <c r="AO161" i="4"/>
  <c r="AN161" i="4"/>
  <c r="AM161" i="4"/>
  <c r="AQ162" i="4"/>
  <c r="AP162" i="4"/>
  <c r="AO162" i="4"/>
  <c r="AN162" i="4"/>
  <c r="AM162" i="4"/>
  <c r="AQ163" i="4"/>
  <c r="AP163" i="4"/>
  <c r="AO163" i="4"/>
  <c r="AN163" i="4"/>
  <c r="AM163" i="4"/>
  <c r="AQ164" i="4"/>
  <c r="AP164" i="4"/>
  <c r="AO164" i="4"/>
  <c r="AN164" i="4"/>
  <c r="AM164" i="4"/>
  <c r="AQ165" i="4"/>
  <c r="AP165" i="4"/>
  <c r="AO165" i="4"/>
  <c r="AN165" i="4"/>
  <c r="AM165" i="4"/>
  <c r="AQ166" i="4"/>
  <c r="AP166" i="4"/>
  <c r="AO166" i="4"/>
  <c r="AN166" i="4"/>
  <c r="AM166" i="4"/>
  <c r="AQ167" i="4"/>
  <c r="AP167" i="4"/>
  <c r="AO167" i="4"/>
  <c r="AN167" i="4"/>
  <c r="AM167" i="4"/>
  <c r="AQ168" i="4"/>
  <c r="AP168" i="4"/>
  <c r="AO168" i="4"/>
  <c r="AN168" i="4"/>
  <c r="AM168" i="4"/>
  <c r="AQ169" i="4"/>
  <c r="AP169" i="4"/>
  <c r="AO169" i="4"/>
  <c r="AN169" i="4"/>
  <c r="AM169" i="4"/>
  <c r="AQ170" i="4"/>
  <c r="AP170" i="4"/>
  <c r="AO170" i="4"/>
  <c r="AN170" i="4"/>
  <c r="AM170" i="4"/>
  <c r="AQ171" i="4"/>
  <c r="AP171" i="4"/>
  <c r="AO171" i="4"/>
  <c r="AN171" i="4"/>
  <c r="AM171" i="4"/>
  <c r="AQ172" i="4"/>
  <c r="AP172" i="4"/>
  <c r="AO172" i="4"/>
  <c r="AN172" i="4"/>
  <c r="AM172" i="4"/>
  <c r="AQ173" i="4"/>
  <c r="H141" i="7" s="1"/>
  <c r="AP173" i="4"/>
  <c r="G141" i="7" s="1"/>
  <c r="AO173" i="4"/>
  <c r="F141" i="7" s="1"/>
  <c r="AN173" i="4"/>
  <c r="E141" i="7" s="1"/>
  <c r="AM173" i="4"/>
  <c r="D141" i="7" s="1"/>
  <c r="AQ174" i="4"/>
  <c r="H142" i="7" s="1"/>
  <c r="AP174" i="4"/>
  <c r="G142" i="7" s="1"/>
  <c r="AO174" i="4"/>
  <c r="F142" i="7" s="1"/>
  <c r="AN174" i="4"/>
  <c r="E142" i="7" s="1"/>
  <c r="AM174" i="4"/>
  <c r="D142" i="7" s="1"/>
  <c r="AQ175" i="4"/>
  <c r="H163" i="7" s="1"/>
  <c r="AP175" i="4"/>
  <c r="G163" i="7" s="1"/>
  <c r="AO175" i="4"/>
  <c r="F163" i="7" s="1"/>
  <c r="AN175" i="4"/>
  <c r="E163" i="7" s="1"/>
  <c r="AM175" i="4"/>
  <c r="D163" i="7" s="1"/>
  <c r="AQ176" i="4"/>
  <c r="H164" i="7" s="1"/>
  <c r="AP176" i="4"/>
  <c r="G164" i="7" s="1"/>
  <c r="AO176" i="4"/>
  <c r="F164" i="7" s="1"/>
  <c r="AN176" i="4"/>
  <c r="E164" i="7" s="1"/>
  <c r="AM176" i="4"/>
  <c r="D164" i="7" s="1"/>
  <c r="AQ177" i="4"/>
  <c r="H165" i="7" s="1"/>
  <c r="AP177" i="4"/>
  <c r="G165" i="7" s="1"/>
  <c r="AO177" i="4"/>
  <c r="F165" i="7" s="1"/>
  <c r="AN177" i="4"/>
  <c r="E165" i="7" s="1"/>
  <c r="AM177" i="4"/>
  <c r="D165" i="7" s="1"/>
  <c r="AQ178" i="4"/>
  <c r="H166" i="7" s="1"/>
  <c r="AP178" i="4"/>
  <c r="G166" i="7" s="1"/>
  <c r="AO178" i="4"/>
  <c r="F166" i="7" s="1"/>
  <c r="AN178" i="4"/>
  <c r="E166" i="7" s="1"/>
  <c r="AM178" i="4"/>
  <c r="D166" i="7" s="1"/>
  <c r="AQ179" i="4"/>
  <c r="H167" i="7" s="1"/>
  <c r="AP179" i="4"/>
  <c r="G167" i="7" s="1"/>
  <c r="AO179" i="4"/>
  <c r="F167" i="7" s="1"/>
  <c r="AN179" i="4"/>
  <c r="E167" i="7" s="1"/>
  <c r="AM179" i="4"/>
  <c r="D167" i="7" s="1"/>
  <c r="AQ180" i="4"/>
  <c r="H168" i="7" s="1"/>
  <c r="AP180" i="4"/>
  <c r="G168" i="7" s="1"/>
  <c r="AO180" i="4"/>
  <c r="F168" i="7" s="1"/>
  <c r="AN180" i="4"/>
  <c r="E168" i="7" s="1"/>
  <c r="AM180" i="4"/>
  <c r="D168" i="7" s="1"/>
  <c r="AQ181" i="4"/>
  <c r="H169" i="7" s="1"/>
  <c r="AP181" i="4"/>
  <c r="G169" i="7" s="1"/>
  <c r="AO181" i="4"/>
  <c r="F169" i="7" s="1"/>
  <c r="AN181" i="4"/>
  <c r="E169" i="7" s="1"/>
  <c r="AM181" i="4"/>
  <c r="D169" i="7" s="1"/>
  <c r="AQ182" i="4"/>
  <c r="H170" i="7" s="1"/>
  <c r="AP182" i="4"/>
  <c r="G170" i="7" s="1"/>
  <c r="AO182" i="4"/>
  <c r="F170" i="7" s="1"/>
  <c r="AN182" i="4"/>
  <c r="E170" i="7" s="1"/>
  <c r="AM182" i="4"/>
  <c r="D170" i="7" s="1"/>
  <c r="AQ183" i="4"/>
  <c r="H171" i="7" s="1"/>
  <c r="AP183" i="4"/>
  <c r="G171" i="7" s="1"/>
  <c r="AO183" i="4"/>
  <c r="F171" i="7" s="1"/>
  <c r="AN183" i="4"/>
  <c r="E171" i="7" s="1"/>
  <c r="AM183" i="4"/>
  <c r="D171" i="7" s="1"/>
  <c r="AQ184" i="4"/>
  <c r="H172" i="7" s="1"/>
  <c r="AP184" i="4"/>
  <c r="G172" i="7" s="1"/>
  <c r="AO184" i="4"/>
  <c r="F172" i="7" s="1"/>
  <c r="AN184" i="4"/>
  <c r="E172" i="7" s="1"/>
  <c r="AM184" i="4"/>
  <c r="D172" i="7" s="1"/>
  <c r="AQ185" i="4"/>
  <c r="H173" i="7" s="1"/>
  <c r="AP185" i="4"/>
  <c r="G173" i="7" s="1"/>
  <c r="AO185" i="4"/>
  <c r="F173" i="7" s="1"/>
  <c r="AN185" i="4"/>
  <c r="E173" i="7" s="1"/>
  <c r="AM185" i="4"/>
  <c r="D173" i="7" s="1"/>
  <c r="AQ186" i="4"/>
  <c r="H174" i="7" s="1"/>
  <c r="AP186" i="4"/>
  <c r="G174" i="7" s="1"/>
  <c r="AO186" i="4"/>
  <c r="F174" i="7" s="1"/>
  <c r="AN186" i="4"/>
  <c r="E174" i="7" s="1"/>
  <c r="AM186" i="4"/>
  <c r="D174" i="7" s="1"/>
  <c r="AQ187" i="4"/>
  <c r="H175" i="7" s="1"/>
  <c r="AP187" i="4"/>
  <c r="G175" i="7" s="1"/>
  <c r="AO187" i="4"/>
  <c r="F175" i="7" s="1"/>
  <c r="AN187" i="4"/>
  <c r="E175" i="7" s="1"/>
  <c r="AM187" i="4"/>
  <c r="D175" i="7" s="1"/>
  <c r="AQ188" i="4"/>
  <c r="H176" i="7" s="1"/>
  <c r="AP188" i="4"/>
  <c r="G176" i="7" s="1"/>
  <c r="AO188" i="4"/>
  <c r="F176" i="7" s="1"/>
  <c r="AN188" i="4"/>
  <c r="E176" i="7" s="1"/>
  <c r="AM188" i="4"/>
  <c r="D176" i="7" s="1"/>
  <c r="AQ189" i="4"/>
  <c r="H177" i="7" s="1"/>
  <c r="AP189" i="4"/>
  <c r="G177" i="7" s="1"/>
  <c r="AO189" i="4"/>
  <c r="F177" i="7" s="1"/>
  <c r="AN189" i="4"/>
  <c r="E177" i="7" s="1"/>
  <c r="AM189" i="4"/>
  <c r="D177" i="7" s="1"/>
  <c r="AQ190" i="4"/>
  <c r="AP190" i="4"/>
  <c r="AO190" i="4"/>
  <c r="AN190" i="4"/>
  <c r="AM190" i="4"/>
  <c r="AQ191" i="4"/>
  <c r="AP191" i="4"/>
  <c r="AO191" i="4"/>
  <c r="AN191" i="4"/>
  <c r="AM191" i="4"/>
  <c r="AQ192" i="4"/>
  <c r="AP192" i="4"/>
  <c r="AO192" i="4"/>
  <c r="AN192" i="4"/>
  <c r="AM192" i="4"/>
  <c r="AQ193" i="4"/>
  <c r="H143" i="7" s="1"/>
  <c r="AP193" i="4"/>
  <c r="G143" i="7" s="1"/>
  <c r="AO193" i="4"/>
  <c r="F143" i="7" s="1"/>
  <c r="AN193" i="4"/>
  <c r="E143" i="7" s="1"/>
  <c r="AM193" i="4"/>
  <c r="D143" i="7" s="1"/>
  <c r="AQ194" i="4"/>
  <c r="H144" i="7" s="1"/>
  <c r="AP194" i="4"/>
  <c r="G144" i="7" s="1"/>
  <c r="AO194" i="4"/>
  <c r="F144" i="7" s="1"/>
  <c r="AN194" i="4"/>
  <c r="E144" i="7" s="1"/>
  <c r="AM194" i="4"/>
  <c r="D144" i="7" s="1"/>
  <c r="AQ195" i="4"/>
  <c r="H145" i="7" s="1"/>
  <c r="AP195" i="4"/>
  <c r="G145" i="7" s="1"/>
  <c r="AO195" i="4"/>
  <c r="F145" i="7" s="1"/>
  <c r="AN195" i="4"/>
  <c r="E145" i="7" s="1"/>
  <c r="AM195" i="4"/>
  <c r="D145" i="7" s="1"/>
  <c r="AQ196" i="4"/>
  <c r="H146" i="7" s="1"/>
  <c r="AP196" i="4"/>
  <c r="G146" i="7" s="1"/>
  <c r="AO196" i="4"/>
  <c r="F146" i="7" s="1"/>
  <c r="AN196" i="4"/>
  <c r="E146" i="7" s="1"/>
  <c r="AM196" i="4"/>
  <c r="D146" i="7" s="1"/>
  <c r="AQ197" i="4"/>
  <c r="H147" i="7" s="1"/>
  <c r="AP197" i="4"/>
  <c r="G147" i="7" s="1"/>
  <c r="AO197" i="4"/>
  <c r="F147" i="7" s="1"/>
  <c r="AN197" i="4"/>
  <c r="E147" i="7" s="1"/>
  <c r="AM197" i="4"/>
  <c r="D147" i="7" s="1"/>
  <c r="AQ198" i="4"/>
  <c r="AP198" i="4"/>
  <c r="AO198" i="4"/>
  <c r="AN198" i="4"/>
  <c r="AM198" i="4"/>
  <c r="AQ199" i="4"/>
  <c r="H148" i="7" s="1"/>
  <c r="AP199" i="4"/>
  <c r="G148" i="7" s="1"/>
  <c r="AO199" i="4"/>
  <c r="F148" i="7" s="1"/>
  <c r="AN199" i="4"/>
  <c r="E148" i="7" s="1"/>
  <c r="AM199" i="4"/>
  <c r="D148" i="7" s="1"/>
  <c r="AQ200" i="4"/>
  <c r="H149" i="7" s="1"/>
  <c r="AP200" i="4"/>
  <c r="G149" i="7" s="1"/>
  <c r="AO200" i="4"/>
  <c r="F149" i="7" s="1"/>
  <c r="AN200" i="4"/>
  <c r="E149" i="7" s="1"/>
  <c r="AM200" i="4"/>
  <c r="D149" i="7" s="1"/>
  <c r="AQ201" i="4"/>
  <c r="H150" i="7" s="1"/>
  <c r="AP201" i="4"/>
  <c r="G150" i="7" s="1"/>
  <c r="AO201" i="4"/>
  <c r="F150" i="7" s="1"/>
  <c r="AN201" i="4"/>
  <c r="E150" i="7" s="1"/>
  <c r="AM201" i="4"/>
  <c r="D150" i="7" s="1"/>
  <c r="AQ202" i="4"/>
  <c r="H151" i="7" s="1"/>
  <c r="AP202" i="4"/>
  <c r="G151" i="7" s="1"/>
  <c r="AO202" i="4"/>
  <c r="F151" i="7" s="1"/>
  <c r="AN202" i="4"/>
  <c r="E151" i="7" s="1"/>
  <c r="AM202" i="4"/>
  <c r="D151" i="7" s="1"/>
  <c r="AQ203" i="4"/>
  <c r="AP203" i="4"/>
  <c r="AO203" i="4"/>
  <c r="AN203" i="4"/>
  <c r="AM203" i="4"/>
  <c r="AQ204" i="4"/>
  <c r="H152" i="7" s="1"/>
  <c r="AP204" i="4"/>
  <c r="G152" i="7" s="1"/>
  <c r="AO204" i="4"/>
  <c r="F152" i="7" s="1"/>
  <c r="AN204" i="4"/>
  <c r="E152" i="7" s="1"/>
  <c r="AM204" i="4"/>
  <c r="D152" i="7" s="1"/>
  <c r="AQ205" i="4"/>
  <c r="H153" i="7" s="1"/>
  <c r="AP205" i="4"/>
  <c r="G153" i="7" s="1"/>
  <c r="AO205" i="4"/>
  <c r="F153" i="7" s="1"/>
  <c r="AN205" i="4"/>
  <c r="E153" i="7" s="1"/>
  <c r="AM205" i="4"/>
  <c r="D153" i="7" s="1"/>
  <c r="AQ206" i="4"/>
  <c r="H154" i="7" s="1"/>
  <c r="AP206" i="4"/>
  <c r="G154" i="7" s="1"/>
  <c r="AO206" i="4"/>
  <c r="F154" i="7" s="1"/>
  <c r="AN206" i="4"/>
  <c r="E154" i="7" s="1"/>
  <c r="AM206" i="4"/>
  <c r="D154" i="7" s="1"/>
  <c r="AQ207" i="4"/>
  <c r="H155" i="7" s="1"/>
  <c r="AP207" i="4"/>
  <c r="G155" i="7" s="1"/>
  <c r="AO207" i="4"/>
  <c r="F155" i="7" s="1"/>
  <c r="AN207" i="4"/>
  <c r="E155" i="7" s="1"/>
  <c r="AM207" i="4"/>
  <c r="D155" i="7" s="1"/>
  <c r="AQ208" i="4"/>
  <c r="H156" i="7" s="1"/>
  <c r="AP208" i="4"/>
  <c r="G156" i="7" s="1"/>
  <c r="AO208" i="4"/>
  <c r="F156" i="7" s="1"/>
  <c r="AN208" i="4"/>
  <c r="E156" i="7" s="1"/>
  <c r="AM208" i="4"/>
  <c r="D156" i="7" s="1"/>
  <c r="AQ209" i="4"/>
  <c r="H157" i="7" s="1"/>
  <c r="AP209" i="4"/>
  <c r="G157" i="7" s="1"/>
  <c r="AO209" i="4"/>
  <c r="F157" i="7" s="1"/>
  <c r="AN209" i="4"/>
  <c r="E157" i="7" s="1"/>
  <c r="AM209" i="4"/>
  <c r="D157" i="7" s="1"/>
  <c r="AQ210" i="4"/>
  <c r="AP210" i="4"/>
  <c r="AO210" i="4"/>
  <c r="AN210" i="4"/>
  <c r="AM210" i="4"/>
  <c r="AQ211" i="4"/>
  <c r="AP211" i="4"/>
  <c r="AO211" i="4"/>
  <c r="AN211" i="4"/>
  <c r="AM211" i="4"/>
  <c r="AQ212" i="4"/>
  <c r="AP212" i="4"/>
  <c r="AO212" i="4"/>
  <c r="AN212" i="4"/>
  <c r="AM212" i="4"/>
  <c r="AQ213" i="4"/>
  <c r="AP213" i="4"/>
  <c r="AO213" i="4"/>
  <c r="AN213" i="4"/>
  <c r="AM213" i="4"/>
  <c r="AQ214" i="4"/>
  <c r="AP214" i="4"/>
  <c r="AO214" i="4"/>
  <c r="AN214" i="4"/>
  <c r="AM214" i="4"/>
  <c r="AQ215" i="4"/>
  <c r="AP215" i="4"/>
  <c r="AO215" i="4"/>
  <c r="AN215" i="4"/>
  <c r="AM215" i="4"/>
  <c r="AQ216" i="4"/>
  <c r="AP216" i="4"/>
  <c r="AO216" i="4"/>
  <c r="AN216" i="4"/>
  <c r="AM216" i="4"/>
  <c r="AQ217" i="4"/>
  <c r="AP217" i="4"/>
  <c r="AO217" i="4"/>
  <c r="AN217" i="4"/>
  <c r="AM217" i="4"/>
  <c r="AQ218" i="4"/>
  <c r="AP218" i="4"/>
  <c r="AO218" i="4"/>
  <c r="AN218" i="4"/>
  <c r="AM218" i="4"/>
  <c r="AQ219" i="4"/>
  <c r="AP219" i="4"/>
  <c r="AO219" i="4"/>
  <c r="AN219" i="4"/>
  <c r="AM219" i="4"/>
  <c r="AQ220" i="4"/>
  <c r="AP220" i="4"/>
  <c r="AO220" i="4"/>
  <c r="AN220" i="4"/>
  <c r="AM220" i="4"/>
  <c r="AQ221" i="4"/>
  <c r="AP221" i="4"/>
  <c r="AO221" i="4"/>
  <c r="AN221" i="4"/>
  <c r="AM221" i="4"/>
  <c r="AQ222" i="4"/>
  <c r="H158" i="7" s="1"/>
  <c r="AP222" i="4"/>
  <c r="G158" i="7" s="1"/>
  <c r="AO222" i="4"/>
  <c r="F158" i="7" s="1"/>
  <c r="AN222" i="4"/>
  <c r="E158" i="7" s="1"/>
  <c r="AM222" i="4"/>
  <c r="D158" i="7" s="1"/>
  <c r="BT222" i="4"/>
  <c r="AQ223" i="4"/>
  <c r="AP223" i="4"/>
  <c r="AO223" i="4"/>
  <c r="AN223" i="4"/>
  <c r="AM223" i="4"/>
  <c r="AQ224" i="4"/>
  <c r="H159" i="7" s="1"/>
  <c r="AP224" i="4"/>
  <c r="G159" i="7" s="1"/>
  <c r="AO224" i="4"/>
  <c r="F159" i="7" s="1"/>
  <c r="AN224" i="4"/>
  <c r="E159" i="7" s="1"/>
  <c r="AM224" i="4"/>
  <c r="D159" i="7" s="1"/>
  <c r="AQ225" i="4"/>
  <c r="H160" i="7" s="1"/>
  <c r="AP225" i="4"/>
  <c r="G160" i="7" s="1"/>
  <c r="AO225" i="4"/>
  <c r="F160" i="7" s="1"/>
  <c r="AN225" i="4"/>
  <c r="E160" i="7" s="1"/>
  <c r="AM225" i="4"/>
  <c r="D160" i="7" s="1"/>
  <c r="AQ226" i="4"/>
  <c r="AP226" i="4"/>
  <c r="AO226" i="4"/>
  <c r="AN226" i="4"/>
  <c r="AM226" i="4"/>
  <c r="AQ227" i="4"/>
  <c r="H161" i="7" s="1"/>
  <c r="AP227" i="4"/>
  <c r="G161" i="7" s="1"/>
  <c r="AO227" i="4"/>
  <c r="F161" i="7" s="1"/>
  <c r="AN227" i="4"/>
  <c r="E161" i="7" s="1"/>
  <c r="AM227" i="4"/>
  <c r="D161" i="7" s="1"/>
  <c r="AQ228" i="4"/>
  <c r="H162" i="7" s="1"/>
  <c r="AP228" i="4"/>
  <c r="G162" i="7" s="1"/>
  <c r="AO228" i="4"/>
  <c r="F162" i="7" s="1"/>
  <c r="AN228" i="4"/>
  <c r="E162" i="7" s="1"/>
  <c r="AM228" i="4"/>
  <c r="D162" i="7" s="1"/>
  <c r="AQ229" i="4"/>
  <c r="AP229" i="4"/>
  <c r="AO229" i="4"/>
  <c r="AN229" i="4"/>
  <c r="AM229" i="4"/>
  <c r="AQ230" i="4"/>
  <c r="H5" i="7" s="1"/>
  <c r="AP230" i="4"/>
  <c r="G5" i="7" s="1"/>
  <c r="AO230" i="4"/>
  <c r="F5" i="7" s="1"/>
  <c r="AN230" i="4"/>
  <c r="E5" i="7" s="1"/>
  <c r="AM230" i="4"/>
  <c r="D5" i="7" s="1"/>
  <c r="AQ231" i="4"/>
  <c r="AP231" i="4"/>
  <c r="AO231" i="4"/>
  <c r="AN231" i="4"/>
  <c r="AM231" i="4"/>
  <c r="AQ232" i="4"/>
  <c r="H6" i="7" s="1"/>
  <c r="AP232" i="4"/>
  <c r="G6" i="7" s="1"/>
  <c r="AO232" i="4"/>
  <c r="F6" i="7" s="1"/>
  <c r="AN232" i="4"/>
  <c r="E6" i="7" s="1"/>
  <c r="AM232" i="4"/>
  <c r="D6" i="7" s="1"/>
  <c r="AQ233" i="4"/>
  <c r="H7" i="7" s="1"/>
  <c r="AP233" i="4"/>
  <c r="G7" i="7" s="1"/>
  <c r="AO233" i="4"/>
  <c r="F7" i="7" s="1"/>
  <c r="AN233" i="4"/>
  <c r="E7" i="7" s="1"/>
  <c r="AM233" i="4"/>
  <c r="D7" i="7" s="1"/>
  <c r="AQ234" i="4"/>
  <c r="AP234" i="4"/>
  <c r="AO234" i="4"/>
  <c r="AN234" i="4"/>
  <c r="AM234" i="4"/>
  <c r="AQ235" i="4"/>
  <c r="H8" i="7" s="1"/>
  <c r="AP235" i="4"/>
  <c r="G8" i="7" s="1"/>
  <c r="AO235" i="4"/>
  <c r="F8" i="7" s="1"/>
  <c r="AN235" i="4"/>
  <c r="E8" i="7" s="1"/>
  <c r="AM235" i="4"/>
  <c r="D8" i="7" s="1"/>
  <c r="AQ236" i="4"/>
  <c r="H9" i="7" s="1"/>
  <c r="AP236" i="4"/>
  <c r="G9" i="7" s="1"/>
  <c r="AO236" i="4"/>
  <c r="F9" i="7" s="1"/>
  <c r="AN236" i="4"/>
  <c r="E9" i="7" s="1"/>
  <c r="AM236" i="4"/>
  <c r="D9" i="7" s="1"/>
  <c r="AQ237" i="4"/>
  <c r="H10" i="7" s="1"/>
  <c r="AP237" i="4"/>
  <c r="G10" i="7" s="1"/>
  <c r="AO237" i="4"/>
  <c r="F10" i="7" s="1"/>
  <c r="AN237" i="4"/>
  <c r="E10" i="7" s="1"/>
  <c r="AM237" i="4"/>
  <c r="D10" i="7" s="1"/>
  <c r="AQ238" i="4"/>
  <c r="AP238" i="4"/>
  <c r="AO238" i="4"/>
  <c r="AN238" i="4"/>
  <c r="AM238" i="4"/>
  <c r="AQ239" i="4"/>
  <c r="H11" i="7" s="1"/>
  <c r="AP239" i="4"/>
  <c r="G11" i="7" s="1"/>
  <c r="AO239" i="4"/>
  <c r="F11" i="7" s="1"/>
  <c r="AN239" i="4"/>
  <c r="E11" i="7" s="1"/>
  <c r="AM239" i="4"/>
  <c r="D11" i="7" s="1"/>
  <c r="AQ240" i="4"/>
  <c r="H12" i="7" s="1"/>
  <c r="AP240" i="4"/>
  <c r="G12" i="7" s="1"/>
  <c r="AO240" i="4"/>
  <c r="F12" i="7" s="1"/>
  <c r="AN240" i="4"/>
  <c r="E12" i="7" s="1"/>
  <c r="AM240" i="4"/>
  <c r="D12" i="7" s="1"/>
  <c r="AQ241" i="4"/>
  <c r="H13" i="7" s="1"/>
  <c r="AP241" i="4"/>
  <c r="G13" i="7" s="1"/>
  <c r="AO241" i="4"/>
  <c r="F13" i="7" s="1"/>
  <c r="AN241" i="4"/>
  <c r="E13" i="7" s="1"/>
  <c r="AM241" i="4"/>
  <c r="D13" i="7" s="1"/>
  <c r="AQ242" i="4"/>
  <c r="H14" i="7" s="1"/>
  <c r="AP242" i="4"/>
  <c r="G14" i="7" s="1"/>
  <c r="AO242" i="4"/>
  <c r="F14" i="7" s="1"/>
  <c r="AN242" i="4"/>
  <c r="E14" i="7" s="1"/>
  <c r="AM242" i="4"/>
  <c r="D14" i="7" s="1"/>
  <c r="AQ243" i="4"/>
  <c r="AP243" i="4"/>
  <c r="AO243" i="4"/>
  <c r="AN243" i="4"/>
  <c r="AM243" i="4"/>
  <c r="AQ244" i="4"/>
  <c r="H15" i="7" s="1"/>
  <c r="AP244" i="4"/>
  <c r="G15" i="7" s="1"/>
  <c r="AO244" i="4"/>
  <c r="F15" i="7" s="1"/>
  <c r="AN244" i="4"/>
  <c r="E15" i="7" s="1"/>
  <c r="AM244" i="4"/>
  <c r="D15" i="7" s="1"/>
  <c r="AQ245" i="4"/>
  <c r="AP245" i="4"/>
  <c r="AO245" i="4"/>
  <c r="AN245" i="4"/>
  <c r="AM245" i="4"/>
  <c r="AQ246" i="4"/>
  <c r="H16" i="7" s="1"/>
  <c r="AP246" i="4"/>
  <c r="G16" i="7" s="1"/>
  <c r="AO246" i="4"/>
  <c r="F16" i="7" s="1"/>
  <c r="AN246" i="4"/>
  <c r="E16" i="7" s="1"/>
  <c r="AM246" i="4"/>
  <c r="D16" i="7" s="1"/>
  <c r="AQ247" i="4"/>
  <c r="H17" i="7" s="1"/>
  <c r="AP247" i="4"/>
  <c r="G17" i="7" s="1"/>
  <c r="AO247" i="4"/>
  <c r="F17" i="7" s="1"/>
  <c r="AN247" i="4"/>
  <c r="E17" i="7" s="1"/>
  <c r="AM247" i="4"/>
  <c r="D17" i="7" s="1"/>
  <c r="AQ248" i="4"/>
  <c r="H18" i="7" s="1"/>
  <c r="AP248" i="4"/>
  <c r="G18" i="7" s="1"/>
  <c r="AO248" i="4"/>
  <c r="F18" i="7" s="1"/>
  <c r="AN248" i="4"/>
  <c r="E18" i="7" s="1"/>
  <c r="AM248" i="4"/>
  <c r="D18" i="7" s="1"/>
  <c r="AQ249" i="4"/>
  <c r="H19" i="7" s="1"/>
  <c r="AP249" i="4"/>
  <c r="G19" i="7" s="1"/>
  <c r="AO249" i="4"/>
  <c r="F19" i="7" s="1"/>
  <c r="AN249" i="4"/>
  <c r="E19" i="7" s="1"/>
  <c r="AM249" i="4"/>
  <c r="D19" i="7" s="1"/>
  <c r="AQ250" i="4"/>
  <c r="H20" i="7" s="1"/>
  <c r="AP250" i="4"/>
  <c r="G20" i="7" s="1"/>
  <c r="AO250" i="4"/>
  <c r="F20" i="7" s="1"/>
  <c r="AN250" i="4"/>
  <c r="E20" i="7" s="1"/>
  <c r="AM250" i="4"/>
  <c r="D20" i="7" s="1"/>
  <c r="AQ251" i="4"/>
  <c r="H21" i="7" s="1"/>
  <c r="AP251" i="4"/>
  <c r="G21" i="7" s="1"/>
  <c r="AO251" i="4"/>
  <c r="F21" i="7" s="1"/>
  <c r="AN251" i="4"/>
  <c r="E21" i="7" s="1"/>
  <c r="AM251" i="4"/>
  <c r="D21" i="7" s="1"/>
  <c r="AQ252" i="4"/>
  <c r="H22" i="7" s="1"/>
  <c r="AP252" i="4"/>
  <c r="G22" i="7" s="1"/>
  <c r="AO252" i="4"/>
  <c r="F22" i="7" s="1"/>
  <c r="AN252" i="4"/>
  <c r="E22" i="7" s="1"/>
  <c r="AM252" i="4"/>
  <c r="D22" i="7" s="1"/>
  <c r="AQ253" i="4"/>
  <c r="H23" i="7" s="1"/>
  <c r="AP253" i="4"/>
  <c r="G23" i="7" s="1"/>
  <c r="AO253" i="4"/>
  <c r="F23" i="7" s="1"/>
  <c r="AN253" i="4"/>
  <c r="E23" i="7" s="1"/>
  <c r="AM253" i="4"/>
  <c r="D23" i="7" s="1"/>
  <c r="AQ254" i="4"/>
  <c r="H24" i="7" s="1"/>
  <c r="AP254" i="4"/>
  <c r="G24" i="7" s="1"/>
  <c r="AO254" i="4"/>
  <c r="F24" i="7" s="1"/>
  <c r="AN254" i="4"/>
  <c r="E24" i="7" s="1"/>
  <c r="AM254" i="4"/>
  <c r="D24" i="7" s="1"/>
  <c r="AQ255" i="4"/>
  <c r="H25" i="7" s="1"/>
  <c r="AP255" i="4"/>
  <c r="G25" i="7" s="1"/>
  <c r="AO255" i="4"/>
  <c r="F25" i="7" s="1"/>
  <c r="AN255" i="4"/>
  <c r="E25" i="7" s="1"/>
  <c r="AM255" i="4"/>
  <c r="D25" i="7" s="1"/>
  <c r="AQ256" i="4"/>
  <c r="H26" i="7" s="1"/>
  <c r="AP256" i="4"/>
  <c r="G26" i="7" s="1"/>
  <c r="AO256" i="4"/>
  <c r="F26" i="7" s="1"/>
  <c r="AN256" i="4"/>
  <c r="E26" i="7" s="1"/>
  <c r="AM256" i="4"/>
  <c r="D26" i="7" s="1"/>
  <c r="AQ257" i="4"/>
  <c r="H27" i="7" s="1"/>
  <c r="AP257" i="4"/>
  <c r="G27" i="7" s="1"/>
  <c r="AO257" i="4"/>
  <c r="F27" i="7" s="1"/>
  <c r="AN257" i="4"/>
  <c r="E27" i="7" s="1"/>
  <c r="AM257" i="4"/>
  <c r="D27" i="7" s="1"/>
  <c r="AQ258" i="4"/>
  <c r="H28" i="7" s="1"/>
  <c r="AP258" i="4"/>
  <c r="G28" i="7" s="1"/>
  <c r="AO258" i="4"/>
  <c r="F28" i="7" s="1"/>
  <c r="AN258" i="4"/>
  <c r="E28" i="7" s="1"/>
  <c r="AM258" i="4"/>
  <c r="D28" i="7" s="1"/>
  <c r="AQ259" i="4"/>
  <c r="H29" i="7" s="1"/>
  <c r="AP259" i="4"/>
  <c r="G29" i="7" s="1"/>
  <c r="AO259" i="4"/>
  <c r="F29" i="7" s="1"/>
  <c r="AN259" i="4"/>
  <c r="E29" i="7" s="1"/>
  <c r="AM259" i="4"/>
  <c r="D29" i="7" s="1"/>
  <c r="AQ260" i="4"/>
  <c r="H30" i="7" s="1"/>
  <c r="AP260" i="4"/>
  <c r="G30" i="7" s="1"/>
  <c r="AO260" i="4"/>
  <c r="F30" i="7" s="1"/>
  <c r="AN260" i="4"/>
  <c r="E30" i="7" s="1"/>
  <c r="AM260" i="4"/>
  <c r="D30" i="7" s="1"/>
  <c r="AQ261" i="4"/>
  <c r="H31" i="7" s="1"/>
  <c r="AP261" i="4"/>
  <c r="G31" i="7" s="1"/>
  <c r="AO261" i="4"/>
  <c r="F31" i="7" s="1"/>
  <c r="AN261" i="4"/>
  <c r="E31" i="7" s="1"/>
  <c r="AM261" i="4"/>
  <c r="D31" i="7" s="1"/>
  <c r="AQ262" i="4"/>
  <c r="H32" i="7" s="1"/>
  <c r="AP262" i="4"/>
  <c r="G32" i="7" s="1"/>
  <c r="AO262" i="4"/>
  <c r="F32" i="7" s="1"/>
  <c r="AN262" i="4"/>
  <c r="E32" i="7" s="1"/>
  <c r="AM262" i="4"/>
  <c r="D32" i="7" s="1"/>
  <c r="AQ263" i="4"/>
  <c r="H33" i="7" s="1"/>
  <c r="AP263" i="4"/>
  <c r="G33" i="7" s="1"/>
  <c r="AO263" i="4"/>
  <c r="F33" i="7" s="1"/>
  <c r="AN263" i="4"/>
  <c r="E33" i="7" s="1"/>
  <c r="AM263" i="4"/>
  <c r="D33" i="7" s="1"/>
  <c r="AQ264" i="4"/>
  <c r="H34" i="7" s="1"/>
  <c r="AP264" i="4"/>
  <c r="G34" i="7" s="1"/>
  <c r="AO264" i="4"/>
  <c r="F34" i="7" s="1"/>
  <c r="AN264" i="4"/>
  <c r="E34" i="7" s="1"/>
  <c r="AM264" i="4"/>
  <c r="D34" i="7" s="1"/>
  <c r="AQ265" i="4"/>
  <c r="H35" i="7" s="1"/>
  <c r="AP265" i="4"/>
  <c r="G35" i="7" s="1"/>
  <c r="AO265" i="4"/>
  <c r="F35" i="7" s="1"/>
  <c r="AN265" i="4"/>
  <c r="E35" i="7" s="1"/>
  <c r="AM265" i="4"/>
  <c r="D35" i="7" s="1"/>
  <c r="AQ266" i="4"/>
  <c r="H36" i="7" s="1"/>
  <c r="AP266" i="4"/>
  <c r="G36" i="7" s="1"/>
  <c r="AO266" i="4"/>
  <c r="F36" i="7" s="1"/>
  <c r="AN266" i="4"/>
  <c r="E36" i="7" s="1"/>
  <c r="AM266" i="4"/>
  <c r="D36" i="7" s="1"/>
  <c r="AQ267" i="4"/>
  <c r="H37" i="7" s="1"/>
  <c r="AP267" i="4"/>
  <c r="G37" i="7" s="1"/>
  <c r="AO267" i="4"/>
  <c r="F37" i="7" s="1"/>
  <c r="AN267" i="4"/>
  <c r="E37" i="7" s="1"/>
  <c r="AM267" i="4"/>
  <c r="D37" i="7" s="1"/>
  <c r="AQ268" i="4"/>
  <c r="H38" i="7" s="1"/>
  <c r="AP268" i="4"/>
  <c r="G38" i="7" s="1"/>
  <c r="AO268" i="4"/>
  <c r="F38" i="7" s="1"/>
  <c r="AN268" i="4"/>
  <c r="E38" i="7" s="1"/>
  <c r="AM268" i="4"/>
  <c r="D38" i="7" s="1"/>
  <c r="AQ269" i="4"/>
  <c r="H39" i="7" s="1"/>
  <c r="AP269" i="4"/>
  <c r="G39" i="7" s="1"/>
  <c r="AO269" i="4"/>
  <c r="F39" i="7" s="1"/>
  <c r="AN269" i="4"/>
  <c r="E39" i="7" s="1"/>
  <c r="AM269" i="4"/>
  <c r="D39" i="7" s="1"/>
  <c r="AQ270" i="4"/>
  <c r="H40" i="7" s="1"/>
  <c r="AP270" i="4"/>
  <c r="G40" i="7" s="1"/>
  <c r="AO270" i="4"/>
  <c r="F40" i="7" s="1"/>
  <c r="AN270" i="4"/>
  <c r="E40" i="7" s="1"/>
  <c r="AM270" i="4"/>
  <c r="D40" i="7" s="1"/>
  <c r="AQ271" i="4"/>
  <c r="H41" i="7" s="1"/>
  <c r="AP271" i="4"/>
  <c r="G41" i="7" s="1"/>
  <c r="AO271" i="4"/>
  <c r="F41" i="7" s="1"/>
  <c r="AN271" i="4"/>
  <c r="E41" i="7" s="1"/>
  <c r="AM271" i="4"/>
  <c r="D41" i="7" s="1"/>
  <c r="AQ272" i="4"/>
  <c r="H42" i="7" s="1"/>
  <c r="AP272" i="4"/>
  <c r="G42" i="7" s="1"/>
  <c r="AO272" i="4"/>
  <c r="F42" i="7" s="1"/>
  <c r="AN272" i="4"/>
  <c r="E42" i="7" s="1"/>
  <c r="AM272" i="4"/>
  <c r="D42" i="7" s="1"/>
  <c r="AQ273" i="4"/>
  <c r="H43" i="7" s="1"/>
  <c r="AP273" i="4"/>
  <c r="G43" i="7" s="1"/>
  <c r="AO273" i="4"/>
  <c r="F43" i="7" s="1"/>
  <c r="AN273" i="4"/>
  <c r="E43" i="7" s="1"/>
  <c r="AM273" i="4"/>
  <c r="D43" i="7" s="1"/>
  <c r="AQ274" i="4"/>
  <c r="AP274" i="4"/>
  <c r="AO274" i="4"/>
  <c r="AN274" i="4"/>
  <c r="AM274" i="4"/>
  <c r="BT274" i="4"/>
  <c r="AQ275" i="4"/>
  <c r="AP275" i="4"/>
  <c r="AO275" i="4"/>
  <c r="AN275" i="4"/>
  <c r="AM275" i="4"/>
  <c r="AQ276" i="4"/>
  <c r="AP276" i="4"/>
  <c r="AO276" i="4"/>
  <c r="AN276" i="4"/>
  <c r="AM276" i="4"/>
  <c r="AQ277" i="4"/>
  <c r="H44" i="7" s="1"/>
  <c r="AP277" i="4"/>
  <c r="G44" i="7" s="1"/>
  <c r="AO277" i="4"/>
  <c r="F44" i="7" s="1"/>
  <c r="AN277" i="4"/>
  <c r="E44" i="7" s="1"/>
  <c r="AM277" i="4"/>
  <c r="D44" i="7" s="1"/>
  <c r="AQ278" i="4"/>
  <c r="H45" i="7" s="1"/>
  <c r="AP278" i="4"/>
  <c r="G45" i="7" s="1"/>
  <c r="AO278" i="4"/>
  <c r="F45" i="7" s="1"/>
  <c r="AN278" i="4"/>
  <c r="E45" i="7" s="1"/>
  <c r="AM278" i="4"/>
  <c r="D45" i="7" s="1"/>
  <c r="AQ279" i="4"/>
  <c r="H46" i="7" s="1"/>
  <c r="AP279" i="4"/>
  <c r="G46" i="7" s="1"/>
  <c r="AO279" i="4"/>
  <c r="F46" i="7" s="1"/>
  <c r="AN279" i="4"/>
  <c r="E46" i="7" s="1"/>
  <c r="AM279" i="4"/>
  <c r="D46" i="7" s="1"/>
  <c r="AQ280" i="4"/>
  <c r="AP280" i="4"/>
  <c r="AO280" i="4"/>
  <c r="AN280" i="4"/>
  <c r="AM280" i="4"/>
  <c r="AQ281" i="4"/>
  <c r="AP281" i="4"/>
  <c r="AO281" i="4"/>
  <c r="AN281" i="4"/>
  <c r="AM281" i="4"/>
  <c r="AQ282" i="4"/>
  <c r="AP282" i="4"/>
  <c r="AO282" i="4"/>
  <c r="AN282" i="4"/>
  <c r="AM282" i="4"/>
  <c r="AQ283" i="4"/>
  <c r="H47" i="7" s="1"/>
  <c r="AP283" i="4"/>
  <c r="G47" i="7" s="1"/>
  <c r="AO283" i="4"/>
  <c r="F47" i="7" s="1"/>
  <c r="AN283" i="4"/>
  <c r="E47" i="7" s="1"/>
  <c r="AM283" i="4"/>
  <c r="D47" i="7" s="1"/>
  <c r="AQ284" i="4"/>
  <c r="AP284" i="4"/>
  <c r="AO284" i="4"/>
  <c r="AN284" i="4"/>
  <c r="AM284" i="4"/>
  <c r="AQ285" i="4"/>
  <c r="H48" i="7" s="1"/>
  <c r="AP285" i="4"/>
  <c r="G48" i="7" s="1"/>
  <c r="AO285" i="4"/>
  <c r="F48" i="7" s="1"/>
  <c r="AN285" i="4"/>
  <c r="E48" i="7" s="1"/>
  <c r="AM285" i="4"/>
  <c r="D48" i="7" s="1"/>
  <c r="AQ286" i="4"/>
  <c r="H49" i="7" s="1"/>
  <c r="AP286" i="4"/>
  <c r="G49" i="7" s="1"/>
  <c r="AO286" i="4"/>
  <c r="F49" i="7" s="1"/>
  <c r="AN286" i="4"/>
  <c r="E49" i="7" s="1"/>
  <c r="AM286" i="4"/>
  <c r="D49" i="7" s="1"/>
  <c r="AQ287" i="4"/>
  <c r="H50" i="7" s="1"/>
  <c r="AP287" i="4"/>
  <c r="G50" i="7" s="1"/>
  <c r="AO287" i="4"/>
  <c r="F50" i="7" s="1"/>
  <c r="AN287" i="4"/>
  <c r="E50" i="7" s="1"/>
  <c r="AM287" i="4"/>
  <c r="D50" i="7" s="1"/>
  <c r="AQ288" i="4"/>
  <c r="AP288" i="4"/>
  <c r="AO288" i="4"/>
  <c r="AN288" i="4"/>
  <c r="AM288" i="4"/>
  <c r="AQ289" i="4"/>
  <c r="AP289" i="4"/>
  <c r="AO289" i="4"/>
  <c r="AN289" i="4"/>
  <c r="AM289" i="4"/>
  <c r="AQ290" i="4"/>
  <c r="H51" i="7" s="1"/>
  <c r="AP290" i="4"/>
  <c r="G51" i="7" s="1"/>
  <c r="AO290" i="4"/>
  <c r="F51" i="7" s="1"/>
  <c r="AN290" i="4"/>
  <c r="E51" i="7" s="1"/>
  <c r="AM290" i="4"/>
  <c r="D51" i="7" s="1"/>
  <c r="E1203" i="6"/>
  <c r="E1538" i="6"/>
  <c r="E1208" i="6"/>
  <c r="E1250" i="6"/>
  <c r="E1173" i="6"/>
  <c r="E1506" i="6"/>
  <c r="E1176" i="6"/>
  <c r="E1204" i="6"/>
  <c r="E1562" i="6"/>
  <c r="E1232" i="6"/>
  <c r="E1554" i="6"/>
  <c r="E1224" i="6"/>
  <c r="E1180" i="6"/>
  <c r="E1542" i="6"/>
  <c r="E1212" i="6"/>
  <c r="E1168" i="6"/>
  <c r="E1226" i="6"/>
  <c r="E1500" i="6"/>
  <c r="E1170" i="6"/>
  <c r="E1532" i="6"/>
  <c r="E1202" i="6"/>
  <c r="E1196" i="6"/>
  <c r="E1234" i="6"/>
  <c r="E1206" i="6"/>
  <c r="E1565" i="6"/>
  <c r="E1235" i="6"/>
  <c r="E1529" i="6"/>
  <c r="E1199" i="6"/>
  <c r="E1579" i="6"/>
  <c r="E1249" i="6"/>
  <c r="E1240" i="6"/>
  <c r="E1499" i="6"/>
  <c r="E1169" i="6"/>
  <c r="E1524" i="6"/>
  <c r="E1194" i="6"/>
  <c r="E1518" i="6"/>
  <c r="E1188" i="6"/>
  <c r="E1522" i="6"/>
  <c r="E1192" i="6"/>
  <c r="E1572" i="6"/>
  <c r="E1242" i="6"/>
  <c r="E1575" i="6"/>
  <c r="E1245" i="6"/>
  <c r="E1552" i="6"/>
  <c r="E1222" i="6"/>
  <c r="E1177" i="6"/>
  <c r="E1178" i="6"/>
  <c r="E1559" i="6"/>
  <c r="E1229" i="6"/>
  <c r="E1543" i="6"/>
  <c r="E1213" i="6"/>
  <c r="E1181" i="6"/>
  <c r="E1558" i="6"/>
  <c r="E1228" i="6"/>
  <c r="E1544" i="6"/>
  <c r="E1214" i="6"/>
  <c r="E1217" i="6"/>
  <c r="E1190" i="6"/>
  <c r="E1584" i="6"/>
  <c r="E1254" i="6"/>
  <c r="E1220" i="6"/>
  <c r="E1184" i="6"/>
  <c r="E1546" i="6"/>
  <c r="E1216" i="6"/>
  <c r="E1528" i="6"/>
  <c r="E1198" i="6"/>
  <c r="E1502" i="6"/>
  <c r="E1172" i="6"/>
  <c r="E1539" i="6"/>
  <c r="E1209" i="6"/>
  <c r="E1201" i="6"/>
  <c r="E902" i="6"/>
  <c r="E916" i="6"/>
  <c r="E900" i="6"/>
  <c r="E1221" i="6"/>
  <c r="E884" i="6"/>
  <c r="E868" i="6"/>
  <c r="E1182" i="6"/>
  <c r="E852" i="6"/>
  <c r="E906" i="6"/>
  <c r="E893" i="6"/>
  <c r="E918" i="6"/>
  <c r="E886" i="6"/>
  <c r="E1537" i="6"/>
  <c r="E1207" i="6"/>
  <c r="E870" i="6"/>
  <c r="E854" i="6"/>
  <c r="E922" i="6"/>
  <c r="E1573" i="6"/>
  <c r="E1243" i="6"/>
  <c r="E890" i="6"/>
  <c r="E874" i="6"/>
  <c r="E858" i="6"/>
  <c r="E919" i="6"/>
  <c r="E914" i="6"/>
  <c r="E896" i="6"/>
  <c r="E927" i="6"/>
  <c r="E924" i="6"/>
  <c r="E898" i="6"/>
  <c r="E880" i="6"/>
  <c r="E872" i="6"/>
  <c r="E851" i="6"/>
  <c r="E846" i="6"/>
  <c r="E838" i="6"/>
  <c r="E798" i="6"/>
  <c r="AO798" i="6"/>
  <c r="E911" i="6"/>
  <c r="E908" i="6"/>
  <c r="E882" i="6"/>
  <c r="E864" i="6"/>
  <c r="E843" i="6"/>
  <c r="E926" i="6"/>
  <c r="E921" i="6"/>
  <c r="E915" i="6"/>
  <c r="E869" i="6"/>
  <c r="E863" i="6"/>
  <c r="E860" i="6"/>
  <c r="E850" i="6"/>
  <c r="E1504" i="6"/>
  <c r="E1174" i="6"/>
  <c r="E844" i="6"/>
  <c r="E905" i="6"/>
  <c r="E847" i="6"/>
  <c r="E883" i="6"/>
  <c r="E842" i="6"/>
  <c r="E839" i="6"/>
  <c r="E876" i="6"/>
  <c r="E871" i="6"/>
  <c r="E899" i="6"/>
  <c r="E879" i="6"/>
  <c r="E920" i="6"/>
  <c r="E912" i="6"/>
  <c r="E894" i="6"/>
  <c r="E862" i="6"/>
  <c r="E848" i="6"/>
  <c r="E1555" i="6"/>
  <c r="E1225" i="6"/>
  <c r="E904" i="6"/>
  <c r="E855" i="6"/>
  <c r="E1505" i="6"/>
  <c r="E1175" i="6"/>
  <c r="E840" i="6"/>
  <c r="E887" i="6"/>
  <c r="E878" i="6"/>
  <c r="E910" i="6"/>
  <c r="E866" i="6"/>
  <c r="E892" i="6"/>
  <c r="E873" i="6"/>
  <c r="B1230" i="6"/>
  <c r="S900" i="6"/>
  <c r="AO900" i="6" s="1"/>
  <c r="B1262" i="6"/>
  <c r="S932" i="6"/>
  <c r="AO932" i="6" s="1"/>
  <c r="B1316" i="6"/>
  <c r="S986" i="6"/>
  <c r="AO986" i="6" s="1"/>
  <c r="B1324" i="6"/>
  <c r="S994" i="6"/>
  <c r="AO994" i="6" s="1"/>
  <c r="E508" i="6"/>
  <c r="E509" i="6"/>
  <c r="E510" i="6"/>
  <c r="E511" i="6"/>
  <c r="E512" i="6"/>
  <c r="E513" i="6"/>
  <c r="E514" i="6"/>
  <c r="E845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877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891" i="6"/>
  <c r="E561" i="6"/>
  <c r="E562" i="6"/>
  <c r="E563" i="6"/>
  <c r="E564" i="6"/>
  <c r="E895" i="6"/>
  <c r="E565" i="6"/>
  <c r="E566" i="6"/>
  <c r="E567" i="6"/>
  <c r="E568" i="6"/>
  <c r="E569" i="6"/>
  <c r="E570" i="6"/>
  <c r="E901" i="6"/>
  <c r="E571" i="6"/>
  <c r="E572" i="6"/>
  <c r="E573" i="6"/>
  <c r="E574" i="6"/>
  <c r="E575" i="6"/>
  <c r="E576" i="6"/>
  <c r="E577" i="6"/>
  <c r="E578" i="6"/>
  <c r="E909" i="6"/>
  <c r="E579" i="6"/>
  <c r="E580" i="6"/>
  <c r="E581" i="6"/>
  <c r="E582" i="6"/>
  <c r="E913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O611" i="6"/>
  <c r="D987" i="6"/>
  <c r="O987" i="6" l="1"/>
  <c r="D1317" i="6"/>
  <c r="AO987" i="6"/>
  <c r="B1654" i="6"/>
  <c r="S1324" i="6"/>
  <c r="AO1324" i="6" s="1"/>
  <c r="B1646" i="6"/>
  <c r="S1316" i="6"/>
  <c r="AO1316" i="6" s="1"/>
  <c r="B1592" i="6"/>
  <c r="S1262" i="6"/>
  <c r="AO1262" i="6" s="1"/>
  <c r="S1230" i="6"/>
  <c r="AO1230" i="6" s="1"/>
  <c r="B1560" i="6"/>
  <c r="W51" i="6"/>
  <c r="T51" i="7"/>
  <c r="W213" i="6" s="1"/>
  <c r="AD51" i="7"/>
  <c r="W381" i="6"/>
  <c r="U51" i="7"/>
  <c r="W543" i="6" s="1"/>
  <c r="AE51" i="7"/>
  <c r="W711" i="6"/>
  <c r="V51" i="7"/>
  <c r="W873" i="6" s="1"/>
  <c r="AF51" i="7"/>
  <c r="W1041" i="6"/>
  <c r="W51" i="7"/>
  <c r="W1203" i="6" s="1"/>
  <c r="AG51" i="7"/>
  <c r="X51" i="7"/>
  <c r="W1533" i="6" s="1"/>
  <c r="AH51" i="7"/>
  <c r="W1371" i="6"/>
  <c r="W50" i="6"/>
  <c r="T50" i="7"/>
  <c r="W212" i="6" s="1"/>
  <c r="AD50" i="7"/>
  <c r="W380" i="6"/>
  <c r="U50" i="7"/>
  <c r="W542" i="6" s="1"/>
  <c r="AE50" i="7"/>
  <c r="W710" i="6"/>
  <c r="V50" i="7"/>
  <c r="W872" i="6" s="1"/>
  <c r="AF50" i="7"/>
  <c r="W50" i="7"/>
  <c r="W1202" i="6" s="1"/>
  <c r="AG50" i="7"/>
  <c r="W1040" i="6"/>
  <c r="W1370" i="6"/>
  <c r="X50" i="7"/>
  <c r="W49" i="6"/>
  <c r="T49" i="7"/>
  <c r="AD49" i="7"/>
  <c r="W379" i="6"/>
  <c r="U49" i="7"/>
  <c r="AE49" i="7"/>
  <c r="W709" i="6"/>
  <c r="V49" i="7"/>
  <c r="AF49" i="7"/>
  <c r="W1039" i="6"/>
  <c r="W49" i="7"/>
  <c r="AG49" i="7"/>
  <c r="X49" i="7"/>
  <c r="AH49" i="7"/>
  <c r="W1369" i="6"/>
  <c r="T48" i="7"/>
  <c r="AD48" i="7"/>
  <c r="W48" i="6"/>
  <c r="U48" i="7"/>
  <c r="W378" i="6"/>
  <c r="AE48" i="7"/>
  <c r="V48" i="7"/>
  <c r="AF48" i="7"/>
  <c r="W708" i="6"/>
  <c r="W48" i="7"/>
  <c r="AG48" i="7"/>
  <c r="W1038" i="6"/>
  <c r="X48" i="7"/>
  <c r="AH48" i="7"/>
  <c r="W1368" i="6"/>
  <c r="T47" i="7"/>
  <c r="W211" i="6" s="1"/>
  <c r="AD47" i="7"/>
  <c r="W47" i="6"/>
  <c r="W377" i="6"/>
  <c r="U47" i="7"/>
  <c r="W541" i="6" s="1"/>
  <c r="AE47" i="7"/>
  <c r="W707" i="6"/>
  <c r="V47" i="7"/>
  <c r="W871" i="6" s="1"/>
  <c r="AF47" i="7"/>
  <c r="W47" i="7"/>
  <c r="W1201" i="6" s="1"/>
  <c r="AG47" i="7"/>
  <c r="W1037" i="6"/>
  <c r="X47" i="7"/>
  <c r="W1531" i="6" s="1"/>
  <c r="AH47" i="7"/>
  <c r="W1367" i="6"/>
  <c r="W46" i="6"/>
  <c r="T46" i="7"/>
  <c r="W210" i="6" s="1"/>
  <c r="AD46" i="7"/>
  <c r="U46" i="7"/>
  <c r="W540" i="6" s="1"/>
  <c r="AE46" i="7"/>
  <c r="W376" i="6"/>
  <c r="V46" i="7"/>
  <c r="W870" i="6" s="1"/>
  <c r="AF46" i="7"/>
  <c r="W706" i="6"/>
  <c r="W46" i="7"/>
  <c r="W1200" i="6" s="1"/>
  <c r="AG46" i="7"/>
  <c r="W1036" i="6"/>
  <c r="X46" i="7"/>
  <c r="W1530" i="6" s="1"/>
  <c r="AH46" i="7"/>
  <c r="W1366" i="6"/>
  <c r="T45" i="7"/>
  <c r="AD45" i="7"/>
  <c r="W45" i="6"/>
  <c r="W375" i="6"/>
  <c r="U45" i="7"/>
  <c r="AE45" i="7"/>
  <c r="W705" i="6"/>
  <c r="V45" i="7"/>
  <c r="AF45" i="7"/>
  <c r="W45" i="7"/>
  <c r="AG45" i="7"/>
  <c r="W1035" i="6"/>
  <c r="X45" i="7"/>
  <c r="AH45" i="7"/>
  <c r="W1365" i="6"/>
  <c r="W44" i="6"/>
  <c r="T44" i="7"/>
  <c r="AD44" i="7"/>
  <c r="W374" i="6"/>
  <c r="U44" i="7"/>
  <c r="AE44" i="7"/>
  <c r="W704" i="6"/>
  <c r="V44" i="7"/>
  <c r="AF44" i="7"/>
  <c r="W1034" i="6"/>
  <c r="W44" i="7"/>
  <c r="AG44" i="7"/>
  <c r="X44" i="7"/>
  <c r="AH44" i="7"/>
  <c r="W1364" i="6"/>
  <c r="BS274" i="4"/>
  <c r="BV274" i="4"/>
  <c r="BY274" i="4"/>
  <c r="BX274" i="4"/>
  <c r="BU274" i="4"/>
  <c r="BW274" i="4"/>
  <c r="W43" i="6"/>
  <c r="T43" i="7"/>
  <c r="W209" i="6" s="1"/>
  <c r="AD43" i="7"/>
  <c r="W373" i="6"/>
  <c r="U43" i="7"/>
  <c r="W539" i="6" s="1"/>
  <c r="AE43" i="7"/>
  <c r="W703" i="6"/>
  <c r="V43" i="7"/>
  <c r="W869" i="6" s="1"/>
  <c r="AF43" i="7"/>
  <c r="W1033" i="6"/>
  <c r="W43" i="7"/>
  <c r="W1199" i="6" s="1"/>
  <c r="AG43" i="7"/>
  <c r="X43" i="7"/>
  <c r="W1529" i="6" s="1"/>
  <c r="AH43" i="7"/>
  <c r="W1363" i="6"/>
  <c r="W42" i="6"/>
  <c r="T42" i="7"/>
  <c r="AD42" i="7" s="1"/>
  <c r="W372" i="6"/>
  <c r="U42" i="7"/>
  <c r="AE42" i="7"/>
  <c r="W702" i="6"/>
  <c r="V42" i="7"/>
  <c r="AF42" i="7"/>
  <c r="W1032" i="6"/>
  <c r="W42" i="7"/>
  <c r="AG42" i="7"/>
  <c r="X42" i="7"/>
  <c r="AH42" i="7"/>
  <c r="W1362" i="6"/>
  <c r="W41" i="6"/>
  <c r="T41" i="7"/>
  <c r="AD41" i="7"/>
  <c r="W371" i="6"/>
  <c r="U41" i="7"/>
  <c r="AE41" i="7"/>
  <c r="W701" i="6"/>
  <c r="V41" i="7"/>
  <c r="AF41" i="7"/>
  <c r="W1031" i="6"/>
  <c r="W41" i="7"/>
  <c r="AG41" i="7"/>
  <c r="W1361" i="6"/>
  <c r="X41" i="7"/>
  <c r="AH41" i="7" s="1"/>
  <c r="W40" i="6"/>
  <c r="T40" i="7"/>
  <c r="AD40" i="7"/>
  <c r="W370" i="6"/>
  <c r="U40" i="7"/>
  <c r="AE40" i="7"/>
  <c r="W700" i="6"/>
  <c r="V40" i="7"/>
  <c r="AF40" i="7"/>
  <c r="W1030" i="6"/>
  <c r="W40" i="7"/>
  <c r="AG40" i="7"/>
  <c r="X40" i="7"/>
  <c r="AH40" i="7"/>
  <c r="W1360" i="6"/>
  <c r="T39" i="7"/>
  <c r="W208" i="6" s="1"/>
  <c r="AD39" i="7"/>
  <c r="W39" i="6"/>
  <c r="W369" i="6"/>
  <c r="U39" i="7"/>
  <c r="W538" i="6" s="1"/>
  <c r="AE39" i="7"/>
  <c r="W699" i="6"/>
  <c r="V39" i="7"/>
  <c r="W868" i="6" s="1"/>
  <c r="AF39" i="7"/>
  <c r="W1029" i="6"/>
  <c r="W39" i="7"/>
  <c r="W1198" i="6" s="1"/>
  <c r="AG39" i="7"/>
  <c r="X39" i="7"/>
  <c r="W1528" i="6" s="1"/>
  <c r="AH39" i="7"/>
  <c r="W1359" i="6"/>
  <c r="W38" i="6"/>
  <c r="T38" i="7"/>
  <c r="AD38" i="7"/>
  <c r="U38" i="7"/>
  <c r="W368" i="6"/>
  <c r="AE38" i="7"/>
  <c r="W698" i="6"/>
  <c r="V38" i="7"/>
  <c r="AF38" i="7"/>
  <c r="W38" i="7"/>
  <c r="AG38" i="7"/>
  <c r="W1028" i="6"/>
  <c r="X38" i="7"/>
  <c r="AH38" i="7"/>
  <c r="W1358" i="6"/>
  <c r="W37" i="6"/>
  <c r="T37" i="7"/>
  <c r="AD37" i="7"/>
  <c r="W367" i="6"/>
  <c r="U37" i="7"/>
  <c r="AE37" i="7"/>
  <c r="W697" i="6"/>
  <c r="V37" i="7"/>
  <c r="AF37" i="7"/>
  <c r="W37" i="7"/>
  <c r="AG37" i="7"/>
  <c r="W1027" i="6"/>
  <c r="X37" i="7"/>
  <c r="AH37" i="7"/>
  <c r="W1357" i="6"/>
  <c r="W36" i="6"/>
  <c r="T36" i="7"/>
  <c r="AD36" i="7"/>
  <c r="W366" i="6"/>
  <c r="U36" i="7"/>
  <c r="AE36" i="7"/>
  <c r="W696" i="6"/>
  <c r="V36" i="7"/>
  <c r="AF36" i="7"/>
  <c r="W1026" i="6"/>
  <c r="W36" i="7"/>
  <c r="AG36" i="7"/>
  <c r="X36" i="7"/>
  <c r="AH36" i="7"/>
  <c r="W1356" i="6"/>
  <c r="W35" i="6"/>
  <c r="T35" i="7"/>
  <c r="W207" i="6" s="1"/>
  <c r="AD35" i="7"/>
  <c r="W365" i="6"/>
  <c r="U35" i="7"/>
  <c r="W537" i="6" s="1"/>
  <c r="AE35" i="7"/>
  <c r="W695" i="6"/>
  <c r="V35" i="7"/>
  <c r="W867" i="6" s="1"/>
  <c r="AF35" i="7"/>
  <c r="W1025" i="6"/>
  <c r="W35" i="7"/>
  <c r="W1197" i="6" s="1"/>
  <c r="AG35" i="7"/>
  <c r="W1355" i="6"/>
  <c r="X35" i="7"/>
  <c r="W34" i="6"/>
  <c r="T34" i="7"/>
  <c r="W206" i="6" s="1"/>
  <c r="AD34" i="7"/>
  <c r="U34" i="7"/>
  <c r="W536" i="6" s="1"/>
  <c r="AE34" i="7"/>
  <c r="W364" i="6"/>
  <c r="W694" i="6"/>
  <c r="V34" i="7"/>
  <c r="W866" i="6" s="1"/>
  <c r="AF34" i="7"/>
  <c r="W1024" i="6"/>
  <c r="W34" i="7"/>
  <c r="W1196" i="6" s="1"/>
  <c r="AG34" i="7"/>
  <c r="W1354" i="6"/>
  <c r="X34" i="7"/>
  <c r="W33" i="6"/>
  <c r="T33" i="7"/>
  <c r="W205" i="6" s="1"/>
  <c r="AD33" i="7"/>
  <c r="W363" i="6"/>
  <c r="U33" i="7"/>
  <c r="W535" i="6" s="1"/>
  <c r="AE33" i="7"/>
  <c r="W693" i="6"/>
  <c r="V33" i="7"/>
  <c r="W865" i="6" s="1"/>
  <c r="AF33" i="7"/>
  <c r="W1023" i="6"/>
  <c r="W33" i="7"/>
  <c r="W1195" i="6" s="1"/>
  <c r="AG33" i="7"/>
  <c r="X33" i="7"/>
  <c r="W1525" i="6" s="1"/>
  <c r="AH33" i="7"/>
  <c r="W1353" i="6"/>
  <c r="T32" i="7"/>
  <c r="W204" i="6" s="1"/>
  <c r="AD32" i="7"/>
  <c r="W32" i="6"/>
  <c r="U32" i="7"/>
  <c r="W534" i="6" s="1"/>
  <c r="AE32" i="7"/>
  <c r="W362" i="6"/>
  <c r="W692" i="6"/>
  <c r="V32" i="7"/>
  <c r="W864" i="6" s="1"/>
  <c r="AF32" i="7"/>
  <c r="W1022" i="6"/>
  <c r="W32" i="7"/>
  <c r="W1194" i="6" s="1"/>
  <c r="AG32" i="7"/>
  <c r="X32" i="7"/>
  <c r="W1524" i="6" s="1"/>
  <c r="AH32" i="7"/>
  <c r="W1352" i="6"/>
  <c r="W31" i="6"/>
  <c r="T31" i="7"/>
  <c r="W203" i="6" s="1"/>
  <c r="AD31" i="7"/>
  <c r="U31" i="7"/>
  <c r="W533" i="6" s="1"/>
  <c r="W361" i="6"/>
  <c r="AE31" i="7"/>
  <c r="W691" i="6"/>
  <c r="V31" i="7"/>
  <c r="W863" i="6" s="1"/>
  <c r="AF31" i="7"/>
  <c r="W1021" i="6"/>
  <c r="W31" i="7"/>
  <c r="W1193" i="6" s="1"/>
  <c r="AG31" i="7"/>
  <c r="W1351" i="6"/>
  <c r="X31" i="7"/>
  <c r="W30" i="6"/>
  <c r="T30" i="7"/>
  <c r="W202" i="6" s="1"/>
  <c r="AD30" i="7"/>
  <c r="W360" i="6"/>
  <c r="U30" i="7"/>
  <c r="W532" i="6" s="1"/>
  <c r="AE30" i="7"/>
  <c r="W690" i="6"/>
  <c r="V30" i="7"/>
  <c r="W862" i="6" s="1"/>
  <c r="AF30" i="7"/>
  <c r="W1020" i="6"/>
  <c r="W30" i="7"/>
  <c r="W1192" i="6" s="1"/>
  <c r="AG30" i="7"/>
  <c r="X30" i="7"/>
  <c r="W1522" i="6" s="1"/>
  <c r="AH30" i="7"/>
  <c r="W1350" i="6"/>
  <c r="T29" i="7"/>
  <c r="W201" i="6" s="1"/>
  <c r="AD29" i="7"/>
  <c r="W29" i="6"/>
  <c r="U29" i="7"/>
  <c r="W531" i="6" s="1"/>
  <c r="AE29" i="7"/>
  <c r="W359" i="6"/>
  <c r="W689" i="6"/>
  <c r="V29" i="7"/>
  <c r="W861" i="6" s="1"/>
  <c r="AF29" i="7"/>
  <c r="W29" i="7"/>
  <c r="W1191" i="6" s="1"/>
  <c r="W1019" i="6"/>
  <c r="AG29" i="7"/>
  <c r="X29" i="7"/>
  <c r="W1521" i="6" s="1"/>
  <c r="AH29" i="7"/>
  <c r="W1349" i="6"/>
  <c r="W28" i="6"/>
  <c r="T28" i="7"/>
  <c r="W200" i="6" s="1"/>
  <c r="AD28" i="7"/>
  <c r="W358" i="6"/>
  <c r="U28" i="7"/>
  <c r="W530" i="6" s="1"/>
  <c r="AE28" i="7"/>
  <c r="W688" i="6"/>
  <c r="V28" i="7"/>
  <c r="W860" i="6" s="1"/>
  <c r="AF28" i="7"/>
  <c r="W1018" i="6"/>
  <c r="W28" i="7"/>
  <c r="W1190" i="6" s="1"/>
  <c r="AG28" i="7"/>
  <c r="X28" i="7"/>
  <c r="W1520" i="6" s="1"/>
  <c r="AH28" i="7"/>
  <c r="W1348" i="6"/>
  <c r="T27" i="7"/>
  <c r="W199" i="6" s="1"/>
  <c r="AD27" i="7"/>
  <c r="W27" i="6"/>
  <c r="W357" i="6"/>
  <c r="U27" i="7"/>
  <c r="W529" i="6" s="1"/>
  <c r="AE27" i="7"/>
  <c r="W687" i="6"/>
  <c r="V27" i="7"/>
  <c r="W859" i="6" s="1"/>
  <c r="AF27" i="7"/>
  <c r="W1017" i="6"/>
  <c r="W27" i="7"/>
  <c r="W1189" i="6" s="1"/>
  <c r="AG27" i="7"/>
  <c r="X27" i="7"/>
  <c r="W1519" i="6" s="1"/>
  <c r="AH27" i="7"/>
  <c r="W1347" i="6"/>
  <c r="W26" i="6"/>
  <c r="T26" i="7"/>
  <c r="W198" i="6" s="1"/>
  <c r="AD26" i="7"/>
  <c r="W356" i="6"/>
  <c r="U26" i="7"/>
  <c r="W528" i="6" s="1"/>
  <c r="AE26" i="7"/>
  <c r="V26" i="7"/>
  <c r="W858" i="6" s="1"/>
  <c r="AF26" i="7"/>
  <c r="W686" i="6"/>
  <c r="W26" i="7"/>
  <c r="W1188" i="6" s="1"/>
  <c r="AG26" i="7"/>
  <c r="W1016" i="6"/>
  <c r="X26" i="7"/>
  <c r="W1518" i="6" s="1"/>
  <c r="AH26" i="7"/>
  <c r="W1346" i="6"/>
  <c r="W25" i="6"/>
  <c r="T25" i="7"/>
  <c r="U25" i="7"/>
  <c r="W527" i="6" s="1"/>
  <c r="AE25" i="7"/>
  <c r="W355" i="6"/>
  <c r="V25" i="7"/>
  <c r="W857" i="6" s="1"/>
  <c r="AF25" i="7"/>
  <c r="W685" i="6"/>
  <c r="W25" i="7"/>
  <c r="W1187" i="6" s="1"/>
  <c r="AG25" i="7"/>
  <c r="W1015" i="6"/>
  <c r="X25" i="7"/>
  <c r="W1517" i="6" s="1"/>
  <c r="AH25" i="7"/>
  <c r="W1345" i="6"/>
  <c r="W24" i="6"/>
  <c r="T24" i="7"/>
  <c r="W354" i="6"/>
  <c r="U24" i="7"/>
  <c r="W684" i="6"/>
  <c r="V24" i="7"/>
  <c r="W856" i="6" s="1"/>
  <c r="AF24" i="7"/>
  <c r="W24" i="7"/>
  <c r="W1186" i="6" s="1"/>
  <c r="AG24" i="7"/>
  <c r="W1014" i="6"/>
  <c r="X24" i="7"/>
  <c r="W1516" i="6" s="1"/>
  <c r="AH24" i="7"/>
  <c r="W1344" i="6"/>
  <c r="W23" i="6"/>
  <c r="T23" i="7"/>
  <c r="W195" i="6" s="1"/>
  <c r="AD23" i="7"/>
  <c r="W353" i="6"/>
  <c r="U23" i="7"/>
  <c r="W525" i="6" s="1"/>
  <c r="AE23" i="7"/>
  <c r="W683" i="6"/>
  <c r="V23" i="7"/>
  <c r="W855" i="6" s="1"/>
  <c r="AF23" i="7"/>
  <c r="W23" i="7"/>
  <c r="W1185" i="6" s="1"/>
  <c r="AG23" i="7"/>
  <c r="W1013" i="6"/>
  <c r="X23" i="7"/>
  <c r="W1515" i="6" s="1"/>
  <c r="AH23" i="7"/>
  <c r="W1343" i="6"/>
  <c r="T22" i="7"/>
  <c r="W194" i="6" s="1"/>
  <c r="AD22" i="7"/>
  <c r="W22" i="6"/>
  <c r="W352" i="6"/>
  <c r="U22" i="7"/>
  <c r="W524" i="6" s="1"/>
  <c r="AE22" i="7"/>
  <c r="V22" i="7"/>
  <c r="W854" i="6" s="1"/>
  <c r="AF22" i="7"/>
  <c r="W682" i="6"/>
  <c r="W22" i="7"/>
  <c r="W1184" i="6" s="1"/>
  <c r="AG22" i="7"/>
  <c r="W1012" i="6"/>
  <c r="X22" i="7"/>
  <c r="W1514" i="6" s="1"/>
  <c r="AH22" i="7"/>
  <c r="W1342" i="6"/>
  <c r="T21" i="7"/>
  <c r="W193" i="6" s="1"/>
  <c r="AD21" i="7"/>
  <c r="W21" i="6"/>
  <c r="W351" i="6"/>
  <c r="U21" i="7"/>
  <c r="V21" i="7"/>
  <c r="W853" i="6" s="1"/>
  <c r="AF21" i="7"/>
  <c r="W681" i="6"/>
  <c r="W1011" i="6"/>
  <c r="W21" i="7"/>
  <c r="X21" i="7"/>
  <c r="W1513" i="6" s="1"/>
  <c r="AH21" i="7"/>
  <c r="W1341" i="6"/>
  <c r="W20" i="6"/>
  <c r="T20" i="7"/>
  <c r="W192" i="6" s="1"/>
  <c r="AD20" i="7"/>
  <c r="W350" i="6"/>
  <c r="U20" i="7"/>
  <c r="W522" i="6" s="1"/>
  <c r="AE20" i="7"/>
  <c r="W680" i="6"/>
  <c r="V20" i="7"/>
  <c r="W852" i="6" s="1"/>
  <c r="AF20" i="7"/>
  <c r="W20" i="7"/>
  <c r="W1182" i="6" s="1"/>
  <c r="AG20" i="7"/>
  <c r="W1010" i="6"/>
  <c r="X20" i="7"/>
  <c r="W1512" i="6" s="1"/>
  <c r="AH20" i="7"/>
  <c r="W1340" i="6"/>
  <c r="W19" i="6"/>
  <c r="T19" i="7"/>
  <c r="W349" i="6"/>
  <c r="U19" i="7"/>
  <c r="W521" i="6" s="1"/>
  <c r="AE19" i="7"/>
  <c r="W679" i="6"/>
  <c r="V19" i="7"/>
  <c r="W851" i="6" s="1"/>
  <c r="AF19" i="7"/>
  <c r="W1009" i="6"/>
  <c r="W19" i="7"/>
  <c r="W1181" i="6" s="1"/>
  <c r="AG19" i="7"/>
  <c r="X19" i="7"/>
  <c r="W1511" i="6" s="1"/>
  <c r="AH19" i="7"/>
  <c r="W1339" i="6"/>
  <c r="W18" i="6"/>
  <c r="T18" i="7"/>
  <c r="W190" i="6" s="1"/>
  <c r="AD18" i="7"/>
  <c r="U18" i="7"/>
  <c r="W520" i="6" s="1"/>
  <c r="AE18" i="7"/>
  <c r="W348" i="6"/>
  <c r="W678" i="6"/>
  <c r="V18" i="7"/>
  <c r="W850" i="6" s="1"/>
  <c r="AF18" i="7"/>
  <c r="W18" i="7"/>
  <c r="W1180" i="6" s="1"/>
  <c r="AG18" i="7"/>
  <c r="W1008" i="6"/>
  <c r="X18" i="7"/>
  <c r="W1510" i="6" s="1"/>
  <c r="AH18" i="7"/>
  <c r="W1338" i="6"/>
  <c r="W17" i="6"/>
  <c r="T17" i="7"/>
  <c r="W189" i="6" s="1"/>
  <c r="AD17" i="7"/>
  <c r="W347" i="6"/>
  <c r="U17" i="7"/>
  <c r="W519" i="6" s="1"/>
  <c r="AE17" i="7"/>
  <c r="W677" i="6"/>
  <c r="V17" i="7"/>
  <c r="W849" i="6" s="1"/>
  <c r="AF17" i="7"/>
  <c r="W1007" i="6"/>
  <c r="W17" i="7"/>
  <c r="W1179" i="6" s="1"/>
  <c r="AG17" i="7"/>
  <c r="X17" i="7"/>
  <c r="W1509" i="6" s="1"/>
  <c r="AH17" i="7"/>
  <c r="W1337" i="6"/>
  <c r="W16" i="6"/>
  <c r="T16" i="7"/>
  <c r="W188" i="6" s="1"/>
  <c r="AD16" i="7"/>
  <c r="W346" i="6"/>
  <c r="U16" i="7"/>
  <c r="W518" i="6" s="1"/>
  <c r="AE16" i="7"/>
  <c r="W676" i="6"/>
  <c r="V16" i="7"/>
  <c r="W848" i="6" s="1"/>
  <c r="AF16" i="7"/>
  <c r="W16" i="7"/>
  <c r="W1178" i="6" s="1"/>
  <c r="AG16" i="7"/>
  <c r="W1006" i="6"/>
  <c r="X16" i="7"/>
  <c r="W1508" i="6" s="1"/>
  <c r="AH16" i="7"/>
  <c r="W1336" i="6"/>
  <c r="W15" i="6"/>
  <c r="T15" i="7"/>
  <c r="W187" i="6" s="1"/>
  <c r="AD15" i="7"/>
  <c r="W345" i="6"/>
  <c r="U15" i="7"/>
  <c r="W517" i="6" s="1"/>
  <c r="AE15" i="7"/>
  <c r="W675" i="6"/>
  <c r="V15" i="7"/>
  <c r="W847" i="6" s="1"/>
  <c r="AF15" i="7"/>
  <c r="W15" i="7"/>
  <c r="W1177" i="6" s="1"/>
  <c r="AG15" i="7"/>
  <c r="W1005" i="6"/>
  <c r="X15" i="7"/>
  <c r="W1507" i="6" s="1"/>
  <c r="AH15" i="7"/>
  <c r="W1335" i="6"/>
  <c r="W14" i="6"/>
  <c r="T14" i="7"/>
  <c r="W186" i="6" s="1"/>
  <c r="AD14" i="7"/>
  <c r="U14" i="7"/>
  <c r="W516" i="6" s="1"/>
  <c r="W344" i="6"/>
  <c r="AE14" i="7"/>
  <c r="W674" i="6"/>
  <c r="V14" i="7"/>
  <c r="W846" i="6" s="1"/>
  <c r="AF14" i="7"/>
  <c r="W14" i="7"/>
  <c r="W1176" i="6" s="1"/>
  <c r="AG14" i="7"/>
  <c r="W1004" i="6"/>
  <c r="X14" i="7"/>
  <c r="W1506" i="6" s="1"/>
  <c r="AH14" i="7"/>
  <c r="W1334" i="6"/>
  <c r="W13" i="6"/>
  <c r="T13" i="7"/>
  <c r="W185" i="6" s="1"/>
  <c r="AD13" i="7"/>
  <c r="U13" i="7"/>
  <c r="W515" i="6" s="1"/>
  <c r="W343" i="6"/>
  <c r="AE13" i="7"/>
  <c r="W673" i="6"/>
  <c r="V13" i="7"/>
  <c r="W845" i="6" s="1"/>
  <c r="AF13" i="7"/>
  <c r="W1003" i="6"/>
  <c r="W13" i="7"/>
  <c r="W1175" i="6" s="1"/>
  <c r="AG13" i="7"/>
  <c r="X13" i="7"/>
  <c r="W1505" i="6" s="1"/>
  <c r="AH13" i="7"/>
  <c r="W1333" i="6"/>
  <c r="W12" i="6"/>
  <c r="T12" i="7"/>
  <c r="W184" i="6" s="1"/>
  <c r="AD12" i="7"/>
  <c r="W342" i="6"/>
  <c r="U12" i="7"/>
  <c r="W514" i="6" s="1"/>
  <c r="AE12" i="7"/>
  <c r="W672" i="6"/>
  <c r="V12" i="7"/>
  <c r="W844" i="6" s="1"/>
  <c r="AF12" i="7"/>
  <c r="W1002" i="6"/>
  <c r="W12" i="7"/>
  <c r="W1174" i="6" s="1"/>
  <c r="AG12" i="7"/>
  <c r="X12" i="7"/>
  <c r="W1504" i="6" s="1"/>
  <c r="AH12" i="7"/>
  <c r="W1332" i="6"/>
  <c r="W11" i="6"/>
  <c r="T11" i="7"/>
  <c r="W183" i="6" s="1"/>
  <c r="AD11" i="7"/>
  <c r="U11" i="7"/>
  <c r="W513" i="6" s="1"/>
  <c r="W341" i="6"/>
  <c r="AE11" i="7"/>
  <c r="W671" i="6"/>
  <c r="V11" i="7"/>
  <c r="W843" i="6" s="1"/>
  <c r="AF11" i="7"/>
  <c r="W11" i="7"/>
  <c r="W1173" i="6" s="1"/>
  <c r="AG11" i="7"/>
  <c r="W1001" i="6"/>
  <c r="X11" i="7"/>
  <c r="W1503" i="6" s="1"/>
  <c r="AH11" i="7"/>
  <c r="W1331" i="6"/>
  <c r="W10" i="6"/>
  <c r="T10" i="7"/>
  <c r="W182" i="6" s="1"/>
  <c r="AD10" i="7"/>
  <c r="W340" i="6"/>
  <c r="U10" i="7"/>
  <c r="W512" i="6" s="1"/>
  <c r="AE10" i="7"/>
  <c r="W670" i="6"/>
  <c r="V10" i="7"/>
  <c r="W842" i="6" s="1"/>
  <c r="AF10" i="7"/>
  <c r="W1000" i="6"/>
  <c r="W10" i="7"/>
  <c r="W1172" i="6" s="1"/>
  <c r="AG10" i="7"/>
  <c r="X10" i="7"/>
  <c r="W1502" i="6" s="1"/>
  <c r="AH10" i="7"/>
  <c r="W1330" i="6"/>
  <c r="W9" i="6"/>
  <c r="T9" i="7"/>
  <c r="W181" i="6" s="1"/>
  <c r="AD9" i="7"/>
  <c r="U9" i="7"/>
  <c r="W511" i="6" s="1"/>
  <c r="W339" i="6"/>
  <c r="AE9" i="7"/>
  <c r="W669" i="6"/>
  <c r="V9" i="7"/>
  <c r="W841" i="6" s="1"/>
  <c r="AF9" i="7"/>
  <c r="W9" i="7"/>
  <c r="W1171" i="6" s="1"/>
  <c r="W999" i="6"/>
  <c r="AG9" i="7"/>
  <c r="X9" i="7"/>
  <c r="W1501" i="6" s="1"/>
  <c r="AH9" i="7"/>
  <c r="W1329" i="6"/>
  <c r="T8" i="7"/>
  <c r="W180" i="6" s="1"/>
  <c r="AD8" i="7"/>
  <c r="W8" i="6"/>
  <c r="W338" i="6"/>
  <c r="U8" i="7"/>
  <c r="W510" i="6" s="1"/>
  <c r="AE8" i="7"/>
  <c r="W668" i="6"/>
  <c r="V8" i="7"/>
  <c r="W840" i="6" s="1"/>
  <c r="AF8" i="7"/>
  <c r="W8" i="7"/>
  <c r="W1170" i="6" s="1"/>
  <c r="W998" i="6"/>
  <c r="AG8" i="7"/>
  <c r="X8" i="7"/>
  <c r="W1500" i="6" s="1"/>
  <c r="AH8" i="7"/>
  <c r="W1328" i="6"/>
  <c r="W7" i="6"/>
  <c r="T7" i="7"/>
  <c r="AD7" i="7"/>
  <c r="U7" i="7"/>
  <c r="W337" i="6"/>
  <c r="AE7" i="7"/>
  <c r="V7" i="7"/>
  <c r="AF7" i="7"/>
  <c r="W667" i="6"/>
  <c r="W997" i="6"/>
  <c r="W7" i="7"/>
  <c r="AG7" i="7"/>
  <c r="X7" i="7"/>
  <c r="AH7" i="7"/>
  <c r="W1327" i="6"/>
  <c r="W6" i="6"/>
  <c r="T6" i="7"/>
  <c r="W179" i="6" s="1"/>
  <c r="AD6" i="7"/>
  <c r="W336" i="6"/>
  <c r="U6" i="7"/>
  <c r="W509" i="6" s="1"/>
  <c r="AE6" i="7"/>
  <c r="W666" i="6"/>
  <c r="V6" i="7"/>
  <c r="W839" i="6" s="1"/>
  <c r="AF6" i="7"/>
  <c r="W996" i="6"/>
  <c r="W6" i="7"/>
  <c r="W1169" i="6" s="1"/>
  <c r="AG6" i="7"/>
  <c r="X6" i="7"/>
  <c r="W1499" i="6" s="1"/>
  <c r="AH6" i="7"/>
  <c r="W1326" i="6"/>
  <c r="W5" i="6"/>
  <c r="T5" i="7"/>
  <c r="W178" i="6" s="1"/>
  <c r="AD5" i="7"/>
  <c r="U5" i="7"/>
  <c r="W508" i="6" s="1"/>
  <c r="AE5" i="7"/>
  <c r="W335" i="6"/>
  <c r="W665" i="6"/>
  <c r="V5" i="7"/>
  <c r="W838" i="6" s="1"/>
  <c r="AF5" i="7"/>
  <c r="W995" i="6"/>
  <c r="W5" i="7"/>
  <c r="W1168" i="6" s="1"/>
  <c r="AG5" i="7"/>
  <c r="X5" i="7"/>
  <c r="W1498" i="6" s="1"/>
  <c r="AH5" i="7"/>
  <c r="W1325" i="6"/>
  <c r="T162" i="7"/>
  <c r="AD162" i="7"/>
  <c r="W162" i="6"/>
  <c r="W492" i="6"/>
  <c r="U162" i="7"/>
  <c r="AE162" i="7"/>
  <c r="V162" i="7"/>
  <c r="AF162" i="7"/>
  <c r="W822" i="6"/>
  <c r="W1152" i="6"/>
  <c r="W162" i="7"/>
  <c r="AG162" i="7"/>
  <c r="X162" i="7"/>
  <c r="AH162" i="7"/>
  <c r="W1482" i="6"/>
  <c r="T161" i="7"/>
  <c r="AD161" i="7"/>
  <c r="W161" i="6"/>
  <c r="W491" i="6"/>
  <c r="U161" i="7"/>
  <c r="AE161" i="7"/>
  <c r="V161" i="7"/>
  <c r="AF161" i="7"/>
  <c r="W821" i="6"/>
  <c r="W161" i="7"/>
  <c r="W1151" i="6"/>
  <c r="AG161" i="7"/>
  <c r="X161" i="7"/>
  <c r="AH161" i="7"/>
  <c r="W1481" i="6"/>
  <c r="W160" i="6"/>
  <c r="T160" i="7"/>
  <c r="AD160" i="7"/>
  <c r="W490" i="6"/>
  <c r="U160" i="7"/>
  <c r="AE160" i="7"/>
  <c r="W820" i="6"/>
  <c r="V160" i="7"/>
  <c r="AF160" i="7"/>
  <c r="W160" i="7"/>
  <c r="AG160" i="7"/>
  <c r="W1150" i="6"/>
  <c r="X160" i="7"/>
  <c r="AH160" i="7"/>
  <c r="W1480" i="6"/>
  <c r="W159" i="6"/>
  <c r="T159" i="7"/>
  <c r="AD159" i="7"/>
  <c r="W489" i="6"/>
  <c r="U159" i="7"/>
  <c r="AE159" i="7"/>
  <c r="W819" i="6"/>
  <c r="V159" i="7"/>
  <c r="AF159" i="7"/>
  <c r="W1149" i="6"/>
  <c r="W159" i="7"/>
  <c r="AG159" i="7" s="1"/>
  <c r="X159" i="7"/>
  <c r="AH159" i="7"/>
  <c r="W1479" i="6"/>
  <c r="BS222" i="4"/>
  <c r="J158" i="7" s="1"/>
  <c r="AA158" i="7" s="1"/>
  <c r="AB158" i="7" s="1"/>
  <c r="BY222" i="4"/>
  <c r="P158" i="7" s="1"/>
  <c r="X158" i="7" s="1"/>
  <c r="BW222" i="4"/>
  <c r="N158" i="7" s="1"/>
  <c r="V158" i="7" s="1"/>
  <c r="BU222" i="4"/>
  <c r="L158" i="7" s="1"/>
  <c r="BX222" i="4"/>
  <c r="O158" i="7" s="1"/>
  <c r="W158" i="7" s="1"/>
  <c r="BV222" i="4"/>
  <c r="M158" i="7" s="1"/>
  <c r="U158" i="7" s="1"/>
  <c r="K158" i="7"/>
  <c r="W158" i="6"/>
  <c r="W488" i="6"/>
  <c r="AE158" i="7"/>
  <c r="AF158" i="7"/>
  <c r="W818" i="6"/>
  <c r="AG158" i="7"/>
  <c r="W1148" i="6"/>
  <c r="AH158" i="7"/>
  <c r="W1478" i="6"/>
  <c r="W157" i="6"/>
  <c r="T157" i="7"/>
  <c r="AD157" i="7"/>
  <c r="U157" i="7"/>
  <c r="AE157" i="7"/>
  <c r="W487" i="6"/>
  <c r="W817" i="6"/>
  <c r="V157" i="7"/>
  <c r="AF157" i="7"/>
  <c r="W1147" i="6"/>
  <c r="W157" i="7"/>
  <c r="AG157" i="7"/>
  <c r="X157" i="7"/>
  <c r="AH157" i="7"/>
  <c r="W1477" i="6"/>
  <c r="W156" i="6"/>
  <c r="T156" i="7"/>
  <c r="AD156" i="7"/>
  <c r="W486" i="6"/>
  <c r="U156" i="7"/>
  <c r="AE156" i="7"/>
  <c r="W816" i="6"/>
  <c r="V156" i="7"/>
  <c r="AF156" i="7"/>
  <c r="W156" i="7"/>
  <c r="W1146" i="6"/>
  <c r="AG156" i="7"/>
  <c r="X156" i="7"/>
  <c r="AH156" i="7"/>
  <c r="W1476" i="6"/>
  <c r="W155" i="6"/>
  <c r="T155" i="7"/>
  <c r="AD155" i="7"/>
  <c r="W485" i="6"/>
  <c r="U155" i="7"/>
  <c r="AE155" i="7"/>
  <c r="W815" i="6"/>
  <c r="V155" i="7"/>
  <c r="AF155" i="7"/>
  <c r="W1145" i="6"/>
  <c r="W155" i="7"/>
  <c r="AG155" i="7"/>
  <c r="X155" i="7"/>
  <c r="AH155" i="7"/>
  <c r="W1475" i="6"/>
  <c r="W154" i="6"/>
  <c r="T154" i="7"/>
  <c r="AD154" i="7"/>
  <c r="W484" i="6"/>
  <c r="U154" i="7"/>
  <c r="AE154" i="7"/>
  <c r="V154" i="7"/>
  <c r="AF154" i="7"/>
  <c r="W814" i="6"/>
  <c r="W154" i="7"/>
  <c r="AG154" i="7"/>
  <c r="W1144" i="6"/>
  <c r="X154" i="7"/>
  <c r="AH154" i="7"/>
  <c r="W1474" i="6"/>
  <c r="W153" i="6"/>
  <c r="T153" i="7"/>
  <c r="AD153" i="7"/>
  <c r="W483" i="6"/>
  <c r="U153" i="7"/>
  <c r="AE153" i="7"/>
  <c r="W813" i="6"/>
  <c r="V153" i="7"/>
  <c r="AF153" i="7"/>
  <c r="W1143" i="6"/>
  <c r="W153" i="7"/>
  <c r="AG153" i="7"/>
  <c r="W1473" i="6"/>
  <c r="X153" i="7"/>
  <c r="AH153" i="7"/>
  <c r="W152" i="6"/>
  <c r="T152" i="7"/>
  <c r="AD152" i="7"/>
  <c r="W482" i="6"/>
  <c r="U152" i="7"/>
  <c r="AE152" i="7"/>
  <c r="W812" i="6"/>
  <c r="V152" i="7"/>
  <c r="AF152" i="7"/>
  <c r="W152" i="7"/>
  <c r="AG152" i="7"/>
  <c r="W1142" i="6"/>
  <c r="X152" i="7"/>
  <c r="AH152" i="7"/>
  <c r="W1472" i="6"/>
  <c r="W151" i="6"/>
  <c r="T151" i="7"/>
  <c r="AD151" i="7"/>
  <c r="W481" i="6"/>
  <c r="U151" i="7"/>
  <c r="AE151" i="7"/>
  <c r="W811" i="6"/>
  <c r="V151" i="7"/>
  <c r="AF151" i="7"/>
  <c r="W151" i="7"/>
  <c r="AG151" i="7"/>
  <c r="W1141" i="6"/>
  <c r="X151" i="7"/>
  <c r="AH151" i="7"/>
  <c r="W1471" i="6"/>
  <c r="T150" i="7"/>
  <c r="AD150" i="7"/>
  <c r="W150" i="6"/>
  <c r="W480" i="6"/>
  <c r="U150" i="7"/>
  <c r="AE150" i="7"/>
  <c r="V150" i="7"/>
  <c r="AF150" i="7"/>
  <c r="W810" i="6"/>
  <c r="W150" i="7"/>
  <c r="AG150" i="7"/>
  <c r="W1140" i="6"/>
  <c r="X150" i="7"/>
  <c r="AH150" i="7"/>
  <c r="W1470" i="6"/>
  <c r="W149" i="6"/>
  <c r="T149" i="7"/>
  <c r="AD149" i="7"/>
  <c r="W479" i="6"/>
  <c r="U149" i="7"/>
  <c r="AE149" i="7"/>
  <c r="V149" i="7"/>
  <c r="AF149" i="7"/>
  <c r="W809" i="6"/>
  <c r="W1139" i="6"/>
  <c r="W149" i="7"/>
  <c r="AG149" i="7"/>
  <c r="X149" i="7"/>
  <c r="AH149" i="7"/>
  <c r="W1469" i="6"/>
  <c r="W148" i="6"/>
  <c r="T148" i="7"/>
  <c r="AD148" i="7" s="1"/>
  <c r="W478" i="6"/>
  <c r="U148" i="7"/>
  <c r="AE148" i="7"/>
  <c r="W808" i="6"/>
  <c r="V148" i="7"/>
  <c r="AF148" i="7"/>
  <c r="W1138" i="6"/>
  <c r="W148" i="7"/>
  <c r="AG148" i="7"/>
  <c r="X148" i="7"/>
  <c r="AH148" i="7"/>
  <c r="W1468" i="6"/>
  <c r="W147" i="6"/>
  <c r="T147" i="7"/>
  <c r="AD147" i="7"/>
  <c r="W477" i="6"/>
  <c r="U147" i="7"/>
  <c r="AE147" i="7"/>
  <c r="V147" i="7"/>
  <c r="W807" i="6"/>
  <c r="AF147" i="7"/>
  <c r="W147" i="7"/>
  <c r="AG147" i="7"/>
  <c r="W1137" i="6"/>
  <c r="X147" i="7"/>
  <c r="AH147" i="7"/>
  <c r="W1467" i="6"/>
  <c r="W146" i="6"/>
  <c r="T146" i="7"/>
  <c r="AD146" i="7"/>
  <c r="W476" i="6"/>
  <c r="U146" i="7"/>
  <c r="AE146" i="7" s="1"/>
  <c r="W806" i="6"/>
  <c r="V146" i="7"/>
  <c r="AF146" i="7"/>
  <c r="W146" i="7"/>
  <c r="AG146" i="7"/>
  <c r="W1136" i="6"/>
  <c r="X146" i="7"/>
  <c r="AH146" i="7"/>
  <c r="W1466" i="6"/>
  <c r="W145" i="6"/>
  <c r="T145" i="7"/>
  <c r="AD145" i="7"/>
  <c r="W475" i="6"/>
  <c r="U145" i="7"/>
  <c r="AE145" i="7"/>
  <c r="W805" i="6"/>
  <c r="V145" i="7"/>
  <c r="AF145" i="7"/>
  <c r="W1135" i="6"/>
  <c r="W145" i="7"/>
  <c r="AG145" i="7"/>
  <c r="W1465" i="6"/>
  <c r="X145" i="7"/>
  <c r="AH145" i="7" s="1"/>
  <c r="W144" i="6"/>
  <c r="T144" i="7"/>
  <c r="AD144" i="7"/>
  <c r="W474" i="6"/>
  <c r="U144" i="7"/>
  <c r="AE144" i="7"/>
  <c r="W804" i="6"/>
  <c r="V144" i="7"/>
  <c r="AF144" i="7"/>
  <c r="W1134" i="6"/>
  <c r="W144" i="7"/>
  <c r="AG144" i="7"/>
  <c r="X144" i="7"/>
  <c r="AH144" i="7"/>
  <c r="W1464" i="6"/>
  <c r="W143" i="6"/>
  <c r="T143" i="7"/>
  <c r="AD143" i="7"/>
  <c r="W473" i="6"/>
  <c r="U143" i="7"/>
  <c r="AE143" i="7"/>
  <c r="W803" i="6"/>
  <c r="V143" i="7"/>
  <c r="AF143" i="7"/>
  <c r="W1133" i="6"/>
  <c r="W143" i="7"/>
  <c r="AG143" i="7"/>
  <c r="X143" i="7"/>
  <c r="AH143" i="7"/>
  <c r="W1463" i="6"/>
  <c r="W177" i="6"/>
  <c r="T177" i="7"/>
  <c r="AD177" i="7"/>
  <c r="W507" i="6"/>
  <c r="U177" i="7"/>
  <c r="AE177" i="7"/>
  <c r="V177" i="7"/>
  <c r="AF177" i="7"/>
  <c r="W837" i="6"/>
  <c r="W177" i="7"/>
  <c r="AG177" i="7"/>
  <c r="W1167" i="6"/>
  <c r="X177" i="7"/>
  <c r="AH177" i="7"/>
  <c r="W1497" i="6"/>
  <c r="W176" i="6"/>
  <c r="T176" i="7"/>
  <c r="AD176" i="7"/>
  <c r="W506" i="6"/>
  <c r="U176" i="7"/>
  <c r="AE176" i="7"/>
  <c r="W836" i="6"/>
  <c r="V176" i="7"/>
  <c r="AF176" i="7"/>
  <c r="W176" i="7"/>
  <c r="AG176" i="7"/>
  <c r="W1166" i="6"/>
  <c r="X176" i="7"/>
  <c r="AH176" i="7"/>
  <c r="W1496" i="6"/>
  <c r="W175" i="6"/>
  <c r="T175" i="7"/>
  <c r="AD175" i="7"/>
  <c r="W505" i="6"/>
  <c r="U175" i="7"/>
  <c r="AE175" i="7"/>
  <c r="V175" i="7"/>
  <c r="AF175" i="7"/>
  <c r="W835" i="6"/>
  <c r="W1165" i="6"/>
  <c r="W175" i="7"/>
  <c r="AG175" i="7"/>
  <c r="X175" i="7"/>
  <c r="AH175" i="7"/>
  <c r="W1495" i="6"/>
  <c r="W174" i="6"/>
  <c r="T174" i="7"/>
  <c r="AD174" i="7"/>
  <c r="W504" i="6"/>
  <c r="U174" i="7"/>
  <c r="AE174" i="7"/>
  <c r="V174" i="7"/>
  <c r="AF174" i="7"/>
  <c r="W834" i="6"/>
  <c r="W174" i="7"/>
  <c r="AG174" i="7"/>
  <c r="W1164" i="6"/>
  <c r="X174" i="7"/>
  <c r="AH174" i="7"/>
  <c r="W1494" i="6"/>
  <c r="W173" i="6"/>
  <c r="T173" i="7"/>
  <c r="AD173" i="7" s="1"/>
  <c r="W503" i="6"/>
  <c r="U173" i="7"/>
  <c r="AE173" i="7"/>
  <c r="W833" i="6"/>
  <c r="V173" i="7"/>
  <c r="AF173" i="7" s="1"/>
  <c r="W173" i="7"/>
  <c r="AG173" i="7"/>
  <c r="W1163" i="6"/>
  <c r="X173" i="7"/>
  <c r="AH173" i="7"/>
  <c r="W1493" i="6"/>
  <c r="W172" i="6"/>
  <c r="T172" i="7"/>
  <c r="AD172" i="7"/>
  <c r="U172" i="7"/>
  <c r="AE172" i="7"/>
  <c r="W502" i="6"/>
  <c r="W832" i="6"/>
  <c r="V172" i="7"/>
  <c r="AF172" i="7"/>
  <c r="W1162" i="6"/>
  <c r="W172" i="7"/>
  <c r="AG172" i="7"/>
  <c r="X172" i="7"/>
  <c r="AH172" i="7"/>
  <c r="W1492" i="6"/>
  <c r="W171" i="6"/>
  <c r="T171" i="7"/>
  <c r="AD171" i="7"/>
  <c r="W501" i="6"/>
  <c r="U171" i="7"/>
  <c r="AE171" i="7"/>
  <c r="W831" i="6"/>
  <c r="W1161" i="6"/>
  <c r="W171" i="7"/>
  <c r="AG171" i="7"/>
  <c r="X171" i="7"/>
  <c r="AH171" i="7"/>
  <c r="W1491" i="6"/>
  <c r="W170" i="6"/>
  <c r="T170" i="7"/>
  <c r="AD170" i="7"/>
  <c r="W500" i="6"/>
  <c r="U170" i="7"/>
  <c r="AE170" i="7"/>
  <c r="V170" i="7"/>
  <c r="AF170" i="7"/>
  <c r="W830" i="6"/>
  <c r="W170" i="7"/>
  <c r="AG170" i="7"/>
  <c r="W1160" i="6"/>
  <c r="X170" i="7"/>
  <c r="AH170" i="7"/>
  <c r="W1490" i="6"/>
  <c r="T169" i="7"/>
  <c r="W169" i="6"/>
  <c r="AD169" i="7"/>
  <c r="U169" i="7"/>
  <c r="AE169" i="7"/>
  <c r="W499" i="6"/>
  <c r="W829" i="6"/>
  <c r="V169" i="7"/>
  <c r="AF169" i="7"/>
  <c r="W169" i="7"/>
  <c r="AG169" i="7"/>
  <c r="W1159" i="6"/>
  <c r="X169" i="7"/>
  <c r="AH169" i="7"/>
  <c r="W1489" i="6"/>
  <c r="W168" i="6"/>
  <c r="T168" i="7"/>
  <c r="AD168" i="7"/>
  <c r="W498" i="6"/>
  <c r="U168" i="7"/>
  <c r="AE168" i="7"/>
  <c r="W828" i="6"/>
  <c r="V168" i="7"/>
  <c r="AF168" i="7"/>
  <c r="W168" i="7"/>
  <c r="AG168" i="7"/>
  <c r="W1158" i="6"/>
  <c r="X168" i="7"/>
  <c r="AH168" i="7"/>
  <c r="W1488" i="6"/>
  <c r="T167" i="7"/>
  <c r="AD167" i="7"/>
  <c r="W167" i="6"/>
  <c r="W497" i="6"/>
  <c r="U167" i="7"/>
  <c r="AE167" i="7"/>
  <c r="W827" i="6"/>
  <c r="V167" i="7"/>
  <c r="AF167" i="7"/>
  <c r="W167" i="7"/>
  <c r="AG167" i="7"/>
  <c r="W1157" i="6"/>
  <c r="X167" i="7"/>
  <c r="AH167" i="7"/>
  <c r="W1487" i="6"/>
  <c r="W166" i="6"/>
  <c r="T166" i="7"/>
  <c r="AD166" i="7"/>
  <c r="U166" i="7"/>
  <c r="W496" i="6"/>
  <c r="AE166" i="7"/>
  <c r="V166" i="7"/>
  <c r="AF166" i="7"/>
  <c r="W826" i="6"/>
  <c r="W166" i="7"/>
  <c r="AG166" i="7"/>
  <c r="W1156" i="6"/>
  <c r="X166" i="7"/>
  <c r="AH166" i="7"/>
  <c r="W1486" i="6"/>
  <c r="W165" i="6"/>
  <c r="T165" i="7"/>
  <c r="AD165" i="7"/>
  <c r="W495" i="6"/>
  <c r="U165" i="7"/>
  <c r="AE165" i="7"/>
  <c r="W825" i="6"/>
  <c r="V165" i="7"/>
  <c r="AF165" i="7"/>
  <c r="W1155" i="6"/>
  <c r="W165" i="7"/>
  <c r="AG165" i="7"/>
  <c r="X165" i="7"/>
  <c r="AH165" i="7"/>
  <c r="W1485" i="6"/>
  <c r="W164" i="6"/>
  <c r="T164" i="7"/>
  <c r="AD164" i="7"/>
  <c r="W494" i="6"/>
  <c r="U164" i="7"/>
  <c r="AE164" i="7"/>
  <c r="W824" i="6"/>
  <c r="V164" i="7"/>
  <c r="AF164" i="7"/>
  <c r="W1154" i="6"/>
  <c r="W164" i="7"/>
  <c r="AG164" i="7"/>
  <c r="X164" i="7"/>
  <c r="AH164" i="7"/>
  <c r="W1484" i="6"/>
  <c r="W163" i="6"/>
  <c r="T163" i="7"/>
  <c r="AD163" i="7"/>
  <c r="W493" i="6"/>
  <c r="U163" i="7"/>
  <c r="AE163" i="7"/>
  <c r="V163" i="7"/>
  <c r="AF163" i="7"/>
  <c r="W823" i="6"/>
  <c r="W1153" i="6"/>
  <c r="W163" i="7"/>
  <c r="AG163" i="7"/>
  <c r="X163" i="7"/>
  <c r="AH163" i="7"/>
  <c r="W1483" i="6"/>
  <c r="W142" i="6"/>
  <c r="T142" i="7"/>
  <c r="AD142" i="7"/>
  <c r="U142" i="7"/>
  <c r="W472" i="6"/>
  <c r="AE142" i="7"/>
  <c r="W802" i="6"/>
  <c r="V142" i="7"/>
  <c r="AF142" i="7"/>
  <c r="W1132" i="6"/>
  <c r="W142" i="7"/>
  <c r="AG142" i="7"/>
  <c r="X142" i="7"/>
  <c r="AH142" i="7"/>
  <c r="W1462" i="6"/>
  <c r="W141" i="6"/>
  <c r="T141" i="7"/>
  <c r="AD141" i="7"/>
  <c r="W471" i="6"/>
  <c r="U141" i="7"/>
  <c r="AE141" i="7"/>
  <c r="W801" i="6"/>
  <c r="V141" i="7"/>
  <c r="AF141" i="7"/>
  <c r="W1131" i="6"/>
  <c r="W141" i="7"/>
  <c r="AG141" i="7"/>
  <c r="X141" i="7"/>
  <c r="AH141" i="7"/>
  <c r="W1461" i="6"/>
  <c r="W140" i="6"/>
  <c r="T140" i="7"/>
  <c r="AD140" i="7"/>
  <c r="W470" i="6"/>
  <c r="U140" i="7"/>
  <c r="AE140" i="7"/>
  <c r="V140" i="7"/>
  <c r="AF140" i="7"/>
  <c r="W800" i="6"/>
  <c r="W140" i="7"/>
  <c r="AG140" i="7"/>
  <c r="W1130" i="6"/>
  <c r="X140" i="7"/>
  <c r="AH140" i="7"/>
  <c r="W1460" i="6"/>
  <c r="T139" i="7"/>
  <c r="AD139" i="7"/>
  <c r="W139" i="6"/>
  <c r="W469" i="6"/>
  <c r="U139" i="7"/>
  <c r="AE139" i="7"/>
  <c r="W799" i="6"/>
  <c r="V139" i="7"/>
  <c r="AF139" i="7"/>
  <c r="W1129" i="6"/>
  <c r="W139" i="7"/>
  <c r="AG139" i="7"/>
  <c r="X139" i="7"/>
  <c r="AH139" i="7"/>
  <c r="W1459" i="6"/>
  <c r="T138" i="7"/>
  <c r="AD138" i="7"/>
  <c r="W138" i="6"/>
  <c r="W468" i="6"/>
  <c r="U138" i="7"/>
  <c r="AE138" i="7"/>
  <c r="W798" i="6"/>
  <c r="V138" i="7"/>
  <c r="AF138" i="7"/>
  <c r="W138" i="7"/>
  <c r="AG138" i="7"/>
  <c r="W1128" i="6"/>
  <c r="X138" i="7"/>
  <c r="AH138" i="7"/>
  <c r="W1458" i="6"/>
  <c r="W137" i="6"/>
  <c r="T137" i="7"/>
  <c r="AD137" i="7"/>
  <c r="W467" i="6"/>
  <c r="U137" i="7"/>
  <c r="AE137" i="7"/>
  <c r="V137" i="7"/>
  <c r="AF137" i="7"/>
  <c r="W797" i="6"/>
  <c r="W1127" i="6"/>
  <c r="W137" i="7"/>
  <c r="AG137" i="7"/>
  <c r="X137" i="7"/>
  <c r="AH137" i="7"/>
  <c r="W1457" i="6"/>
  <c r="W136" i="6"/>
  <c r="T136" i="7"/>
  <c r="AD136" i="7"/>
  <c r="W466" i="6"/>
  <c r="U136" i="7"/>
  <c r="AE136" i="7"/>
  <c r="W796" i="6"/>
  <c r="V136" i="7"/>
  <c r="AF136" i="7"/>
  <c r="W1126" i="6"/>
  <c r="W136" i="7"/>
  <c r="AG136" i="7"/>
  <c r="X136" i="7"/>
  <c r="AH136" i="7"/>
  <c r="W1456" i="6"/>
  <c r="W135" i="6"/>
  <c r="T135" i="7"/>
  <c r="AD135" i="7"/>
  <c r="W465" i="6"/>
  <c r="U135" i="7"/>
  <c r="AE135" i="7"/>
  <c r="W795" i="6"/>
  <c r="V135" i="7"/>
  <c r="AF135" i="7"/>
  <c r="W1125" i="6"/>
  <c r="W135" i="7"/>
  <c r="AG135" i="7"/>
  <c r="W1455" i="6"/>
  <c r="X135" i="7"/>
  <c r="AH135" i="7"/>
  <c r="T134" i="7"/>
  <c r="W134" i="6"/>
  <c r="AD134" i="7"/>
  <c r="W464" i="6"/>
  <c r="U134" i="7"/>
  <c r="AE134" i="7"/>
  <c r="V134" i="7"/>
  <c r="AF134" i="7"/>
  <c r="W794" i="6"/>
  <c r="W134" i="7"/>
  <c r="AG134" i="7"/>
  <c r="W1124" i="6"/>
  <c r="X134" i="7"/>
  <c r="AH134" i="7"/>
  <c r="W1454" i="6"/>
  <c r="W133" i="6"/>
  <c r="T133" i="7"/>
  <c r="AD133" i="7"/>
  <c r="W463" i="6"/>
  <c r="U133" i="7"/>
  <c r="AE133" i="7"/>
  <c r="W793" i="6"/>
  <c r="V133" i="7"/>
  <c r="AF133" i="7"/>
  <c r="W1123" i="6"/>
  <c r="W133" i="7"/>
  <c r="AG133" i="7" s="1"/>
  <c r="X133" i="7"/>
  <c r="AH133" i="7"/>
  <c r="W1453" i="6"/>
  <c r="W132" i="6"/>
  <c r="T132" i="7"/>
  <c r="AD132" i="7"/>
  <c r="U132" i="7"/>
  <c r="AE132" i="7"/>
  <c r="W462" i="6"/>
  <c r="V132" i="7"/>
  <c r="AF132" i="7"/>
  <c r="W792" i="6"/>
  <c r="W132" i="7"/>
  <c r="AG132" i="7"/>
  <c r="W1122" i="6"/>
  <c r="X132" i="7"/>
  <c r="AH132" i="7"/>
  <c r="W1452" i="6"/>
  <c r="W131" i="6"/>
  <c r="T131" i="7"/>
  <c r="AD131" i="7"/>
  <c r="W461" i="6"/>
  <c r="U131" i="7"/>
  <c r="AE131" i="7"/>
  <c r="W791" i="6"/>
  <c r="V131" i="7"/>
  <c r="AF131" i="7"/>
  <c r="W131" i="7"/>
  <c r="AG131" i="7"/>
  <c r="W1121" i="6"/>
  <c r="X131" i="7"/>
  <c r="AH131" i="7"/>
  <c r="W1451" i="6"/>
  <c r="W130" i="6"/>
  <c r="T130" i="7"/>
  <c r="AD130" i="7"/>
  <c r="W460" i="6"/>
  <c r="U130" i="7"/>
  <c r="AE130" i="7"/>
  <c r="W790" i="6"/>
  <c r="V130" i="7"/>
  <c r="AF130" i="7"/>
  <c r="W1120" i="6"/>
  <c r="W130" i="7"/>
  <c r="AG130" i="7"/>
  <c r="X130" i="7"/>
  <c r="AH130" i="7"/>
  <c r="W1450" i="6"/>
  <c r="W129" i="6"/>
  <c r="T129" i="7"/>
  <c r="AD129" i="7"/>
  <c r="U129" i="7"/>
  <c r="AE129" i="7"/>
  <c r="W459" i="6"/>
  <c r="W789" i="6"/>
  <c r="V129" i="7"/>
  <c r="AF129" i="7"/>
  <c r="W1119" i="6"/>
  <c r="W129" i="7"/>
  <c r="AG129" i="7"/>
  <c r="X129" i="7"/>
  <c r="AH129" i="7"/>
  <c r="W1449" i="6"/>
  <c r="BV122" i="4"/>
  <c r="BU122" i="4"/>
  <c r="BS122" i="4"/>
  <c r="BY122" i="4"/>
  <c r="BX122" i="4"/>
  <c r="BW122" i="4"/>
  <c r="W128" i="6"/>
  <c r="T128" i="7"/>
  <c r="AD128" i="7"/>
  <c r="W458" i="6"/>
  <c r="U128" i="7"/>
  <c r="AE128" i="7"/>
  <c r="W788" i="6"/>
  <c r="V128" i="7"/>
  <c r="AF128" i="7"/>
  <c r="W1118" i="6"/>
  <c r="W128" i="7"/>
  <c r="AG128" i="7"/>
  <c r="X128" i="7"/>
  <c r="AH128" i="7"/>
  <c r="W1448" i="6"/>
  <c r="W127" i="6"/>
  <c r="T127" i="7"/>
  <c r="AD127" i="7"/>
  <c r="W457" i="6"/>
  <c r="U127" i="7"/>
  <c r="AE127" i="7"/>
  <c r="W787" i="6"/>
  <c r="V127" i="7"/>
  <c r="AF127" i="7"/>
  <c r="W1117" i="6"/>
  <c r="W127" i="7"/>
  <c r="AG127" i="7"/>
  <c r="X127" i="7"/>
  <c r="AH127" i="7"/>
  <c r="W1447" i="6"/>
  <c r="T126" i="7"/>
  <c r="AD126" i="7"/>
  <c r="W126" i="6"/>
  <c r="W456" i="6"/>
  <c r="U126" i="7"/>
  <c r="AE126" i="7"/>
  <c r="V126" i="7"/>
  <c r="W786" i="6"/>
  <c r="AF126" i="7"/>
  <c r="W126" i="7"/>
  <c r="AG126" i="7"/>
  <c r="W1116" i="6"/>
  <c r="X126" i="7"/>
  <c r="AH126" i="7"/>
  <c r="W1446" i="6"/>
  <c r="W125" i="6"/>
  <c r="T125" i="7"/>
  <c r="AD125" i="7"/>
  <c r="W455" i="6"/>
  <c r="U125" i="7"/>
  <c r="AE125" i="7"/>
  <c r="W785" i="6"/>
  <c r="W1115" i="6"/>
  <c r="X125" i="7"/>
  <c r="AH125" i="7"/>
  <c r="W1445" i="6"/>
  <c r="W124" i="6"/>
  <c r="T124" i="7"/>
  <c r="AD124" i="7"/>
  <c r="W454" i="6"/>
  <c r="U124" i="7"/>
  <c r="AE124" i="7"/>
  <c r="V124" i="7"/>
  <c r="AF124" i="7"/>
  <c r="W784" i="6"/>
  <c r="W1114" i="6"/>
  <c r="W124" i="7"/>
  <c r="AG124" i="7"/>
  <c r="X124" i="7"/>
  <c r="AH124" i="7"/>
  <c r="W1444" i="6"/>
  <c r="T123" i="7"/>
  <c r="AD123" i="7"/>
  <c r="W123" i="6"/>
  <c r="W453" i="6"/>
  <c r="U123" i="7"/>
  <c r="AE123" i="7"/>
  <c r="W783" i="6"/>
  <c r="V123" i="7"/>
  <c r="AF123" i="7"/>
  <c r="W123" i="7"/>
  <c r="AG123" i="7"/>
  <c r="W1113" i="6"/>
  <c r="X123" i="7"/>
  <c r="AH123" i="7"/>
  <c r="W1443" i="6"/>
  <c r="W122" i="6"/>
  <c r="T122" i="7"/>
  <c r="AD122" i="7"/>
  <c r="W452" i="6"/>
  <c r="U122" i="7"/>
  <c r="AE122" i="7"/>
  <c r="W782" i="6"/>
  <c r="V122" i="7"/>
  <c r="AF122" i="7"/>
  <c r="W122" i="7"/>
  <c r="AG122" i="7"/>
  <c r="W1112" i="6"/>
  <c r="X122" i="7"/>
  <c r="AH122" i="7"/>
  <c r="W1442" i="6"/>
  <c r="W121" i="6"/>
  <c r="T121" i="7"/>
  <c r="AD121" i="7"/>
  <c r="W451" i="6"/>
  <c r="U121" i="7"/>
  <c r="AE121" i="7"/>
  <c r="V121" i="7"/>
  <c r="AF121" i="7"/>
  <c r="W781" i="6"/>
  <c r="W1111" i="6"/>
  <c r="W121" i="7"/>
  <c r="AG121" i="7"/>
  <c r="X121" i="7"/>
  <c r="AH121" i="7"/>
  <c r="W1441" i="6"/>
  <c r="W120" i="6"/>
  <c r="T120" i="7"/>
  <c r="AD120" i="7"/>
  <c r="W450" i="6"/>
  <c r="U120" i="7"/>
  <c r="AE120" i="7"/>
  <c r="V120" i="7"/>
  <c r="AF120" i="7"/>
  <c r="W780" i="6"/>
  <c r="W120" i="7"/>
  <c r="AG120" i="7"/>
  <c r="W1110" i="6"/>
  <c r="X120" i="7"/>
  <c r="AH120" i="7"/>
  <c r="W1440" i="6"/>
  <c r="W119" i="6"/>
  <c r="T119" i="7"/>
  <c r="AD119" i="7"/>
  <c r="U119" i="7"/>
  <c r="AE119" i="7" s="1"/>
  <c r="W449" i="6"/>
  <c r="W779" i="6"/>
  <c r="W119" i="7"/>
  <c r="AG119" i="7"/>
  <c r="W1109" i="6"/>
  <c r="X119" i="7"/>
  <c r="AH119" i="7"/>
  <c r="W1439" i="6"/>
  <c r="W118" i="6"/>
  <c r="T118" i="7"/>
  <c r="AD118" i="7"/>
  <c r="U118" i="7"/>
  <c r="AE118" i="7"/>
  <c r="W448" i="6"/>
  <c r="V118" i="7"/>
  <c r="AF118" i="7"/>
  <c r="W778" i="6"/>
  <c r="W1108" i="6"/>
  <c r="W118" i="7"/>
  <c r="AG118" i="7"/>
  <c r="X118" i="7"/>
  <c r="AH118" i="7"/>
  <c r="W1438" i="6"/>
  <c r="W117" i="6"/>
  <c r="T117" i="7"/>
  <c r="AD117" i="7"/>
  <c r="W447" i="6"/>
  <c r="U117" i="7"/>
  <c r="AE117" i="7"/>
  <c r="W777" i="6"/>
  <c r="V117" i="7"/>
  <c r="AF117" i="7"/>
  <c r="W1107" i="6"/>
  <c r="W117" i="7"/>
  <c r="AG117" i="7"/>
  <c r="X117" i="7"/>
  <c r="AH117" i="7"/>
  <c r="W1437" i="6"/>
  <c r="W116" i="6"/>
  <c r="T116" i="7"/>
  <c r="AD116" i="7"/>
  <c r="W446" i="6"/>
  <c r="U116" i="7"/>
  <c r="AE116" i="7"/>
  <c r="W776" i="6"/>
  <c r="V116" i="7"/>
  <c r="AF116" i="7"/>
  <c r="W1106" i="6"/>
  <c r="W116" i="7"/>
  <c r="AG116" i="7"/>
  <c r="X116" i="7"/>
  <c r="AH116" i="7"/>
  <c r="W1436" i="6"/>
  <c r="W115" i="6"/>
  <c r="T115" i="7"/>
  <c r="AD115" i="7"/>
  <c r="W445" i="6"/>
  <c r="U115" i="7"/>
  <c r="AE115" i="7"/>
  <c r="W775" i="6"/>
  <c r="V115" i="7"/>
  <c r="AF115" i="7"/>
  <c r="W1105" i="6"/>
  <c r="W115" i="7"/>
  <c r="AG115" i="7"/>
  <c r="X115" i="7"/>
  <c r="AH115" i="7"/>
  <c r="W1435" i="6"/>
  <c r="T114" i="7"/>
  <c r="W114" i="6"/>
  <c r="AD114" i="7"/>
  <c r="U114" i="7"/>
  <c r="AE114" i="7"/>
  <c r="W444" i="6"/>
  <c r="W774" i="6"/>
  <c r="V114" i="7"/>
  <c r="AF114" i="7"/>
  <c r="W1104" i="6"/>
  <c r="W114" i="7"/>
  <c r="AG114" i="7"/>
  <c r="W1434" i="6"/>
  <c r="X114" i="7"/>
  <c r="AH114" i="7"/>
  <c r="W113" i="6"/>
  <c r="T113" i="7"/>
  <c r="AD113" i="7"/>
  <c r="W443" i="6"/>
  <c r="U113" i="7"/>
  <c r="AE113" i="7"/>
  <c r="W773" i="6"/>
  <c r="V113" i="7"/>
  <c r="AF113" i="7"/>
  <c r="W1103" i="6"/>
  <c r="W113" i="7"/>
  <c r="AG113" i="7"/>
  <c r="X113" i="7"/>
  <c r="AH113" i="7"/>
  <c r="W1433" i="6"/>
  <c r="W112" i="6"/>
  <c r="T112" i="7"/>
  <c r="AD112" i="7"/>
  <c r="W442" i="6"/>
  <c r="U112" i="7"/>
  <c r="AE112" i="7"/>
  <c r="W772" i="6"/>
  <c r="V112" i="7"/>
  <c r="AF112" i="7"/>
  <c r="W1102" i="6"/>
  <c r="W112" i="7"/>
  <c r="AG112" i="7"/>
  <c r="W1432" i="6"/>
  <c r="X112" i="7"/>
  <c r="AH112" i="7"/>
  <c r="T111" i="7"/>
  <c r="AD111" i="7"/>
  <c r="W111" i="6"/>
  <c r="U111" i="7"/>
  <c r="AE111" i="7"/>
  <c r="W441" i="6"/>
  <c r="W771" i="6"/>
  <c r="V111" i="7"/>
  <c r="AF111" i="7"/>
  <c r="W1101" i="6"/>
  <c r="W111" i="7"/>
  <c r="AG111" i="7"/>
  <c r="X111" i="7"/>
  <c r="AH111" i="7"/>
  <c r="W1431" i="6"/>
  <c r="W110" i="6"/>
  <c r="T110" i="7"/>
  <c r="AD110" i="7" s="1"/>
  <c r="W440" i="6"/>
  <c r="U110" i="7"/>
  <c r="AE110" i="7"/>
  <c r="V110" i="7"/>
  <c r="AF110" i="7"/>
  <c r="W770" i="6"/>
  <c r="W110" i="7"/>
  <c r="AG110" i="7"/>
  <c r="W1100" i="6"/>
  <c r="X110" i="7"/>
  <c r="AH110" i="7"/>
  <c r="W1430" i="6"/>
  <c r="T109" i="7"/>
  <c r="W109" i="6"/>
  <c r="AD109" i="7"/>
  <c r="U109" i="7"/>
  <c r="AE109" i="7"/>
  <c r="W439" i="6"/>
  <c r="W769" i="6"/>
  <c r="V109" i="7"/>
  <c r="AF109" i="7"/>
  <c r="W1099" i="6"/>
  <c r="W109" i="7"/>
  <c r="AG109" i="7"/>
  <c r="X109" i="7"/>
  <c r="AH109" i="7"/>
  <c r="W1429" i="6"/>
  <c r="W108" i="6"/>
  <c r="U108" i="7"/>
  <c r="AE108" i="7"/>
  <c r="W438" i="6"/>
  <c r="W768" i="6"/>
  <c r="V108" i="7"/>
  <c r="AF108" i="7"/>
  <c r="W1098" i="6"/>
  <c r="W108" i="7"/>
  <c r="AG108" i="7"/>
  <c r="X108" i="7"/>
  <c r="AH108" i="7"/>
  <c r="W1428" i="6"/>
  <c r="W107" i="6"/>
  <c r="T107" i="7"/>
  <c r="W267" i="6" s="1"/>
  <c r="AD107" i="7"/>
  <c r="W437" i="6"/>
  <c r="U107" i="7"/>
  <c r="W597" i="6" s="1"/>
  <c r="AE107" i="7"/>
  <c r="V107" i="7"/>
  <c r="W927" i="6" s="1"/>
  <c r="AF107" i="7"/>
  <c r="W767" i="6"/>
  <c r="W107" i="7"/>
  <c r="W1257" i="6" s="1"/>
  <c r="AG107" i="7"/>
  <c r="W1097" i="6"/>
  <c r="W1427" i="6"/>
  <c r="X107" i="7"/>
  <c r="W106" i="6"/>
  <c r="T106" i="7"/>
  <c r="W266" i="6" s="1"/>
  <c r="AD106" i="7"/>
  <c r="W436" i="6"/>
  <c r="U106" i="7"/>
  <c r="W596" i="6" s="1"/>
  <c r="AE106" i="7"/>
  <c r="W766" i="6"/>
  <c r="V106" i="7"/>
  <c r="W926" i="6" s="1"/>
  <c r="AF106" i="7"/>
  <c r="W1096" i="6"/>
  <c r="W106" i="7"/>
  <c r="W1256" i="6" s="1"/>
  <c r="AG106" i="7"/>
  <c r="X106" i="7"/>
  <c r="W1586" i="6" s="1"/>
  <c r="AH106" i="7"/>
  <c r="W1426" i="6"/>
  <c r="W105" i="6"/>
  <c r="T105" i="7"/>
  <c r="W265" i="6" s="1"/>
  <c r="AD105" i="7"/>
  <c r="W435" i="6"/>
  <c r="U105" i="7"/>
  <c r="W595" i="6" s="1"/>
  <c r="AE105" i="7"/>
  <c r="W765" i="6"/>
  <c r="V105" i="7"/>
  <c r="W925" i="6" s="1"/>
  <c r="AF105" i="7"/>
  <c r="W105" i="7"/>
  <c r="W1255" i="6" s="1"/>
  <c r="AG105" i="7"/>
  <c r="W1095" i="6"/>
  <c r="X105" i="7"/>
  <c r="W1585" i="6" s="1"/>
  <c r="AH105" i="7"/>
  <c r="W1425" i="6"/>
  <c r="W104" i="6"/>
  <c r="T104" i="7"/>
  <c r="W434" i="6"/>
  <c r="U104" i="7"/>
  <c r="W594" i="6" s="1"/>
  <c r="AE104" i="7"/>
  <c r="V104" i="7"/>
  <c r="W924" i="6" s="1"/>
  <c r="AF104" i="7"/>
  <c r="W764" i="6"/>
  <c r="W104" i="7"/>
  <c r="W1254" i="6" s="1"/>
  <c r="AG104" i="7"/>
  <c r="W1094" i="6"/>
  <c r="X104" i="7"/>
  <c r="W1584" i="6" s="1"/>
  <c r="AH104" i="7"/>
  <c r="W1424" i="6"/>
  <c r="T103" i="7"/>
  <c r="W263" i="6" s="1"/>
  <c r="AD103" i="7"/>
  <c r="W103" i="6"/>
  <c r="W433" i="6"/>
  <c r="U103" i="7"/>
  <c r="W593" i="6" s="1"/>
  <c r="AE103" i="7"/>
  <c r="W763" i="6"/>
  <c r="V103" i="7"/>
  <c r="W923" i="6" s="1"/>
  <c r="AF103" i="7"/>
  <c r="W1093" i="6"/>
  <c r="W103" i="7"/>
  <c r="W1253" i="6" s="1"/>
  <c r="AG103" i="7"/>
  <c r="X103" i="7"/>
  <c r="W1583" i="6" s="1"/>
  <c r="AH103" i="7"/>
  <c r="W1423" i="6"/>
  <c r="T102" i="7"/>
  <c r="W262" i="6" s="1"/>
  <c r="W102" i="6"/>
  <c r="AD102" i="7"/>
  <c r="U102" i="7"/>
  <c r="W592" i="6" s="1"/>
  <c r="AE102" i="7"/>
  <c r="W432" i="6"/>
  <c r="W762" i="6"/>
  <c r="V102" i="7"/>
  <c r="W922" i="6" s="1"/>
  <c r="AF102" i="7"/>
  <c r="W1092" i="6"/>
  <c r="W102" i="7"/>
  <c r="W1252" i="6" s="1"/>
  <c r="AG102" i="7"/>
  <c r="X102" i="7"/>
  <c r="W1582" i="6" s="1"/>
  <c r="AH102" i="7"/>
  <c r="W1422" i="6"/>
  <c r="W101" i="6"/>
  <c r="T101" i="7"/>
  <c r="W261" i="6" s="1"/>
  <c r="AD101" i="7"/>
  <c r="U101" i="7"/>
  <c r="W591" i="6" s="1"/>
  <c r="AE101" i="7"/>
  <c r="W431" i="6"/>
  <c r="W761" i="6"/>
  <c r="V101" i="7"/>
  <c r="W921" i="6" s="1"/>
  <c r="AF101" i="7"/>
  <c r="W1091" i="6"/>
  <c r="W101" i="7"/>
  <c r="W1251" i="6" s="1"/>
  <c r="AG101" i="7"/>
  <c r="X101" i="7"/>
  <c r="W1581" i="6" s="1"/>
  <c r="AH101" i="7"/>
  <c r="W1421" i="6"/>
  <c r="W100" i="6"/>
  <c r="T100" i="7"/>
  <c r="W260" i="6" s="1"/>
  <c r="AD100" i="7"/>
  <c r="W430" i="6"/>
  <c r="U100" i="7"/>
  <c r="W590" i="6" s="1"/>
  <c r="AE100" i="7"/>
  <c r="W760" i="6"/>
  <c r="V100" i="7"/>
  <c r="W920" i="6" s="1"/>
  <c r="AF100" i="7"/>
  <c r="W1090" i="6"/>
  <c r="W100" i="7"/>
  <c r="W1250" i="6" s="1"/>
  <c r="AG100" i="7"/>
  <c r="W1420" i="6"/>
  <c r="X100" i="7"/>
  <c r="W1580" i="6" s="1"/>
  <c r="AH100" i="7"/>
  <c r="W99" i="6"/>
  <c r="T99" i="7"/>
  <c r="W259" i="6" s="1"/>
  <c r="AD99" i="7"/>
  <c r="W429" i="6"/>
  <c r="U99" i="7"/>
  <c r="W589" i="6" s="1"/>
  <c r="AE99" i="7"/>
  <c r="W759" i="6"/>
  <c r="V99" i="7"/>
  <c r="W919" i="6" s="1"/>
  <c r="AF99" i="7"/>
  <c r="W99" i="7"/>
  <c r="W1249" i="6" s="1"/>
  <c r="AG99" i="7"/>
  <c r="W1089" i="6"/>
  <c r="X99" i="7"/>
  <c r="W1579" i="6" s="1"/>
  <c r="AH99" i="7"/>
  <c r="W1419" i="6"/>
  <c r="W98" i="6"/>
  <c r="T98" i="7"/>
  <c r="W258" i="6" s="1"/>
  <c r="AD98" i="7"/>
  <c r="W428" i="6"/>
  <c r="U98" i="7"/>
  <c r="W588" i="6" s="1"/>
  <c r="AE98" i="7"/>
  <c r="W758" i="6"/>
  <c r="V98" i="7"/>
  <c r="W918" i="6" s="1"/>
  <c r="AF98" i="7"/>
  <c r="W98" i="7"/>
  <c r="W1248" i="6" s="1"/>
  <c r="AG98" i="7"/>
  <c r="W1088" i="6"/>
  <c r="X98" i="7"/>
  <c r="W1578" i="6" s="1"/>
  <c r="AH98" i="7"/>
  <c r="W1418" i="6"/>
  <c r="W97" i="6"/>
  <c r="T97" i="7"/>
  <c r="W257" i="6" s="1"/>
  <c r="AD97" i="7"/>
  <c r="W427" i="6"/>
  <c r="U97" i="7"/>
  <c r="W757" i="6"/>
  <c r="V97" i="7"/>
  <c r="W917" i="6" s="1"/>
  <c r="AF97" i="7"/>
  <c r="W1087" i="6"/>
  <c r="W97" i="7"/>
  <c r="W1247" i="6" s="1"/>
  <c r="AG97" i="7"/>
  <c r="X97" i="7"/>
  <c r="W1577" i="6" s="1"/>
  <c r="AH97" i="7"/>
  <c r="W1417" i="6"/>
  <c r="W96" i="6"/>
  <c r="T96" i="7"/>
  <c r="AD96" i="7"/>
  <c r="U96" i="7"/>
  <c r="W426" i="6"/>
  <c r="AE96" i="7"/>
  <c r="V96" i="7"/>
  <c r="AF96" i="7"/>
  <c r="W756" i="6"/>
  <c r="W96" i="7"/>
  <c r="AG96" i="7"/>
  <c r="W1086" i="6"/>
  <c r="X96" i="7"/>
  <c r="AH96" i="7"/>
  <c r="W1416" i="6"/>
  <c r="T95" i="7"/>
  <c r="W95" i="6"/>
  <c r="AD95" i="7"/>
  <c r="W425" i="6"/>
  <c r="U95" i="7"/>
  <c r="AE95" i="7"/>
  <c r="W755" i="6"/>
  <c r="V95" i="7"/>
  <c r="AF95" i="7"/>
  <c r="W95" i="7"/>
  <c r="AG95" i="7"/>
  <c r="W1085" i="6"/>
  <c r="X95" i="7"/>
  <c r="AH95" i="7"/>
  <c r="W1415" i="6"/>
  <c r="W94" i="6"/>
  <c r="T94" i="7"/>
  <c r="W256" i="6" s="1"/>
  <c r="AD94" i="7"/>
  <c r="W424" i="6"/>
  <c r="U94" i="7"/>
  <c r="W586" i="6" s="1"/>
  <c r="AE94" i="7"/>
  <c r="W754" i="6"/>
  <c r="V94" i="7"/>
  <c r="W916" i="6" s="1"/>
  <c r="AF94" i="7"/>
  <c r="W1084" i="6"/>
  <c r="W94" i="7"/>
  <c r="W1246" i="6" s="1"/>
  <c r="AG94" i="7"/>
  <c r="X94" i="7"/>
  <c r="W1576" i="6" s="1"/>
  <c r="AH94" i="7"/>
  <c r="W1414" i="6"/>
  <c r="W93" i="6"/>
  <c r="T93" i="7"/>
  <c r="W255" i="6" s="1"/>
  <c r="AD93" i="7"/>
  <c r="W423" i="6"/>
  <c r="U93" i="7"/>
  <c r="W585" i="6" s="1"/>
  <c r="AE93" i="7"/>
  <c r="W753" i="6"/>
  <c r="V93" i="7"/>
  <c r="W915" i="6" s="1"/>
  <c r="AF93" i="7"/>
  <c r="W1083" i="6"/>
  <c r="W93" i="7"/>
  <c r="W1245" i="6" s="1"/>
  <c r="AG93" i="7"/>
  <c r="X93" i="7"/>
  <c r="W1575" i="6" s="1"/>
  <c r="AH93" i="7"/>
  <c r="W1413" i="6"/>
  <c r="W92" i="6"/>
  <c r="T92" i="7"/>
  <c r="W254" i="6" s="1"/>
  <c r="AD92" i="7"/>
  <c r="W422" i="6"/>
  <c r="U92" i="7"/>
  <c r="W584" i="6" s="1"/>
  <c r="AE92" i="7"/>
  <c r="W752" i="6"/>
  <c r="V92" i="7"/>
  <c r="W914" i="6" s="1"/>
  <c r="AF92" i="7"/>
  <c r="W92" i="7"/>
  <c r="W1244" i="6" s="1"/>
  <c r="W1082" i="6"/>
  <c r="AG92" i="7"/>
  <c r="X92" i="7"/>
  <c r="W1574" i="6" s="1"/>
  <c r="AH92" i="7"/>
  <c r="W1412" i="6"/>
  <c r="W91" i="6"/>
  <c r="T91" i="7"/>
  <c r="W253" i="6" s="1"/>
  <c r="AD91" i="7"/>
  <c r="W421" i="6"/>
  <c r="U91" i="7"/>
  <c r="W583" i="6" s="1"/>
  <c r="AE91" i="7"/>
  <c r="W751" i="6"/>
  <c r="V91" i="7"/>
  <c r="W913" i="6" s="1"/>
  <c r="AF91" i="7"/>
  <c r="W91" i="7"/>
  <c r="W1243" i="6" s="1"/>
  <c r="AG91" i="7"/>
  <c r="W1081" i="6"/>
  <c r="X91" i="7"/>
  <c r="W1573" i="6" s="1"/>
  <c r="AH91" i="7"/>
  <c r="W1411" i="6"/>
  <c r="W90" i="6"/>
  <c r="T90" i="7"/>
  <c r="W252" i="6" s="1"/>
  <c r="AD90" i="7"/>
  <c r="W420" i="6"/>
  <c r="U90" i="7"/>
  <c r="W582" i="6" s="1"/>
  <c r="AE90" i="7"/>
  <c r="W750" i="6"/>
  <c r="V90" i="7"/>
  <c r="W912" i="6" s="1"/>
  <c r="AF90" i="7"/>
  <c r="W90" i="7"/>
  <c r="W1242" i="6" s="1"/>
  <c r="AG90" i="7"/>
  <c r="W1080" i="6"/>
  <c r="X90" i="7"/>
  <c r="W1572" i="6" s="1"/>
  <c r="AH90" i="7"/>
  <c r="W1410" i="6"/>
  <c r="W89" i="6"/>
  <c r="T89" i="7"/>
  <c r="W251" i="6" s="1"/>
  <c r="AD89" i="7"/>
  <c r="W419" i="6"/>
  <c r="U89" i="7"/>
  <c r="W581" i="6" s="1"/>
  <c r="AE89" i="7"/>
  <c r="W749" i="6"/>
  <c r="V89" i="7"/>
  <c r="W911" i="6" s="1"/>
  <c r="AF89" i="7"/>
  <c r="W1079" i="6"/>
  <c r="W89" i="7"/>
  <c r="W1241" i="6" s="1"/>
  <c r="AG89" i="7"/>
  <c r="X89" i="7"/>
  <c r="W1571" i="6" s="1"/>
  <c r="AH89" i="7"/>
  <c r="W1409" i="6"/>
  <c r="W88" i="6"/>
  <c r="T88" i="7"/>
  <c r="W250" i="6" s="1"/>
  <c r="AD88" i="7"/>
  <c r="U88" i="7"/>
  <c r="W580" i="6" s="1"/>
  <c r="W418" i="6"/>
  <c r="AE88" i="7"/>
  <c r="V88" i="7"/>
  <c r="W910" i="6" s="1"/>
  <c r="AF88" i="7"/>
  <c r="W748" i="6"/>
  <c r="W88" i="7"/>
  <c r="W1240" i="6" s="1"/>
  <c r="AG88" i="7"/>
  <c r="W1078" i="6"/>
  <c r="X88" i="7"/>
  <c r="W1570" i="6" s="1"/>
  <c r="AH88" i="7"/>
  <c r="W1408" i="6"/>
  <c r="W87" i="6"/>
  <c r="T87" i="7"/>
  <c r="W249" i="6" s="1"/>
  <c r="AD87" i="7"/>
  <c r="W417" i="6"/>
  <c r="U87" i="7"/>
  <c r="W579" i="6" s="1"/>
  <c r="AE87" i="7"/>
  <c r="W747" i="6"/>
  <c r="V87" i="7"/>
  <c r="W909" i="6" s="1"/>
  <c r="AF87" i="7"/>
  <c r="W1077" i="6"/>
  <c r="W87" i="7"/>
  <c r="W1239" i="6" s="1"/>
  <c r="AG87" i="7"/>
  <c r="X87" i="7"/>
  <c r="W1569" i="6" s="1"/>
  <c r="AH87" i="7"/>
  <c r="W1407" i="6"/>
  <c r="W86" i="6"/>
  <c r="T86" i="7"/>
  <c r="W248" i="6" s="1"/>
  <c r="AD86" i="7"/>
  <c r="W416" i="6"/>
  <c r="U86" i="7"/>
  <c r="W578" i="6" s="1"/>
  <c r="AE86" i="7"/>
  <c r="W746" i="6"/>
  <c r="V86" i="7"/>
  <c r="W908" i="6" s="1"/>
  <c r="AF86" i="7"/>
  <c r="W1076" i="6"/>
  <c r="W86" i="7"/>
  <c r="W1238" i="6" s="1"/>
  <c r="AG86" i="7"/>
  <c r="X86" i="7"/>
  <c r="W1568" i="6" s="1"/>
  <c r="AH86" i="7"/>
  <c r="W1406" i="6"/>
  <c r="W85" i="6"/>
  <c r="T85" i="7"/>
  <c r="W247" i="6" s="1"/>
  <c r="AD85" i="7"/>
  <c r="W415" i="6"/>
  <c r="U85" i="7"/>
  <c r="W577" i="6" s="1"/>
  <c r="AE85" i="7"/>
  <c r="W745" i="6"/>
  <c r="V85" i="7"/>
  <c r="W907" i="6" s="1"/>
  <c r="AF85" i="7"/>
  <c r="W1075" i="6"/>
  <c r="W85" i="7"/>
  <c r="W1237" i="6" s="1"/>
  <c r="AG85" i="7"/>
  <c r="W1405" i="6"/>
  <c r="X85" i="7"/>
  <c r="W1567" i="6" s="1"/>
  <c r="AH85" i="7"/>
  <c r="W84" i="6"/>
  <c r="T84" i="7"/>
  <c r="W246" i="6" s="1"/>
  <c r="AD84" i="7"/>
  <c r="W414" i="6"/>
  <c r="U84" i="7"/>
  <c r="W576" i="6" s="1"/>
  <c r="AE84" i="7"/>
  <c r="W744" i="6"/>
  <c r="V84" i="7"/>
  <c r="W906" i="6" s="1"/>
  <c r="AF84" i="7"/>
  <c r="W1074" i="6"/>
  <c r="W84" i="7"/>
  <c r="W1236" i="6" s="1"/>
  <c r="AG84" i="7"/>
  <c r="X84" i="7"/>
  <c r="W1566" i="6" s="1"/>
  <c r="AH84" i="7"/>
  <c r="W1404" i="6"/>
  <c r="T83" i="7"/>
  <c r="W245" i="6" s="1"/>
  <c r="AD83" i="7"/>
  <c r="W83" i="6"/>
  <c r="U83" i="7"/>
  <c r="W575" i="6" s="1"/>
  <c r="AE83" i="7"/>
  <c r="W413" i="6"/>
  <c r="V83" i="7"/>
  <c r="W905" i="6" s="1"/>
  <c r="AF83" i="7"/>
  <c r="W743" i="6"/>
  <c r="W83" i="7"/>
  <c r="W1073" i="6"/>
  <c r="X83" i="7"/>
  <c r="W1565" i="6" s="1"/>
  <c r="AH83" i="7"/>
  <c r="W1403" i="6"/>
  <c r="W82" i="6"/>
  <c r="T82" i="7"/>
  <c r="W244" i="6" s="1"/>
  <c r="AD82" i="7"/>
  <c r="W412" i="6"/>
  <c r="U82" i="7"/>
  <c r="W574" i="6" s="1"/>
  <c r="AE82" i="7"/>
  <c r="W742" i="6"/>
  <c r="V82" i="7"/>
  <c r="W904" i="6" s="1"/>
  <c r="AF82" i="7"/>
  <c r="W1072" i="6"/>
  <c r="W82" i="7"/>
  <c r="W1234" i="6" s="1"/>
  <c r="AG82" i="7"/>
  <c r="X82" i="7"/>
  <c r="W1564" i="6" s="1"/>
  <c r="AH82" i="7"/>
  <c r="W1402" i="6"/>
  <c r="W81" i="6"/>
  <c r="T81" i="7"/>
  <c r="W243" i="6" s="1"/>
  <c r="AD81" i="7"/>
  <c r="U81" i="7"/>
  <c r="W573" i="6" s="1"/>
  <c r="AE81" i="7"/>
  <c r="W411" i="6"/>
  <c r="W741" i="6"/>
  <c r="V81" i="7"/>
  <c r="W903" i="6" s="1"/>
  <c r="AF81" i="7"/>
  <c r="W81" i="7"/>
  <c r="W1233" i="6" s="1"/>
  <c r="AG81" i="7"/>
  <c r="W1071" i="6"/>
  <c r="X81" i="7"/>
  <c r="W1563" i="6" s="1"/>
  <c r="AH81" i="7"/>
  <c r="W1401" i="6"/>
  <c r="W80" i="6"/>
  <c r="T80" i="7"/>
  <c r="W242" i="6" s="1"/>
  <c r="AD80" i="7"/>
  <c r="W410" i="6"/>
  <c r="U80" i="7"/>
  <c r="W572" i="6" s="1"/>
  <c r="AE80" i="7"/>
  <c r="V80" i="7"/>
  <c r="W902" i="6" s="1"/>
  <c r="AF80" i="7"/>
  <c r="W740" i="6"/>
  <c r="W80" i="7"/>
  <c r="W1232" i="6" s="1"/>
  <c r="AG80" i="7"/>
  <c r="W1070" i="6"/>
  <c r="X80" i="7"/>
  <c r="W1562" i="6" s="1"/>
  <c r="AH80" i="7"/>
  <c r="W1400" i="6"/>
  <c r="W79" i="6"/>
  <c r="T79" i="7"/>
  <c r="W241" i="6" s="1"/>
  <c r="AD79" i="7"/>
  <c r="W409" i="6"/>
  <c r="U79" i="7"/>
  <c r="W571" i="6" s="1"/>
  <c r="AE79" i="7"/>
  <c r="W739" i="6"/>
  <c r="V79" i="7"/>
  <c r="W901" i="6" s="1"/>
  <c r="AF79" i="7"/>
  <c r="W79" i="7"/>
  <c r="W1231" i="6" s="1"/>
  <c r="AG79" i="7"/>
  <c r="W1069" i="6"/>
  <c r="X79" i="7"/>
  <c r="W1561" i="6" s="1"/>
  <c r="AH79" i="7"/>
  <c r="W1399" i="6"/>
  <c r="W78" i="6"/>
  <c r="T78" i="7"/>
  <c r="W240" i="6" s="1"/>
  <c r="AD78" i="7"/>
  <c r="W408" i="6"/>
  <c r="U78" i="7"/>
  <c r="W570" i="6" s="1"/>
  <c r="AE78" i="7"/>
  <c r="V78" i="7"/>
  <c r="W900" i="6" s="1"/>
  <c r="AF78" i="7"/>
  <c r="W738" i="6"/>
  <c r="W78" i="7"/>
  <c r="W1230" i="6" s="1"/>
  <c r="AG78" i="7"/>
  <c r="W1068" i="6"/>
  <c r="X78" i="7"/>
  <c r="AH78" i="7"/>
  <c r="W1398" i="6"/>
  <c r="W77" i="6"/>
  <c r="T77" i="7"/>
  <c r="W239" i="6" s="1"/>
  <c r="AD77" i="7"/>
  <c r="W407" i="6"/>
  <c r="U77" i="7"/>
  <c r="W569" i="6" s="1"/>
  <c r="AE77" i="7"/>
  <c r="W737" i="6"/>
  <c r="V77" i="7"/>
  <c r="W899" i="6" s="1"/>
  <c r="AF77" i="7"/>
  <c r="W1067" i="6"/>
  <c r="W77" i="7"/>
  <c r="W1229" i="6" s="1"/>
  <c r="AG77" i="7"/>
  <c r="X77" i="7"/>
  <c r="W1559" i="6" s="1"/>
  <c r="AH77" i="7"/>
  <c r="W1397" i="6"/>
  <c r="W76" i="6"/>
  <c r="T76" i="7"/>
  <c r="W238" i="6" s="1"/>
  <c r="AD76" i="7"/>
  <c r="W406" i="6"/>
  <c r="U76" i="7"/>
  <c r="W568" i="6" s="1"/>
  <c r="AE76" i="7"/>
  <c r="W736" i="6"/>
  <c r="V76" i="7"/>
  <c r="W898" i="6" s="1"/>
  <c r="AF76" i="7"/>
  <c r="W76" i="7"/>
  <c r="W1228" i="6" s="1"/>
  <c r="AG76" i="7"/>
  <c r="W1066" i="6"/>
  <c r="X76" i="7"/>
  <c r="W1558" i="6" s="1"/>
  <c r="AH76" i="7"/>
  <c r="W1396" i="6"/>
  <c r="W75" i="6"/>
  <c r="T75" i="7"/>
  <c r="W237" i="6" s="1"/>
  <c r="AD75" i="7"/>
  <c r="W405" i="6"/>
  <c r="U75" i="7"/>
  <c r="W567" i="6" s="1"/>
  <c r="AE75" i="7"/>
  <c r="V75" i="7"/>
  <c r="W897" i="6" s="1"/>
  <c r="AF75" i="7"/>
  <c r="W735" i="6"/>
  <c r="W1065" i="6"/>
  <c r="W75" i="7"/>
  <c r="X75" i="7"/>
  <c r="W1557" i="6" s="1"/>
  <c r="AH75" i="7"/>
  <c r="W1395" i="6"/>
  <c r="T74" i="7"/>
  <c r="W236" i="6" s="1"/>
  <c r="AD74" i="7"/>
  <c r="W74" i="6"/>
  <c r="W404" i="6"/>
  <c r="U74" i="7"/>
  <c r="W566" i="6" s="1"/>
  <c r="AE74" i="7"/>
  <c r="V74" i="7"/>
  <c r="W896" i="6" s="1"/>
  <c r="AF74" i="7"/>
  <c r="W734" i="6"/>
  <c r="W74" i="7"/>
  <c r="W1226" i="6" s="1"/>
  <c r="AG74" i="7"/>
  <c r="W1064" i="6"/>
  <c r="X74" i="7"/>
  <c r="W1556" i="6" s="1"/>
  <c r="AH74" i="7"/>
  <c r="W1394" i="6"/>
  <c r="T73" i="7"/>
  <c r="W235" i="6" s="1"/>
  <c r="AD73" i="7"/>
  <c r="W73" i="6"/>
  <c r="U73" i="7"/>
  <c r="W565" i="6" s="1"/>
  <c r="AE73" i="7"/>
  <c r="W403" i="6"/>
  <c r="V73" i="7"/>
  <c r="W895" i="6" s="1"/>
  <c r="AF73" i="7"/>
  <c r="W733" i="6"/>
  <c r="W73" i="7"/>
  <c r="W1225" i="6" s="1"/>
  <c r="AG73" i="7"/>
  <c r="W1063" i="6"/>
  <c r="X73" i="7"/>
  <c r="W1555" i="6" s="1"/>
  <c r="AH73" i="7"/>
  <c r="W1393" i="6"/>
  <c r="W72" i="6"/>
  <c r="T72" i="7"/>
  <c r="W234" i="6" s="1"/>
  <c r="AD72" i="7"/>
  <c r="W402" i="6"/>
  <c r="U72" i="7"/>
  <c r="W564" i="6" s="1"/>
  <c r="AE72" i="7"/>
  <c r="W732" i="6"/>
  <c r="V72" i="7"/>
  <c r="W894" i="6" s="1"/>
  <c r="AF72" i="7"/>
  <c r="W1062" i="6"/>
  <c r="W72" i="7"/>
  <c r="W1224" i="6" s="1"/>
  <c r="AG72" i="7"/>
  <c r="X72" i="7"/>
  <c r="W1554" i="6" s="1"/>
  <c r="AH72" i="7"/>
  <c r="W1392" i="6"/>
  <c r="T71" i="7"/>
  <c r="W233" i="6" s="1"/>
  <c r="W71" i="6"/>
  <c r="AD71" i="7"/>
  <c r="W401" i="6"/>
  <c r="U71" i="7"/>
  <c r="W563" i="6" s="1"/>
  <c r="AE71" i="7"/>
  <c r="V71" i="7"/>
  <c r="W893" i="6" s="1"/>
  <c r="AF71" i="7"/>
  <c r="W731" i="6"/>
  <c r="W1061" i="6"/>
  <c r="W71" i="7"/>
  <c r="W1223" i="6" s="1"/>
  <c r="AG71" i="7"/>
  <c r="X71" i="7"/>
  <c r="W1553" i="6" s="1"/>
  <c r="AH71" i="7"/>
  <c r="W1391" i="6"/>
  <c r="W70" i="6"/>
  <c r="T70" i="7"/>
  <c r="U70" i="7"/>
  <c r="W562" i="6" s="1"/>
  <c r="AE70" i="7"/>
  <c r="W400" i="6"/>
  <c r="W730" i="6"/>
  <c r="V70" i="7"/>
  <c r="W892" i="6" s="1"/>
  <c r="AF70" i="7"/>
  <c r="W1060" i="6"/>
  <c r="W70" i="7"/>
  <c r="W1222" i="6" s="1"/>
  <c r="AG70" i="7"/>
  <c r="W1390" i="6"/>
  <c r="X70" i="7"/>
  <c r="W69" i="6"/>
  <c r="T69" i="7"/>
  <c r="W231" i="6" s="1"/>
  <c r="AD69" i="7"/>
  <c r="W399" i="6"/>
  <c r="U69" i="7"/>
  <c r="W561" i="6" s="1"/>
  <c r="AE69" i="7"/>
  <c r="W729" i="6"/>
  <c r="V69" i="7"/>
  <c r="W891" i="6" s="1"/>
  <c r="AF69" i="7"/>
  <c r="W1059" i="6"/>
  <c r="W69" i="7"/>
  <c r="W1221" i="6" s="1"/>
  <c r="AG69" i="7"/>
  <c r="X69" i="7"/>
  <c r="W1551" i="6" s="1"/>
  <c r="AH69" i="7"/>
  <c r="W1389" i="6"/>
  <c r="W68" i="6"/>
  <c r="T68" i="7"/>
  <c r="W230" i="6" s="1"/>
  <c r="AD68" i="7"/>
  <c r="U68" i="7"/>
  <c r="W560" i="6" s="1"/>
  <c r="AE68" i="7"/>
  <c r="W398" i="6"/>
  <c r="W728" i="6"/>
  <c r="V68" i="7"/>
  <c r="W890" i="6" s="1"/>
  <c r="AF68" i="7"/>
  <c r="W1058" i="6"/>
  <c r="W68" i="7"/>
  <c r="W1220" i="6" s="1"/>
  <c r="AG68" i="7"/>
  <c r="X68" i="7"/>
  <c r="W1550" i="6" s="1"/>
  <c r="AH68" i="7"/>
  <c r="W1388" i="6"/>
  <c r="W67" i="6"/>
  <c r="T67" i="7"/>
  <c r="W229" i="6" s="1"/>
  <c r="AD67" i="7"/>
  <c r="W397" i="6"/>
  <c r="U67" i="7"/>
  <c r="W559" i="6" s="1"/>
  <c r="AE67" i="7"/>
  <c r="W727" i="6"/>
  <c r="V67" i="7"/>
  <c r="W889" i="6" s="1"/>
  <c r="AF67" i="7"/>
  <c r="W67" i="7"/>
  <c r="W1219" i="6" s="1"/>
  <c r="AG67" i="7"/>
  <c r="W1057" i="6"/>
  <c r="X67" i="7"/>
  <c r="W1549" i="6" s="1"/>
  <c r="AH67" i="7"/>
  <c r="W1387" i="6"/>
  <c r="W66" i="6"/>
  <c r="T66" i="7"/>
  <c r="W228" i="6" s="1"/>
  <c r="AD66" i="7"/>
  <c r="U66" i="7"/>
  <c r="W558" i="6" s="1"/>
  <c r="W396" i="6"/>
  <c r="AE66" i="7"/>
  <c r="W726" i="6"/>
  <c r="V66" i="7"/>
  <c r="W888" i="6" s="1"/>
  <c r="AF66" i="7"/>
  <c r="W1056" i="6"/>
  <c r="W66" i="7"/>
  <c r="W1218" i="6" s="1"/>
  <c r="AG66" i="7"/>
  <c r="X66" i="7"/>
  <c r="W1548" i="6" s="1"/>
  <c r="AH66" i="7"/>
  <c r="W1386" i="6"/>
  <c r="W65" i="6"/>
  <c r="T65" i="7"/>
  <c r="W227" i="6" s="1"/>
  <c r="AD65" i="7"/>
  <c r="U65" i="7"/>
  <c r="W557" i="6" s="1"/>
  <c r="AE65" i="7"/>
  <c r="W395" i="6"/>
  <c r="W725" i="6"/>
  <c r="V65" i="7"/>
  <c r="W887" i="6" s="1"/>
  <c r="AF65" i="7"/>
  <c r="W1055" i="6"/>
  <c r="W65" i="7"/>
  <c r="W1217" i="6" s="1"/>
  <c r="AG65" i="7"/>
  <c r="X65" i="7"/>
  <c r="W1547" i="6" s="1"/>
  <c r="AH65" i="7"/>
  <c r="W1385" i="6"/>
  <c r="W64" i="6"/>
  <c r="T64" i="7"/>
  <c r="W226" i="6" s="1"/>
  <c r="AD64" i="7"/>
  <c r="U64" i="7"/>
  <c r="W556" i="6" s="1"/>
  <c r="AE64" i="7"/>
  <c r="W394" i="6"/>
  <c r="V64" i="7"/>
  <c r="W886" i="6" s="1"/>
  <c r="W724" i="6"/>
  <c r="AF64" i="7"/>
  <c r="W1054" i="6"/>
  <c r="W64" i="7"/>
  <c r="W1216" i="6" s="1"/>
  <c r="AG64" i="7"/>
  <c r="X64" i="7"/>
  <c r="W1546" i="6" s="1"/>
  <c r="AH64" i="7"/>
  <c r="W1384" i="6"/>
  <c r="W63" i="6"/>
  <c r="T63" i="7"/>
  <c r="W225" i="6" s="1"/>
  <c r="AD63" i="7"/>
  <c r="W393" i="6"/>
  <c r="U63" i="7"/>
  <c r="W555" i="6" s="1"/>
  <c r="AE63" i="7"/>
  <c r="W723" i="6"/>
  <c r="V63" i="7"/>
  <c r="W63" i="7"/>
  <c r="W1215" i="6" s="1"/>
  <c r="AG63" i="7"/>
  <c r="W1053" i="6"/>
  <c r="X63" i="7"/>
  <c r="W1545" i="6" s="1"/>
  <c r="AH63" i="7"/>
  <c r="W1383" i="6"/>
  <c r="W62" i="6"/>
  <c r="T62" i="7"/>
  <c r="W224" i="6" s="1"/>
  <c r="AD62" i="7"/>
  <c r="W392" i="6"/>
  <c r="U62" i="7"/>
  <c r="W554" i="6" s="1"/>
  <c r="AE62" i="7"/>
  <c r="W722" i="6"/>
  <c r="V62" i="7"/>
  <c r="W884" i="6" s="1"/>
  <c r="AF62" i="7"/>
  <c r="W1052" i="6"/>
  <c r="W62" i="7"/>
  <c r="W1214" i="6" s="1"/>
  <c r="AG62" i="7"/>
  <c r="W1382" i="6"/>
  <c r="X62" i="7"/>
  <c r="W1544" i="6" s="1"/>
  <c r="AH62" i="7"/>
  <c r="W61" i="6"/>
  <c r="T61" i="7"/>
  <c r="W223" i="6" s="1"/>
  <c r="AD61" i="7"/>
  <c r="W391" i="6"/>
  <c r="U61" i="7"/>
  <c r="W553" i="6" s="1"/>
  <c r="AE61" i="7"/>
  <c r="W721" i="6"/>
  <c r="V61" i="7"/>
  <c r="W883" i="6" s="1"/>
  <c r="AF61" i="7"/>
  <c r="W1051" i="6"/>
  <c r="W61" i="7"/>
  <c r="W1213" i="6" s="1"/>
  <c r="AG61" i="7"/>
  <c r="X61" i="7"/>
  <c r="W1543" i="6" s="1"/>
  <c r="AH61" i="7"/>
  <c r="W1381" i="6"/>
  <c r="W60" i="6"/>
  <c r="T60" i="7"/>
  <c r="W222" i="6" s="1"/>
  <c r="AD60" i="7"/>
  <c r="W390" i="6"/>
  <c r="U60" i="7"/>
  <c r="W552" i="6" s="1"/>
  <c r="AE60" i="7"/>
  <c r="W720" i="6"/>
  <c r="V60" i="7"/>
  <c r="W882" i="6" s="1"/>
  <c r="AF60" i="7"/>
  <c r="W1050" i="6"/>
  <c r="W60" i="7"/>
  <c r="W1212" i="6" s="1"/>
  <c r="AG60" i="7"/>
  <c r="W1380" i="6"/>
  <c r="X60" i="7"/>
  <c r="W1542" i="6" s="1"/>
  <c r="AH60" i="7"/>
  <c r="W59" i="6"/>
  <c r="T59" i="7"/>
  <c r="W221" i="6" s="1"/>
  <c r="AD59" i="7"/>
  <c r="W389" i="6"/>
  <c r="U59" i="7"/>
  <c r="W551" i="6" s="1"/>
  <c r="AE59" i="7"/>
  <c r="V59" i="7"/>
  <c r="W881" i="6" s="1"/>
  <c r="AF59" i="7"/>
  <c r="W719" i="6"/>
  <c r="W1049" i="6"/>
  <c r="W59" i="7"/>
  <c r="X59" i="7"/>
  <c r="W1541" i="6" s="1"/>
  <c r="AH59" i="7"/>
  <c r="W1379" i="6"/>
  <c r="W58" i="6"/>
  <c r="T58" i="7"/>
  <c r="W220" i="6" s="1"/>
  <c r="AD58" i="7"/>
  <c r="W388" i="6"/>
  <c r="W718" i="6"/>
  <c r="V58" i="7"/>
  <c r="W880" i="6" s="1"/>
  <c r="AF58" i="7"/>
  <c r="W1048" i="6"/>
  <c r="W58" i="7"/>
  <c r="W1210" i="6" s="1"/>
  <c r="AG58" i="7"/>
  <c r="X58" i="7"/>
  <c r="W1540" i="6" s="1"/>
  <c r="AH58" i="7"/>
  <c r="W1378" i="6"/>
  <c r="W57" i="6"/>
  <c r="T57" i="7"/>
  <c r="W219" i="6" s="1"/>
  <c r="AD57" i="7"/>
  <c r="W387" i="6"/>
  <c r="U57" i="7"/>
  <c r="W549" i="6" s="1"/>
  <c r="AE57" i="7"/>
  <c r="V57" i="7"/>
  <c r="W879" i="6" s="1"/>
  <c r="AF57" i="7"/>
  <c r="W717" i="6"/>
  <c r="W57" i="7"/>
  <c r="W1209" i="6" s="1"/>
  <c r="AG57" i="7"/>
  <c r="W1047" i="6"/>
  <c r="X57" i="7"/>
  <c r="W1539" i="6" s="1"/>
  <c r="AH57" i="7"/>
  <c r="W1377" i="6"/>
  <c r="W56" i="6"/>
  <c r="T56" i="7"/>
  <c r="W218" i="6" s="1"/>
  <c r="AD56" i="7"/>
  <c r="W386" i="6"/>
  <c r="U56" i="7"/>
  <c r="W548" i="6" s="1"/>
  <c r="AE56" i="7"/>
  <c r="V56" i="7"/>
  <c r="W878" i="6" s="1"/>
  <c r="AF56" i="7"/>
  <c r="W716" i="6"/>
  <c r="W56" i="7"/>
  <c r="W1208" i="6" s="1"/>
  <c r="AG56" i="7"/>
  <c r="W1046" i="6"/>
  <c r="X56" i="7"/>
  <c r="W1538" i="6" s="1"/>
  <c r="AH56" i="7"/>
  <c r="W1376" i="6"/>
  <c r="W55" i="6"/>
  <c r="T55" i="7"/>
  <c r="W217" i="6" s="1"/>
  <c r="AD55" i="7"/>
  <c r="W385" i="6"/>
  <c r="U55" i="7"/>
  <c r="W547" i="6" s="1"/>
  <c r="AE55" i="7"/>
  <c r="V55" i="7"/>
  <c r="W877" i="6" s="1"/>
  <c r="W715" i="6"/>
  <c r="AF55" i="7"/>
  <c r="W1045" i="6"/>
  <c r="W55" i="7"/>
  <c r="W1207" i="6" s="1"/>
  <c r="AG55" i="7"/>
  <c r="X55" i="7"/>
  <c r="W1537" i="6" s="1"/>
  <c r="AH55" i="7"/>
  <c r="W1375" i="6"/>
  <c r="W54" i="6"/>
  <c r="T54" i="7"/>
  <c r="W216" i="6" s="1"/>
  <c r="AD54" i="7"/>
  <c r="W384" i="6"/>
  <c r="U54" i="7"/>
  <c r="W546" i="6" s="1"/>
  <c r="AE54" i="7"/>
  <c r="W714" i="6"/>
  <c r="V54" i="7"/>
  <c r="W876" i="6" s="1"/>
  <c r="AF54" i="7"/>
  <c r="W1044" i="6"/>
  <c r="W54" i="7"/>
  <c r="W1206" i="6" s="1"/>
  <c r="AG54" i="7"/>
  <c r="W1374" i="6"/>
  <c r="X54" i="7"/>
  <c r="W53" i="6"/>
  <c r="T53" i="7"/>
  <c r="W215" i="6" s="1"/>
  <c r="AD53" i="7"/>
  <c r="W383" i="6"/>
  <c r="U53" i="7"/>
  <c r="W545" i="6" s="1"/>
  <c r="AE53" i="7"/>
  <c r="W713" i="6"/>
  <c r="V53" i="7"/>
  <c r="W875" i="6" s="1"/>
  <c r="AF53" i="7"/>
  <c r="W1043" i="6"/>
  <c r="W53" i="7"/>
  <c r="W1205" i="6" s="1"/>
  <c r="AG53" i="7"/>
  <c r="X53" i="7"/>
  <c r="W1535" i="6" s="1"/>
  <c r="AH53" i="7"/>
  <c r="W1373" i="6"/>
  <c r="W52" i="6"/>
  <c r="T52" i="7"/>
  <c r="W214" i="6" s="1"/>
  <c r="AD52" i="7"/>
  <c r="U52" i="7"/>
  <c r="W544" i="6" s="1"/>
  <c r="AE52" i="7"/>
  <c r="W382" i="6"/>
  <c r="W712" i="6"/>
  <c r="V52" i="7"/>
  <c r="W874" i="6" s="1"/>
  <c r="AF52" i="7"/>
  <c r="W1042" i="6"/>
  <c r="W52" i="7"/>
  <c r="W1204" i="6" s="1"/>
  <c r="AG52" i="7"/>
  <c r="X52" i="7"/>
  <c r="W1534" i="6" s="1"/>
  <c r="AH52" i="7"/>
  <c r="W1372" i="6"/>
  <c r="S108" i="7"/>
  <c r="T108" i="7"/>
  <c r="AD108" i="7" s="1"/>
  <c r="U58" i="7"/>
  <c r="V119" i="7"/>
  <c r="AF119" i="7" s="1"/>
  <c r="V171" i="7"/>
  <c r="AF171" i="7" s="1"/>
  <c r="V125" i="7"/>
  <c r="AF125" i="7" s="1"/>
  <c r="W125" i="7"/>
  <c r="AG125" i="7" s="1"/>
  <c r="W550" i="6" l="1"/>
  <c r="AE58" i="7"/>
  <c r="AE60" i="8"/>
  <c r="W1617" i="6"/>
  <c r="W1263" i="6"/>
  <c r="A1592" i="6"/>
  <c r="E1592" i="6" s="1"/>
  <c r="W1298" i="6"/>
  <c r="W1626" i="6"/>
  <c r="A1596" i="6"/>
  <c r="E1596" i="6" s="1"/>
  <c r="W1600" i="6"/>
  <c r="A1618" i="6"/>
  <c r="E1618" i="6" s="1"/>
  <c r="A1298" i="6"/>
  <c r="E1298" i="6" s="1"/>
  <c r="W1603" i="6"/>
  <c r="A1589" i="6"/>
  <c r="E1589" i="6" s="1"/>
  <c r="W950" i="6"/>
  <c r="W312" i="6"/>
  <c r="A1281" i="6"/>
  <c r="E1281" i="6" s="1"/>
  <c r="A297" i="6"/>
  <c r="E297" i="6" s="1"/>
  <c r="A963" i="6"/>
  <c r="E963" i="6" s="1"/>
  <c r="A1622" i="6"/>
  <c r="E1622" i="6" s="1"/>
  <c r="W967" i="6"/>
  <c r="A602" i="6"/>
  <c r="E602" i="6" s="1"/>
  <c r="W272" i="6"/>
  <c r="W282" i="6"/>
  <c r="A1631" i="6"/>
  <c r="E1631" i="6" s="1"/>
  <c r="W961" i="6"/>
  <c r="A1270" i="6"/>
  <c r="E1270" i="6" s="1"/>
  <c r="A928" i="6"/>
  <c r="E928" i="6" s="1"/>
  <c r="A642" i="6"/>
  <c r="E642" i="6" s="1"/>
  <c r="A971" i="6"/>
  <c r="E971" i="6" s="1"/>
  <c r="W1271" i="6"/>
  <c r="A1277" i="6"/>
  <c r="E1277" i="6" s="1"/>
  <c r="A939" i="6"/>
  <c r="E939" i="6" s="1"/>
  <c r="A306" i="6"/>
  <c r="E306" i="6" s="1"/>
  <c r="A625" i="6"/>
  <c r="E625" i="6" s="1"/>
  <c r="W1293" i="6"/>
  <c r="A1280" i="6"/>
  <c r="E1280" i="6" s="1"/>
  <c r="A290" i="6"/>
  <c r="E290" i="6" s="1"/>
  <c r="A311" i="6"/>
  <c r="E311" i="6" s="1"/>
  <c r="A273" i="6"/>
  <c r="E273" i="6" s="1"/>
  <c r="A941" i="6"/>
  <c r="E941" i="6" s="1"/>
  <c r="A286" i="6"/>
  <c r="E286" i="6" s="1"/>
  <c r="W929" i="6"/>
  <c r="W634" i="6"/>
  <c r="W309" i="6"/>
  <c r="W957" i="6"/>
  <c r="W966" i="6"/>
  <c r="W1286" i="6"/>
  <c r="W610" i="6"/>
  <c r="W639" i="6"/>
  <c r="W949" i="6"/>
  <c r="A612" i="6"/>
  <c r="E612" i="6" s="1"/>
  <c r="A961" i="6"/>
  <c r="E961" i="6" s="1"/>
  <c r="W1613" i="6"/>
  <c r="A1272" i="6"/>
  <c r="E1272" i="6" s="1"/>
  <c r="A293" i="6"/>
  <c r="E293" i="6" s="1"/>
  <c r="W1616" i="6"/>
  <c r="A635" i="6"/>
  <c r="E635" i="6" s="1"/>
  <c r="A1294" i="6"/>
  <c r="E1294" i="6" s="1"/>
  <c r="W276" i="6"/>
  <c r="W1277" i="6"/>
  <c r="W302" i="6"/>
  <c r="W1304" i="6"/>
  <c r="A940" i="6"/>
  <c r="E940" i="6" s="1"/>
  <c r="A1634" i="6"/>
  <c r="E1634" i="6" s="1"/>
  <c r="W1302" i="6"/>
  <c r="A1283" i="6"/>
  <c r="E1283" i="6" s="1"/>
  <c r="W972" i="6"/>
  <c r="A1633" i="6"/>
  <c r="E1633" i="6" s="1"/>
  <c r="A1590" i="6"/>
  <c r="E1590" i="6" s="1"/>
  <c r="A936" i="6"/>
  <c r="E936" i="6" s="1"/>
  <c r="A1274" i="6"/>
  <c r="E1274" i="6" s="1"/>
  <c r="W299" i="6"/>
  <c r="A1626" i="6"/>
  <c r="E1626" i="6" s="1"/>
  <c r="W1595" i="6"/>
  <c r="W1633" i="6"/>
  <c r="W1285" i="6"/>
  <c r="W1300" i="6"/>
  <c r="A1597" i="6"/>
  <c r="E1597" i="6" s="1"/>
  <c r="W612" i="6"/>
  <c r="W971" i="6"/>
  <c r="W963" i="6"/>
  <c r="W630" i="6"/>
  <c r="W1261" i="6"/>
  <c r="A276" i="6"/>
  <c r="E276" i="6" s="1"/>
  <c r="A289" i="6"/>
  <c r="E289" i="6" s="1"/>
  <c r="A298" i="6"/>
  <c r="E298" i="6" s="1"/>
  <c r="W641" i="6"/>
  <c r="A275" i="6"/>
  <c r="E275" i="6" s="1"/>
  <c r="A313" i="6"/>
  <c r="E313" i="6" s="1"/>
  <c r="W1590" i="6"/>
  <c r="W1629" i="6"/>
  <c r="A956" i="6"/>
  <c r="E956" i="6" s="1"/>
  <c r="W1260" i="6"/>
  <c r="A309" i="6"/>
  <c r="E309" i="6" s="1"/>
  <c r="W310" i="6"/>
  <c r="A1621" i="6"/>
  <c r="E1621" i="6" s="1"/>
  <c r="A945" i="6"/>
  <c r="E945" i="6" s="1"/>
  <c r="A610" i="6"/>
  <c r="E610" i="6" s="1"/>
  <c r="W939" i="6"/>
  <c r="A1620" i="6"/>
  <c r="E1620" i="6" s="1"/>
  <c r="W1291" i="6"/>
  <c r="A1300" i="6"/>
  <c r="E1300" i="6" s="1"/>
  <c r="A959" i="6"/>
  <c r="E959" i="6" s="1"/>
  <c r="A1269" i="6"/>
  <c r="E1269" i="6" s="1"/>
  <c r="W627" i="6"/>
  <c r="A1266" i="6"/>
  <c r="E1266" i="6" s="1"/>
  <c r="W598" i="6"/>
  <c r="W603" i="6"/>
  <c r="W934" i="6"/>
  <c r="A634" i="6"/>
  <c r="E634" i="6" s="1"/>
  <c r="W1276" i="6"/>
  <c r="A1607" i="6"/>
  <c r="E1607" i="6" s="1"/>
  <c r="W968" i="6"/>
  <c r="A969" i="6"/>
  <c r="E969" i="6" s="1"/>
  <c r="W1288" i="6"/>
  <c r="W269" i="6"/>
  <c r="A1260" i="6"/>
  <c r="E1260" i="6" s="1"/>
  <c r="W958" i="6"/>
  <c r="A301" i="6"/>
  <c r="E301" i="6" s="1"/>
  <c r="W635" i="6"/>
  <c r="W599" i="6"/>
  <c r="W625" i="6"/>
  <c r="A1595" i="6"/>
  <c r="E1595" i="6" s="1"/>
  <c r="W969" i="6"/>
  <c r="A1617" i="6"/>
  <c r="E1617" i="6" s="1"/>
  <c r="W1289" i="6"/>
  <c r="W1295" i="6"/>
  <c r="A1600" i="6"/>
  <c r="E1600" i="6" s="1"/>
  <c r="A1630" i="6"/>
  <c r="E1630" i="6" s="1"/>
  <c r="W1624" i="6"/>
  <c r="W965" i="6"/>
  <c r="A1285" i="6"/>
  <c r="E1285" i="6" s="1"/>
  <c r="A1588" i="6"/>
  <c r="E1588" i="6" s="1"/>
  <c r="W1630" i="6"/>
  <c r="W1601" i="6"/>
  <c r="W1281" i="6"/>
  <c r="A621" i="6"/>
  <c r="E621" i="6" s="1"/>
  <c r="A1302" i="6"/>
  <c r="E1302" i="6" s="1"/>
  <c r="A282" i="6"/>
  <c r="E282" i="6" s="1"/>
  <c r="A946" i="6"/>
  <c r="E946" i="6" s="1"/>
  <c r="W1272" i="6"/>
  <c r="A1619" i="6"/>
  <c r="E1619" i="6" s="1"/>
  <c r="A291" i="6"/>
  <c r="E291" i="6" s="1"/>
  <c r="A949" i="6"/>
  <c r="E949" i="6" s="1"/>
  <c r="A636" i="6"/>
  <c r="E636" i="6" s="1"/>
  <c r="W275" i="6"/>
  <c r="A598" i="6"/>
  <c r="E598" i="6" s="1"/>
  <c r="W1632" i="6"/>
  <c r="W604" i="6"/>
  <c r="A973" i="6"/>
  <c r="E973" i="6" s="1"/>
  <c r="W303" i="6"/>
  <c r="W602" i="6"/>
  <c r="A630" i="6"/>
  <c r="E630" i="6" s="1"/>
  <c r="A1290" i="6"/>
  <c r="E1290" i="6" s="1"/>
  <c r="A968" i="6"/>
  <c r="E968" i="6" s="1"/>
  <c r="A623" i="6"/>
  <c r="E623" i="6" s="1"/>
  <c r="W930" i="6"/>
  <c r="W959" i="6"/>
  <c r="A1625" i="6"/>
  <c r="E1625" i="6" s="1"/>
  <c r="A1601" i="6"/>
  <c r="E1601" i="6" s="1"/>
  <c r="A1299" i="6"/>
  <c r="E1299" i="6" s="1"/>
  <c r="W1287" i="6"/>
  <c r="A972" i="6"/>
  <c r="E972" i="6" s="1"/>
  <c r="W290" i="6"/>
  <c r="A627" i="6"/>
  <c r="E627" i="6" s="1"/>
  <c r="W615" i="6"/>
  <c r="A958" i="6"/>
  <c r="E958" i="6" s="1"/>
  <c r="W605" i="6"/>
  <c r="W640" i="6"/>
  <c r="W273" i="6"/>
  <c r="A633" i="6"/>
  <c r="E633" i="6" s="1"/>
  <c r="A274" i="6"/>
  <c r="E274" i="6" s="1"/>
  <c r="W601" i="6"/>
  <c r="W1623" i="6"/>
  <c r="W956" i="6"/>
  <c r="A953" i="6"/>
  <c r="E953" i="6" s="1"/>
  <c r="W1591" i="6"/>
  <c r="W952" i="6"/>
  <c r="W1296" i="6"/>
  <c r="W618" i="6"/>
  <c r="A604" i="6"/>
  <c r="E604" i="6" s="1"/>
  <c r="A1263" i="6"/>
  <c r="E1263" i="6" s="1"/>
  <c r="A643" i="6"/>
  <c r="E643" i="6" s="1"/>
  <c r="A942" i="6"/>
  <c r="E942" i="6" s="1"/>
  <c r="W304" i="6"/>
  <c r="W268" i="6"/>
  <c r="W286" i="6"/>
  <c r="W1267" i="6"/>
  <c r="W1619" i="6"/>
  <c r="W1292" i="6"/>
  <c r="W1280" i="6"/>
  <c r="W1597" i="6"/>
  <c r="W1275" i="6"/>
  <c r="W271" i="6"/>
  <c r="A618" i="6"/>
  <c r="E618" i="6" s="1"/>
  <c r="W278" i="6"/>
  <c r="W636" i="6"/>
  <c r="W305" i="6"/>
  <c r="A934" i="6"/>
  <c r="E934" i="6" s="1"/>
  <c r="A964" i="6"/>
  <c r="E964" i="6" s="1"/>
  <c r="W973" i="6"/>
  <c r="W270" i="6"/>
  <c r="W314" i="6"/>
  <c r="A271" i="6"/>
  <c r="E271" i="6" s="1"/>
  <c r="A1602" i="6"/>
  <c r="E1602" i="6" s="1"/>
  <c r="W936" i="6"/>
  <c r="W642" i="6"/>
  <c r="A957" i="6"/>
  <c r="E957" i="6" s="1"/>
  <c r="W638" i="6"/>
  <c r="W289" i="6"/>
  <c r="A1303" i="6"/>
  <c r="E1303" i="6" s="1"/>
  <c r="W1602" i="6"/>
  <c r="W617" i="6"/>
  <c r="A1614" i="6"/>
  <c r="E1614" i="6" s="1"/>
  <c r="W300" i="6"/>
  <c r="W1604" i="6"/>
  <c r="A954" i="6"/>
  <c r="E954" i="6" s="1"/>
  <c r="A1293" i="6"/>
  <c r="E1293" i="6" s="1"/>
  <c r="A947" i="6"/>
  <c r="E947" i="6" s="1"/>
  <c r="W932" i="6"/>
  <c r="A1627" i="6"/>
  <c r="E1627" i="6" s="1"/>
  <c r="A1611" i="6"/>
  <c r="E1611" i="6" s="1"/>
  <c r="A1287" i="6"/>
  <c r="E1287" i="6" s="1"/>
  <c r="A639" i="6"/>
  <c r="E639" i="6" s="1"/>
  <c r="A641" i="6"/>
  <c r="E641" i="6" s="1"/>
  <c r="W279" i="6"/>
  <c r="W643" i="6"/>
  <c r="W1589" i="6"/>
  <c r="W1618" i="6"/>
  <c r="A1610" i="6"/>
  <c r="E1610" i="6" s="1"/>
  <c r="W1588" i="6"/>
  <c r="A1624" i="6"/>
  <c r="E1624" i="6" s="1"/>
  <c r="W1594" i="6"/>
  <c r="W1297" i="6"/>
  <c r="A1271" i="6"/>
  <c r="E1271" i="6" s="1"/>
  <c r="A1265" i="6"/>
  <c r="E1265" i="6" s="1"/>
  <c r="A285" i="6"/>
  <c r="E285" i="6" s="1"/>
  <c r="A631" i="6"/>
  <c r="E631" i="6" s="1"/>
  <c r="A310" i="6"/>
  <c r="E310" i="6" s="1"/>
  <c r="A951" i="6"/>
  <c r="E951" i="6" s="1"/>
  <c r="A600" i="6"/>
  <c r="E600" i="6" s="1"/>
  <c r="A974" i="6"/>
  <c r="E974" i="6" s="1"/>
  <c r="A950" i="6"/>
  <c r="E950" i="6" s="1"/>
  <c r="W613" i="6"/>
  <c r="A960" i="6"/>
  <c r="E960" i="6" s="1"/>
  <c r="W1283" i="6"/>
  <c r="A644" i="6"/>
  <c r="E644" i="6" s="1"/>
  <c r="A632" i="6"/>
  <c r="E632" i="6" s="1"/>
  <c r="W951" i="6"/>
  <c r="A970" i="6"/>
  <c r="E970" i="6" s="1"/>
  <c r="W301" i="6"/>
  <c r="A299" i="6"/>
  <c r="E299" i="6" s="1"/>
  <c r="W1609" i="6"/>
  <c r="W954" i="6"/>
  <c r="A615" i="6"/>
  <c r="E615" i="6" s="1"/>
  <c r="A966" i="6"/>
  <c r="E966" i="6" s="1"/>
  <c r="W621" i="6"/>
  <c r="A1262" i="6"/>
  <c r="E1262" i="6" s="1"/>
  <c r="W928" i="6"/>
  <c r="A944" i="6"/>
  <c r="E944" i="6" s="1"/>
  <c r="A287" i="6"/>
  <c r="E287" i="6" s="1"/>
  <c r="A1623" i="6"/>
  <c r="E1623" i="6" s="1"/>
  <c r="W941" i="6"/>
  <c r="W953" i="6"/>
  <c r="A280" i="6"/>
  <c r="E280" i="6" s="1"/>
  <c r="W600" i="6"/>
  <c r="A605" i="6"/>
  <c r="E605" i="6" s="1"/>
  <c r="W274" i="6"/>
  <c r="W614" i="6"/>
  <c r="A1276" i="6"/>
  <c r="E1276" i="6" s="1"/>
  <c r="W298" i="6"/>
  <c r="A1604" i="6"/>
  <c r="E1604" i="6" s="1"/>
  <c r="A607" i="6"/>
  <c r="E607" i="6" s="1"/>
  <c r="A938" i="6"/>
  <c r="E938" i="6" s="1"/>
  <c r="A626" i="6"/>
  <c r="E626" i="6" s="1"/>
  <c r="W629" i="6"/>
  <c r="W1282" i="6"/>
  <c r="W288" i="6"/>
  <c r="A1275" i="6"/>
  <c r="E1275" i="6" s="1"/>
  <c r="W1628" i="6"/>
  <c r="A1598" i="6"/>
  <c r="E1598" i="6" s="1"/>
  <c r="W1622" i="6"/>
  <c r="W1610" i="6"/>
  <c r="W1593" i="6"/>
  <c r="W947" i="6"/>
  <c r="A296" i="6"/>
  <c r="E296" i="6" s="1"/>
  <c r="A613" i="6"/>
  <c r="E613" i="6" s="1"/>
  <c r="W1614" i="6"/>
  <c r="W1625" i="6"/>
  <c r="W1611" i="6"/>
  <c r="A1605" i="6"/>
  <c r="E1605" i="6" s="1"/>
  <c r="W1615" i="6"/>
  <c r="A1615" i="6"/>
  <c r="E1615" i="6" s="1"/>
  <c r="W1265" i="6"/>
  <c r="W935" i="6"/>
  <c r="W311" i="6"/>
  <c r="A288" i="6"/>
  <c r="E288" i="6" s="1"/>
  <c r="W609" i="6"/>
  <c r="W611" i="6"/>
  <c r="A929" i="6"/>
  <c r="E929" i="6" s="1"/>
  <c r="A278" i="6"/>
  <c r="E278" i="6" s="1"/>
  <c r="A1286" i="6"/>
  <c r="E1286" i="6" s="1"/>
  <c r="A1295" i="6"/>
  <c r="E1295" i="6" s="1"/>
  <c r="A300" i="6"/>
  <c r="E300" i="6" s="1"/>
  <c r="A295" i="6"/>
  <c r="E295" i="6" s="1"/>
  <c r="A614" i="6"/>
  <c r="E614" i="6" s="1"/>
  <c r="W1266" i="6"/>
  <c r="A1288" i="6"/>
  <c r="E1288" i="6" s="1"/>
  <c r="A1267" i="6"/>
  <c r="E1267" i="6" s="1"/>
  <c r="A933" i="6"/>
  <c r="E933" i="6" s="1"/>
  <c r="W607" i="6"/>
  <c r="W945" i="6"/>
  <c r="W1299" i="6"/>
  <c r="A943" i="6"/>
  <c r="E943" i="6" s="1"/>
  <c r="A935" i="6"/>
  <c r="E935" i="6" s="1"/>
  <c r="A270" i="6"/>
  <c r="E270" i="6" s="1"/>
  <c r="W964" i="6"/>
  <c r="W280" i="6"/>
  <c r="W937" i="6"/>
  <c r="W620" i="6"/>
  <c r="W1599" i="6"/>
  <c r="A1291" i="6"/>
  <c r="E1291" i="6" s="1"/>
  <c r="W940" i="6"/>
  <c r="A1304" i="6"/>
  <c r="E1304" i="6" s="1"/>
  <c r="W313" i="6"/>
  <c r="A1593" i="6"/>
  <c r="E1593" i="6" s="1"/>
  <c r="A962" i="6"/>
  <c r="E962" i="6" s="1"/>
  <c r="W1290" i="6"/>
  <c r="W285" i="6"/>
  <c r="A608" i="6"/>
  <c r="E608" i="6" s="1"/>
  <c r="A628" i="6"/>
  <c r="E628" i="6" s="1"/>
  <c r="W284" i="6"/>
  <c r="A931" i="6"/>
  <c r="E931" i="6" s="1"/>
  <c r="W632" i="6"/>
  <c r="W307" i="6"/>
  <c r="W628" i="6"/>
  <c r="A1289" i="6"/>
  <c r="E1289" i="6" s="1"/>
  <c r="W631" i="6"/>
  <c r="W297" i="6"/>
  <c r="W948" i="6"/>
  <c r="A1612" i="6"/>
  <c r="E1612" i="6" s="1"/>
  <c r="W1598" i="6"/>
  <c r="W637" i="6"/>
  <c r="A1616" i="6"/>
  <c r="E1616" i="6" s="1"/>
  <c r="A308" i="6"/>
  <c r="E308" i="6" s="1"/>
  <c r="A629" i="6"/>
  <c r="E629" i="6" s="1"/>
  <c r="A1629" i="6"/>
  <c r="E1629" i="6" s="1"/>
  <c r="W1605" i="6"/>
  <c r="W1627" i="6"/>
  <c r="W970" i="6"/>
  <c r="A638" i="6"/>
  <c r="E638" i="6" s="1"/>
  <c r="A272" i="6"/>
  <c r="E272" i="6" s="1"/>
  <c r="W1621" i="6"/>
  <c r="A932" i="6"/>
  <c r="E932" i="6" s="1"/>
  <c r="A1273" i="6"/>
  <c r="E1273" i="6" s="1"/>
  <c r="W622" i="6"/>
  <c r="A1591" i="6"/>
  <c r="E1591" i="6" s="1"/>
  <c r="W931" i="6"/>
  <c r="W944" i="6"/>
  <c r="W287" i="6"/>
  <c r="W1294" i="6"/>
  <c r="A1609" i="6"/>
  <c r="E1609" i="6" s="1"/>
  <c r="A283" i="6"/>
  <c r="E283" i="6" s="1"/>
  <c r="A312" i="6"/>
  <c r="E312" i="6" s="1"/>
  <c r="W608" i="6"/>
  <c r="A624" i="6"/>
  <c r="E624" i="6" s="1"/>
  <c r="A637" i="6"/>
  <c r="E637" i="6" s="1"/>
  <c r="A1268" i="6"/>
  <c r="E1268" i="6" s="1"/>
  <c r="A1599" i="6"/>
  <c r="E1599" i="6" s="1"/>
  <c r="W624" i="6"/>
  <c r="W296" i="6"/>
  <c r="A930" i="6"/>
  <c r="E930" i="6" s="1"/>
  <c r="A294" i="6"/>
  <c r="E294" i="6" s="1"/>
  <c r="A303" i="6"/>
  <c r="E303" i="6" s="1"/>
  <c r="A281" i="6"/>
  <c r="E281" i="6" s="1"/>
  <c r="A1279" i="6"/>
  <c r="E1279" i="6" s="1"/>
  <c r="W623" i="6"/>
  <c r="A609" i="6"/>
  <c r="E609" i="6" s="1"/>
  <c r="A619" i="6"/>
  <c r="E619" i="6" s="1"/>
  <c r="W1273" i="6"/>
  <c r="W295" i="6"/>
  <c r="W616" i="6"/>
  <c r="A1296" i="6"/>
  <c r="E1296" i="6" s="1"/>
  <c r="W974" i="6"/>
  <c r="A1261" i="6"/>
  <c r="E1261" i="6" s="1"/>
  <c r="A937" i="6"/>
  <c r="E937" i="6" s="1"/>
  <c r="W1279" i="6"/>
  <c r="W277" i="6"/>
  <c r="W292" i="6"/>
  <c r="W283" i="6"/>
  <c r="A277" i="6"/>
  <c r="E277" i="6" s="1"/>
  <c r="W1270" i="6"/>
  <c r="W306" i="6"/>
  <c r="W619" i="6"/>
  <c r="W626" i="6"/>
  <c r="W308" i="6"/>
  <c r="W293" i="6"/>
  <c r="W1258" i="6"/>
  <c r="W633" i="6"/>
  <c r="A269" i="6"/>
  <c r="E269" i="6" s="1"/>
  <c r="A1608" i="6"/>
  <c r="E1608" i="6" s="1"/>
  <c r="W1606" i="6"/>
  <c r="W1596" i="6"/>
  <c r="W962" i="6"/>
  <c r="A1606" i="6"/>
  <c r="E1606" i="6" s="1"/>
  <c r="A1259" i="6"/>
  <c r="E1259" i="6" s="1"/>
  <c r="W1259" i="6"/>
  <c r="W933" i="6"/>
  <c r="W955" i="6"/>
  <c r="A955" i="6"/>
  <c r="E955" i="6" s="1"/>
  <c r="W1264" i="6"/>
  <c r="A1628" i="6"/>
  <c r="E1628" i="6" s="1"/>
  <c r="W1631" i="6"/>
  <c r="A1603" i="6"/>
  <c r="E1603" i="6" s="1"/>
  <c r="W1608" i="6"/>
  <c r="W1607" i="6"/>
  <c r="A603" i="6"/>
  <c r="E603" i="6" s="1"/>
  <c r="A1297" i="6"/>
  <c r="E1297" i="6" s="1"/>
  <c r="A606" i="6"/>
  <c r="E606" i="6" s="1"/>
  <c r="A279" i="6"/>
  <c r="E279" i="6" s="1"/>
  <c r="A292" i="6"/>
  <c r="E292" i="6" s="1"/>
  <c r="A1264" i="6"/>
  <c r="E1264" i="6" s="1"/>
  <c r="A284" i="6"/>
  <c r="E284" i="6" s="1"/>
  <c r="W1301" i="6"/>
  <c r="W1278" i="6"/>
  <c r="W606" i="6"/>
  <c r="A640" i="6"/>
  <c r="E640" i="6" s="1"/>
  <c r="W1620" i="6"/>
  <c r="A268" i="6"/>
  <c r="E268" i="6" s="1"/>
  <c r="A1632" i="6"/>
  <c r="E1632" i="6" s="1"/>
  <c r="A611" i="6"/>
  <c r="E611" i="6" s="1"/>
  <c r="A1292" i="6"/>
  <c r="E1292" i="6" s="1"/>
  <c r="A1258" i="6"/>
  <c r="E1258" i="6" s="1"/>
  <c r="W943" i="6"/>
  <c r="W281" i="6"/>
  <c r="A1301" i="6"/>
  <c r="E1301" i="6" s="1"/>
  <c r="W291" i="6"/>
  <c r="A967" i="6"/>
  <c r="E967" i="6" s="1"/>
  <c r="W294" i="6"/>
  <c r="A1594" i="6"/>
  <c r="E1594" i="6" s="1"/>
  <c r="A1282" i="6"/>
  <c r="E1282" i="6" s="1"/>
  <c r="A1613" i="6"/>
  <c r="E1613" i="6" s="1"/>
  <c r="A948" i="6"/>
  <c r="E948" i="6" s="1"/>
  <c r="W1269" i="6"/>
  <c r="A305" i="6"/>
  <c r="E305" i="6" s="1"/>
  <c r="A314" i="6"/>
  <c r="E314" i="6" s="1"/>
  <c r="A1284" i="6"/>
  <c r="E1284" i="6" s="1"/>
  <c r="W1274" i="6"/>
  <c r="W1284" i="6"/>
  <c r="A620" i="6"/>
  <c r="E620" i="6" s="1"/>
  <c r="A601" i="6"/>
  <c r="E601" i="6" s="1"/>
  <c r="A965" i="6"/>
  <c r="E965" i="6" s="1"/>
  <c r="A617" i="6"/>
  <c r="E617" i="6" s="1"/>
  <c r="W942" i="6"/>
  <c r="A952" i="6"/>
  <c r="E952" i="6" s="1"/>
  <c r="W1634" i="6"/>
  <c r="W960" i="6"/>
  <c r="A622" i="6"/>
  <c r="E622" i="6" s="1"/>
  <c r="A599" i="6"/>
  <c r="E599" i="6" s="1"/>
  <c r="A304" i="6"/>
  <c r="E304" i="6" s="1"/>
  <c r="A1278" i="6"/>
  <c r="E1278" i="6" s="1"/>
  <c r="W1303" i="6"/>
  <c r="A302" i="6"/>
  <c r="E302" i="6" s="1"/>
  <c r="A307" i="6"/>
  <c r="E307" i="6" s="1"/>
  <c r="W644" i="6"/>
  <c r="W1268" i="6"/>
  <c r="W938" i="6"/>
  <c r="W946" i="6"/>
  <c r="A616" i="6"/>
  <c r="E616" i="6" s="1"/>
  <c r="W1612" i="6"/>
  <c r="W1262" i="6"/>
  <c r="W1536" i="6"/>
  <c r="AH54" i="7"/>
  <c r="W1211" i="6"/>
  <c r="AG59" i="7"/>
  <c r="W885" i="6"/>
  <c r="AF63" i="7"/>
  <c r="W1552" i="6"/>
  <c r="AH70" i="7"/>
  <c r="W232" i="6"/>
  <c r="AD70" i="7"/>
  <c r="W1227" i="6"/>
  <c r="AG75" i="7"/>
  <c r="W1235" i="6"/>
  <c r="AG83" i="7"/>
  <c r="W587" i="6"/>
  <c r="AE97" i="7"/>
  <c r="W264" i="6"/>
  <c r="AD104" i="7"/>
  <c r="W1587" i="6"/>
  <c r="AH107" i="7"/>
  <c r="S158" i="7"/>
  <c r="T158" i="7"/>
  <c r="AD158" i="7" s="1"/>
  <c r="AE83" i="8"/>
  <c r="AE91" i="8"/>
  <c r="AE42" i="8"/>
  <c r="AE47" i="8"/>
  <c r="AE137" i="8"/>
  <c r="AE129" i="8"/>
  <c r="AE126" i="8"/>
  <c r="AE171" i="8"/>
  <c r="AE94" i="8"/>
  <c r="AE114" i="8"/>
  <c r="AE87" i="8"/>
  <c r="AE175" i="8"/>
  <c r="AE116" i="8"/>
  <c r="AE95" i="8"/>
  <c r="AE121" i="8"/>
  <c r="AE177" i="8"/>
  <c r="AE86" i="8"/>
  <c r="AE92" i="8"/>
  <c r="AE127" i="8"/>
  <c r="AE96" i="8"/>
  <c r="AE118" i="8"/>
  <c r="AE57" i="8"/>
  <c r="AE136" i="8"/>
  <c r="AE117" i="8"/>
  <c r="AE172" i="8"/>
  <c r="AE113" i="8"/>
  <c r="AE168" i="8"/>
  <c r="AE80" i="8"/>
  <c r="AE48" i="8"/>
  <c r="AE115" i="8"/>
  <c r="AE88" i="8"/>
  <c r="AE63" i="8"/>
  <c r="AE112" i="8"/>
  <c r="AE41" i="8"/>
  <c r="AE90" i="8"/>
  <c r="AE89" i="8"/>
  <c r="AE54" i="8"/>
  <c r="AE55" i="8"/>
  <c r="AE52" i="8"/>
  <c r="AE64" i="8"/>
  <c r="AE84" i="8"/>
  <c r="AE123" i="8"/>
  <c r="AE176" i="8"/>
  <c r="AE62" i="8"/>
  <c r="AE130" i="8"/>
  <c r="AE50" i="8"/>
  <c r="AE167" i="8"/>
  <c r="AE66" i="8"/>
  <c r="AE125" i="8"/>
  <c r="AE85" i="8"/>
  <c r="AE44" i="8"/>
  <c r="AE157" i="8"/>
  <c r="AE124" i="8"/>
  <c r="AE119" i="8"/>
  <c r="AE82" i="8"/>
  <c r="AE65" i="8"/>
  <c r="AE143" i="8"/>
  <c r="AE51" i="8"/>
  <c r="AE61" i="8"/>
  <c r="AE43" i="8"/>
  <c r="AE144" i="8"/>
  <c r="AE45" i="8"/>
  <c r="AE67" i="8"/>
  <c r="AE122" i="8"/>
  <c r="AE53" i="8"/>
  <c r="AE49" i="8"/>
  <c r="AE174" i="8"/>
  <c r="AE81" i="8"/>
  <c r="AE46" i="8"/>
  <c r="AE56" i="8"/>
  <c r="AE120" i="8"/>
  <c r="W191" i="6"/>
  <c r="AD19" i="7"/>
  <c r="W1183" i="6"/>
  <c r="AG21" i="7"/>
  <c r="W523" i="6"/>
  <c r="AE21" i="7"/>
  <c r="W526" i="6"/>
  <c r="AE24" i="7"/>
  <c r="W196" i="6"/>
  <c r="AD24" i="7"/>
  <c r="W197" i="6"/>
  <c r="AD25" i="7"/>
  <c r="W1523" i="6"/>
  <c r="AH31" i="7"/>
  <c r="W1526" i="6"/>
  <c r="AH34" i="7"/>
  <c r="W1527" i="6"/>
  <c r="AH35" i="7"/>
  <c r="W1532" i="6"/>
  <c r="AH50" i="7"/>
  <c r="S1560" i="6"/>
  <c r="AO1560" i="6" s="1"/>
  <c r="W1560" i="6"/>
  <c r="S1592" i="6"/>
  <c r="AO1592" i="6" s="1"/>
  <c r="W1592" i="6"/>
  <c r="S1646" i="6"/>
  <c r="AO1646" i="6" s="1"/>
  <c r="W1646" i="6"/>
  <c r="S1654" i="6"/>
  <c r="AO1654" i="6" s="1"/>
  <c r="W1654" i="6"/>
  <c r="AO1317" i="6"/>
  <c r="D1647" i="6"/>
  <c r="O1317" i="6"/>
  <c r="W1317" i="6"/>
  <c r="A1317" i="6"/>
  <c r="E1317" i="6" s="1"/>
  <c r="AO1647" i="6" l="1"/>
  <c r="O1647" i="6"/>
  <c r="W1647" i="6"/>
  <c r="A1647" i="6"/>
  <c r="E1647" i="6" s="1"/>
  <c r="AE3" i="8"/>
  <c r="AE4" i="8"/>
  <c r="A1646" i="6"/>
  <c r="E1646" i="6" s="1"/>
  <c r="A1643" i="6"/>
  <c r="E1643" i="6" s="1"/>
  <c r="A1651" i="6"/>
  <c r="E1651" i="6" s="1"/>
  <c r="W1653" i="6"/>
  <c r="W1652" i="6"/>
  <c r="A982" i="6"/>
  <c r="E982" i="6" s="1"/>
  <c r="W661" i="6"/>
  <c r="A654" i="6"/>
  <c r="E654" i="6" s="1"/>
  <c r="A1312" i="6"/>
  <c r="E1312" i="6" s="1"/>
  <c r="A326" i="6"/>
  <c r="E326" i="6" s="1"/>
  <c r="W324" i="6"/>
  <c r="A1315" i="6"/>
  <c r="E1315" i="6" s="1"/>
  <c r="A1320" i="6"/>
  <c r="E1320" i="6" s="1"/>
  <c r="A1641" i="6"/>
  <c r="E1641" i="6" s="1"/>
  <c r="A332" i="6"/>
  <c r="E332" i="6" s="1"/>
  <c r="W659" i="6"/>
  <c r="W645" i="6"/>
  <c r="W657" i="6"/>
  <c r="A324" i="6"/>
  <c r="E324" i="6" s="1"/>
  <c r="W329" i="6"/>
  <c r="A1308" i="6"/>
  <c r="E1308" i="6" s="1"/>
  <c r="A992" i="6"/>
  <c r="E992" i="6" s="1"/>
  <c r="W317" i="6"/>
  <c r="A993" i="6"/>
  <c r="E993" i="6" s="1"/>
  <c r="W1320" i="6"/>
  <c r="W1636" i="6"/>
  <c r="W1322" i="6"/>
  <c r="A331" i="6"/>
  <c r="E331" i="6" s="1"/>
  <c r="A646" i="6"/>
  <c r="E646" i="6" s="1"/>
  <c r="A653" i="6"/>
  <c r="E653" i="6" s="1"/>
  <c r="A1638" i="6"/>
  <c r="E1638" i="6" s="1"/>
  <c r="W654" i="6"/>
  <c r="W318" i="6"/>
  <c r="W1314" i="6"/>
  <c r="A989" i="6"/>
  <c r="E989" i="6" s="1"/>
  <c r="W1639" i="6"/>
  <c r="W1310" i="6"/>
  <c r="A1650" i="6"/>
  <c r="E1650" i="6" s="1"/>
  <c r="W1319" i="6"/>
  <c r="A1644" i="6"/>
  <c r="E1644" i="6" s="1"/>
  <c r="A994" i="6"/>
  <c r="E994" i="6" s="1"/>
  <c r="A655" i="6"/>
  <c r="E655" i="6" s="1"/>
  <c r="W978" i="6"/>
  <c r="A1323" i="6"/>
  <c r="E1323" i="6" s="1"/>
  <c r="A979" i="6"/>
  <c r="E979" i="6" s="1"/>
  <c r="A1307" i="6"/>
  <c r="E1307" i="6" s="1"/>
  <c r="W993" i="6"/>
  <c r="W1315" i="6"/>
  <c r="A651" i="6"/>
  <c r="E651" i="6" s="1"/>
  <c r="W992" i="6"/>
  <c r="A990" i="6"/>
  <c r="E990" i="6" s="1"/>
  <c r="A661" i="6"/>
  <c r="E661" i="6" s="1"/>
  <c r="A1636" i="6"/>
  <c r="E1636" i="6" s="1"/>
  <c r="A648" i="6"/>
  <c r="E648" i="6" s="1"/>
  <c r="W660" i="6"/>
  <c r="A976" i="6"/>
  <c r="E976" i="6" s="1"/>
  <c r="A975" i="6"/>
  <c r="E975" i="6" s="1"/>
  <c r="W316" i="6"/>
  <c r="A664" i="6"/>
  <c r="E664" i="6" s="1"/>
  <c r="W658" i="6"/>
  <c r="W323" i="6"/>
  <c r="W1321" i="6"/>
  <c r="A1319" i="6"/>
  <c r="E1319" i="6" s="1"/>
  <c r="W1640" i="6"/>
  <c r="A1640" i="6"/>
  <c r="E1640" i="6" s="1"/>
  <c r="W320" i="6"/>
  <c r="A656" i="6"/>
  <c r="E656" i="6" s="1"/>
  <c r="A977" i="6"/>
  <c r="E977" i="6" s="1"/>
  <c r="A1648" i="6"/>
  <c r="E1648" i="6" s="1"/>
  <c r="A320" i="6"/>
  <c r="E320" i="6" s="1"/>
  <c r="A649" i="6"/>
  <c r="E649" i="6" s="1"/>
  <c r="W319" i="6"/>
  <c r="A981" i="6"/>
  <c r="E981" i="6" s="1"/>
  <c r="W988" i="6"/>
  <c r="A657" i="6"/>
  <c r="E657" i="6" s="1"/>
  <c r="W1318" i="6"/>
  <c r="W330" i="6"/>
  <c r="A984" i="6"/>
  <c r="E984" i="6" s="1"/>
  <c r="W1641" i="6"/>
  <c r="W1306" i="6"/>
  <c r="W652" i="6"/>
  <c r="A1324" i="6"/>
  <c r="E1324" i="6" s="1"/>
  <c r="W977" i="6"/>
  <c r="W647" i="6"/>
  <c r="A333" i="6"/>
  <c r="E333" i="6" s="1"/>
  <c r="W1651" i="6"/>
  <c r="A647" i="6"/>
  <c r="E647" i="6" s="1"/>
  <c r="W1323" i="6"/>
  <c r="A334" i="6"/>
  <c r="E334" i="6" s="1"/>
  <c r="A663" i="6"/>
  <c r="E663" i="6" s="1"/>
  <c r="W981" i="6"/>
  <c r="A1322" i="6"/>
  <c r="E1322" i="6" s="1"/>
  <c r="W990" i="6"/>
  <c r="W1312" i="6"/>
  <c r="W664" i="6"/>
  <c r="W655" i="6"/>
  <c r="A988" i="6"/>
  <c r="E988" i="6" s="1"/>
  <c r="A327" i="6"/>
  <c r="E327" i="6" s="1"/>
  <c r="W984" i="6"/>
  <c r="A329" i="6"/>
  <c r="E329" i="6" s="1"/>
  <c r="W983" i="6"/>
  <c r="A650" i="6"/>
  <c r="E650" i="6" s="1"/>
  <c r="A328" i="6"/>
  <c r="E328" i="6" s="1"/>
  <c r="A985" i="6"/>
  <c r="E985" i="6" s="1"/>
  <c r="A1318" i="6"/>
  <c r="E1318" i="6" s="1"/>
  <c r="W986" i="6"/>
  <c r="A1642" i="6"/>
  <c r="E1642" i="6" s="1"/>
  <c r="A978" i="6"/>
  <c r="E978" i="6" s="1"/>
  <c r="A659" i="6"/>
  <c r="E659" i="6" s="1"/>
  <c r="W326" i="6"/>
  <c r="A986" i="6"/>
  <c r="E986" i="6" s="1"/>
  <c r="W332" i="6"/>
  <c r="A660" i="6"/>
  <c r="E660" i="6" s="1"/>
  <c r="A1314" i="6"/>
  <c r="E1314" i="6" s="1"/>
  <c r="W334" i="6"/>
  <c r="W1308" i="6"/>
  <c r="A658" i="6"/>
  <c r="E658" i="6" s="1"/>
  <c r="W1313" i="6"/>
  <c r="W1650" i="6"/>
  <c r="A1313" i="6"/>
  <c r="E1313" i="6" s="1"/>
  <c r="A652" i="6"/>
  <c r="E652" i="6" s="1"/>
  <c r="A1311" i="6"/>
  <c r="E1311" i="6" s="1"/>
  <c r="A1654" i="6"/>
  <c r="E1654" i="6" s="1"/>
  <c r="A1635" i="6"/>
  <c r="E1635" i="6" s="1"/>
  <c r="A1653" i="6"/>
  <c r="E1653" i="6" s="1"/>
  <c r="A1649" i="6"/>
  <c r="E1649" i="6" s="1"/>
  <c r="W1649" i="6"/>
  <c r="W1643" i="6"/>
  <c r="A1310" i="6"/>
  <c r="E1310" i="6" s="1"/>
  <c r="W327" i="6"/>
  <c r="W662" i="6"/>
  <c r="W325" i="6"/>
  <c r="W663" i="6"/>
  <c r="A323" i="6"/>
  <c r="E323" i="6" s="1"/>
  <c r="A321" i="6"/>
  <c r="E321" i="6" s="1"/>
  <c r="A645" i="6"/>
  <c r="E645" i="6" s="1"/>
  <c r="A991" i="6"/>
  <c r="E991" i="6" s="1"/>
  <c r="W322" i="6"/>
  <c r="W1645" i="6"/>
  <c r="W333" i="6"/>
  <c r="W994" i="6"/>
  <c r="W321" i="6"/>
  <c r="W650" i="6"/>
  <c r="W982" i="6"/>
  <c r="W648" i="6"/>
  <c r="A322" i="6"/>
  <c r="E322" i="6" s="1"/>
  <c r="W315" i="6"/>
  <c r="W975" i="6"/>
  <c r="W989" i="6"/>
  <c r="W1648" i="6"/>
  <c r="W1635" i="6"/>
  <c r="A1652" i="6"/>
  <c r="E1652" i="6" s="1"/>
  <c r="A1305" i="6"/>
  <c r="E1305" i="6" s="1"/>
  <c r="W656" i="6"/>
  <c r="A1321" i="6"/>
  <c r="E1321" i="6" s="1"/>
  <c r="A1306" i="6"/>
  <c r="E1306" i="6" s="1"/>
  <c r="W1307" i="6"/>
  <c r="A318" i="6"/>
  <c r="E318" i="6" s="1"/>
  <c r="A317" i="6"/>
  <c r="E317" i="6" s="1"/>
  <c r="W979" i="6"/>
  <c r="A1637" i="6"/>
  <c r="E1637" i="6" s="1"/>
  <c r="A662" i="6"/>
  <c r="E662" i="6" s="1"/>
  <c r="W331" i="6"/>
  <c r="A1316" i="6"/>
  <c r="E1316" i="6" s="1"/>
  <c r="A316" i="6"/>
  <c r="E316" i="6" s="1"/>
  <c r="W646" i="6"/>
  <c r="W991" i="6"/>
  <c r="W1309" i="6"/>
  <c r="W1644" i="6"/>
  <c r="W1642" i="6"/>
  <c r="A1309" i="6"/>
  <c r="E1309" i="6" s="1"/>
  <c r="A1639" i="6"/>
  <c r="E1639" i="6" s="1"/>
  <c r="W1305" i="6"/>
  <c r="W1311" i="6"/>
  <c r="W653" i="6"/>
  <c r="A330" i="6"/>
  <c r="E330" i="6" s="1"/>
  <c r="W1638" i="6"/>
  <c r="W976" i="6"/>
  <c r="W651" i="6"/>
  <c r="W1637" i="6"/>
  <c r="A1645" i="6"/>
  <c r="E1645" i="6" s="1"/>
  <c r="S1" i="7"/>
  <c r="W985" i="6"/>
  <c r="W649" i="6"/>
  <c r="A315" i="6"/>
  <c r="E315" i="6" s="1"/>
  <c r="A325" i="6"/>
  <c r="E325" i="6" s="1"/>
  <c r="W328" i="6"/>
  <c r="A983" i="6"/>
  <c r="E983" i="6" s="1"/>
  <c r="A319" i="6"/>
  <c r="E319" i="6" s="1"/>
  <c r="A980" i="6"/>
  <c r="E980" i="6" s="1"/>
  <c r="W980" i="6"/>
  <c r="W987" i="6"/>
  <c r="A987" i="6"/>
  <c r="E987" i="6" s="1"/>
  <c r="W1324" i="6"/>
  <c r="W1316" i="6"/>
  <c r="AE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Reeves</author>
  </authors>
  <commentList>
    <comment ref="F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average values from cost report</t>
        </r>
      </text>
    </comment>
    <comment ref="BT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assumes pre-exiisting technology is 100%  incandescent lamp using a Wattage ratio of 4.09 for reflectors and 3.47 for non-reflectors.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Stryker, Andrew</author>
  </authors>
  <commentList>
    <comment ref="E2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Stryker, Andrew:</t>
        </r>
        <r>
          <rPr>
            <sz val="9"/>
            <color indexed="81"/>
            <rFont val="Tahoma"/>
            <family val="2"/>
          </rPr>
          <t xml:space="preserve">
Count does not include dimmables and therefore is less than the total number of observations.</t>
        </r>
      </text>
    </comment>
  </commentList>
</comments>
</file>

<file path=xl/sharedStrings.xml><?xml version="1.0" encoding="utf-8"?>
<sst xmlns="http://schemas.openxmlformats.org/spreadsheetml/2006/main" count="43388" uniqueCount="1549">
  <si>
    <t>DEER CFL Lamp Technology Cost Development</t>
  </si>
  <si>
    <t>11/23/2015</t>
  </si>
  <si>
    <t>This workbook documents the development of Residential Indoor CFL and Incandescent lamp material costs based on the Itron "Ex Ante Cost Study" (2010-2012_WO017_Ex_Ante_Measure_Cost_Study_-_Final_Report.pdf).</t>
  </si>
  <si>
    <t>Tab</t>
  </si>
  <si>
    <t>Description</t>
  </si>
  <si>
    <t>CostModel Coef</t>
  </si>
  <si>
    <t>The table on this worksheet compiles the cost model data from table 3-8 from the Itron report for residential CFL and Incandescent lamps.   The table includes rows for</t>
  </si>
  <si>
    <t>each of the following technology categories:</t>
  </si>
  <si>
    <t>●</t>
  </si>
  <si>
    <t>Alamp:</t>
  </si>
  <si>
    <t>"A" lamp shape, including CFL twister configuration</t>
  </si>
  <si>
    <t>Refl:</t>
  </si>
  <si>
    <t>Reflector lamps, including parabolic reflectors</t>
  </si>
  <si>
    <t>Globe:</t>
  </si>
  <si>
    <t>Globe lamps</t>
  </si>
  <si>
    <t>Torp:</t>
  </si>
  <si>
    <t>Torpedo or candelabra lamp shapes</t>
  </si>
  <si>
    <t>This table is used to apply the cost model to the applicable CFL and Incandescant technolgy definitions.</t>
  </si>
  <si>
    <t>CFL &amp; Incand Cost Development</t>
  </si>
  <si>
    <t>This worksheet takes the standard CFL Integral Lamp technology export from READI (exante1314 database) and applies the cost model to all applicable technologies.</t>
  </si>
  <si>
    <t>Columns A - U are the original technology export data.</t>
  </si>
  <si>
    <t>Column W identifies the cost model category for the technology and indicates if the technology is "out of scope" of the cost study.</t>
  </si>
  <si>
    <t>Columns Z - AK lookup the cost model coefficients based on the CFL technology category.</t>
  </si>
  <si>
    <t>Columns AM - AQ calculate the material cost for the CFL technology for 5 packaging options: weighted, single, two-pack, three-pack and four+ pack.</t>
  </si>
  <si>
    <t>Columns AT - BN lookup the cost model coefficients for the Incandescent technology of the same category as the CFL technology.</t>
  </si>
  <si>
    <t>Column BT calculates the equivalent incandescent Wattage based on the technology type (reflector or non-reflector);  this calculation assumes a one-to-one</t>
  </si>
  <si>
    <t xml:space="preserve"> replacement of an incandescent lamp for a CFL lamp.</t>
  </si>
  <si>
    <t>Columns BU - BY calculate the material cost for the Incandescent technology for 5 packaging options: weighted, single, two-pack, three-pack and four+ pack.</t>
  </si>
  <si>
    <t>Note: the average expected life values for CFL A-lamp and torpedo lamps from the cost study are used for the technology definitions.</t>
  </si>
  <si>
    <t>Measure &amp; Standard Cost IDs</t>
  </si>
  <si>
    <t xml:space="preserve">This worksheet compiles all of the in-scope CFL technologies alongside their equivalent Incandescent technologies and determines the "mixed" technology base case, </t>
  </si>
  <si>
    <t xml:space="preserve"> assuming 40% CFL and 60% Incandescent.</t>
  </si>
  <si>
    <t>MeasureCost</t>
  </si>
  <si>
    <t>This worksheet formats the cost data for import in the  MeasCost table of the ex ante database.</t>
  </si>
  <si>
    <t>Measure</t>
  </si>
  <si>
    <t>This worksheet takes the standard Measure table export from READI for indoor residential CFL lamp measures and assigns the relevant Measure Cost ID and Standard Cost ID</t>
  </si>
  <si>
    <t xml:space="preserve"> in columns AD and AE. Note that some measures have a measure technology cost ID but no standard technology cost ID since the standard technology utilizes an </t>
  </si>
  <si>
    <t xml:space="preserve"> incandescent lamp that is out-of-scope of the cost study (the incandescent lamp has a Wattage greater then 150W).</t>
  </si>
  <si>
    <t>This table is imported to the ex ante database to update he DEER measure definitions with cost IDs.  Only the MeasCostID, StdCostID and LastMod fields are updated</t>
  </si>
  <si>
    <t xml:space="preserve"> in the ex ante database.</t>
  </si>
  <si>
    <t>Update</t>
  </si>
  <si>
    <t>An offset in some formulas resulted in incorrect costs for 6 technologies:</t>
  </si>
  <si>
    <t>CFLscw-PAR38(23w)</t>
  </si>
  <si>
    <t>CFLscw-Refl-1(15w)</t>
  </si>
  <si>
    <t>CFLscw-Refl-Dim(15w)</t>
  </si>
  <si>
    <t>CFLscw-Refl-Dim(16w)</t>
  </si>
  <si>
    <t>CFLscw-Refl-Dim(20w)</t>
  </si>
  <si>
    <t>CFLscw-Refl-Dim(26w)</t>
  </si>
  <si>
    <t>The costs were incorrect for 2,3 and 4 pack units; costs were correct for the weighted and single pack units.</t>
  </si>
  <si>
    <t>Cost Model Coefficients</t>
  </si>
  <si>
    <t>from 2010-2012_WO017_Ex_Ante_Measure_Cost_Study_-_Final_Report.pdf</t>
  </si>
  <si>
    <t>Parameter Coefficients</t>
  </si>
  <si>
    <t>Residential Lighting</t>
  </si>
  <si>
    <t>paramter type =&gt;</t>
  </si>
  <si>
    <t>binary</t>
  </si>
  <si>
    <t>cont</t>
  </si>
  <si>
    <t>Constants</t>
  </si>
  <si>
    <t>Package Size</t>
  </si>
  <si>
    <t>EUL basis</t>
  </si>
  <si>
    <t>EUL Range</t>
  </si>
  <si>
    <t>Watt Range</t>
  </si>
  <si>
    <t>Watts</t>
  </si>
  <si>
    <t>Category</t>
  </si>
  <si>
    <t>Intercept</t>
  </si>
  <si>
    <t>Channel</t>
  </si>
  <si>
    <t>Brand</t>
  </si>
  <si>
    <t>A-lamp</t>
  </si>
  <si>
    <t>2 or more</t>
  </si>
  <si>
    <t>3 or more</t>
  </si>
  <si>
    <t>4 or more</t>
  </si>
  <si>
    <t>Weighted</t>
  </si>
  <si>
    <t>Three-way</t>
  </si>
  <si>
    <t>Dimmable</t>
  </si>
  <si>
    <t>(1000hrs)</t>
  </si>
  <si>
    <t>Min</t>
  </si>
  <si>
    <t>Max</t>
  </si>
  <si>
    <t xml:space="preserve"> over 25</t>
  </si>
  <si>
    <t xml:space="preserve"> over 30</t>
  </si>
  <si>
    <t xml:space="preserve"> over 75</t>
  </si>
  <si>
    <t>under 35</t>
  </si>
  <si>
    <t>CFL</t>
  </si>
  <si>
    <t>Alamp</t>
  </si>
  <si>
    <t>Refl</t>
  </si>
  <si>
    <t>Globe</t>
  </si>
  <si>
    <t>Torp</t>
  </si>
  <si>
    <t>Incand</t>
  </si>
  <si>
    <t>LED</t>
  </si>
  <si>
    <t>Note: LED costs are out of date, not used for DEER cost development</t>
  </si>
  <si>
    <t>Ex Ante database Technology Export</t>
  </si>
  <si>
    <t>Technology Group: Lighting - Lamps (Ltg_Lamp)</t>
  </si>
  <si>
    <t>Incandescant Material Cost for Res Indoor CFL Measure Technology</t>
  </si>
  <si>
    <t>Technology Type: Integral CFL (screw-in) (CFLint_lamp)</t>
  </si>
  <si>
    <t>code</t>
  </si>
  <si>
    <t>ratio</t>
  </si>
  <si>
    <t>This file created on 8/3/2015 2:41:30 PM while connected to localhost as sptviewer.</t>
  </si>
  <si>
    <t>CFL Material Costs</t>
  </si>
  <si>
    <t>Reflector WRR:</t>
  </si>
  <si>
    <t>WRR0409</t>
  </si>
  <si>
    <t>Standard Tech Material Cost for Res Outdoor CFL</t>
  </si>
  <si>
    <t>Standard Tech Material Cost for Res Indoor Non-Reflector CFL</t>
  </si>
  <si>
    <t>Program/Database Description: READI v.2.2.1 (Current DEER and Non-DEER Ex Ante data.  Includes data for review)</t>
  </si>
  <si>
    <t>CFL Cost Model Parameters for category</t>
  </si>
  <si>
    <t>Incandescent cost model parameters</t>
  </si>
  <si>
    <t>Non-Refl WRR:</t>
  </si>
  <si>
    <t>WRR0347</t>
  </si>
  <si>
    <t>WRR0407</t>
  </si>
  <si>
    <t>Cost</t>
  </si>
  <si>
    <t>CFL Material Costs by Packaging</t>
  </si>
  <si>
    <t>Energy</t>
  </si>
  <si>
    <t>Res Incand</t>
  </si>
  <si>
    <t>Corresponding Incandesent  Material Costs by Packaging</t>
  </si>
  <si>
    <t>eQ Incandescent</t>
  </si>
  <si>
    <t>TechID</t>
  </si>
  <si>
    <t>TechSource</t>
  </si>
  <si>
    <t>CFL_Lamp_Shape</t>
  </si>
  <si>
    <t>Lamp_Diameter_Any</t>
  </si>
  <si>
    <t>CRI</t>
  </si>
  <si>
    <t>Lamp_Life</t>
  </si>
  <si>
    <t>Dimming</t>
  </si>
  <si>
    <t>Lamp_Watts</t>
  </si>
  <si>
    <t>LampLumensInitial_OP</t>
  </si>
  <si>
    <t>LampLumensMean_OP</t>
  </si>
  <si>
    <t>Legacy_TechID</t>
  </si>
  <si>
    <t>Scale_Basis_Type</t>
  </si>
  <si>
    <t>Scale_Basis_Value</t>
  </si>
  <si>
    <t>ExteriorRated</t>
  </si>
  <si>
    <t>Case_Applicability</t>
  </si>
  <si>
    <t>Lamp_Base</t>
  </si>
  <si>
    <t>Lamp_3way</t>
  </si>
  <si>
    <t>CFL_Lamp_Type</t>
  </si>
  <si>
    <t>EUL_ID</t>
  </si>
  <si>
    <t>Tech_Status</t>
  </si>
  <si>
    <t>Tech Desc</t>
  </si>
  <si>
    <t>Index</t>
  </si>
  <si>
    <t>A-lamp Indicator</t>
  </si>
  <si>
    <t>Package size: 2 or more</t>
  </si>
  <si>
    <t>Package size: 4 or more</t>
  </si>
  <si>
    <t>Package: Weighted</t>
  </si>
  <si>
    <t>Expected Life (1000s of hours)</t>
  </si>
  <si>
    <t>Watts over 25</t>
  </si>
  <si>
    <t>Wtd-pack</t>
  </si>
  <si>
    <t>Single-pack</t>
  </si>
  <si>
    <t>Two-pack</t>
  </si>
  <si>
    <t>Three-pack</t>
  </si>
  <si>
    <t>Four+pack</t>
  </si>
  <si>
    <t>Star</t>
  </si>
  <si>
    <t>RatedHrs</t>
  </si>
  <si>
    <t>Reference ID (if applicable)</t>
  </si>
  <si>
    <t>ID (if applicable)</t>
  </si>
  <si>
    <t>Four-pack</t>
  </si>
  <si>
    <t>CFLratio0248</t>
  </si>
  <si>
    <t>DEER2016</t>
  </si>
  <si>
    <t>NonReflector</t>
  </si>
  <si>
    <t>Any</t>
  </si>
  <si>
    <t>BaseRatio</t>
  </si>
  <si>
    <t>Complete</t>
  </si>
  <si>
    <t>Res Interior Non-Reflector CFL Lamps, Total Watts = 2.48 x Msr Watts; 2015 Uncertain Measure Update, valid starting 6/1/2015</t>
  </si>
  <si>
    <t/>
  </si>
  <si>
    <t>out of scope</t>
  </si>
  <si>
    <t>CFLratio0284</t>
  </si>
  <si>
    <t>Res Outdoor CFL base case, Total Watts = 2.84 x Msr Watts; 2015 Uncertain Measure Update, valid starting 6/1/2015</t>
  </si>
  <si>
    <t>CFLratio0286</t>
  </si>
  <si>
    <t>Reflector</t>
  </si>
  <si>
    <t>Res Interior Reflector CFL Lamps, Total Watts = 2.86 x Msr Watts; 2015 Uncertain Measure Update, valid starting 6/1/2015</t>
  </si>
  <si>
    <t>CFLratio0347</t>
  </si>
  <si>
    <t>DEER2011</t>
  </si>
  <si>
    <t>Res indoor non-refl CFL base case, Total Watts = 3.47 x Msr Watts</t>
  </si>
  <si>
    <t>CFLratio0357</t>
  </si>
  <si>
    <t>Com indoor non-refl CFL base case, Total Watts = 3.57 x Msr Watts</t>
  </si>
  <si>
    <t>CFLratio0407</t>
  </si>
  <si>
    <t>Res outdoor CFL base case, Total Watts = 4.07 x Msr Watts</t>
  </si>
  <si>
    <t>CFLratio0409</t>
  </si>
  <si>
    <t>Res indoor Reflector CFL base case, Total Watts = 4.09 x Msr Watts</t>
  </si>
  <si>
    <t>CFLscw-3way(13w)</t>
  </si>
  <si>
    <t>IOU-NonDEER</t>
  </si>
  <si>
    <t>None</t>
  </si>
  <si>
    <t>Y</t>
  </si>
  <si>
    <t>CFL Lamp: Any Non-reflector, 3-Way, 13 Watts</t>
  </si>
  <si>
    <t>CFLscw-3way(15w)</t>
  </si>
  <si>
    <t>CFL Lamp: Non-Reflector, 3-Way, 15 Watts</t>
  </si>
  <si>
    <t>CFLscw-3way(16w)</t>
  </si>
  <si>
    <t>CFL Lamp: Non-Reflector, 3-Way, 16 Watts</t>
  </si>
  <si>
    <t>CFLscw-3way(17w)</t>
  </si>
  <si>
    <t>CFL Lamp: Non-Reflector, 3-Way, 17 Watts</t>
  </si>
  <si>
    <t>CFLscw-3way(18w)</t>
  </si>
  <si>
    <t>CFL Lamp: Non-Reflector, 3-Way, 18 Watts</t>
  </si>
  <si>
    <t>CFLscw-3way(19w)</t>
  </si>
  <si>
    <t>CFL Lamp: Non-Reflector, 3-Way, 19 Watts</t>
  </si>
  <si>
    <t>CFLscw-3way(20w)</t>
  </si>
  <si>
    <t>CFL Lamp: Non-Reflector, 3-Way, 20 Watts</t>
  </si>
  <si>
    <t>CFLscw-3way(21w)</t>
  </si>
  <si>
    <t>CFL Lamp: Non-Reflector, 3-Way, 21 Watts</t>
  </si>
  <si>
    <t>CFLscw-3way(22w)</t>
  </si>
  <si>
    <t>CFL Lamp: Non-Reflector, 3-Way, 22 Watts</t>
  </si>
  <si>
    <t>CFLscw-3way(23w)</t>
  </si>
  <si>
    <t>CFL Lamp: Non-Reflector, 3-Way, 23 Watts</t>
  </si>
  <si>
    <t>CFLscw-3way(24w)</t>
  </si>
  <si>
    <t>CFL Lamp: Non-Reflector, 3-Way, 24 Watts</t>
  </si>
  <si>
    <t>CFLscw-3way(25w)</t>
  </si>
  <si>
    <t>CFL Lamp: Non-Reflector, 3-Way, 25 Watts</t>
  </si>
  <si>
    <t>CFLscw-3way(26w)</t>
  </si>
  <si>
    <t>CFL Lamp: Non-Reflector, 3-Way, 26 Watts</t>
  </si>
  <si>
    <t>CFLscw-3way(27w)</t>
  </si>
  <si>
    <t>CFL Lamp: Non-Reflector, 3-Way, 27 Watts</t>
  </si>
  <si>
    <t>CFLscw-3way(28w)</t>
  </si>
  <si>
    <t>CFL Lamp: Non-Reflector, 3-Way, 28 Watts</t>
  </si>
  <si>
    <t>CFLscw-3way(29w)</t>
  </si>
  <si>
    <t>CFL Lamp: Non-Reflector, 3-Way, 29 Watts</t>
  </si>
  <si>
    <t>CFLscw-3way(30w)</t>
  </si>
  <si>
    <t>CFL Lamp: Non-Reflector, 3-Way, 30 Watts</t>
  </si>
  <si>
    <t>CFLscw-3way(31w)</t>
  </si>
  <si>
    <t>CFL Lamp: Non-Reflector, 3-Way, 31 Watts</t>
  </si>
  <si>
    <t>CFLscw-3way(32w)</t>
  </si>
  <si>
    <t>CFL Lamp: Non-Reflector, 3-Way, 32 Watts</t>
  </si>
  <si>
    <t>CFLscw-3way(33w)</t>
  </si>
  <si>
    <t>CFL Lamp: Non-Reflector, 3-Way, 33 Watts</t>
  </si>
  <si>
    <t>CFLscw-3way(40w)</t>
  </si>
  <si>
    <t>CFL Lamp: Non-Reflector, 3-Way, 40 Watts</t>
  </si>
  <si>
    <t>CFLscw-3way(42w)</t>
  </si>
  <si>
    <t>CFL Lamp: Non-Reflector, 3-Way, 42 Watts</t>
  </si>
  <si>
    <t>CFLscw-A(10w)</t>
  </si>
  <si>
    <t>A</t>
  </si>
  <si>
    <t>CFL Lamp: A-lamp, 10 Watts</t>
  </si>
  <si>
    <t>CFLscw-A(11w)</t>
  </si>
  <si>
    <t>CFL Lamp: A-lamp, 11 Watts</t>
  </si>
  <si>
    <t>CFLscw-A(12w)</t>
  </si>
  <si>
    <t>CFL Lamp: A-lamp, 12 Watts</t>
  </si>
  <si>
    <t>CFLscw-A(13w)</t>
  </si>
  <si>
    <t>CFL Lamp: A-lamp, 13 Watts</t>
  </si>
  <si>
    <t>CFLscw-A(14w)</t>
  </si>
  <si>
    <t>CFL Lamp: A-lamp, 14 Watts</t>
  </si>
  <si>
    <t>CFLscw-A(15w)</t>
  </si>
  <si>
    <t>CFL Lamp: A-lamp, 15 Watts</t>
  </si>
  <si>
    <t>CFLscw-A(16w)</t>
  </si>
  <si>
    <t>CFL Lamp: A-lamp, 16 Watts</t>
  </si>
  <si>
    <t>CFLscw-A(18w)</t>
  </si>
  <si>
    <t>CFL Lamp: A-lamp, 18 Watts</t>
  </si>
  <si>
    <t>CFLscw-A(19w)</t>
  </si>
  <si>
    <t>CFL Lamp: A-lamp, 19 Watts</t>
  </si>
  <si>
    <t>CFLscw-A(20w)</t>
  </si>
  <si>
    <t>CFL Lamp: A-lamp, 20 Watts</t>
  </si>
  <si>
    <t>CFLscw-A(22w)</t>
  </si>
  <si>
    <t>CFL Lamp: A-lamp, 22 Watts</t>
  </si>
  <si>
    <t>CFLscw-A(23w)</t>
  </si>
  <si>
    <t>CFL Lamp: A-lamp, 23 Watts</t>
  </si>
  <si>
    <t>CFLscw-A(24w)</t>
  </si>
  <si>
    <t>CFL Lamp: A-lamp, 24 Watts</t>
  </si>
  <si>
    <t>CFLscw-A(25w)</t>
  </si>
  <si>
    <t>CFL Lamp: A-lamp, 25 Watts</t>
  </si>
  <si>
    <t>CFLscw-A(26w)</t>
  </si>
  <si>
    <t>CFL Lamp: A-lamp, 26 Watts</t>
  </si>
  <si>
    <t>CFLscw-A(27w)</t>
  </si>
  <si>
    <t>CFL Lamp: A-lamp, 27 Watts</t>
  </si>
  <si>
    <t>CFLscw-A(28w)</t>
  </si>
  <si>
    <t>CFL Lamp: A-lamp, 28 Watts</t>
  </si>
  <si>
    <t>CFLscw-A(30w)</t>
  </si>
  <si>
    <t>CFL Lamp: A-lamp, 30 Watts</t>
  </si>
  <si>
    <t>CFLscw-A(32w)</t>
  </si>
  <si>
    <t>CFL Lamp: A-lamp, 32 Watts</t>
  </si>
  <si>
    <t>CFLscw-A(40w)</t>
  </si>
  <si>
    <t>CFL Lamp: A-lamp, 40 Watts</t>
  </si>
  <si>
    <t>CFLscw-A(42w)</t>
  </si>
  <si>
    <t>CFL Lamp: A-lamp, 42 Watts</t>
  </si>
  <si>
    <t>CFLscw-A(45w)</t>
  </si>
  <si>
    <t>CFL Lamp: A-lamp, 45 Watts</t>
  </si>
  <si>
    <t>CFLscw-A(55w)</t>
  </si>
  <si>
    <t>CFL Lamp: A-lamp, 55 Watts</t>
  </si>
  <si>
    <t>CFLscw-A(7w)</t>
  </si>
  <si>
    <t>CFL Lamp: A-lamp, 7 Watts</t>
  </si>
  <si>
    <t>CFLscw-A(8w)</t>
  </si>
  <si>
    <t>CFL Lamp: A-lamp, 8 Watts</t>
  </si>
  <si>
    <t>CFLscw-A(9w)</t>
  </si>
  <si>
    <t>CFL Lamp: A-lamp, 9 Watts</t>
  </si>
  <si>
    <t>CFLscw-Candle(10w)</t>
  </si>
  <si>
    <t>Candle</t>
  </si>
  <si>
    <t>CFL Lamp: Candelabra, 10 Watts</t>
  </si>
  <si>
    <t>CFLscw-Candle(11w)</t>
  </si>
  <si>
    <t>CFL Lamp: Candelabra, 11 Watts</t>
  </si>
  <si>
    <t>CFLscw-Candle(12w)</t>
  </si>
  <si>
    <t>CFL Lamp: Candelabra, 12 Watts</t>
  </si>
  <si>
    <t>CFLscw-Candle(13w)</t>
  </si>
  <si>
    <t>CFL Lamp: Candelabra, 13 Watts</t>
  </si>
  <si>
    <t>CFLscw-Candle(14w)</t>
  </si>
  <si>
    <t>CFL Lamp: Candelabra, 14 Watts</t>
  </si>
  <si>
    <t>CFLscw-Candle(15w)</t>
  </si>
  <si>
    <t>CFL Lamp: Candelabra, 15 Watts</t>
  </si>
  <si>
    <t>CFLscw-Candle(16w)</t>
  </si>
  <si>
    <t>CFL Lamp: Candelabra, 16 Watts</t>
  </si>
  <si>
    <t>CFLscw-Candle(18w)</t>
  </si>
  <si>
    <t>CFL Lamp: Candelabra, 18 Watts</t>
  </si>
  <si>
    <t>CFLscw-Candle(19w)</t>
  </si>
  <si>
    <t>CFL Lamp: Candelabra, 19 Watts</t>
  </si>
  <si>
    <t>CFLscw-Candle(20w)</t>
  </si>
  <si>
    <t>CFL Lamp: Candelabra, 20 Watts</t>
  </si>
  <si>
    <t>CFLscw-Candle(22w)</t>
  </si>
  <si>
    <t>CFL Lamp: Candelabra, 22 Watts</t>
  </si>
  <si>
    <t>CFLscw-Candle(23w)</t>
  </si>
  <si>
    <t>CFL Lamp: Candelabra, 23 Watts</t>
  </si>
  <si>
    <t>CFLscw-Candle(24w)</t>
  </si>
  <si>
    <t>CFL Lamp: Candelabra, 24 Watts</t>
  </si>
  <si>
    <t>CFLscw-Candle(25w)</t>
  </si>
  <si>
    <t>CFL Lamp: Candelabra, 25 Watts</t>
  </si>
  <si>
    <t>CFLscw-Candle(26w)</t>
  </si>
  <si>
    <t>CFL Lamp: Candelabra, 26 Watts</t>
  </si>
  <si>
    <t>CFLscw-Candle(27w)</t>
  </si>
  <si>
    <t>CFL Lamp: Candelabra, 27 Watts</t>
  </si>
  <si>
    <t>CFLscw-Candle(28w)</t>
  </si>
  <si>
    <t>CFL Lamp: Candelabra, 28 Watts</t>
  </si>
  <si>
    <t>CFLscw-Candle(30w)</t>
  </si>
  <si>
    <t>CFL Lamp: Candelabra, 30 Watts</t>
  </si>
  <si>
    <t>CFLscw-Candle(32w)</t>
  </si>
  <si>
    <t>CFL Lamp: Candelabra, 32 Watts</t>
  </si>
  <si>
    <t>CFLscw-Candle(40w)</t>
  </si>
  <si>
    <t>CFL Lamp: Candelabra, 40 Watts</t>
  </si>
  <si>
    <t>CFLscw-Candle(42w)</t>
  </si>
  <si>
    <t>CFL Lamp: Candelabra, 42 Watts</t>
  </si>
  <si>
    <t>CFLscw-Candle(45w)</t>
  </si>
  <si>
    <t>CFL Lamp: Candelabra, 45 Watts</t>
  </si>
  <si>
    <t>CFLscw-Candle(55w)</t>
  </si>
  <si>
    <t>CFL Lamp: Candelabra, 55 Watts</t>
  </si>
  <si>
    <t>CFLscw-Candle(7w)</t>
  </si>
  <si>
    <t>CFL Lamp: Candelabra, 7 Watts</t>
  </si>
  <si>
    <t>CFLscw-Candle(8w)</t>
  </si>
  <si>
    <t>CFL Lamp: Candelabra, 8 Watts</t>
  </si>
  <si>
    <t>CFLscw-Candle(9w)</t>
  </si>
  <si>
    <t>CFL Lamp: Candelabra, 9 Watts</t>
  </si>
  <si>
    <t>CFLscw-CC(3w)</t>
  </si>
  <si>
    <t>CC</t>
  </si>
  <si>
    <t>CFL Lamp: Any Non-reflector, Code Cathode, 3 Watts</t>
  </si>
  <si>
    <t>CFLscw-CC(5w)</t>
  </si>
  <si>
    <t>CFL Lamp: Any Non-reflector, Code Cathode, 5 Watts</t>
  </si>
  <si>
    <t>CFLscw-CC(8w)</t>
  </si>
  <si>
    <t>CFL Lamp: Any Non-reflector, Code Cathode, 8 Watts</t>
  </si>
  <si>
    <t>CFLscw-Circ9-Ext(22w)</t>
  </si>
  <si>
    <t>Circ</t>
  </si>
  <si>
    <t>CFL Lamp: T-9 Circular Tube, Exterior Rated, 22 Watts</t>
  </si>
  <si>
    <t>CFLscw-Circ9(22w)</t>
  </si>
  <si>
    <t>CFL Lamp: T-9 Circular Tube, 22 Watts</t>
  </si>
  <si>
    <t>CFLscw-Circ9(26w)</t>
  </si>
  <si>
    <t>CFL Lamp: T-9 Circular Tube, 26 Watts</t>
  </si>
  <si>
    <t>CFLscw-Circ9(32w)</t>
  </si>
  <si>
    <t>CFL Lamp: T-9 Circular Tube, 32 Watts</t>
  </si>
  <si>
    <t>CFLscw-Circ9(40w)</t>
  </si>
  <si>
    <t>CFL Lamp: T-9 Circular Tube, 40 Watts</t>
  </si>
  <si>
    <t>CFLscw-Circ9(55w)</t>
  </si>
  <si>
    <t>CFL Lamp: T-9 Circular Tube, 55 Watts</t>
  </si>
  <si>
    <t>CFLscw-Dim-Ext(23w)</t>
  </si>
  <si>
    <t>Yes</t>
  </si>
  <si>
    <t>CFL Lamp: Any Non-reflector, Dimmable, Exterior Rated, 23 Watts</t>
  </si>
  <si>
    <t>CFLscw-Dim(10w)</t>
  </si>
  <si>
    <t>CFL Lamp: Any Non-reflector, Dimmable, 10 Watts</t>
  </si>
  <si>
    <t>CFLscw-Dim(11w)</t>
  </si>
  <si>
    <t>CFL Lamp: Any Non-reflector, Dimmable, 11 Watts</t>
  </si>
  <si>
    <t>CFLscw-Dim(14w)</t>
  </si>
  <si>
    <t>Cont</t>
  </si>
  <si>
    <t>CFL Lamp: Any Non-reflector, Dimmable, 14 Watts</t>
  </si>
  <si>
    <t>CFLscw-Dim(15w)</t>
  </si>
  <si>
    <t>CFL Lamp: Any Non-reflector, Dimmable, 15 Watts</t>
  </si>
  <si>
    <t>CFLscw-Dim(16w)</t>
  </si>
  <si>
    <t>CFL Lamp: Any Non-reflector, Dimmable, 16 Watts</t>
  </si>
  <si>
    <t>CFLscw-Dim(18w)</t>
  </si>
  <si>
    <t>CFL Lamp: Any Non-reflector, Dimmable, 18 Watts</t>
  </si>
  <si>
    <t>CFLscw-Dim(19w)</t>
  </si>
  <si>
    <t>CFL Lamp: Any Non-reflector, Dimmable, 19 Watts</t>
  </si>
  <si>
    <t>CFLscw-Dim(20w)</t>
  </si>
  <si>
    <t>CFL Lamp: Any Non-reflector, Dimmable, 20 Watts</t>
  </si>
  <si>
    <t>CFLscw-Dim(23w)</t>
  </si>
  <si>
    <t>CFL Lamp: Any Non-reflector, Dimmable, 23 Watts</t>
  </si>
  <si>
    <t>CFLscw-Dim(25w)</t>
  </si>
  <si>
    <t>CFL Lamp: Any Non-reflector, Dimmable, 25 Watts</t>
  </si>
  <si>
    <t>CFLscw-Dim(26w)</t>
  </si>
  <si>
    <t>CFL Lamp: Any Non-reflector, Dimmable, 26 Watts</t>
  </si>
  <si>
    <t>CFLscw-Dim(28w)</t>
  </si>
  <si>
    <t>CFL Lamp: Any Non-reflector, Dimmable, 28 Watts</t>
  </si>
  <si>
    <t>CFLscw-Dim(30w)</t>
  </si>
  <si>
    <t>CFL Lamp: Any Non-reflector, Dimmable, 30 Watts</t>
  </si>
  <si>
    <t>CFLscw-Dim(33w)</t>
  </si>
  <si>
    <t>CFL Lamp: Any Non-reflector, Dimmable, 33 Watts</t>
  </si>
  <si>
    <t>CFLscw-Dim(35w)</t>
  </si>
  <si>
    <t>CFL Lamp: Any Non-reflector, Dimmable, 35 Watts</t>
  </si>
  <si>
    <t>CFLscw-Dim(38w)</t>
  </si>
  <si>
    <t>CFL Lamp: Any Non-reflector, Dimmable, 38 Watts</t>
  </si>
  <si>
    <t>CFLscw-Dim(40w)</t>
  </si>
  <si>
    <t>CFL Lamp: Any Non-reflector, Dimmable, 40 Watts</t>
  </si>
  <si>
    <t>CFLscw-Dim(45w)</t>
  </si>
  <si>
    <t>CFL Lamp: Any Non-reflector, Dimmable, 45 Watts</t>
  </si>
  <si>
    <t>CFLscw-Dim(47w)</t>
  </si>
  <si>
    <t>CFL Lamp: Any Non-reflector, Dimmable, 47 Watts</t>
  </si>
  <si>
    <t>CFLscw-Dim(50w)</t>
  </si>
  <si>
    <t>CFL Lamp: Any Non-reflector, Dimmable, 50 Watts</t>
  </si>
  <si>
    <t>CFLscw-Dim(57w)</t>
  </si>
  <si>
    <t>CFL Lamp: Any Non-reflector, Dimmable, 57 Watts</t>
  </si>
  <si>
    <t>CFLscw-Dim(62w)</t>
  </si>
  <si>
    <t>CFL Lamp: Any Non-reflector, Dimmable, 62 Watts</t>
  </si>
  <si>
    <t>CFLscw-Dim(65w)</t>
  </si>
  <si>
    <t>CFL Lamp: Any Non-reflector, Dimmable, 65 Watts</t>
  </si>
  <si>
    <t>CFLscw-Dim(70w)</t>
  </si>
  <si>
    <t>CFL Lamp: Any Non-reflector, Dimmable, 70 Watts</t>
  </si>
  <si>
    <t>CFLscw-Dim(72w)</t>
  </si>
  <si>
    <t>CFL Lamp: Any Non-reflector, Dimmable, 72 Watts</t>
  </si>
  <si>
    <t>CFLscw-Dim(79w)</t>
  </si>
  <si>
    <t>CFL Lamp: Any Non-reflector, Dimmable, 79 Watts</t>
  </si>
  <si>
    <t>CFLscw-Dim(81w)</t>
  </si>
  <si>
    <t>CFL Lamp: Any Non-reflector, Dimmable, 81 Watts</t>
  </si>
  <si>
    <t>CFLscw-Dim(82w)</t>
  </si>
  <si>
    <t>CFL Lamp: Any Non-reflector, Dimmable, 82 Watts</t>
  </si>
  <si>
    <t>CFLscw-Dim(99w)</t>
  </si>
  <si>
    <t>CFL Lamp: Any Non-reflector, Dimmable, 99 Watts</t>
  </si>
  <si>
    <t>CFLscw-Ext(100w)</t>
  </si>
  <si>
    <t>CFL Lamp: Non-Reflector, Exterior Rated, 100 Watts</t>
  </si>
  <si>
    <t>CFLscw-Ext(11w)</t>
  </si>
  <si>
    <t>CFL Lamp: Any Non-reflector, Exterior Rated, 11 Watts</t>
  </si>
  <si>
    <t>CFLscw-Ext(13w)</t>
  </si>
  <si>
    <t>CFL Lamp: Any Non-reflector, Exterior Rated, 13 Watts</t>
  </si>
  <si>
    <t>CFLscw-Ext(14w)</t>
  </si>
  <si>
    <t>CFL Lamp: Any Non-reflector, Exterior Rated, 14 Watts</t>
  </si>
  <si>
    <t>CFLscw-Ext(150w)</t>
  </si>
  <si>
    <t>CFL Lamp: Non-Reflector, Exterior Rated, 150 Watts</t>
  </si>
  <si>
    <t>CFLscw-Ext(15w)</t>
  </si>
  <si>
    <t>CFL Lamp: Any Non-reflector, Exterior Rated, 15 Watts</t>
  </si>
  <si>
    <t>CFLscw-Ext(18w)</t>
  </si>
  <si>
    <t>CFL Lamp: Any Non-reflector, Exterior Rated, 18 Watts</t>
  </si>
  <si>
    <t>CFLscw-Ext(19w)</t>
  </si>
  <si>
    <t>CFL Lamp: Any Non-reflector, Exterior Rated, 19 Watts</t>
  </si>
  <si>
    <t>CFLscw-Ext(20w)</t>
  </si>
  <si>
    <t>CFL Lamp: Any Non-reflector, Exterior Rated, 20 Watts</t>
  </si>
  <si>
    <t>CFLscw-Ext(22w)</t>
  </si>
  <si>
    <t>CFL Lamp: Any Non-reflector, Exterior Rated, 22 Watts</t>
  </si>
  <si>
    <t>CFLscw-Ext(23w)</t>
  </si>
  <si>
    <t>CFL Lamp: Any Non-reflector, Exterior Rated, 23 Watts</t>
  </si>
  <si>
    <t>CFLscw-Ext(24w)</t>
  </si>
  <si>
    <t>CFL Lamp: Any Non-reflector, Exterior Rated, 24 Watts</t>
  </si>
  <si>
    <t>CFLscw-Ext(25w)</t>
  </si>
  <si>
    <t>CFL Lamp: Any Non-reflector, Exterior Rated, 25 Watts</t>
  </si>
  <si>
    <t>CFLscw-Ext(26w)</t>
  </si>
  <si>
    <t>CFL Lamp: Any Non-reflector, Exterior Rated, 26 Watts</t>
  </si>
  <si>
    <t>CFLscw-Ext(27w)</t>
  </si>
  <si>
    <t>CFL Lamp: Any Non-reflector, Exterior Rated, 27 Watts</t>
  </si>
  <si>
    <t>CFLscw-Ext(40w)</t>
  </si>
  <si>
    <t>CFL Lamp: Non-Reflector, Exterior Rated, 40 Watts</t>
  </si>
  <si>
    <t>CFLscw-Ext(42w)</t>
  </si>
  <si>
    <t>CFL Lamp: Non-Reflector, Exterior Rated, 42 Watts</t>
  </si>
  <si>
    <t>CFLscw-Ext(60w)</t>
  </si>
  <si>
    <t>CFL Lamp: Non-Reflector, Exterior Rated, 60 Watts</t>
  </si>
  <si>
    <t>CFLscw-Ext(80w)</t>
  </si>
  <si>
    <t>CFL Lamp: Non-Reflector, Exterior Rated, 80 Watts</t>
  </si>
  <si>
    <t>CFLscw-Ext(9w)</t>
  </si>
  <si>
    <t>CFL Lamp: Any Non-reflector, Exterior Rated, 9 Watts</t>
  </si>
  <si>
    <t>CFLscw-Glb(10w)</t>
  </si>
  <si>
    <t>Glb</t>
  </si>
  <si>
    <t>CFL Lamp: Globe, 10 Watts</t>
  </si>
  <si>
    <t>CFLscw-Glb(11w)</t>
  </si>
  <si>
    <t>CFL Lamp: Globe, 11 Watts</t>
  </si>
  <si>
    <t>CFLscw-Glb(12w)</t>
  </si>
  <si>
    <t>CFL Lamp: Globe, 12 Watts</t>
  </si>
  <si>
    <t>CFLscw-Glb(13w)</t>
  </si>
  <si>
    <t>CFL Lamp: Globe, 13 Watts</t>
  </si>
  <si>
    <t>CFLscw-Glb(14w)</t>
  </si>
  <si>
    <t>CFL Lamp: Globe, 14 Watts</t>
  </si>
  <si>
    <t>CFLscw-Glb(15w)</t>
  </si>
  <si>
    <t>CFL Lamp: Globe, 15 Watts</t>
  </si>
  <si>
    <t>CFLscw-Glb(16w)</t>
  </si>
  <si>
    <t>CFL Lamp: Globe, 16 Watts</t>
  </si>
  <si>
    <t>CFLscw-Glb(18w)</t>
  </si>
  <si>
    <t>CFL Lamp: Globe, 18 Watts</t>
  </si>
  <si>
    <t>CFLscw-Glb(19w)</t>
  </si>
  <si>
    <t>CFL Lamp: Globe, 19 Watts</t>
  </si>
  <si>
    <t>CFLscw-Glb(20w)</t>
  </si>
  <si>
    <t>CFL Lamp: Globe, 20 Watts</t>
  </si>
  <si>
    <t>CFLscw-Glb(22w)</t>
  </si>
  <si>
    <t>CFL Lamp: Globe, 22 Watts</t>
  </si>
  <si>
    <t>CFLscw-Glb(23w)</t>
  </si>
  <si>
    <t>CFL Lamp: Globe, 23 Watts</t>
  </si>
  <si>
    <t>CFLscw-Glb(24w)</t>
  </si>
  <si>
    <t>CFL Lamp: Globe, 24 Watts</t>
  </si>
  <si>
    <t>CFLscw-Glb(25w)</t>
  </si>
  <si>
    <t>CFL Lamp: Globe, 25 Watts</t>
  </si>
  <si>
    <t>CFLscw-Glb(26w)</t>
  </si>
  <si>
    <t>CFL Lamp: Globe, 26 Watts</t>
  </si>
  <si>
    <t>CFLscw-Glb(27w)</t>
  </si>
  <si>
    <t>CFL Lamp: Globe, 27 Watts</t>
  </si>
  <si>
    <t>CFLscw-Glb(28w)</t>
  </si>
  <si>
    <t>CFL Lamp: Globe, 28 Watts</t>
  </si>
  <si>
    <t>CFLscw-Glb(30w)</t>
  </si>
  <si>
    <t>CFL Lamp: Globe, 30 Watts</t>
  </si>
  <si>
    <t>CFLscw-Glb(32w)</t>
  </si>
  <si>
    <t>CFL Lamp: Globe, 32 Watts</t>
  </si>
  <si>
    <t>CFLscw-Glb(40w)</t>
  </si>
  <si>
    <t>CFL Lamp: Globe, 40 Watts</t>
  </si>
  <si>
    <t>CFLscw-Glb(42w)</t>
  </si>
  <si>
    <t>CFL Lamp: Globe, 42 Watts</t>
  </si>
  <si>
    <t>CFLscw-Glb(45w)</t>
  </si>
  <si>
    <t>CFL Lamp: Globe, 45 Watts</t>
  </si>
  <si>
    <t>CFLscw-Glb(55w)</t>
  </si>
  <si>
    <t>CFL Lamp: Globe, 55 Watts</t>
  </si>
  <si>
    <t>CFLscw-Glb(7w)</t>
  </si>
  <si>
    <t>CFL Lamp: Globe, 7 Watts</t>
  </si>
  <si>
    <t>CFLscw-Glb(8w)</t>
  </si>
  <si>
    <t>CFL Lamp: Globe, 8 Watts</t>
  </si>
  <si>
    <t>CFLscw-Glb(9w)</t>
  </si>
  <si>
    <t>CFL Lamp: Globe, 9 Watts</t>
  </si>
  <si>
    <t>PAR</t>
  </si>
  <si>
    <t>CFL-Scw-Res-Refl-23W</t>
  </si>
  <si>
    <t>CFL Lamp: PAR38, 900 initial lumens, 23 Watts</t>
  </si>
  <si>
    <t>CFL-Scw-Res-Refl-15W</t>
  </si>
  <si>
    <t>CFL Lamp: Reflector, 565 initial lumens, 15 Watts</t>
  </si>
  <si>
    <t>CFLscw-Refl-1(23w)</t>
  </si>
  <si>
    <t>CFL Lamp: Reflector, 880 initial lumens, 23 Watts</t>
  </si>
  <si>
    <t>CFLscw-Refl-2(15w)</t>
  </si>
  <si>
    <t>CFL Lamp: Reflector, 800 initial lumens, 15 Watts</t>
  </si>
  <si>
    <t>CFLscw-Refl-2(23w)</t>
  </si>
  <si>
    <t>CFL Lamp: Reflector, 900 initial lumens, 23 Watts</t>
  </si>
  <si>
    <t>CFL Lamp: Reflector, Dimmable, 15 Watts</t>
  </si>
  <si>
    <t>CFL Lamp: Reflector, Dimmable, 16 Watts</t>
  </si>
  <si>
    <t>CFL Lamp: Reflector, Dimmable, 20 Watts</t>
  </si>
  <si>
    <t>CFL Lamp: Reflector, Dimmable, 26 Watts</t>
  </si>
  <si>
    <t>CFLscw-Refl-Ext(13w)</t>
  </si>
  <si>
    <t>CFL Lamp: Reflector, Exterior Rated, 13 Watts</t>
  </si>
  <si>
    <t>CFLscw-Refl-Ext(14w)</t>
  </si>
  <si>
    <t>CFL Lamp: Reflector, Exterior Rated, 14 Watts</t>
  </si>
  <si>
    <t>CFLscw-Refl-Ext(15w)</t>
  </si>
  <si>
    <t>CFL Lamp: Reflector, Exterior Rated, 15 Watts</t>
  </si>
  <si>
    <t>CFLscw-Refl-Ext(16w)</t>
  </si>
  <si>
    <t>CFL Lamp: Reflector, Exterior Rated, 16 Watts</t>
  </si>
  <si>
    <t>CFLscw-Refl-Ext(18w)</t>
  </si>
  <si>
    <t>CFL Lamp: Reflector, Exterior Rated, 18 Watts</t>
  </si>
  <si>
    <t>CFLscw-Refl-Ext(20w)</t>
  </si>
  <si>
    <t>CFL Lamp: Reflector, Exterior Rated, 20 Watts</t>
  </si>
  <si>
    <t>CFLscw-Refl-Ext(23w)</t>
  </si>
  <si>
    <t>CFL Lamp: Reflector, Exterior Rated, 23 Watts</t>
  </si>
  <si>
    <t>CFLscw-Refl-Ext(30w)</t>
  </si>
  <si>
    <t>CFL Lamp: Reflector, Exterior Rated, 30 Watts</t>
  </si>
  <si>
    <t>CFLscw-Refl-Ext(40w)</t>
  </si>
  <si>
    <t>CFL Lamp: Reflector, Exterior Rated, 40 Watts</t>
  </si>
  <si>
    <t>CFLscw-Refl(100w)</t>
  </si>
  <si>
    <t>CFL-Scw-Res-Refl-100W</t>
  </si>
  <si>
    <t>CFL Lamp: Reflector, 100 Watts</t>
  </si>
  <si>
    <t>CFLscw-Refl(10w)</t>
  </si>
  <si>
    <t>CFL-Scw-Res-Refl-10W</t>
  </si>
  <si>
    <t>CFL Lamp: Reflector, 10 Watts</t>
  </si>
  <si>
    <t>CFLscw-Refl(11w)</t>
  </si>
  <si>
    <t>CFL-Scw-Res-Refl-11W</t>
  </si>
  <si>
    <t>CFL Lamp: Reflector, 11 Watts</t>
  </si>
  <si>
    <t>CFLscw-Refl(12w)</t>
  </si>
  <si>
    <t>CFL-Scw-Res-Refl-12W</t>
  </si>
  <si>
    <t>CFL Lamp: Reflector, 12 Watts</t>
  </si>
  <si>
    <t>CFLscw-Refl(13w)</t>
  </si>
  <si>
    <t>CFL-Scw-Res-Refl-13W</t>
  </si>
  <si>
    <t>CFL Lamp: Reflector, 13 Watts</t>
  </si>
  <si>
    <t>CFLscw-Refl(14w)</t>
  </si>
  <si>
    <t>CFL-Scw-Res-Refl-14W</t>
  </si>
  <si>
    <t>CFL Lamp: Reflector, 14 Watts</t>
  </si>
  <si>
    <t>CFLscw-Refl(150w)</t>
  </si>
  <si>
    <t>CFL-Scw-Res-Refl-150W</t>
  </si>
  <si>
    <t>CFL Lamp: Reflector, 150 Watts</t>
  </si>
  <si>
    <t>CFLscw-Refl(16w)</t>
  </si>
  <si>
    <t>CFL-Scw-Res-Refl-16W</t>
  </si>
  <si>
    <t>CFL Lamp: Reflector, 604 initial lumens, 16 Watts</t>
  </si>
  <si>
    <t>CFLscw-Refl(17w)</t>
  </si>
  <si>
    <t>CFL-Scw-Res-Refl-17W</t>
  </si>
  <si>
    <t>CFL Lamp: Reflector, 644 initial lumens, 17 Watts</t>
  </si>
  <si>
    <t>CFLscw-Refl(18w)</t>
  </si>
  <si>
    <t>CFL-Scw-Res-Refl-18W</t>
  </si>
  <si>
    <t>CFL Lamp: Reflector, 683 initial lumens, 18 Watts</t>
  </si>
  <si>
    <t>CFLscw-Refl(19w)</t>
  </si>
  <si>
    <t>CFL-Scw-Res-Refl-19W</t>
  </si>
  <si>
    <t>CFL Lamp: Reflector, 723 initial lumens, 19 Watts</t>
  </si>
  <si>
    <t>CFLscw-Refl(200w)</t>
  </si>
  <si>
    <t>CFL-Scw-Res-Refl-200W</t>
  </si>
  <si>
    <t>CFL Lamp: Reflector, 200 Watts</t>
  </si>
  <si>
    <t>CFLscw-Refl(20w)</t>
  </si>
  <si>
    <t>CFL-Scw-Res-Refl-20W</t>
  </si>
  <si>
    <t>CFL Lamp: Reflector, 762 initial lumens, 20 Watts</t>
  </si>
  <si>
    <t>CFLscw-Refl(21w)</t>
  </si>
  <si>
    <t>CFL-Scw-Res-Refl-21W</t>
  </si>
  <si>
    <t>CFL Lamp: Reflector, 801 initial lumens, 21 Watts</t>
  </si>
  <si>
    <t>CFLscw-Refl(22w)</t>
  </si>
  <si>
    <t>CFL-Scw-Res-Refl-22W</t>
  </si>
  <si>
    <t>CFL Lamp: Reflector, 841 initial lumens, 22 Watts</t>
  </si>
  <si>
    <t>CFLscw-Refl(24w)</t>
  </si>
  <si>
    <t>CFL-Scw-Res-Refl-24W</t>
  </si>
  <si>
    <t>CFL Lamp: Reflector, 925 initial lumens, 24 Watts</t>
  </si>
  <si>
    <t>CFLscw-Refl(25w)</t>
  </si>
  <si>
    <t>CFL-Scw-Res-Refl-25W</t>
  </si>
  <si>
    <t>CFL Lamp: Reflector, 970 initial lumens, 25 Watts</t>
  </si>
  <si>
    <t>CFLscw-Refl(26w)</t>
  </si>
  <si>
    <t>CFL-Scw-Res-Refl-26W</t>
  </si>
  <si>
    <t>CFL Lamp: Reflector, 26 Watts</t>
  </si>
  <si>
    <t>CFLscw-Refl(27w)</t>
  </si>
  <si>
    <t>CFL-Scw-Res-Refl-27W</t>
  </si>
  <si>
    <t>CFL Lamp: Reflector, 27 Watts</t>
  </si>
  <si>
    <t>CFLscw-Refl(28w)</t>
  </si>
  <si>
    <t>CFL-Scw-Res-Refl-28W</t>
  </si>
  <si>
    <t>CFL Lamp: Reflector, 28 Watts</t>
  </si>
  <si>
    <t>CFLscw-Refl(29w)</t>
  </si>
  <si>
    <t>CFL-Scw-Res-Refl-29W</t>
  </si>
  <si>
    <t>CFL Lamp: Reflector, 29 Watts</t>
  </si>
  <si>
    <t>CFLscw-Refl(30w)</t>
  </si>
  <si>
    <t>CFL-Scw-Res-Refl-30W</t>
  </si>
  <si>
    <t>CFL Lamp: Reflector, 30 Watts</t>
  </si>
  <si>
    <t>CFLscw-Refl(31w)</t>
  </si>
  <si>
    <t>CFL-Scw-Res-Refl-31W</t>
  </si>
  <si>
    <t>CFL Lamp: Reflector, 31 Watts</t>
  </si>
  <si>
    <t>CFLscw-Refl(32w)</t>
  </si>
  <si>
    <t>CFL-Scw-Res-Refl-32W</t>
  </si>
  <si>
    <t>CFL Lamp: Reflector, 32 Watts</t>
  </si>
  <si>
    <t>CFLscw-Refl(3w)</t>
  </si>
  <si>
    <t>CFL-Scw-Res-Refl-3W</t>
  </si>
  <si>
    <t>CFL Lamp: Reflector, 3 Watts</t>
  </si>
  <si>
    <t>CFLscw-Refl(40w)</t>
  </si>
  <si>
    <t>CFL Lamp: Reflector, 40 Watts</t>
  </si>
  <si>
    <t>CFLscw-Refl(42w)</t>
  </si>
  <si>
    <t>CFL-Scw-Res-Refl-42W</t>
  </si>
  <si>
    <t>CFL Lamp: Reflector, 42 Watts</t>
  </si>
  <si>
    <t>CFLscw-Refl(45w)</t>
  </si>
  <si>
    <t>CFL Lamp: Reflector, 45 Watts</t>
  </si>
  <si>
    <t>CFLscw-Refl(4w)</t>
  </si>
  <si>
    <t>CFL-Scw-Res-Refl-4W</t>
  </si>
  <si>
    <t>CFL Lamp: Reflector, 4 Watts</t>
  </si>
  <si>
    <t>CFLscw-Refl(55w)</t>
  </si>
  <si>
    <t>CFL-Scw-Res-Refl-55W</t>
  </si>
  <si>
    <t>CFL Lamp: Reflector, 55 Watts</t>
  </si>
  <si>
    <t>CFLscw-Refl(5w)</t>
  </si>
  <si>
    <t>CFL-Scw-Res-Refl-5W</t>
  </si>
  <si>
    <t>CFL Lamp: Reflector, 5 Watts</t>
  </si>
  <si>
    <t>CFLscw-Refl(60w)</t>
  </si>
  <si>
    <t>CFL-Scw-Res-Refl-60W</t>
  </si>
  <si>
    <t>CFL Lamp: Reflector, 60 Watts</t>
  </si>
  <si>
    <t>CFLscw-Refl(6w)</t>
  </si>
  <si>
    <t>CFL-Scw-Res-Refl-6W</t>
  </si>
  <si>
    <t>CFL Lamp: Reflector, 6 Watts</t>
  </si>
  <si>
    <t>CFLscw-Refl(7w)</t>
  </si>
  <si>
    <t>CFL-Scw-Res-Refl-7W</t>
  </si>
  <si>
    <t>CFL Lamp: Reflector, 7 Watts</t>
  </si>
  <si>
    <t>CFLscw-Refl(80w)</t>
  </si>
  <si>
    <t>CFL-Scw-Res-Refl-80W</t>
  </si>
  <si>
    <t>CFL Lamp: Reflector, 80 Watts</t>
  </si>
  <si>
    <t>CFLscw-Refl(8w)</t>
  </si>
  <si>
    <t>CFL-Scw-Res-Refl-8W</t>
  </si>
  <si>
    <t>CFL Lamp: Reflector, 8 Watts</t>
  </si>
  <si>
    <t>CFLscw-Refl(9w)</t>
  </si>
  <si>
    <t>CFL-Scw-Res-Refl-9W</t>
  </si>
  <si>
    <t>CFL Lamp: Reflector, 9 Watts</t>
  </si>
  <si>
    <t>CFLscw(100w)</t>
  </si>
  <si>
    <t>CFL-Scw-Com-NRef-100W</t>
  </si>
  <si>
    <t>CFL Lamp: Non-Reflector, 100 Watts</t>
  </si>
  <si>
    <t>CFLscw(10w)</t>
  </si>
  <si>
    <t>CFL-Scw-Com-NRef-10W</t>
  </si>
  <si>
    <t>CFL Lamp: Non-Reflector, 382 initial lumens, 10 Watts</t>
  </si>
  <si>
    <t>CFLscw(117w)</t>
  </si>
  <si>
    <t>CFL Lamp: Any Non-reflector, 117 Watts</t>
  </si>
  <si>
    <t>CFLscw(11w)</t>
  </si>
  <si>
    <t>CFL-Scw-Com-NRef-11W</t>
  </si>
  <si>
    <t>CFL Lamp: Non-Reflector, 420 initial lumens, 11 Watts</t>
  </si>
  <si>
    <t>CFLscw(120w)</t>
  </si>
  <si>
    <t>CFL Lamp: Non-Reflector, 120 Watts</t>
  </si>
  <si>
    <t>CFLscw(128w)</t>
  </si>
  <si>
    <t>CFL Lamp: Any Non-reflector, 128 Watts</t>
  </si>
  <si>
    <t>CFLscw(12w)</t>
  </si>
  <si>
    <t>CFL-Scw-Com-NRef-12W</t>
  </si>
  <si>
    <t>CFL Lamp: Non-Reflector, 540 initial lumens, 12 Watts</t>
  </si>
  <si>
    <t>CFLscw(13w)</t>
  </si>
  <si>
    <t>CFL-Scw-Com-NRef-13W</t>
  </si>
  <si>
    <t>CFL Lamp: Non-Reflector, 660 initial lumens, 13 Watts</t>
  </si>
  <si>
    <t>CFLscw(14w)</t>
  </si>
  <si>
    <t>CFL-Scw-Com-NRef-14W</t>
  </si>
  <si>
    <t>CFL Lamp: Non-Reflector, 713 initial lumens, 14 Watts</t>
  </si>
  <si>
    <t>CFLscw(150w)</t>
  </si>
  <si>
    <t>CFL-Scw-Com-NRef-150W</t>
  </si>
  <si>
    <t>CFL Lamp: Non-Reflector, 150 Watts</t>
  </si>
  <si>
    <t>CFLscw(15w)</t>
  </si>
  <si>
    <t>CFL-Scw-Com-NRef-15W</t>
  </si>
  <si>
    <t>CFL Lamp: Non-Reflector, 765 initial lumens, 15 Watts</t>
  </si>
  <si>
    <t>CFLscw(16w)</t>
  </si>
  <si>
    <t>CFL-Scw-Com-NRef-16W</t>
  </si>
  <si>
    <t>CFL Lamp: Non-Reflector, 810 initial lumens, 16 Watts</t>
  </si>
  <si>
    <t>CFLscw(17w)</t>
  </si>
  <si>
    <t>CFL-Scw-Com-NRef-17W</t>
  </si>
  <si>
    <t>CFL Lamp: Non-Reflector, 845 initial lumens, 17 Watts</t>
  </si>
  <si>
    <t>CFLscw(18w)</t>
  </si>
  <si>
    <t>CFL-Scw-Com-NRef-18W</t>
  </si>
  <si>
    <t>CFL Lamp: Non-Reflector, 885 initial lumens, 18 Watts</t>
  </si>
  <si>
    <t>CFLscw(195w)</t>
  </si>
  <si>
    <t>CFL Lamp: Any Non-reflector, 195 Watts</t>
  </si>
  <si>
    <t>CFLscw(19w)</t>
  </si>
  <si>
    <t>CFL-Scw-Com-NRef-19W</t>
  </si>
  <si>
    <t>CFL Lamp: Non-Reflector, 925 initial lumens, 19 Watts</t>
  </si>
  <si>
    <t>CFLscw(200w)</t>
  </si>
  <si>
    <t>CFL-Scw-Com-NRef-200W</t>
  </si>
  <si>
    <t>CFL Lamp: Non-Reflector, 200 Watts</t>
  </si>
  <si>
    <t>CFLscw(20w)</t>
  </si>
  <si>
    <t>CFL-Scw-Com-NRef-20W</t>
  </si>
  <si>
    <t>CFL Lamp: Non-Reflector, 965 initial lumens, 20 Watts</t>
  </si>
  <si>
    <t>CFLscw(21w)</t>
  </si>
  <si>
    <t>CFL-Scw-Com-NRef-21W</t>
  </si>
  <si>
    <t>CFL Lamp: Non-Reflector, 1070 initial lumens, 21 Watts</t>
  </si>
  <si>
    <t>CFLscw(22w)</t>
  </si>
  <si>
    <t>CFL-Scw-Com-NRef-22W</t>
  </si>
  <si>
    <t>CFL Lamp: Non-Reflector, 1175 initial lumens, 22 Watts</t>
  </si>
  <si>
    <t>CFLscw(23w)</t>
  </si>
  <si>
    <t>CFL-Scw-Com-NRef-23W</t>
  </si>
  <si>
    <t>CFL Lamp: Non-Reflector, 1280 initial lumens, 23 Watts</t>
  </si>
  <si>
    <t>CFLscw(24w)</t>
  </si>
  <si>
    <t>CFL-Scw-Com-NRef-24W</t>
  </si>
  <si>
    <t>CFL Lamp: Non-Reflector, 1295 initial lumens, 24 Watts</t>
  </si>
  <si>
    <t>CFLscw(25w)</t>
  </si>
  <si>
    <t>CFL-Scw-Com-NRef-25W</t>
  </si>
  <si>
    <t>CFL Lamp: Non-Reflector, 1310 initial lumens, 25 Watts</t>
  </si>
  <si>
    <t>CFLscw(26w)</t>
  </si>
  <si>
    <t>CFL-Scw-Com-NRef-26W</t>
  </si>
  <si>
    <t>CFL Lamp: Non-Reflector, 1368 initial lumens, 26 Watts</t>
  </si>
  <si>
    <t>CFLscw(27w)</t>
  </si>
  <si>
    <t>CFL-Scw-Com-NRef-27W</t>
  </si>
  <si>
    <t>CFL Lamp: Non-Reflector, 1427 initial lumens, 27 Watts</t>
  </si>
  <si>
    <t>CFLscw(28w)</t>
  </si>
  <si>
    <t>CFL-Scw-Com-NRef-28W</t>
  </si>
  <si>
    <t>CFL Lamp: Non-Reflector, 1485 initial lumens, 28 Watts</t>
  </si>
  <si>
    <t>CFLscw(29w)</t>
  </si>
  <si>
    <t>CFL-Scw-Com-NRef-29W</t>
  </si>
  <si>
    <t>CFL Lamp: Non-Reflector, 29 Watts</t>
  </si>
  <si>
    <t>CFLscw(30w)</t>
  </si>
  <si>
    <t>CFL-Scw-Com-NRef-30W</t>
  </si>
  <si>
    <t>CFL Lamp: Non-Reflector, 30 Watts</t>
  </si>
  <si>
    <t>CFLscw(31w)</t>
  </si>
  <si>
    <t>CFL-Scw-Com-NRef-31W</t>
  </si>
  <si>
    <t>CFL Lamp: Non-Reflector, 31 Watts</t>
  </si>
  <si>
    <t>CFLscw(32w)</t>
  </si>
  <si>
    <t>CFL-Scw-Com-NRef-32W</t>
  </si>
  <si>
    <t>CFL Lamp: Non-Reflector, 32 Watts</t>
  </si>
  <si>
    <t>CFLscw(33w)</t>
  </si>
  <si>
    <t>CFL Lamp: Non-Reflector, 33 Watts</t>
  </si>
  <si>
    <t>CFLscw(36w)</t>
  </si>
  <si>
    <t>CFL Lamp: Any Non-reflector, 36 Watts</t>
  </si>
  <si>
    <t>CFLscw(38w)</t>
  </si>
  <si>
    <t>CFL Lamp: Any Non-reflector, 38 Watts</t>
  </si>
  <si>
    <t>CFLscw(39w)</t>
  </si>
  <si>
    <t>CFL Lamp: Any Non-reflector, 39 Watts</t>
  </si>
  <si>
    <t>CFLscw(3w)</t>
  </si>
  <si>
    <t>CFL-Scw-Com-NRef-3W</t>
  </si>
  <si>
    <t>CFL Lamp: Non-Reflector, 3 Watts</t>
  </si>
  <si>
    <t>CFLscw(40w)</t>
  </si>
  <si>
    <t>CFL Lamp: Non-Reflector, 40 Watts</t>
  </si>
  <si>
    <t>CFLscw(42w)</t>
  </si>
  <si>
    <t>CFL-Scw-Com-NRef-42W</t>
  </si>
  <si>
    <t>CFL Lamp: Non-Reflector, 42 Watts</t>
  </si>
  <si>
    <t>CFLscw(44w)</t>
  </si>
  <si>
    <t>CFL Lamp: Any Non-reflector, 44 Watts</t>
  </si>
  <si>
    <t>CFLscw(45w)</t>
  </si>
  <si>
    <t>CFL Lamp: Any Non-reflector, 45 Watts</t>
  </si>
  <si>
    <t>CFLscw(48w)</t>
  </si>
  <si>
    <t>CFL Lamp: Any Non-reflector, 48 Watts</t>
  </si>
  <si>
    <t>CFLscw(4w)</t>
  </si>
  <si>
    <t>CFL-Scw-Com-NRef-4W</t>
  </si>
  <si>
    <t>CFL Lamp: Non-Reflector, 4 Watts</t>
  </si>
  <si>
    <t>CFLscw(50w)</t>
  </si>
  <si>
    <t>CFL Lamp: Any Non-reflector, 50 Watts</t>
  </si>
  <si>
    <t>CFLscw(52w)</t>
  </si>
  <si>
    <t>CFL Lamp: Any Non-reflector, 52 Watts</t>
  </si>
  <si>
    <t>CFLscw(55w)</t>
  </si>
  <si>
    <t>CFL-Scw-Com-NRef-55W</t>
  </si>
  <si>
    <t>CFL Lamp: Non-Reflector, 55 Watts</t>
  </si>
  <si>
    <t>CFLscw(5w)</t>
  </si>
  <si>
    <t>CFL-Scw-Com-NRef-5W</t>
  </si>
  <si>
    <t>CFL Lamp: Non-Reflector, 5 Watts</t>
  </si>
  <si>
    <t>CFLscw(60w)</t>
  </si>
  <si>
    <t>CFL-Scw-Com-NRef-60W</t>
  </si>
  <si>
    <t>CFL Lamp: Non-Reflector, 60 Watts</t>
  </si>
  <si>
    <t>CFLscw(64w)</t>
  </si>
  <si>
    <t>CFL Lamp: Any Non-reflector, 64 Watts</t>
  </si>
  <si>
    <t>CFLscw(65w)</t>
  </si>
  <si>
    <t>CFL Lamp: Any Non-reflector, 65 Watts</t>
  </si>
  <si>
    <t>CFLscw(68w)</t>
  </si>
  <si>
    <t>CFL Lamp: Non-Reflector, 68 Watts</t>
  </si>
  <si>
    <t>CFLscw(69w)</t>
  </si>
  <si>
    <t>CFL Lamp: Non-Reflector, 69 Watts</t>
  </si>
  <si>
    <t>CFLscw(6w)</t>
  </si>
  <si>
    <t>CFL-Scw-Com-NRef-6W</t>
  </si>
  <si>
    <t>CFL Lamp: Non-Reflector, 6 Watts</t>
  </si>
  <si>
    <t>CFLscw(70w)</t>
  </si>
  <si>
    <t>CFL Lamp: Any Non-reflector, 70 Watts</t>
  </si>
  <si>
    <t>CFLscw(72w)</t>
  </si>
  <si>
    <t>CFL Lamp: Any Non-reflector, 72 Watts</t>
  </si>
  <si>
    <t>CFLscw(78w)</t>
  </si>
  <si>
    <t>CFL Lamp: Any Non-reflector, 78 Watts</t>
  </si>
  <si>
    <t>CFLscw(7w)</t>
  </si>
  <si>
    <t>CFL-Scw-Com-NRef-7W</t>
  </si>
  <si>
    <t>CFL Lamp: Non-Reflector, 296 initial lumens, 7 Watts</t>
  </si>
  <si>
    <t>CFLscw(80w)</t>
  </si>
  <si>
    <t>CFL-Scw-Com-NRef-80W</t>
  </si>
  <si>
    <t>CFL Lamp: Non-Reflector, 80 Watts</t>
  </si>
  <si>
    <t>CFLscw(84w)</t>
  </si>
  <si>
    <t>CFL Lamp: Non-Reflector, 84 Watts</t>
  </si>
  <si>
    <t>CFLscw(85w)</t>
  </si>
  <si>
    <t>CFL Lamp: Non-Reflector, 85 Watts</t>
  </si>
  <si>
    <t>CFLscw(8w)</t>
  </si>
  <si>
    <t>CFL-Scw-Com-NRef-8W</t>
  </si>
  <si>
    <t>CFL Lamp: Non-Reflector, 320 initial lumens, 8 Watts</t>
  </si>
  <si>
    <t>CFLscw(92w)</t>
  </si>
  <si>
    <t>CFL Lamp: Any Non-reflector, 92 Watts</t>
  </si>
  <si>
    <t>CFLscw(96w)</t>
  </si>
  <si>
    <t>CFL Lamp: Any Non-reflector, 96 Watts</t>
  </si>
  <si>
    <t>CFLscw(9w)</t>
  </si>
  <si>
    <t>CFL-Scw-Com-NRef-9W</t>
  </si>
  <si>
    <t>CFL Lamp: Non-Reflector, 344 initial lumens, 9 Watts</t>
  </si>
  <si>
    <t>CFL Lamp CostID and material cost data</t>
  </si>
  <si>
    <t>Corresponding Incandescent Reference IDs and Costs</t>
  </si>
  <si>
    <t>Standard Technology (base case)  mixed cost: 60% Incandescant 40% CFL</t>
  </si>
  <si>
    <t>Lookup values for Measure assignment:</t>
  </si>
  <si>
    <t>lookup</t>
  </si>
  <si>
    <t>Material Cost</t>
  </si>
  <si>
    <t>Incremental Technology Costs</t>
  </si>
  <si>
    <t>Lookups:</t>
  </si>
  <si>
    <t>row</t>
  </si>
  <si>
    <t>CostID (all in-scope IDs)</t>
  </si>
  <si>
    <t>Measure Reference ID</t>
  </si>
  <si>
    <t>Cost ID</t>
  </si>
  <si>
    <t>Code TechID</t>
  </si>
  <si>
    <t>Measure Lookup</t>
  </si>
  <si>
    <t>r0248</t>
  </si>
  <si>
    <t>r0284</t>
  </si>
  <si>
    <t>r0286</t>
  </si>
  <si>
    <t>Wtd-Pack</t>
  </si>
  <si>
    <t>MeasCost Table for Import to the ex ante database</t>
  </si>
  <si>
    <t>match</t>
  </si>
  <si>
    <t>pkgIndex</t>
  </si>
  <si>
    <t>PA</t>
  </si>
  <si>
    <t>MeasCostID</t>
  </si>
  <si>
    <t>NormUnit</t>
  </si>
  <si>
    <t>Version</t>
  </si>
  <si>
    <t>VersionSource</t>
  </si>
  <si>
    <t>SourceDesc</t>
  </si>
  <si>
    <t>Sector</t>
  </si>
  <si>
    <t>UseCategory</t>
  </si>
  <si>
    <t>UseSubCategory</t>
  </si>
  <si>
    <t>TechGroup</t>
  </si>
  <si>
    <t>TechType</t>
  </si>
  <si>
    <t>BldgType</t>
  </si>
  <si>
    <t>BldgVint</t>
  </si>
  <si>
    <t>BldgLoc</t>
  </si>
  <si>
    <t>CostQualifier</t>
  </si>
  <si>
    <t>CostType</t>
  </si>
  <si>
    <t>GenCost</t>
  </si>
  <si>
    <t>LaborCost</t>
  </si>
  <si>
    <t>MatlCost</t>
  </si>
  <si>
    <t>InstallHrs</t>
  </si>
  <si>
    <t>LaborRate</t>
  </si>
  <si>
    <t>LocCostAdj</t>
  </si>
  <si>
    <t>MeasAppType</t>
  </si>
  <si>
    <t>DelivType</t>
  </si>
  <si>
    <t>NumUses</t>
  </si>
  <si>
    <t>StartDate</t>
  </si>
  <si>
    <t>ExpiryDate</t>
  </si>
  <si>
    <t>Status</t>
  </si>
  <si>
    <t>ReviewStatus</t>
  </si>
  <si>
    <t>Comment</t>
  </si>
  <si>
    <t>NomCostValue</t>
  </si>
  <si>
    <t>MatlCostConst</t>
  </si>
  <si>
    <t>MinUnits</t>
  </si>
  <si>
    <t>MaxUnits</t>
  </si>
  <si>
    <t>Lookup</t>
  </si>
  <si>
    <t>Lamp</t>
  </si>
  <si>
    <t>D16v3</t>
  </si>
  <si>
    <t>2010-2012_WO017_Ex_Ante_Measure_Cost_Study_-_Final_Report</t>
  </si>
  <si>
    <t>Res</t>
  </si>
  <si>
    <t>Lighting</t>
  </si>
  <si>
    <t>Ltg_Lamp</t>
  </si>
  <si>
    <t>CFLint_lamp</t>
  </si>
  <si>
    <t>Full</t>
  </si>
  <si>
    <t>EL50</t>
  </si>
  <si>
    <t>ROBNC</t>
  </si>
  <si>
    <t>Proposed</t>
  </si>
  <si>
    <t>DEER</t>
  </si>
  <si>
    <t>costs based on TechType_Ltg_CFL_MKT.xlsx (from Iton on 6/22/2015); assumed twister</t>
  </si>
  <si>
    <t>Std_CFLscw(10w)_60pInc-r0248</t>
  </si>
  <si>
    <t>RobNc</t>
  </si>
  <si>
    <t>Std_CFLscw(11w)_60pInc-r0248</t>
  </si>
  <si>
    <t>Std_CFLscw(12w)_60pInc-r0248</t>
  </si>
  <si>
    <t>Std_CFLscw(13w)_60pInc-r0248</t>
  </si>
  <si>
    <t>Std_CFLscw(14w)_60pInc-r0248</t>
  </si>
  <si>
    <t>Std_CFLscw(15w)_60pInc-r0248</t>
  </si>
  <si>
    <t>Std_CFLscw(16w)_60pInc-r0248</t>
  </si>
  <si>
    <t>Std_CFLscw(17w)_60pInc-r0248</t>
  </si>
  <si>
    <t>Std_CFLscw(18w)_60pInc-r0248</t>
  </si>
  <si>
    <t>Std_CFLscw(19w)_60pInc-r0248</t>
  </si>
  <si>
    <t>Std_CFLscw(20w)_60pInc-r0248</t>
  </si>
  <si>
    <t>Std_CFLscw(21w)_60pInc-r0248</t>
  </si>
  <si>
    <t>Std_CFLscw(22w)_60pInc-r0248</t>
  </si>
  <si>
    <t>Std_CFLscw(23w)_60pInc-r0248</t>
  </si>
  <si>
    <t>Std_CFLscw(24w)_60pInc-r0248</t>
  </si>
  <si>
    <t>Std_CFLscw(25w)_60pInc-r0248</t>
  </si>
  <si>
    <t>Std_CFLscw(26w)_60pInc-r0248</t>
  </si>
  <si>
    <t>Std_CFLscw(27w)_60pInc-r0248</t>
  </si>
  <si>
    <t>Std_CFLscw(28w)_60pInc-r0248</t>
  </si>
  <si>
    <t>Std_CFLscw(29w)_60pInc-r0248</t>
  </si>
  <si>
    <t>Std_CFLscw(30w)_60pInc-r0248</t>
  </si>
  <si>
    <t>Std_CFLscw(31w)_60pInc-r0248</t>
  </si>
  <si>
    <t>Std_CFLscw(32w)_60pInc-r0248</t>
  </si>
  <si>
    <t>Std_CFLscw(33w)_60pInc-r0248</t>
  </si>
  <si>
    <t>Std_CFLscw(36w)_60pInc-r0248</t>
  </si>
  <si>
    <t>Std_CFLscw(38w)_60pInc-r0248</t>
  </si>
  <si>
    <t>Std_CFLscw(39w)_60pInc-r0248</t>
  </si>
  <si>
    <t>Std_CFLscw(3w)_60pInc-r0248</t>
  </si>
  <si>
    <t>Std_CFLscw(40w)_60pInc-r0248</t>
  </si>
  <si>
    <t>Std_CFLscw(42w)_60pInc-r0248</t>
  </si>
  <si>
    <t>Std_CFLscw(4w)_60pInc-r0248</t>
  </si>
  <si>
    <t>Std_CFLscw(5w)_60pInc-r0248</t>
  </si>
  <si>
    <t>Std_CFLscw(6w)_60pInc-r0248</t>
  </si>
  <si>
    <t>Std_CFLscw(7w)_60pInc-r0248</t>
  </si>
  <si>
    <t>Std_CFLscw(8w)_60pInc-r0248</t>
  </si>
  <si>
    <t>Std_CFLscw(9w)_60pInc-r0248</t>
  </si>
  <si>
    <t>Std_CFLscw-3way(13w)_60pInc-r0248</t>
  </si>
  <si>
    <t>Std_CFLscw-3way(15w)_60pInc-r0248</t>
  </si>
  <si>
    <t>Std_CFLscw-3way(16w)_60pInc-r0248</t>
  </si>
  <si>
    <t>Std_CFLscw-3way(17w)_60pInc-r0248</t>
  </si>
  <si>
    <t>Std_CFLscw-3way(18w)_60pInc-r0248</t>
  </si>
  <si>
    <t>Std_CFLscw-3way(19w)_60pInc-r0248</t>
  </si>
  <si>
    <t>Std_CFLscw-3way(20w)_60pInc-r0248</t>
  </si>
  <si>
    <t>Std_CFLscw-3way(21w)_60pInc-r0248</t>
  </si>
  <si>
    <t>Std_CFLscw-3way(22w)_60pInc-r0248</t>
  </si>
  <si>
    <t>Std_CFLscw-3way(23w)_60pInc-r0248</t>
  </si>
  <si>
    <t>Std_CFLscw-3way(24w)_60pInc-r0248</t>
  </si>
  <si>
    <t>Std_CFLscw-3way(25w)_60pInc-r0248</t>
  </si>
  <si>
    <t>Std_CFLscw-3way(26w)_60pInc-r0248</t>
  </si>
  <si>
    <t>Std_CFLscw-3way(27w)_60pInc-r0248</t>
  </si>
  <si>
    <t>Std_CFLscw-3way(28w)_60pInc-r0248</t>
  </si>
  <si>
    <t>Std_CFLscw-3way(29w)_60pInc-r0248</t>
  </si>
  <si>
    <t>Std_CFLscw-3way(30w)_60pInc-r0248</t>
  </si>
  <si>
    <t>Std_CFLscw-3way(31w)_60pInc-r0248</t>
  </si>
  <si>
    <t>Std_CFLscw-3way(32w)_60pInc-r0248</t>
  </si>
  <si>
    <t>Std_CFLscw-3way(33w)_60pInc-r0248</t>
  </si>
  <si>
    <t>Std_CFLscw-3way(40w)_60pInc-r0248</t>
  </si>
  <si>
    <t>Std_CFLscw-3way(42w)_60pInc-r0248</t>
  </si>
  <si>
    <t>Std_CFLscw-A(10w)_60pInc-r0248</t>
  </si>
  <si>
    <t>Std_CFLscw-A(11w)_60pInc-r0248</t>
  </si>
  <si>
    <t>Std_CFLscw-A(12w)_60pInc-r0248</t>
  </si>
  <si>
    <t>Std_CFLscw-A(13w)_60pInc-r0248</t>
  </si>
  <si>
    <t>Std_CFLscw-A(14w)_60pInc-r0248</t>
  </si>
  <si>
    <t>Std_CFLscw-A(15w)_60pInc-r0248</t>
  </si>
  <si>
    <t>Std_CFLscw-A(16w)_60pInc-r0248</t>
  </si>
  <si>
    <t>Std_CFLscw-A(18w)_60pInc-r0248</t>
  </si>
  <si>
    <t>Std_CFLscw-A(19w)_60pInc-r0248</t>
  </si>
  <si>
    <t>Std_CFLscw-A(20w)_60pInc-r0248</t>
  </si>
  <si>
    <t>Std_CFLscw-A(22w)_60pInc-r0248</t>
  </si>
  <si>
    <t>Std_CFLscw-A(23w)_60pInc-r0248</t>
  </si>
  <si>
    <t>Std_CFLscw-A(24w)_60pInc-r0248</t>
  </si>
  <si>
    <t>Std_CFLscw-A(25w)_60pInc-r0248</t>
  </si>
  <si>
    <t>Std_CFLscw-A(26w)_60pInc-r0248</t>
  </si>
  <si>
    <t>Std_CFLscw-A(27w)_60pInc-r0248</t>
  </si>
  <si>
    <t>Std_CFLscw-A(28w)_60pInc-r0248</t>
  </si>
  <si>
    <t>Std_CFLscw-A(30w)_60pInc-r0248</t>
  </si>
  <si>
    <t>Std_CFLscw-A(32w)_60pInc-r0248</t>
  </si>
  <si>
    <t>Std_CFLscw-A(40w)_60pInc-r0248</t>
  </si>
  <si>
    <t>Std_CFLscw-A(42w)_60pInc-r0248</t>
  </si>
  <si>
    <t>Std_CFLscw-A(7w)_60pInc-r0248</t>
  </si>
  <si>
    <t>Std_CFLscw-A(8w)_60pInc-r0248</t>
  </si>
  <si>
    <t>Std_CFLscw-A(9w)_60pInc-r0248</t>
  </si>
  <si>
    <t>Std_CFLscw-Candle(10w)_60pInc-r0248</t>
  </si>
  <si>
    <t>Std_CFLscw-Candle(11w)_60pInc-r0248</t>
  </si>
  <si>
    <t>Std_CFLscw-Candle(12w)_60pInc-r0248</t>
  </si>
  <si>
    <t>Std_CFLscw-Candle(13w)_60pInc-r0248</t>
  </si>
  <si>
    <t>Std_CFLscw-Candle(14w)_60pInc-r0248</t>
  </si>
  <si>
    <t>Std_CFLscw-Candle(15w)_60pInc-r0248</t>
  </si>
  <si>
    <t>Std_CFLscw-Candle(7w)_60pInc-r0248</t>
  </si>
  <si>
    <t>Std_CFLscw-Candle(8w)_60pInc-r0248</t>
  </si>
  <si>
    <t>Std_CFLscw-Candle(9w)_60pInc-r0248</t>
  </si>
  <si>
    <t>Std_CFLscw-Dim(10w)_60pInc-r0248</t>
  </si>
  <si>
    <t>Std_CFLscw-Dim(11w)_60pInc-r0248</t>
  </si>
  <si>
    <t>Std_CFLscw-Dim(14w)_60pInc-r0248</t>
  </si>
  <si>
    <t>Std_CFLscw-Dim(15w)_60pInc-r0248</t>
  </si>
  <si>
    <t>Std_CFLscw-Dim(16w)_60pInc-r0248</t>
  </si>
  <si>
    <t>Std_CFLscw-Dim(18w)_60pInc-r0248</t>
  </si>
  <si>
    <t>Std_CFLscw-Dim(19w)_60pInc-r0248</t>
  </si>
  <si>
    <t>Std_CFLscw-Dim(20w)_60pInc-r0248</t>
  </si>
  <si>
    <t>Std_CFLscw-Dim(23w)_60pInc-r0248</t>
  </si>
  <si>
    <t>Std_CFLscw-Dim(25w)_60pInc-r0248</t>
  </si>
  <si>
    <t>Std_CFLscw-Dim(26w)_60pInc-r0248</t>
  </si>
  <si>
    <t xml:space="preserve">costs based on TechType_Ltg_CFL_MKT.xlsx (from Iton on 6/22/2015); </t>
  </si>
  <si>
    <t>Std_CFLscw-Dim(28w)_60pInc-r0248</t>
  </si>
  <si>
    <t>Std_CFLscw-Dim(30w)_60pInc-r0248</t>
  </si>
  <si>
    <t>Std_CFLscw-Dim(33w)_60pInc-r0248</t>
  </si>
  <si>
    <t>Std_CFLscw-Dim(35w)_60pInc-r0248</t>
  </si>
  <si>
    <t>Std_CFLscw-Dim(38w)_60pInc-r0248</t>
  </si>
  <si>
    <t>Std_CFLscw-Dim(40w)_60pInc-r0248</t>
  </si>
  <si>
    <t>Std_CFLscw-Glb(10w)_60pInc-r0248</t>
  </si>
  <si>
    <t>Std_CFLscw-Glb(11w)_60pInc-r0248</t>
  </si>
  <si>
    <t>Std_CFLscw-Glb(12w)_60pInc-r0248</t>
  </si>
  <si>
    <t>Std_CFLscw-Glb(13w)_60pInc-r0248</t>
  </si>
  <si>
    <t>Std_CFLscw-Glb(14w)_60pInc-r0248</t>
  </si>
  <si>
    <t>Std_CFLscw-Glb(15w)_60pInc-r0248</t>
  </si>
  <si>
    <t>Std_CFLscw-Glb(16w)_60pInc-r0248</t>
  </si>
  <si>
    <t>Std_CFLscw-Glb(18w)_60pInc-r0248</t>
  </si>
  <si>
    <t>Std_CFLscw-Glb(19w)_60pInc-r0248</t>
  </si>
  <si>
    <t>Std_CFLscw-Glb(20w)_60pInc-r0248</t>
  </si>
  <si>
    <t>Std_CFLscw-Glb(22w)_60pInc-r0248</t>
  </si>
  <si>
    <t>Std_CFLscw-Glb(23w)_60pInc-r0248</t>
  </si>
  <si>
    <t>Std_CFLscw-Glb(9w)_60pInc-r0248</t>
  </si>
  <si>
    <t>Std_CFLscw-PAR38(23w)_60pInc-r0286</t>
  </si>
  <si>
    <t>Std_CFLscw-Refl(10w)_60pInc-r0286</t>
  </si>
  <si>
    <t>Std_CFLscw-Refl(11w)_60pInc-r0286</t>
  </si>
  <si>
    <t>Std_CFLscw-Refl(12w)_60pInc-r0286</t>
  </si>
  <si>
    <t>Std_CFLscw-Refl(13w)_60pInc-r0286</t>
  </si>
  <si>
    <t>Std_CFLscw-Refl(14w)_60pInc-r0286</t>
  </si>
  <si>
    <t>Std_CFLscw-Refl(16w)_60pInc-r0286</t>
  </si>
  <si>
    <t>Std_CFLscw-Refl(17w)_60pInc-r0286</t>
  </si>
  <si>
    <t>Std_CFLscw-Refl(18w)_60pInc-r0286</t>
  </si>
  <si>
    <t>Std_CFLscw-Refl(19w)_60pInc-r0286</t>
  </si>
  <si>
    <t>Std_CFLscw-Refl(20w)_60pInc-r0286</t>
  </si>
  <si>
    <t>Std_CFLscw-Refl(21w)_60pInc-r0286</t>
  </si>
  <si>
    <t>Std_CFLscw-Refl(22w)_60pInc-r0286</t>
  </si>
  <si>
    <t>Std_CFLscw-Refl(24w)_60pInc-r0286</t>
  </si>
  <si>
    <t>Std_CFLscw-Refl(25w)_60pInc-r0286</t>
  </si>
  <si>
    <t>Std_CFLscw-Refl(26w)_60pInc-r0286</t>
  </si>
  <si>
    <t>Std_CFLscw-Refl(5w)_60pInc-r0286</t>
  </si>
  <si>
    <t>Std_CFLscw-Refl(6w)_60pInc-r0286</t>
  </si>
  <si>
    <t>Std_CFLscw-Refl(7w)_60pInc-r0286</t>
  </si>
  <si>
    <t>Std_CFLscw-Refl(8w)_60pInc-r0286</t>
  </si>
  <si>
    <t>Std_CFLscw-Refl(9w)_60pInc-r0286</t>
  </si>
  <si>
    <t>Std_CFLscw-Refl-1(15w)_60pInc-r0286</t>
  </si>
  <si>
    <t>Std_CFLscw-Refl-1(23w)_60pInc-r0286</t>
  </si>
  <si>
    <t>Std_CFLscw-Refl-2(15w)_60pInc-r0286</t>
  </si>
  <si>
    <t>Std_CFLscw-Refl-2(23w)_60pInc-r0286</t>
  </si>
  <si>
    <t>Std_CFLscw-Refl-Dim(15w)_60pInc-r0286</t>
  </si>
  <si>
    <t>Std_CFLscw-Refl-Dim(16w)_60pInc-r0286</t>
  </si>
  <si>
    <t>Std_CFLscw-Refl-Dim(20w)_60pInc-r0286</t>
  </si>
  <si>
    <t>Std_CFLscw-Refl-Dim(26w)_60pInc-r0286</t>
  </si>
  <si>
    <t>Std_CFLscw-Refl-Ext(13w)_60pInc-r0286</t>
  </si>
  <si>
    <t>Std_CFLscw-Refl-Ext(14w)_60pInc-r0286</t>
  </si>
  <si>
    <t>Std_CFLscw-Refl-Ext(15w)_60pInc-r0286</t>
  </si>
  <si>
    <t>Std_CFLscw-Refl-Ext(16w)_60pInc-r0286</t>
  </si>
  <si>
    <t>Std_CFLscw-Refl-Ext(18w)_60pInc-r0286</t>
  </si>
  <si>
    <t>Std_CFLscw-Refl-Ext(20w)_60pInc-r0286</t>
  </si>
  <si>
    <t>Std_CFLscw-Refl-Ext(23w)_60pInc-r0286</t>
  </si>
  <si>
    <t>Measure Table with cost ID assigments, for import into the ex ante database</t>
  </si>
  <si>
    <t>exante1314 database tables: Measure (Residential indoor CFL lighting)</t>
  </si>
  <si>
    <t>This file created on 8/4/2015 4:55:59 PM while connected to localhost as sptviewer.</t>
  </si>
  <si>
    <t>Cost ID Assignments</t>
  </si>
  <si>
    <t>Cost ID lookup source</t>
  </si>
  <si>
    <t>MeasureID</t>
  </si>
  <si>
    <t>LastMod</t>
  </si>
  <si>
    <t>MeasID_PGE</t>
  </si>
  <si>
    <t>MeasID_SCE</t>
  </si>
  <si>
    <t>MeasID_SDG</t>
  </si>
  <si>
    <t>MeasID_SCG</t>
  </si>
  <si>
    <t>SupportedAppType</t>
  </si>
  <si>
    <t>EnergyImpactID</t>
  </si>
  <si>
    <t>MeasImpactType</t>
  </si>
  <si>
    <t>EnImpCalcType</t>
  </si>
  <si>
    <t>ImpScaleBasis</t>
  </si>
  <si>
    <t>StdScaleVal</t>
  </si>
  <si>
    <t>PreScaleVal</t>
  </si>
  <si>
    <t>ImpWeighting</t>
  </si>
  <si>
    <t>WeightGroupID</t>
  </si>
  <si>
    <t>ApplyIE</t>
  </si>
  <si>
    <t>IETableName</t>
  </si>
  <si>
    <t>TechBased</t>
  </si>
  <si>
    <t>StdCostID</t>
  </si>
  <si>
    <t>RUL_ID</t>
  </si>
  <si>
    <t>PreDesc</t>
  </si>
  <si>
    <t>StdDesc</t>
  </si>
  <si>
    <t>MeasDesc</t>
  </si>
  <si>
    <t>PreTechID</t>
  </si>
  <si>
    <t>StdTechID</t>
  </si>
  <si>
    <t>MeasTechID</t>
  </si>
  <si>
    <t>LegacyID</t>
  </si>
  <si>
    <t>MeasQualifierGroup</t>
  </si>
  <si>
    <t>MeasType</t>
  </si>
  <si>
    <t>R-In-CFLscw-A(10)-dWP15</t>
  </si>
  <si>
    <t>Residential Indoor General Lighting: CFL Lamp with integated Ballast replaces pre-existing standard lighting Wattage. Measure includes Code case. Impacts: CFL-based HOU (varies by BldgType)</t>
  </si>
  <si>
    <t>DEER2015</t>
  </si>
  <si>
    <t>D15 v2</t>
  </si>
  <si>
    <t>Disposition: MeasuresList-October312014.xlsx</t>
  </si>
  <si>
    <t>Res-Iltg-dWatt-CFL</t>
  </si>
  <si>
    <t>Scaled</t>
  </si>
  <si>
    <t>InGen-CFL</t>
  </si>
  <si>
    <t>ILtg-CFL-Res</t>
  </si>
  <si>
    <t>R-In-CFLscw-A(10w)-dWP24</t>
  </si>
  <si>
    <t>DEER2015-ResInLtg</t>
  </si>
  <si>
    <t>DEER2015 Uncertain Msr Update (CFL WWR)</t>
  </si>
  <si>
    <t>Standard</t>
  </si>
  <si>
    <t>R-In-CFLscw-A(11)-dWP16</t>
  </si>
  <si>
    <t>R-In-CFLscw-A(11w)-dWP27</t>
  </si>
  <si>
    <t>R-In-CFLscw-A(12)-dWP18</t>
  </si>
  <si>
    <t>R-In-CFLscw-A(12w)-dWP29</t>
  </si>
  <si>
    <t>R-In-CFLscw-A(13)-dWP19</t>
  </si>
  <si>
    <t>R-In-CFLscw-A(13w)-dWP32</t>
  </si>
  <si>
    <t>R-In-CFLscw-A(14)-dWP21</t>
  </si>
  <si>
    <t>R-In-CFLscw-A(14w)-dWP34</t>
  </si>
  <si>
    <t>R-In-CFLscw-A(15)-dWP22</t>
  </si>
  <si>
    <t>R-In-CFLscw-A(15w)-dWP37</t>
  </si>
  <si>
    <t>R-In-CFLscw-A(16)-dWP24</t>
  </si>
  <si>
    <t>R-In-CFLscw-A(16w)-dWP39</t>
  </si>
  <si>
    <t>R-In-CFLscw-A(18)-dWP27</t>
  </si>
  <si>
    <t>R-In-CFLscw-A(18w)-dWP44</t>
  </si>
  <si>
    <t>R-In-CFLscw-A(19)-dWP28</t>
  </si>
  <si>
    <t>R-In-CFLscw-A(19w)-dWP46</t>
  </si>
  <si>
    <t>R-In-CFLscw-A(20)-dWP30</t>
  </si>
  <si>
    <t>R-In-CFLscw-A(20w)-dWP49</t>
  </si>
  <si>
    <t>R-In-CFLscw-A(22)-dWP33</t>
  </si>
  <si>
    <t>R-In-CFLscw-A(22w)-dWP54</t>
  </si>
  <si>
    <t>R-In-CFLscw-A(23)-dWP34</t>
  </si>
  <si>
    <t>R-In-CFLscw-A(23w)-dWP56</t>
  </si>
  <si>
    <t>R-In-CFLscw-A(24)-dWP36</t>
  </si>
  <si>
    <t>R-In-CFLscw-A(24w)-dWP59</t>
  </si>
  <si>
    <t>R-In-CFLscw-A(25)-dWP37</t>
  </si>
  <si>
    <t>R-In-CFLscw-A(25w)-dWP61</t>
  </si>
  <si>
    <t>R-In-CFLscw-A(26)-dWP38</t>
  </si>
  <si>
    <t>R-In-CFLscw-A(26w)-dWP64</t>
  </si>
  <si>
    <t>R-In-CFLscw-A(27)-dWP40</t>
  </si>
  <si>
    <t>R-In-CFLscw-A(27w)-dWP66</t>
  </si>
  <si>
    <t>R-In-CFLscw-A(28)-dWP41</t>
  </si>
  <si>
    <t>R-In-CFLscw-A(28w)-dWP69</t>
  </si>
  <si>
    <t>R-In-CFLscw-A(30)-dWP44</t>
  </si>
  <si>
    <t>R-In-CFLscw-A(30w)-dWP74</t>
  </si>
  <si>
    <t>R-In-CFLscw-A(32)-dWP47</t>
  </si>
  <si>
    <t>D16v1</t>
  </si>
  <si>
    <t>NonDEER</t>
  </si>
  <si>
    <t>R-In-CFLscw-A(32w)-dWP79</t>
  </si>
  <si>
    <t>DEER2016-ResInLtg</t>
  </si>
  <si>
    <t>DEER2016 Update (CFL WWR)</t>
  </si>
  <si>
    <t>R-In-CFLscw-A(40)-dWP59</t>
  </si>
  <si>
    <t>R-In-CFLscw-A(40w)-dWP98</t>
  </si>
  <si>
    <t>R-In-CFLscw-A(42)-dWP62</t>
  </si>
  <si>
    <t>R-In-CFLscw-A(42w)-dWP103</t>
  </si>
  <si>
    <t>R-In-CFLscw-A(45)-dWP67</t>
  </si>
  <si>
    <t>R-In-CFLscw-A(45w)-dWP111</t>
  </si>
  <si>
    <t>R-In-CFLscw-A(55)-dWP81</t>
  </si>
  <si>
    <t>R-In-CFLscw-A(55w)-dWP135</t>
  </si>
  <si>
    <t>R-In-CFLscw-A(7)-dWP10</t>
  </si>
  <si>
    <t>R-In-CFLscw-A(7w)-dWP17</t>
  </si>
  <si>
    <t>R-In-CFLscw-A(8)-dWP12</t>
  </si>
  <si>
    <t>R-In-CFLscw-A(8w)-dWP19</t>
  </si>
  <si>
    <t>R-In-CFLscw-A(9)-dWP13</t>
  </si>
  <si>
    <t>R-In-CFLscw-A(9w)-dWP22</t>
  </si>
  <si>
    <t>R-In-CFLscw-Candle(10)-dWP15</t>
  </si>
  <si>
    <t>R-In-CFLscw-Candle(10w)-dWP24</t>
  </si>
  <si>
    <t>R-In-CFLscw-Candle(11)-dWP16</t>
  </si>
  <si>
    <t>R-In-CFLscw-Candle(11w)-dWP27</t>
  </si>
  <si>
    <t>R-In-CFLscw-Candle(12)-dWP18</t>
  </si>
  <si>
    <t>R-In-CFLscw-Candle(12w)-dWP29</t>
  </si>
  <si>
    <t>R-In-CFLscw-Candle(13)-dWP19</t>
  </si>
  <si>
    <t>R-In-CFLscw-Candle(13w)-dWP32</t>
  </si>
  <si>
    <t>R-In-CFLscw-Candle(14)-dWP21</t>
  </si>
  <si>
    <t>R-In-CFLscw-Candle(14w)-dWP34</t>
  </si>
  <si>
    <t>R-In-CFLscw-Candle(15)-dWP22</t>
  </si>
  <si>
    <t>R-In-CFLscw-Candle(15w)-dWP37</t>
  </si>
  <si>
    <t>R-In-CFLscw-Candle(16)-dWP24</t>
  </si>
  <si>
    <t>R-In-CFLscw-Candle(16w)-dWP39</t>
  </si>
  <si>
    <t>R-In-CFLscw-Candle(18)-dWP27</t>
  </si>
  <si>
    <t>R-In-CFLscw-Candle(18w)-dWP44</t>
  </si>
  <si>
    <t>R-In-CFLscw-Candle(19)-dWP28</t>
  </si>
  <si>
    <t>R-In-CFLscw-Candle(19w)-dWP46</t>
  </si>
  <si>
    <t>R-In-CFLscw-Candle(20)-dWP30</t>
  </si>
  <si>
    <t>R-In-CFLscw-Candle(20w)-dWP49</t>
  </si>
  <si>
    <t>R-In-CFLscw-Candle(22)-dWP33</t>
  </si>
  <si>
    <t>R-In-CFLscw-Candle(22w)-dWP54</t>
  </si>
  <si>
    <t>R-In-CFLscw-Candle(23)-dWP34</t>
  </si>
  <si>
    <t>R-In-CFLscw-Candle(23w)-dWP56</t>
  </si>
  <si>
    <t>R-In-CFLscw-Candle(24)-dWP36</t>
  </si>
  <si>
    <t>R-In-CFLscw-Candle(24w)-dWP59</t>
  </si>
  <si>
    <t>R-In-CFLscw-Candle(25)-dWP37</t>
  </si>
  <si>
    <t>R-In-CFLscw-Candle(25w)-dWP61</t>
  </si>
  <si>
    <t>R-In-CFLscw-Candle(26)-dWP38</t>
  </si>
  <si>
    <t>R-In-CFLscw-Candle(26w)-dWP64</t>
  </si>
  <si>
    <t>R-In-CFLscw-Candle(27)-dWP40</t>
  </si>
  <si>
    <t>R-In-CFLscw-Candle(27w)-dWP66</t>
  </si>
  <si>
    <t>R-In-CFLscw-Candle(28)-dWP41</t>
  </si>
  <si>
    <t>R-In-CFLscw-Candle(28w)-dWP69</t>
  </si>
  <si>
    <t>R-In-CFLscw-Candle(30)-dWP44</t>
  </si>
  <si>
    <t>R-In-CFLscw-Candle(30w)-dWP74</t>
  </si>
  <si>
    <t>R-In-CFLscw-Candle(32)-dWP47</t>
  </si>
  <si>
    <t>R-In-CFLscw-Candle(32w)-dWP79</t>
  </si>
  <si>
    <t>R-In-CFLscw-Candle(40)-dWP59</t>
  </si>
  <si>
    <t>R-In-CFLscw-Candle(40w)-dWP98</t>
  </si>
  <si>
    <t>R-In-CFLscw-Candle(42)-dWP62</t>
  </si>
  <si>
    <t>R-In-CFLscw-Candle(42w)-dWP103</t>
  </si>
  <si>
    <t>R-In-CFLscw-Candle(45)-dWP67</t>
  </si>
  <si>
    <t>R-In-CFLscw-Candle(45w)-dWP111</t>
  </si>
  <si>
    <t>R-In-CFLscw-Candle(55)-dWP81</t>
  </si>
  <si>
    <t>R-In-CFLscw-Candle(55w)-dWP135</t>
  </si>
  <si>
    <t>R-In-CFLscw-Candle(7)-dWP10</t>
  </si>
  <si>
    <t>R-In-CFLscw-Candle(7w)-dWP17</t>
  </si>
  <si>
    <t>R-In-CFLscw-Candle(8)-dWP12</t>
  </si>
  <si>
    <t>R-In-CFLscw-Candle(8w)-dWP19</t>
  </si>
  <si>
    <t>R-In-CFLscw-Candle(9)-dWP13</t>
  </si>
  <si>
    <t>R-In-CFLscw-Candle(9w)-dWP22</t>
  </si>
  <si>
    <t>R-In-CFLscw-Circ9(22)-dWP33</t>
  </si>
  <si>
    <t>R-In-CFLscw-Circ9(22w)-dWP54</t>
  </si>
  <si>
    <t>R-In-CFLscw-Circ9(22w)-dWP103</t>
  </si>
  <si>
    <t>Residential Indoor General Lighting: CFL Lamp with integated Ballast replaces Incandescent Lamp. Measure includes Code case. Impacts: CFL-based HOU (varies by BldgType)</t>
  </si>
  <si>
    <t>DEER2014</t>
  </si>
  <si>
    <t>Lighting Disposition</t>
  </si>
  <si>
    <t>Delta</t>
  </si>
  <si>
    <t>ILtg-Incand-Res</t>
  </si>
  <si>
    <t>Incandescent lamp: 125W lamp; Rated Life=1500hrs</t>
  </si>
  <si>
    <t>Incan(125w)</t>
  </si>
  <si>
    <t>Available</t>
  </si>
  <si>
    <t>WP source e.g.: SCE13LG017r0; Old Measure ID = R-In-CFLscw-Circ9(22w)-dWP70</t>
  </si>
  <si>
    <t>R-In-CFLscw-Circ9(26)-dWP38</t>
  </si>
  <si>
    <t>R-In-CFLscw-Circ9(26w)-dWP64</t>
  </si>
  <si>
    <t>R-In-CFLscw-Circ9(32)-dWP47</t>
  </si>
  <si>
    <t>R-In-CFLscw-Circ9(32w)-dWP79</t>
  </si>
  <si>
    <t>R-In-CFLscw-Circ9(32w)-dWP112</t>
  </si>
  <si>
    <t>Incandescent lamp: 144W lamp; Rated Life=1500hrs</t>
  </si>
  <si>
    <t>Incan(144w)</t>
  </si>
  <si>
    <t>WP source e.g.: SCE13LG017r0; Old Measure ID = R-In-CFLscw-Circ9(32w)-dWP72</t>
  </si>
  <si>
    <t>R-In-CFLscw-Circ9(40)-dWP59</t>
  </si>
  <si>
    <t>R-In-CFLscw-Circ9(40w)-dWP98</t>
  </si>
  <si>
    <t>R-In-CFLscw-Circ9(55)-dWP81</t>
  </si>
  <si>
    <t>R-In-CFLscw-Circ9(55w)-dWP135</t>
  </si>
  <si>
    <t>R-In-CFLscw-Glb(10)-dWP15</t>
  </si>
  <si>
    <t>R-In-CFLscw-Glb(10w)-dWP24</t>
  </si>
  <si>
    <t>R-In-CFLscw-Glb(11)-dWP16</t>
  </si>
  <si>
    <t>R-In-CFLscw-Glb(11w)-dWP27</t>
  </si>
  <si>
    <t>R-In-CFLscw-Glb(12)-dWP18</t>
  </si>
  <si>
    <t>R-In-CFLscw-Glb(12w)-dWP29</t>
  </si>
  <si>
    <t>R-In-CFLscw-Glb(13)-dWP19</t>
  </si>
  <si>
    <t>R-In-CFLscw-Glb(13w)-dWP32</t>
  </si>
  <si>
    <t>R-In-CFLscw-Glb(14)-dWP21</t>
  </si>
  <si>
    <t>R-In-CFLscw-Glb(14w)-dWP34</t>
  </si>
  <si>
    <t>R-In-CFLscw-Glb(15)-dWP22</t>
  </si>
  <si>
    <t>R-In-CFLscw-Glb(15w)-dWP37</t>
  </si>
  <si>
    <t>R-In-CFLscw-Glb(16)-dWP24</t>
  </si>
  <si>
    <t>R-In-CFLscw-Glb(16w)-dWP39</t>
  </si>
  <si>
    <t>R-In-CFLscw-Glb(18)-dWP27</t>
  </si>
  <si>
    <t>R-In-CFLscw-Glb(18w)-dWP44</t>
  </si>
  <si>
    <t>R-In-CFLscw-Glb(19)-dWP28</t>
  </si>
  <si>
    <t>R-In-CFLscw-Glb(19w)-dWP46</t>
  </si>
  <si>
    <t>R-In-CFLscw-Glb(20)-dWP30</t>
  </si>
  <si>
    <t>R-In-CFLscw-Glb(20w)-dWP49</t>
  </si>
  <si>
    <t>R-In-CFLscw-Glb(22)-dWP33</t>
  </si>
  <si>
    <t>R-In-CFLscw-Glb(22w)-dWP54</t>
  </si>
  <si>
    <t>R-In-CFLscw-Glb(23)-dWP34</t>
  </si>
  <si>
    <t>R-In-CFLscw-Glb(23w)-dWP56</t>
  </si>
  <si>
    <t>R-In-CFLscw-Glb(24)-dWP36</t>
  </si>
  <si>
    <t>R-In-CFLscw-Glb(24w)-dWP59</t>
  </si>
  <si>
    <t>R-In-CFLscw-Glb(25)-dWP37</t>
  </si>
  <si>
    <t>R-In-CFLscw-Glb(25w)-dWP61</t>
  </si>
  <si>
    <t>R-In-CFLscw-Glb(26)-dWP38</t>
  </si>
  <si>
    <t>R-In-CFLscw-Glb(26w)-dWP64</t>
  </si>
  <si>
    <t>R-In-CFLscw-Glb(27)-dWP40</t>
  </si>
  <si>
    <t>R-In-CFLscw-Glb(27w)-dWP66</t>
  </si>
  <si>
    <t>R-In-CFLscw-Glb(28)-dWP41</t>
  </si>
  <si>
    <t>R-In-CFLscw-Glb(28w)-dWP69</t>
  </si>
  <si>
    <t>R-In-CFLscw-Glb(30)-dWP44</t>
  </si>
  <si>
    <t>R-In-CFLscw-Glb(30w)-dWP74</t>
  </si>
  <si>
    <t>R-In-CFLscw-Glb(32)-dWP47</t>
  </si>
  <si>
    <t>R-In-CFLscw-Glb(32w)-dWP79</t>
  </si>
  <si>
    <t>R-In-CFLscw-Glb(40)-dWP59</t>
  </si>
  <si>
    <t>R-In-CFLscw-Glb(40w)-dWP98</t>
  </si>
  <si>
    <t>R-In-CFLscw-Glb(42)-dWP62</t>
  </si>
  <si>
    <t>R-In-CFLscw-Glb(42w)-dWP103</t>
  </si>
  <si>
    <t>R-In-CFLscw-Glb(45)-dWP67</t>
  </si>
  <si>
    <t>R-In-CFLscw-Glb(45w)-dWP111</t>
  </si>
  <si>
    <t>R-In-CFLscw-Glb(55)-dWP81</t>
  </si>
  <si>
    <t>R-In-CFLscw-Glb(55w)-dWP135</t>
  </si>
  <si>
    <t>R-In-CFLscw-Glb(7)-dWP10</t>
  </si>
  <si>
    <t>R-In-CFLscw-Glb(7w)-dWP17</t>
  </si>
  <si>
    <t>R-In-CFLscw-Glb(8)-dWP12</t>
  </si>
  <si>
    <t>R-In-CFLscw-Glb(8w)-dWP19</t>
  </si>
  <si>
    <t>R-In-CFLscw-Glb(9)-dWP13</t>
  </si>
  <si>
    <t>R-In-CFLscw-Glb(9w)-dWP22</t>
  </si>
  <si>
    <t>R-In-CFLscw-Refl-1(15)-dWP28</t>
  </si>
  <si>
    <t>R-In-CFLscw-Refl-1(15w)-dWP46</t>
  </si>
  <si>
    <t>R-In-CFLscw-Refl-1(23)-dWP43</t>
  </si>
  <si>
    <t>R-In-CFLscw-Refl-1(23w)-dWP71</t>
  </si>
  <si>
    <t>R-In-CFLscw-Refl-2(23)-dWP43</t>
  </si>
  <si>
    <t>R-In-CFLscw-Refl-2(23w)-dWP71</t>
  </si>
  <si>
    <t>WP source: PGE3PLTG173r2; This measure replaces measure ID = R-In-CFLscw-Refl(40w)-dWP123</t>
  </si>
  <si>
    <t>R-In-CFLscw-Refl(10)-dWP19</t>
  </si>
  <si>
    <t>R-In-CFLscw-Refl(10w)-dWP30</t>
  </si>
  <si>
    <t>R-In-CFLscw-Refl(11)-dWP20</t>
  </si>
  <si>
    <t>R-In-CFLscw-Refl(11w)-dWP33</t>
  </si>
  <si>
    <t>R-In-CFLscw-Refl(12)-dWP22</t>
  </si>
  <si>
    <t>R-In-CFLscw-Refl(12w)-dWP37</t>
  </si>
  <si>
    <t>R-In-CFLscw-Refl(13)-dWP24</t>
  </si>
  <si>
    <t>R-In-CFLscw-Refl(13w)-dWP40</t>
  </si>
  <si>
    <t>R-In-CFLscw-Refl(14)-dWP26</t>
  </si>
  <si>
    <t>R-In-CFLscw-Refl(14w)-dWP43</t>
  </si>
  <si>
    <t>R-In-CFLscw-Refl(16)-dWP30</t>
  </si>
  <si>
    <t>R-In-CFLscw-Refl(16w)-dWP49</t>
  </si>
  <si>
    <t>R-In-CFLscw-Refl(17)-dWP32</t>
  </si>
  <si>
    <t>DEER Lighting measure</t>
  </si>
  <si>
    <t>ErRobNc</t>
  </si>
  <si>
    <t>Res-Lighting-InGen_CFLratio0409_CFLscw-Refl-17w</t>
  </si>
  <si>
    <t>R-In-CFLscw-Refl(18)-dWP33</t>
  </si>
  <si>
    <t>R-In-CFLscw-Refl(18w)-dWP55</t>
  </si>
  <si>
    <t>R-In-CFLscw-Refl(19)-dWP35</t>
  </si>
  <si>
    <t>R-In-CFLscw-Refl(19w)-dWP58</t>
  </si>
  <si>
    <t>R-In-CFLscw-Refl(20)-dWP37</t>
  </si>
  <si>
    <t>R-In-CFLscw-Refl(20w)-dWP61</t>
  </si>
  <si>
    <t>R-In-CFLscw-Refl(21)-dWP39</t>
  </si>
  <si>
    <t>Res-Lighting-InGen_CFLratio0409_CFLscw-Refl-21w</t>
  </si>
  <si>
    <t>R-In-CFLscw-Refl(22)-dWP41</t>
  </si>
  <si>
    <t>R-In-CFLscw-Refl(22w)-dWP67</t>
  </si>
  <si>
    <t>R-In-CFLscw-Refl(24)-dWP45</t>
  </si>
  <si>
    <t>R-In-CFLscw-Refl(24w)-dWP74</t>
  </si>
  <si>
    <t>R-In-CFLscw-Refl(25)-dWP47</t>
  </si>
  <si>
    <t>R-In-CFLscw-Refl(25w)-dWP77</t>
  </si>
  <si>
    <t>R-In-CFLscw-Refl(26)-dWP48</t>
  </si>
  <si>
    <t>R-In-CFLscw-Refl(26w)-dWP80</t>
  </si>
  <si>
    <t>R-In-CFLscw-Refl(27)-dWP50</t>
  </si>
  <si>
    <t>R-In-CFLscw-Refl(27w)-dWP83</t>
  </si>
  <si>
    <t>R-In-CFLscw-Refl(28)-dWP52</t>
  </si>
  <si>
    <t>R-In-CFLscw-Refl(28w)-dWP86</t>
  </si>
  <si>
    <t>R-In-CFLscw-Refl(29)-dWP54</t>
  </si>
  <si>
    <t>Res-Lighting-InGen_CFLratio0409_CFLscw-Refl-29w</t>
  </si>
  <si>
    <t>R-In-CFLscw-Refl(3)-dWP6</t>
  </si>
  <si>
    <t>Res-Lighting-InGen_CFLratio0409_CFLscw-Refl-3w</t>
  </si>
  <si>
    <t>R-In-CFLscw-Refl(30)-dWP56</t>
  </si>
  <si>
    <t>R-In-CFLscw-Refl(30w)-dWP92</t>
  </si>
  <si>
    <t>R-In-CFLscw-Refl(32)-dWP60</t>
  </si>
  <si>
    <t>R-In-CFLscw-Refl(32w)-dWP98</t>
  </si>
  <si>
    <t>R-In-CFLscw-Refl(4)-dWP7</t>
  </si>
  <si>
    <t>Res-Lighting-InGen_CFLratio0409_CFLscw-Refl-4w</t>
  </si>
  <si>
    <t>R-In-CFLscw-Refl(40)-dWP74</t>
  </si>
  <si>
    <t>R-In-CFLscw-Refl(40w)-dWP123</t>
  </si>
  <si>
    <t>R-In-CFLscw-Refl(42)-dWP78</t>
  </si>
  <si>
    <t>R-In-CFLscw-Refl(42w)-dWP129</t>
  </si>
  <si>
    <t>R-In-CFLscw-Refl(45)-dWP84</t>
  </si>
  <si>
    <t>R-In-CFLscw-Refl(45w)-dWP139</t>
  </si>
  <si>
    <t>R-In-CFLscw-Refl(5)-dWP9</t>
  </si>
  <si>
    <t>Res-Lighting-InGen_CFLratio0409_CFLscw-Refl-5w</t>
  </si>
  <si>
    <t>R-In-CFLscw-Refl(55)-dWP102</t>
  </si>
  <si>
    <t>R-In-CFLscw-Refl(55w)-dWP169</t>
  </si>
  <si>
    <t>R-In-CFLscw-Refl(6)-dWP11</t>
  </si>
  <si>
    <t>Res-Lighting-InGen_CFLratio0409_CFLscw-Refl-6w</t>
  </si>
  <si>
    <t>R-In-CFLscw-Refl(7)-dWP13</t>
  </si>
  <si>
    <t>R-In-CFLscw-Refl(7w)-dWP21</t>
  </si>
  <si>
    <t>R-In-CFLscw-Refl(8)-dWP15</t>
  </si>
  <si>
    <t>R-In-CFLscw-Refl(8w)-dWP24</t>
  </si>
  <si>
    <t>R-In-CFLscw-Refl(9)-dWP17</t>
  </si>
  <si>
    <t>R-In-CFLscw-Refl(9w)-dWP27</t>
  </si>
  <si>
    <t>R-In-CFLscw(10)-dWP15</t>
  </si>
  <si>
    <t>R-In-CFLscw(10w)-dWP24</t>
  </si>
  <si>
    <t>R-In-CFLscw(100)-dWP148</t>
  </si>
  <si>
    <t>R-In-CFLscw(100w)-dWP247</t>
  </si>
  <si>
    <t>R-In-CFLscw(100)-dWP186</t>
  </si>
  <si>
    <t>Res-Lighting-InGen_CFLratio0409_CFLscw-Refl-100w</t>
  </si>
  <si>
    <t>R-In-CFLscw(11)-dWP16</t>
  </si>
  <si>
    <t>R-In-CFLscw(11w)-dWP27</t>
  </si>
  <si>
    <t>R-In-CFLscw(12)-dWP18</t>
  </si>
  <si>
    <t>R-In-CFLscw(12w)-dWP29</t>
  </si>
  <si>
    <t>R-In-CFLscw(13)-dWP19</t>
  </si>
  <si>
    <t>R-In-CFLscw(13w)-dWP32</t>
  </si>
  <si>
    <t>R-In-CFLscw(14)-dWP21</t>
  </si>
  <si>
    <t>R-In-CFLscw(14w)-dWP34</t>
  </si>
  <si>
    <t>R-In-CFLscw(15)-dWP22</t>
  </si>
  <si>
    <t>R-In-CFLscw(15w)-dWP37</t>
  </si>
  <si>
    <t>R-In-CFLscw(150)-dWP222</t>
  </si>
  <si>
    <t>R-In-CFLscw(150w)-dWP370</t>
  </si>
  <si>
    <t>R-In-CFLscw(150)-dWP279</t>
  </si>
  <si>
    <t>Res-Lighting-InGen_CFLratio0409_CFLscw-Refl-150w</t>
  </si>
  <si>
    <t>R-In-CFLscw(16)-dWP24</t>
  </si>
  <si>
    <t>R-In-CFLscw(16w)-dWP39</t>
  </si>
  <si>
    <t>R-In-CFLscw(17)-dWP25</t>
  </si>
  <si>
    <t>R-In-CFLscw(17w)-dWP41</t>
  </si>
  <si>
    <t>Not used in 2013-14 Lighting Disposition</t>
  </si>
  <si>
    <t>R-In-CFLscw(18)-dWP27</t>
  </si>
  <si>
    <t>R-In-CFLscw(18w)-dWP44</t>
  </si>
  <si>
    <t>R-In-CFLscw(19)-dWP28</t>
  </si>
  <si>
    <t>R-In-CFLscw(19w)-dWP46</t>
  </si>
  <si>
    <t>R-In-CFLscw(20)-dWP30</t>
  </si>
  <si>
    <t>R-In-CFLscw(20w)-dWP49</t>
  </si>
  <si>
    <t>R-In-CFLscw(200)-dWP296</t>
  </si>
  <si>
    <t>R-In-CFLscw(200w)-dWP494</t>
  </si>
  <si>
    <t>R-In-CFLscw(200)-dWP372</t>
  </si>
  <si>
    <t>Res-Lighting-InGen_CFLratio0409_CFLscw-Refl-200w</t>
  </si>
  <si>
    <t>R-In-CFLscw(21)-dWP31</t>
  </si>
  <si>
    <t>Res-Lighting-InGen_CFLratio0347_CFLscw-21w</t>
  </si>
  <si>
    <t>R-In-CFLscw(22)-dWP33</t>
  </si>
  <si>
    <t>R-In-CFLscw(22w)-dWP54</t>
  </si>
  <si>
    <t>R-In-CFLscw(23)-dWP34</t>
  </si>
  <si>
    <t>R-In-CFLscw(23w)-dWP56</t>
  </si>
  <si>
    <t>R-In-CFLscw(24)-dWP36</t>
  </si>
  <si>
    <t>R-In-CFLscw(24w)-dWP59</t>
  </si>
  <si>
    <t>R-In-CFLscw(25)-dWP37</t>
  </si>
  <si>
    <t>R-In-CFLscw(25w)-dWP61</t>
  </si>
  <si>
    <t>R-In-CFLscw(26)-dWP38</t>
  </si>
  <si>
    <t>R-In-CFLscw(26w)-dWP64</t>
  </si>
  <si>
    <t>R-In-CFLscw(27)-dWP40</t>
  </si>
  <si>
    <t>R-In-CFLscw(27w)-dWP66</t>
  </si>
  <si>
    <t>R-In-CFLscw(28)-dWP41</t>
  </si>
  <si>
    <t>R-In-CFLscw(28w)-dWP69</t>
  </si>
  <si>
    <t>R-In-CFLscw(29)-dWP43</t>
  </si>
  <si>
    <t>Res-Lighting-InGen_CFLratio0347_CFLscw-29w</t>
  </si>
  <si>
    <t>R-In-CFLscw(3)-dWP4</t>
  </si>
  <si>
    <t>Res-Lighting-InGen_CFLratio0347_CFLscw-3w</t>
  </si>
  <si>
    <t>R-In-CFLscw(30)-dWP44</t>
  </si>
  <si>
    <t>R-In-CFLscw(30w)-dWP74</t>
  </si>
  <si>
    <t>R-In-CFLscw(31)-dWP46</t>
  </si>
  <si>
    <t>R-In-CFLscw(31w)-dWP76</t>
  </si>
  <si>
    <t>R-In-CFLscw(31)-dWP58</t>
  </si>
  <si>
    <t>Res-Lighting-InGen_CFLratio0409_CFLscw-Refl-31w</t>
  </si>
  <si>
    <t>R-In-CFLscw(32)-dWP47</t>
  </si>
  <si>
    <t>R-In-CFLscw(32w)-dWP79</t>
  </si>
  <si>
    <t>R-In-CFLscw(36)-dWP53</t>
  </si>
  <si>
    <t>R-In-CFLscw(36w)-dWP88</t>
  </si>
  <si>
    <t>R-In-CFLscw(4)-dWP6</t>
  </si>
  <si>
    <t>R-In-CFLscw(4w)-dWP9</t>
  </si>
  <si>
    <t>R-In-CFLscw(40)-dWP59</t>
  </si>
  <si>
    <t>R-In-CFLscw(40w)-dWP98</t>
  </si>
  <si>
    <t>R-In-CFLscw(42)-dWP62</t>
  </si>
  <si>
    <t>R-In-CFLscw(42w)-dWP103</t>
  </si>
  <si>
    <t>R-In-CFLscw(45)-dWP67</t>
  </si>
  <si>
    <t>R-In-CFLscw(45w)-dWP111</t>
  </si>
  <si>
    <t>R-In-CFLscw(5)-dWP7</t>
  </si>
  <si>
    <t>Res-Lighting-InGen_CFLratio0347_CFLscw-5w</t>
  </si>
  <si>
    <t>R-In-CFLscw(55)-dWP81</t>
  </si>
  <si>
    <t>R-In-CFLscw(55w)-dWP135</t>
  </si>
  <si>
    <t>R-In-CFLscw(6)-dWP9</t>
  </si>
  <si>
    <t>Res-Lighting-InGen_CFLratio0347_CFLscw-6w</t>
  </si>
  <si>
    <t>R-In-CFLscw(60)-dWP112</t>
  </si>
  <si>
    <t>Res-Lighting-InGen_CFLratio0409_CFLscw-Refl-60w</t>
  </si>
  <si>
    <t>R-In-CFLscw(60)-dWP89</t>
  </si>
  <si>
    <t>R-In-CFLscw(60w)-dWP148</t>
  </si>
  <si>
    <t>R-In-CFLscw(7)-dWP10</t>
  </si>
  <si>
    <t>R-In-CFLscw(7w)-dWP17</t>
  </si>
  <si>
    <t>R-In-CFLscw(8)-dWP12</t>
  </si>
  <si>
    <t>R-In-CFLscw(8w)-dWP19</t>
  </si>
  <si>
    <t>R-In-CFLscw(80)-dWP118</t>
  </si>
  <si>
    <t>R-In-CFLscw(80w)-dWP197</t>
  </si>
  <si>
    <t>R-In-CFLscw(80)-dWP149</t>
  </si>
  <si>
    <t>Res-Lighting-InGen_CFLratio0409_CFLscw-Refl-80w</t>
  </si>
  <si>
    <t>R-In-CFLscw(9)-dWP13</t>
  </si>
  <si>
    <t>R-In-CFLscw(9w)-dWP22</t>
  </si>
  <si>
    <t>R-InCmn-CFLscw-Refl-1(15)-dWP28</t>
  </si>
  <si>
    <t>Residential Indoor Common-Area Lighting: CFL Lamp with integated Ballast replaces pre-existing standard lighting Wattage. Measure includes Code case. Impacts: HOU = 6142; CDF = 0.70</t>
  </si>
  <si>
    <t>Res-Iltg-Cmn-dWatt-CFL</t>
  </si>
  <si>
    <t>InCommon</t>
  </si>
  <si>
    <t>ILtg-CFL-ResCmn</t>
  </si>
  <si>
    <t>R-InCmn-CFLscw-Refl-1(15w)-dWP46</t>
  </si>
  <si>
    <t>R-InCmn-CFLscw-Refl-1(23)-dWP43</t>
  </si>
  <si>
    <t>R-InCmn-CFLscw-Refl-1(23w)-dWP71</t>
  </si>
  <si>
    <t>R-InCmn-CFLscw-Refl-2(15)-dWP28</t>
  </si>
  <si>
    <t>R-InCmn-CFLscw-Refl-2(15w)-dWP46</t>
  </si>
  <si>
    <t>Old Measure ID = R-InCmn-CFLscw-Refl(30w)-dWP92</t>
  </si>
  <si>
    <t>R-InCmn-CFLscw-Refl-2(23)-dWP43</t>
  </si>
  <si>
    <t>R-InCmn-CFLscw-Refl-2(23w)-dWP71</t>
  </si>
  <si>
    <t>WP source e.g.: SCE13LG017r0; Old Measure ID = R-InCmn-CFLscw-Refl(40w)-dWP123</t>
  </si>
  <si>
    <t>R-InCmn-CFLscw-Refl(13)-dWP24</t>
  </si>
  <si>
    <t>R-InCmn-CFLscw-Refl(13w)-dWP40</t>
  </si>
  <si>
    <t>R-InCmn-CFLscw-Refl(14)-dWP26</t>
  </si>
  <si>
    <t>R-InCmn-CFLscw-Refl(14w)-dWP43</t>
  </si>
  <si>
    <t>R-InCmn-CFLscw-Refl(16)-dWP30</t>
  </si>
  <si>
    <t>R-InCmn-CFLscw-Refl(16w)-dWP49</t>
  </si>
  <si>
    <t>R-InCmn-CFLscw-Refl(18)-dWP33</t>
  </si>
  <si>
    <t>R-InCmn-CFLscw-Refl(18w)-dWP55</t>
  </si>
  <si>
    <t>R-InCmn-CFLscw-Refl(20)-dWP37</t>
  </si>
  <si>
    <t>R-InCmn-CFLscw-Refl(20w)-dWP61</t>
  </si>
  <si>
    <t>R-InCmn-CFLscw-Refl(26)-dWP48</t>
  </si>
  <si>
    <t>R-InCmn-CFLscw-Refl(26w)-dWP80</t>
  </si>
  <si>
    <t>R-InCmn-CFLscw(11)-dWP16</t>
  </si>
  <si>
    <t>R-InCmn-CFLscw(11w)-dWP27</t>
  </si>
  <si>
    <t>R-InCmn-CFLscw(13)-dWP19</t>
  </si>
  <si>
    <t>R-InCmn-CFLscw(13w)-dWP32</t>
  </si>
  <si>
    <t>R-InCmn-CFLscw(14)-dWP21</t>
  </si>
  <si>
    <t>R-InCmn-CFLscw(14w)-dWP34</t>
  </si>
  <si>
    <t>R-InCmn-CFLscw(15)-dWP22</t>
  </si>
  <si>
    <t>R-InCmn-CFLscw(15w)-dWP37</t>
  </si>
  <si>
    <t>R-InCmn-CFLscw(18)-dWP27</t>
  </si>
  <si>
    <t>R-InCmn-CFLscw(18w)-dWP44</t>
  </si>
  <si>
    <t>R-InCmn-CFLscw(19)-dWP28</t>
  </si>
  <si>
    <t>R-InCmn-CFLscw(19w)-dWP46</t>
  </si>
  <si>
    <t>R-InCmn-CFLscw(20)-dWP30</t>
  </si>
  <si>
    <t>R-InCmn-CFLscw(20w)-dWP49</t>
  </si>
  <si>
    <t>R-InCmn-CFLscw(23)-dWP34</t>
  </si>
  <si>
    <t>R-InCmn-CFLscw(23w)-dWP56</t>
  </si>
  <si>
    <t>R-InCmn-CFLscw(25)-dWP37</t>
  </si>
  <si>
    <t>R-InCmn-CFLscw(25w)-dWP61</t>
  </si>
  <si>
    <t>R-InCmn-CFLscw(26)-dWP38</t>
  </si>
  <si>
    <t>R-InCmn-CFLscw(26w)-dWP64</t>
  </si>
  <si>
    <t>R-InCmn-CFLscw(27)-dWP40</t>
  </si>
  <si>
    <t>R-InCmn-CFLscw(27w)-dWP66</t>
  </si>
  <si>
    <t>R-InCmn-CFLscw(28)-dWP41</t>
  </si>
  <si>
    <t>R-InCmn-CFLscw(28w)-dWP69</t>
  </si>
  <si>
    <t>R-InCmn-CFLscw(32)-dWP47</t>
  </si>
  <si>
    <t>R-InCmn-CFLscw(32w)-dWP79</t>
  </si>
  <si>
    <t>R-InCmn-CFLscw(36)-dWP53</t>
  </si>
  <si>
    <t>R-InCmn-CFLscw(36w)-dWP88</t>
  </si>
  <si>
    <t>R-InCmn-CFLscw(42)-dWP62</t>
  </si>
  <si>
    <t>R-InCmn-CFLscw(42w)-dWP103</t>
  </si>
  <si>
    <t>R-InCmn-CFLscw(55)-dWP81</t>
  </si>
  <si>
    <t>R-InCmn-CFLscw(55w)-dWP135</t>
  </si>
  <si>
    <t>R-InCmn-CFLscw(9)-dWP13</t>
  </si>
  <si>
    <t>R-InCmn-CFLscw(9w)-dWP22</t>
  </si>
  <si>
    <t>Itron MCS</t>
  </si>
  <si>
    <t>Workpapers</t>
  </si>
  <si>
    <t>Model Results</t>
  </si>
  <si>
    <t>Technology</t>
  </si>
  <si>
    <t>Variable</t>
  </si>
  <si>
    <t>Type</t>
  </si>
  <si>
    <t>Values</t>
  </si>
  <si>
    <t>Count</t>
  </si>
  <si>
    <t>Mean</t>
  </si>
  <si>
    <t>Std Dev</t>
  </si>
  <si>
    <t>Mean Price</t>
  </si>
  <si>
    <t>Std Dev Price</t>
  </si>
  <si>
    <t>Model Coefficients</t>
  </si>
  <si>
    <t>t-stat</t>
  </si>
  <si>
    <t>s.e.</t>
  </si>
  <si>
    <t>Weights for Roll-up to DEER/WP</t>
  </si>
  <si>
    <t>DEER/WP-equivalent Coefficients</t>
  </si>
  <si>
    <t>Data and Model Info</t>
  </si>
  <si>
    <t>CFL A-Lamps and Twisters</t>
  </si>
  <si>
    <t>Categorical</t>
  </si>
  <si>
    <t>Home Improvement</t>
  </si>
  <si>
    <t>N/A</t>
  </si>
  <si>
    <t>.</t>
  </si>
  <si>
    <t>Data Source</t>
  </si>
  <si>
    <t>Data Type</t>
  </si>
  <si>
    <t>Drug Store</t>
  </si>
  <si>
    <t>DNV KEMA</t>
  </si>
  <si>
    <t>Shelf Survey</t>
  </si>
  <si>
    <t>Grocery</t>
  </si>
  <si>
    <t>Weighting</t>
  </si>
  <si>
    <t>% CA market</t>
  </si>
  <si>
    <t>Hardware</t>
  </si>
  <si>
    <t>CA unit sales</t>
  </si>
  <si>
    <t>Unknown</t>
  </si>
  <si>
    <t>Mass Merchandise</t>
  </si>
  <si>
    <t>N observations</t>
  </si>
  <si>
    <t>N unit sales</t>
  </si>
  <si>
    <t>Membership Club</t>
  </si>
  <si>
    <t>Binary</t>
  </si>
  <si>
    <t>R2</t>
  </si>
  <si>
    <t>No</t>
  </si>
  <si>
    <t>MAE</t>
  </si>
  <si>
    <t>Contr. Markup</t>
  </si>
  <si>
    <t>Total constant</t>
  </si>
  <si>
    <t>National brand, no utility discount</t>
  </si>
  <si>
    <t>Utility discount, A-Lamp</t>
  </si>
  <si>
    <t>Utility discount, Twister</t>
  </si>
  <si>
    <t>Continuous</t>
  </si>
  <si>
    <t>1-15</t>
  </si>
  <si>
    <t>Discrete</t>
  </si>
  <si>
    <t>4-55</t>
  </si>
  <si>
    <t>3-32, 40, 42, 55, 60, 80, 100, 200</t>
  </si>
  <si>
    <t>7-55</t>
  </si>
  <si>
    <t>0-30</t>
  </si>
  <si>
    <t>CFL Reflector</t>
  </si>
  <si>
    <t>National brand</t>
  </si>
  <si>
    <t>Utility discount</t>
  </si>
  <si>
    <t>5-26</t>
  </si>
  <si>
    <t>CFL Globe</t>
  </si>
  <si>
    <t>Package size: 3 or more</t>
  </si>
  <si>
    <t>9-23</t>
  </si>
  <si>
    <t>CFL Torpedo</t>
  </si>
  <si>
    <t>2-25</t>
  </si>
  <si>
    <t>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</si>
</sst>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0.000"/>
    <numFmt numFmtId="166" formatCode="0.0"/>
    <numFmt numFmtId="167" formatCode="0.0000"/>
  </numFmts>
  <fonts count="20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4" fillId="2" borderId="46" applyNumberFormat="0" applyAlignment="0" applyProtection="0"/>
    <xf numFmtId="43" fontId="3" fillId="0" borderId="0" applyFont="0" applyFill="0" applyBorder="0" applyAlignment="0" applyProtection="0"/>
    <xf numFmtId="0" fontId="5" fillId="0" borderId="47" applyNumberFormat="0" applyFill="0" applyAlignment="0" applyProtection="0"/>
    <xf numFmtId="0" fontId="6" fillId="3" borderId="46" applyNumberFormat="0" applyAlignment="0" applyProtection="0"/>
    <xf numFmtId="0" fontId="7" fillId="4" borderId="0" applyNumberFormat="0" applyBorder="0" applyAlignment="0" applyProtection="0"/>
    <xf numFmtId="0" fontId="3" fillId="5" borderId="48" applyNumberFormat="0" applyFont="0" applyAlignment="0" applyProtection="0"/>
    <xf numFmtId="0" fontId="8" fillId="2" borderId="49" applyNumberFormat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1" xfId="0" applyFont="1" applyFill="1" applyBorder="1" applyAlignment="1"/>
    <xf numFmtId="1" fontId="3" fillId="0" borderId="1" xfId="2" applyNumberFormat="1" applyFont="1" applyBorder="1" applyAlignment="1">
      <alignment horizontal="left"/>
    </xf>
    <xf numFmtId="0" fontId="0" fillId="6" borderId="2" xfId="0" applyFont="1" applyFill="1" applyBorder="1" applyAlignment="1">
      <alignment horizontal="left"/>
    </xf>
    <xf numFmtId="164" fontId="3" fillId="0" borderId="1" xfId="2" applyNumberFormat="1" applyFont="1" applyBorder="1" applyAlignment="1">
      <alignment horizontal="left"/>
    </xf>
    <xf numFmtId="164" fontId="3" fillId="0" borderId="2" xfId="2" applyNumberFormat="1" applyFont="1" applyBorder="1" applyAlignment="1">
      <alignment horizontal="left"/>
    </xf>
    <xf numFmtId="0" fontId="0" fillId="6" borderId="3" xfId="0" applyFont="1" applyFill="1" applyBorder="1" applyAlignment="1">
      <alignment horizontal="left"/>
    </xf>
    <xf numFmtId="2" fontId="0" fillId="0" borderId="4" xfId="0" applyNumberFormat="1" applyFont="1" applyBorder="1" applyAlignment="1">
      <alignment horizontal="left"/>
    </xf>
    <xf numFmtId="2" fontId="0" fillId="0" borderId="5" xfId="0" applyNumberFormat="1" applyFont="1" applyBorder="1" applyAlignment="1">
      <alignment horizontal="left"/>
    </xf>
    <xf numFmtId="165" fontId="3" fillId="0" borderId="5" xfId="8" applyNumberFormat="1" applyFont="1" applyBorder="1" applyAlignment="1">
      <alignment horizontal="left"/>
    </xf>
    <xf numFmtId="0" fontId="9" fillId="6" borderId="6" xfId="0" applyFont="1" applyFill="1" applyBorder="1" applyAlignment="1">
      <alignment vertical="center" wrapText="1"/>
    </xf>
    <xf numFmtId="0" fontId="0" fillId="0" borderId="1" xfId="0" applyFont="1" applyBorder="1" applyAlignment="1"/>
    <xf numFmtId="2" fontId="0" fillId="0" borderId="3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left" vertical="center" wrapText="1"/>
    </xf>
    <xf numFmtId="165" fontId="3" fillId="0" borderId="1" xfId="8" applyNumberFormat="1" applyFont="1" applyBorder="1" applyAlignment="1">
      <alignment horizontal="left"/>
    </xf>
    <xf numFmtId="0" fontId="0" fillId="0" borderId="6" xfId="0" applyFont="1" applyBorder="1"/>
    <xf numFmtId="0" fontId="0" fillId="0" borderId="2" xfId="0" applyFill="1" applyBorder="1" applyAlignment="1">
      <alignment vertical="center"/>
    </xf>
    <xf numFmtId="3" fontId="0" fillId="0" borderId="1" xfId="0" applyNumberFormat="1" applyFont="1" applyBorder="1" applyAlignment="1">
      <alignment horizontal="left"/>
    </xf>
    <xf numFmtId="165" fontId="0" fillId="6" borderId="1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left"/>
    </xf>
    <xf numFmtId="0" fontId="9" fillId="6" borderId="1" xfId="0" applyFont="1" applyFill="1" applyBorder="1" applyAlignment="1">
      <alignment vertical="center" wrapText="1"/>
    </xf>
    <xf numFmtId="2" fontId="0" fillId="0" borderId="3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65" fontId="0" fillId="0" borderId="1" xfId="0" applyNumberFormat="1" applyFont="1" applyFill="1" applyBorder="1" applyAlignment="1">
      <alignment horizontal="left"/>
    </xf>
    <xf numFmtId="0" fontId="9" fillId="6" borderId="1" xfId="0" applyFont="1" applyFill="1" applyBorder="1" applyAlignment="1">
      <alignment horizontal="left" vertical="center"/>
    </xf>
    <xf numFmtId="165" fontId="11" fillId="7" borderId="1" xfId="0" applyNumberFormat="1" applyFont="1" applyFill="1" applyBorder="1" applyAlignment="1" applyProtection="1">
      <alignment horizontal="left" wrapText="1"/>
    </xf>
    <xf numFmtId="0" fontId="0" fillId="6" borderId="0" xfId="0" applyFont="1" applyFill="1" applyBorder="1" applyAlignment="1"/>
    <xf numFmtId="0" fontId="0" fillId="0" borderId="6" xfId="0" applyFont="1" applyBorder="1" applyAlignment="1">
      <alignment horizontal="left" vertical="center"/>
    </xf>
    <xf numFmtId="0" fontId="0" fillId="0" borderId="1" xfId="0" quotePrefix="1" applyNumberFormat="1" applyFont="1" applyFill="1" applyBorder="1" applyAlignment="1"/>
    <xf numFmtId="2" fontId="3" fillId="0" borderId="1" xfId="2" applyNumberFormat="1" applyFont="1" applyBorder="1" applyAlignment="1">
      <alignment horizontal="left"/>
    </xf>
    <xf numFmtId="164" fontId="3" fillId="0" borderId="1" xfId="2" applyNumberFormat="1" applyFont="1" applyFill="1" applyBorder="1" applyAlignment="1">
      <alignment horizontal="left"/>
    </xf>
    <xf numFmtId="164" fontId="3" fillId="0" borderId="2" xfId="2" applyNumberFormat="1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66" fontId="0" fillId="0" borderId="2" xfId="0" applyNumberFormat="1" applyFont="1" applyFill="1" applyBorder="1" applyAlignment="1">
      <alignment horizontal="left"/>
    </xf>
    <xf numFmtId="0" fontId="0" fillId="0" borderId="1" xfId="0" quotePrefix="1" applyNumberFormat="1" applyFont="1" applyBorder="1" applyAlignment="1">
      <alignment horizontal="left" vertical="center"/>
    </xf>
    <xf numFmtId="1" fontId="3" fillId="0" borderId="1" xfId="2" applyNumberFormat="1" applyFont="1" applyBorder="1" applyAlignment="1">
      <alignment horizontal="left" vertical="center"/>
    </xf>
    <xf numFmtId="2" fontId="3" fillId="0" borderId="1" xfId="2" applyNumberFormat="1" applyFont="1" applyBorder="1" applyAlignment="1">
      <alignment horizontal="left" vertical="center"/>
    </xf>
    <xf numFmtId="164" fontId="3" fillId="0" borderId="1" xfId="2" applyNumberFormat="1" applyFont="1" applyFill="1" applyBorder="1" applyAlignment="1">
      <alignment horizontal="left" vertical="center"/>
    </xf>
    <xf numFmtId="164" fontId="3" fillId="0" borderId="2" xfId="2" applyNumberFormat="1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17" fontId="0" fillId="0" borderId="2" xfId="0" applyNumberFormat="1" applyFill="1" applyBorder="1" applyAlignment="1">
      <alignment horizontal="left" vertical="center" wrapText="1"/>
    </xf>
    <xf numFmtId="17" fontId="0" fillId="0" borderId="2" xfId="0" quotePrefix="1" applyNumberFormat="1" applyFill="1" applyBorder="1" applyAlignment="1">
      <alignment horizontal="left" vertical="center"/>
    </xf>
    <xf numFmtId="165" fontId="0" fillId="6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Border="1" applyAlignment="1">
      <alignment horizontal="left" vertical="center"/>
    </xf>
    <xf numFmtId="0" fontId="0" fillId="6" borderId="0" xfId="0" applyFont="1" applyFill="1" applyBorder="1" applyAlignment="1">
      <alignment horizontal="left" vertical="center"/>
    </xf>
    <xf numFmtId="2" fontId="0" fillId="6" borderId="1" xfId="0" applyNumberFormat="1" applyFont="1" applyFill="1" applyBorder="1" applyAlignment="1">
      <alignment horizontal="left"/>
    </xf>
    <xf numFmtId="2" fontId="0" fillId="0" borderId="8" xfId="0" applyNumberFormat="1" applyFont="1" applyBorder="1" applyAlignment="1">
      <alignment horizontal="left" vertical="center" wrapText="1"/>
    </xf>
    <xf numFmtId="165" fontId="0" fillId="6" borderId="8" xfId="0" applyNumberFormat="1" applyFont="1" applyFill="1" applyBorder="1" applyAlignment="1">
      <alignment horizontal="left"/>
    </xf>
    <xf numFmtId="0" fontId="12" fillId="8" borderId="9" xfId="0" applyFont="1" applyFill="1" applyBorder="1" applyAlignment="1">
      <alignment horizontal="left" vertical="center"/>
    </xf>
    <xf numFmtId="0" fontId="0" fillId="8" borderId="10" xfId="0" applyFont="1" applyFill="1" applyBorder="1" applyAlignment="1">
      <alignment vertical="center"/>
    </xf>
    <xf numFmtId="0" fontId="0" fillId="8" borderId="11" xfId="0" applyFont="1" applyFill="1" applyBorder="1" applyAlignment="1">
      <alignment horizontal="left" vertical="center"/>
    </xf>
    <xf numFmtId="0" fontId="0" fillId="8" borderId="11" xfId="0" applyFont="1" applyFill="1" applyBorder="1" applyAlignment="1">
      <alignment vertical="center"/>
    </xf>
    <xf numFmtId="1" fontId="0" fillId="8" borderId="11" xfId="0" applyNumberFormat="1" applyFont="1" applyFill="1" applyBorder="1" applyAlignment="1">
      <alignment horizontal="left" vertical="center"/>
    </xf>
    <xf numFmtId="2" fontId="0" fillId="8" borderId="11" xfId="0" applyNumberFormat="1" applyFont="1" applyFill="1" applyBorder="1" applyAlignment="1">
      <alignment horizontal="left" vertical="center"/>
    </xf>
    <xf numFmtId="164" fontId="0" fillId="8" borderId="11" xfId="0" applyNumberFormat="1" applyFont="1" applyFill="1" applyBorder="1" applyAlignment="1">
      <alignment horizontal="left" vertical="center"/>
    </xf>
    <xf numFmtId="0" fontId="0" fillId="8" borderId="9" xfId="0" applyFont="1" applyFill="1" applyBorder="1" applyAlignment="1">
      <alignment vertical="center"/>
    </xf>
    <xf numFmtId="0" fontId="0" fillId="8" borderId="11" xfId="0" applyFont="1" applyFill="1" applyBorder="1" applyAlignment="1"/>
    <xf numFmtId="2" fontId="0" fillId="8" borderId="9" xfId="0" applyNumberFormat="1" applyFont="1" applyFill="1" applyBorder="1" applyAlignment="1">
      <alignment horizontal="left"/>
    </xf>
    <xf numFmtId="2" fontId="0" fillId="8" borderId="11" xfId="0" applyNumberFormat="1" applyFont="1" applyFill="1" applyBorder="1" applyAlignment="1">
      <alignment horizontal="left"/>
    </xf>
    <xf numFmtId="165" fontId="0" fillId="8" borderId="11" xfId="0" applyNumberFormat="1" applyFont="1" applyFill="1" applyBorder="1" applyAlignment="1">
      <alignment horizontal="left"/>
    </xf>
    <xf numFmtId="0" fontId="0" fillId="8" borderId="11" xfId="0" applyFont="1" applyFill="1" applyBorder="1" applyAlignment="1">
      <alignment horizontal="left"/>
    </xf>
    <xf numFmtId="2" fontId="0" fillId="0" borderId="2" xfId="0" applyNumberFormat="1" applyFont="1" applyBorder="1" applyAlignment="1">
      <alignment horizontal="left"/>
    </xf>
    <xf numFmtId="165" fontId="11" fillId="0" borderId="5" xfId="8" applyNumberFormat="1" applyFont="1" applyFill="1" applyBorder="1" applyAlignment="1">
      <alignment horizontal="left"/>
    </xf>
    <xf numFmtId="2" fontId="0" fillId="0" borderId="50" xfId="0" applyNumberFormat="1" applyFont="1" applyBorder="1" applyAlignment="1">
      <alignment horizontal="left" vertical="center" wrapText="1"/>
    </xf>
    <xf numFmtId="2" fontId="0" fillId="0" borderId="51" xfId="0" applyNumberFormat="1" applyFont="1" applyBorder="1" applyAlignment="1">
      <alignment horizontal="left" vertical="center" wrapText="1"/>
    </xf>
    <xf numFmtId="2" fontId="0" fillId="0" borderId="52" xfId="0" applyNumberFormat="1" applyFont="1" applyBorder="1" applyAlignment="1">
      <alignment horizontal="left" vertical="center" wrapText="1"/>
    </xf>
    <xf numFmtId="165" fontId="11" fillId="0" borderId="1" xfId="8" applyNumberFormat="1" applyFont="1" applyFill="1" applyBorder="1" applyAlignment="1">
      <alignment horizontal="left"/>
    </xf>
    <xf numFmtId="0" fontId="0" fillId="0" borderId="1" xfId="0" quotePrefix="1" applyFont="1" applyBorder="1" applyAlignment="1">
      <alignment vertical="center"/>
    </xf>
    <xf numFmtId="165" fontId="0" fillId="6" borderId="8" xfId="0" applyNumberFormat="1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11" fillId="0" borderId="1" xfId="0" applyFont="1" applyFill="1" applyBorder="1" applyAlignment="1"/>
    <xf numFmtId="1" fontId="11" fillId="0" borderId="1" xfId="2" applyNumberFormat="1" applyFont="1" applyBorder="1" applyAlignment="1">
      <alignment horizontal="left"/>
    </xf>
    <xf numFmtId="164" fontId="11" fillId="0" borderId="1" xfId="2" applyNumberFormat="1" applyFont="1" applyBorder="1" applyAlignment="1">
      <alignment horizontal="left"/>
    </xf>
    <xf numFmtId="164" fontId="11" fillId="0" borderId="2" xfId="2" applyNumberFormat="1" applyFont="1" applyBorder="1" applyAlignment="1">
      <alignment horizontal="left"/>
    </xf>
    <xf numFmtId="2" fontId="0" fillId="0" borderId="12" xfId="0" applyNumberFormat="1" applyFont="1" applyBorder="1" applyAlignment="1">
      <alignment horizontal="left"/>
    </xf>
    <xf numFmtId="2" fontId="0" fillId="0" borderId="13" xfId="0" applyNumberFormat="1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8" xfId="0" applyFont="1" applyFill="1" applyBorder="1" applyAlignment="1">
      <alignment vertical="center"/>
    </xf>
    <xf numFmtId="1" fontId="3" fillId="0" borderId="8" xfId="2" applyNumberFormat="1" applyFont="1" applyFill="1" applyBorder="1" applyAlignment="1">
      <alignment horizontal="left" vertical="center"/>
    </xf>
    <xf numFmtId="2" fontId="0" fillId="0" borderId="8" xfId="0" applyNumberFormat="1" applyFont="1" applyFill="1" applyBorder="1" applyAlignment="1">
      <alignment horizontal="left" vertical="center"/>
    </xf>
    <xf numFmtId="164" fontId="3" fillId="0" borderId="1" xfId="2" applyNumberFormat="1" applyFont="1" applyBorder="1" applyAlignment="1">
      <alignment horizontal="left" vertical="center"/>
    </xf>
    <xf numFmtId="164" fontId="3" fillId="0" borderId="2" xfId="2" applyNumberFormat="1" applyFont="1" applyBorder="1" applyAlignment="1">
      <alignment horizontal="left" vertical="center"/>
    </xf>
    <xf numFmtId="2" fontId="0" fillId="0" borderId="8" xfId="0" applyNumberFormat="1" applyFont="1" applyBorder="1" applyAlignment="1">
      <alignment horizontal="left" vertical="center"/>
    </xf>
    <xf numFmtId="165" fontId="0" fillId="0" borderId="8" xfId="0" applyNumberFormat="1" applyFont="1" applyBorder="1" applyAlignment="1">
      <alignment horizontal="left" vertical="center"/>
    </xf>
    <xf numFmtId="165" fontId="0" fillId="8" borderId="14" xfId="0" applyNumberFormat="1" applyFont="1" applyFill="1" applyBorder="1" applyAlignment="1">
      <alignment horizontal="left"/>
    </xf>
    <xf numFmtId="0" fontId="0" fillId="0" borderId="1" xfId="0" quotePrefix="1" applyFont="1" applyFill="1" applyBorder="1" applyAlignment="1"/>
    <xf numFmtId="0" fontId="0" fillId="0" borderId="1" xfId="0" quotePrefix="1" applyFont="1" applyFill="1" applyBorder="1" applyAlignment="1">
      <alignment vertical="center"/>
    </xf>
    <xf numFmtId="0" fontId="13" fillId="9" borderId="15" xfId="0" applyFont="1" applyFill="1" applyBorder="1" applyAlignment="1">
      <alignment horizontal="left" vertical="center"/>
    </xf>
    <xf numFmtId="0" fontId="9" fillId="6" borderId="16" xfId="0" applyFont="1" applyFill="1" applyBorder="1" applyAlignment="1">
      <alignment vertical="center" wrapText="1"/>
    </xf>
    <xf numFmtId="0" fontId="0" fillId="0" borderId="16" xfId="0" applyFont="1" applyBorder="1"/>
    <xf numFmtId="0" fontId="9" fillId="6" borderId="1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9" fontId="11" fillId="7" borderId="16" xfId="8" applyFont="1" applyFill="1" applyBorder="1" applyAlignment="1" applyProtection="1">
      <alignment horizontal="left" wrapText="1"/>
    </xf>
    <xf numFmtId="0" fontId="0" fillId="6" borderId="17" xfId="0" applyFont="1" applyFill="1" applyBorder="1" applyAlignment="1"/>
    <xf numFmtId="0" fontId="0" fillId="6" borderId="17" xfId="0" applyFont="1" applyFill="1" applyBorder="1" applyAlignment="1">
      <alignment horizontal="left" vertical="center"/>
    </xf>
    <xf numFmtId="0" fontId="0" fillId="8" borderId="18" xfId="0" applyFont="1" applyFill="1" applyBorder="1" applyAlignment="1">
      <alignment horizontal="left"/>
    </xf>
    <xf numFmtId="0" fontId="0" fillId="6" borderId="17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65" fontId="0" fillId="0" borderId="0" xfId="0" applyNumberFormat="1"/>
    <xf numFmtId="165" fontId="7" fillId="4" borderId="16" xfId="5" applyNumberFormat="1" applyBorder="1" applyAlignment="1">
      <alignment horizontal="left"/>
    </xf>
    <xf numFmtId="2" fontId="4" fillId="2" borderId="46" xfId="1" applyNumberFormat="1" applyAlignment="1">
      <alignment horizontal="left" vertical="center" wrapText="1"/>
    </xf>
    <xf numFmtId="0" fontId="0" fillId="0" borderId="0" xfId="0"/>
    <xf numFmtId="0" fontId="0" fillId="0" borderId="14" xfId="0" applyBorder="1"/>
    <xf numFmtId="0" fontId="9" fillId="0" borderId="0" xfId="0" applyFont="1"/>
    <xf numFmtId="0" fontId="0" fillId="0" borderId="0" xfId="0" quotePrefix="1"/>
    <xf numFmtId="2" fontId="4" fillId="2" borderId="46" xfId="1" applyNumberFormat="1" applyAlignment="1">
      <alignment horizontal="left" vertical="center"/>
    </xf>
    <xf numFmtId="2" fontId="0" fillId="0" borderId="0" xfId="0" applyNumberFormat="1"/>
    <xf numFmtId="0" fontId="7" fillId="4" borderId="0" xfId="5"/>
    <xf numFmtId="0" fontId="7" fillId="4" borderId="19" xfId="5" applyBorder="1"/>
    <xf numFmtId="2" fontId="0" fillId="0" borderId="0" xfId="0" applyNumberFormat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/>
    <xf numFmtId="0" fontId="0" fillId="0" borderId="21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ont="1"/>
    <xf numFmtId="9" fontId="3" fillId="0" borderId="0" xfId="8" applyFont="1"/>
    <xf numFmtId="165" fontId="0" fillId="0" borderId="23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11" fillId="0" borderId="22" xfId="9" applyNumberFormat="1" applyFont="1" applyBorder="1" applyAlignment="1">
      <alignment horizontal="center"/>
    </xf>
    <xf numFmtId="0" fontId="0" fillId="0" borderId="0" xfId="0" applyAlignment="1">
      <alignment horizontal="right"/>
    </xf>
    <xf numFmtId="165" fontId="0" fillId="10" borderId="0" xfId="0" applyNumberFormat="1" applyFill="1" applyBorder="1" applyAlignment="1">
      <alignment horizontal="center"/>
    </xf>
    <xf numFmtId="2" fontId="0" fillId="10" borderId="23" xfId="0" applyNumberFormat="1" applyFill="1" applyBorder="1" applyAlignment="1">
      <alignment horizontal="center"/>
    </xf>
    <xf numFmtId="2" fontId="0" fillId="10" borderId="20" xfId="0" applyNumberFormat="1" applyFill="1" applyBorder="1" applyAlignment="1">
      <alignment horizontal="center"/>
    </xf>
    <xf numFmtId="165" fontId="0" fillId="10" borderId="26" xfId="0" applyNumberFormat="1" applyFill="1" applyBorder="1" applyAlignment="1">
      <alignment horizontal="center"/>
    </xf>
    <xf numFmtId="165" fontId="0" fillId="10" borderId="19" xfId="0" applyNumberFormat="1" applyFill="1" applyBorder="1" applyAlignment="1">
      <alignment horizontal="center"/>
    </xf>
    <xf numFmtId="165" fontId="0" fillId="10" borderId="7" xfId="0" applyNumberFormat="1" applyFill="1" applyBorder="1" applyAlignment="1">
      <alignment horizontal="center"/>
    </xf>
    <xf numFmtId="165" fontId="0" fillId="10" borderId="13" xfId="0" applyNumberFormat="1" applyFill="1" applyBorder="1" applyAlignment="1">
      <alignment horizontal="center"/>
    </xf>
    <xf numFmtId="165" fontId="0" fillId="10" borderId="20" xfId="0" applyNumberFormat="1" applyFill="1" applyBorder="1" applyAlignment="1">
      <alignment horizontal="center"/>
    </xf>
    <xf numFmtId="165" fontId="0" fillId="10" borderId="21" xfId="0" applyNumberFormat="1" applyFill="1" applyBorder="1" applyAlignment="1">
      <alignment horizontal="center"/>
    </xf>
    <xf numFmtId="2" fontId="0" fillId="10" borderId="21" xfId="0" applyNumberFormat="1" applyFill="1" applyBorder="1" applyAlignment="1">
      <alignment horizontal="center"/>
    </xf>
    <xf numFmtId="165" fontId="0" fillId="10" borderId="27" xfId="0" applyNumberFormat="1" applyFill="1" applyBorder="1" applyAlignment="1">
      <alignment horizontal="center"/>
    </xf>
    <xf numFmtId="165" fontId="0" fillId="10" borderId="22" xfId="0" applyNumberFormat="1" applyFill="1" applyBorder="1" applyAlignment="1">
      <alignment horizontal="center"/>
    </xf>
    <xf numFmtId="14" fontId="0" fillId="0" borderId="0" xfId="0" applyNumberFormat="1"/>
    <xf numFmtId="1" fontId="0" fillId="10" borderId="13" xfId="0" applyNumberFormat="1" applyFill="1" applyBorder="1" applyAlignment="1">
      <alignment horizontal="center"/>
    </xf>
    <xf numFmtId="1" fontId="0" fillId="10" borderId="23" xfId="0" applyNumberFormat="1" applyFill="1" applyBorder="1" applyAlignment="1">
      <alignment horizontal="center"/>
    </xf>
    <xf numFmtId="1" fontId="0" fillId="10" borderId="20" xfId="0" applyNumberFormat="1" applyFill="1" applyBorder="1" applyAlignment="1">
      <alignment horizontal="center"/>
    </xf>
    <xf numFmtId="1" fontId="0" fillId="10" borderId="24" xfId="0" applyNumberFormat="1" applyFill="1" applyBorder="1" applyAlignment="1">
      <alignment horizontal="center"/>
    </xf>
    <xf numFmtId="1" fontId="0" fillId="10" borderId="27" xfId="0" applyNumberFormat="1" applyFill="1" applyBorder="1" applyAlignment="1">
      <alignment horizontal="center"/>
    </xf>
    <xf numFmtId="1" fontId="0" fillId="10" borderId="7" xfId="0" applyNumberFormat="1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13" xfId="0" applyFill="1" applyBorder="1"/>
    <xf numFmtId="0" fontId="0" fillId="6" borderId="26" xfId="0" applyFill="1" applyBorder="1"/>
    <xf numFmtId="0" fontId="0" fillId="6" borderId="13" xfId="0" applyFill="1" applyBorder="1" applyAlignment="1">
      <alignment horizontal="center"/>
    </xf>
    <xf numFmtId="0" fontId="0" fillId="6" borderId="0" xfId="0" applyFill="1" applyBorder="1" applyAlignment="1">
      <alignment horizontal="centerContinuous"/>
    </xf>
    <xf numFmtId="166" fontId="0" fillId="0" borderId="0" xfId="0" applyNumberFormat="1" applyBorder="1"/>
    <xf numFmtId="0" fontId="0" fillId="11" borderId="0" xfId="0" applyFill="1"/>
    <xf numFmtId="0" fontId="7" fillId="4" borderId="14" xfId="5" applyBorder="1"/>
    <xf numFmtId="1" fontId="0" fillId="0" borderId="1" xfId="0" applyNumberFormat="1" applyBorder="1"/>
    <xf numFmtId="0" fontId="11" fillId="6" borderId="19" xfId="0" applyFont="1" applyFill="1" applyBorder="1"/>
    <xf numFmtId="0" fontId="3" fillId="5" borderId="53" xfId="6" applyFont="1" applyBorder="1"/>
    <xf numFmtId="0" fontId="14" fillId="0" borderId="0" xfId="0" applyFont="1"/>
    <xf numFmtId="0" fontId="14" fillId="0" borderId="14" xfId="0" applyFont="1" applyBorder="1"/>
    <xf numFmtId="0" fontId="14" fillId="0" borderId="0" xfId="0" applyFont="1" applyAlignment="1">
      <alignment horizontal="center"/>
    </xf>
    <xf numFmtId="1" fontId="0" fillId="12" borderId="1" xfId="0" applyNumberFormat="1" applyFill="1" applyBorder="1"/>
    <xf numFmtId="0" fontId="0" fillId="0" borderId="14" xfId="0" applyBorder="1" applyAlignment="1">
      <alignment horizontal="center"/>
    </xf>
    <xf numFmtId="0" fontId="3" fillId="5" borderId="48" xfId="6" applyFont="1" applyAlignment="1">
      <alignment horizontal="center"/>
    </xf>
    <xf numFmtId="0" fontId="0" fillId="0" borderId="0" xfId="0" applyAlignment="1">
      <alignment horizontal="left"/>
    </xf>
    <xf numFmtId="0" fontId="0" fillId="12" borderId="13" xfId="0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165" fontId="0" fillId="12" borderId="25" xfId="0" applyNumberFormat="1" applyFill="1" applyBorder="1" applyAlignment="1">
      <alignment horizontal="center"/>
    </xf>
    <xf numFmtId="165" fontId="0" fillId="12" borderId="26" xfId="0" applyNumberFormat="1" applyFill="1" applyBorder="1" applyAlignment="1">
      <alignment horizontal="center"/>
    </xf>
    <xf numFmtId="165" fontId="0" fillId="12" borderId="7" xfId="0" applyNumberFormat="1" applyFill="1" applyBorder="1" applyAlignment="1">
      <alignment horizontal="center"/>
    </xf>
    <xf numFmtId="165" fontId="0" fillId="12" borderId="13" xfId="0" applyNumberFormat="1" applyFill="1" applyBorder="1" applyAlignment="1">
      <alignment horizontal="center"/>
    </xf>
    <xf numFmtId="2" fontId="0" fillId="12" borderId="13" xfId="0" applyNumberFormat="1" applyFill="1" applyBorder="1" applyAlignment="1">
      <alignment horizontal="center"/>
    </xf>
    <xf numFmtId="166" fontId="0" fillId="12" borderId="13" xfId="0" applyNumberFormat="1" applyFill="1" applyBorder="1" applyAlignment="1">
      <alignment horizontal="center"/>
    </xf>
    <xf numFmtId="1" fontId="0" fillId="12" borderId="13" xfId="0" applyNumberFormat="1" applyFill="1" applyBorder="1" applyAlignment="1">
      <alignment horizontal="center"/>
    </xf>
    <xf numFmtId="2" fontId="0" fillId="12" borderId="25" xfId="0" applyNumberFormat="1" applyFill="1" applyBorder="1" applyAlignment="1">
      <alignment horizontal="center"/>
    </xf>
    <xf numFmtId="2" fontId="0" fillId="12" borderId="7" xfId="0" applyNumberFormat="1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165" fontId="0" fillId="12" borderId="23" xfId="0" applyNumberFormat="1" applyFill="1" applyBorder="1" applyAlignment="1">
      <alignment horizontal="center"/>
    </xf>
    <xf numFmtId="165" fontId="0" fillId="12" borderId="0" xfId="0" applyNumberFormat="1" applyFill="1" applyBorder="1" applyAlignment="1">
      <alignment horizontal="center"/>
    </xf>
    <xf numFmtId="165" fontId="0" fillId="12" borderId="20" xfId="0" applyNumberFormat="1" applyFill="1" applyBorder="1" applyAlignment="1">
      <alignment horizontal="center"/>
    </xf>
    <xf numFmtId="165" fontId="0" fillId="12" borderId="21" xfId="0" applyNumberFormat="1" applyFill="1" applyBorder="1" applyAlignment="1">
      <alignment horizontal="center"/>
    </xf>
    <xf numFmtId="2" fontId="0" fillId="12" borderId="21" xfId="0" applyNumberFormat="1" applyFill="1" applyBorder="1" applyAlignment="1">
      <alignment horizontal="center"/>
    </xf>
    <xf numFmtId="166" fontId="0" fillId="12" borderId="21" xfId="0" applyNumberFormat="1" applyFill="1" applyBorder="1" applyAlignment="1">
      <alignment horizontal="center"/>
    </xf>
    <xf numFmtId="1" fontId="0" fillId="12" borderId="21" xfId="0" applyNumberFormat="1" applyFill="1" applyBorder="1" applyAlignment="1">
      <alignment horizontal="center"/>
    </xf>
    <xf numFmtId="2" fontId="0" fillId="12" borderId="23" xfId="0" applyNumberFormat="1" applyFill="1" applyBorder="1" applyAlignment="1">
      <alignment horizontal="center"/>
    </xf>
    <xf numFmtId="2" fontId="0" fillId="12" borderId="20" xfId="0" applyNumberFormat="1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165" fontId="0" fillId="12" borderId="24" xfId="0" applyNumberFormat="1" applyFill="1" applyBorder="1" applyAlignment="1">
      <alignment horizontal="center"/>
    </xf>
    <xf numFmtId="165" fontId="0" fillId="12" borderId="19" xfId="0" applyNumberFormat="1" applyFill="1" applyBorder="1" applyAlignment="1">
      <alignment horizontal="center"/>
    </xf>
    <xf numFmtId="165" fontId="0" fillId="12" borderId="27" xfId="0" applyNumberFormat="1" applyFill="1" applyBorder="1" applyAlignment="1">
      <alignment horizontal="center"/>
    </xf>
    <xf numFmtId="165" fontId="0" fillId="12" borderId="22" xfId="0" applyNumberFormat="1" applyFill="1" applyBorder="1" applyAlignment="1">
      <alignment horizontal="center"/>
    </xf>
    <xf numFmtId="2" fontId="0" fillId="12" borderId="22" xfId="0" applyNumberFormat="1" applyFill="1" applyBorder="1" applyAlignment="1">
      <alignment horizontal="center"/>
    </xf>
    <xf numFmtId="166" fontId="0" fillId="12" borderId="22" xfId="0" applyNumberFormat="1" applyFill="1" applyBorder="1" applyAlignment="1">
      <alignment horizontal="center"/>
    </xf>
    <xf numFmtId="1" fontId="0" fillId="12" borderId="22" xfId="0" applyNumberFormat="1" applyFill="1" applyBorder="1" applyAlignment="1">
      <alignment horizontal="center"/>
    </xf>
    <xf numFmtId="2" fontId="0" fillId="12" borderId="24" xfId="0" applyNumberFormat="1" applyFill="1" applyBorder="1" applyAlignment="1">
      <alignment horizontal="center"/>
    </xf>
    <xf numFmtId="2" fontId="0" fillId="12" borderId="27" xfId="0" applyNumberFormat="1" applyFill="1" applyBorder="1" applyAlignment="1">
      <alignment horizontal="center"/>
    </xf>
    <xf numFmtId="0" fontId="15" fillId="0" borderId="0" xfId="0" applyFont="1"/>
    <xf numFmtId="0" fontId="0" fillId="6" borderId="24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16" fillId="10" borderId="26" xfId="0" applyFont="1" applyFill="1" applyBorder="1" applyAlignment="1">
      <alignment horizontal="center"/>
    </xf>
    <xf numFmtId="0" fontId="17" fillId="10" borderId="24" xfId="7" applyFont="1" applyFill="1" applyBorder="1"/>
    <xf numFmtId="0" fontId="16" fillId="10" borderId="26" xfId="0" applyFont="1" applyFill="1" applyBorder="1"/>
    <xf numFmtId="0" fontId="17" fillId="10" borderId="19" xfId="7" applyFont="1" applyFill="1" applyBorder="1"/>
    <xf numFmtId="0" fontId="17" fillId="2" borderId="26" xfId="7" applyFont="1" applyBorder="1"/>
    <xf numFmtId="0" fontId="17" fillId="2" borderId="19" xfId="7" applyFont="1" applyBorder="1"/>
    <xf numFmtId="0" fontId="17" fillId="2" borderId="7" xfId="7" applyFont="1" applyBorder="1"/>
    <xf numFmtId="0" fontId="17" fillId="2" borderId="27" xfId="7" applyFont="1" applyBorder="1"/>
    <xf numFmtId="0" fontId="5" fillId="0" borderId="47" xfId="3"/>
    <xf numFmtId="0" fontId="0" fillId="0" borderId="19" xfId="0" applyBorder="1"/>
    <xf numFmtId="0" fontId="0" fillId="0" borderId="0" xfId="0" applyFill="1" applyBorder="1" applyAlignment="1">
      <alignment horizontal="center"/>
    </xf>
    <xf numFmtId="0" fontId="9" fillId="0" borderId="19" xfId="0" applyFont="1" applyBorder="1"/>
    <xf numFmtId="0" fontId="0" fillId="0" borderId="0" xfId="0" applyFill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14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7" xfId="0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0" fillId="0" borderId="27" xfId="0" applyBorder="1"/>
    <xf numFmtId="167" fontId="11" fillId="0" borderId="22" xfId="9" applyNumberFormat="1" applyFont="1" applyBorder="1" applyAlignment="1">
      <alignment horizontal="center"/>
    </xf>
    <xf numFmtId="0" fontId="15" fillId="0" borderId="0" xfId="0" applyFont="1" applyBorder="1"/>
    <xf numFmtId="2" fontId="4" fillId="2" borderId="46" xfId="1" applyNumberFormat="1"/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Font="1" applyBorder="1" applyAlignment="1">
      <alignment horizontal="left" vertical="center"/>
    </xf>
    <xf numFmtId="0" fontId="4" fillId="2" borderId="46" xfId="1" applyAlignment="1">
      <alignment horizontal="left" vertical="center" wrapText="1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7" fillId="4" borderId="0" xfId="5" applyAlignment="1">
      <alignment horizontal="center"/>
    </xf>
    <xf numFmtId="0" fontId="0" fillId="0" borderId="0" xfId="0" applyAlignment="1">
      <alignment horizontal="center"/>
    </xf>
    <xf numFmtId="0" fontId="6" fillId="3" borderId="46" xfId="4" applyAlignment="1">
      <alignment horizontal="center"/>
    </xf>
    <xf numFmtId="0" fontId="6" fillId="3" borderId="54" xfId="4" applyBorder="1" applyAlignment="1">
      <alignment horizontal="center"/>
    </xf>
    <xf numFmtId="0" fontId="6" fillId="3" borderId="55" xfId="4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left" vertical="center" wrapText="1"/>
    </xf>
    <xf numFmtId="0" fontId="12" fillId="13" borderId="34" xfId="0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165" fontId="7" fillId="4" borderId="46" xfId="5" applyNumberFormat="1" applyBorder="1" applyAlignment="1">
      <alignment horizontal="left" vertical="center"/>
    </xf>
    <xf numFmtId="0" fontId="4" fillId="2" borderId="46" xfId="1" applyAlignment="1">
      <alignment horizontal="left" vertical="center" wrapText="1"/>
    </xf>
    <xf numFmtId="165" fontId="0" fillId="0" borderId="13" xfId="0" applyNumberFormat="1" applyFont="1" applyBorder="1" applyAlignment="1">
      <alignment horizontal="left" vertical="center"/>
    </xf>
    <xf numFmtId="165" fontId="0" fillId="0" borderId="22" xfId="0" applyNumberFormat="1" applyFont="1" applyBorder="1" applyAlignment="1">
      <alignment horizontal="left" vertical="center"/>
    </xf>
    <xf numFmtId="165" fontId="7" fillId="4" borderId="38" xfId="5" applyNumberFormat="1" applyBorder="1" applyAlignment="1">
      <alignment horizontal="left" vertical="center"/>
    </xf>
    <xf numFmtId="165" fontId="7" fillId="4" borderId="21" xfId="5" applyNumberFormat="1" applyBorder="1" applyAlignment="1">
      <alignment horizontal="left" vertical="center"/>
    </xf>
    <xf numFmtId="165" fontId="7" fillId="4" borderId="22" xfId="5" applyNumberFormat="1" applyBorder="1" applyAlignment="1">
      <alignment horizontal="left" vertical="center"/>
    </xf>
    <xf numFmtId="165" fontId="7" fillId="4" borderId="13" xfId="5" applyNumberFormat="1" applyBorder="1" applyAlignment="1">
      <alignment horizontal="left" vertical="center"/>
    </xf>
    <xf numFmtId="0" fontId="12" fillId="13" borderId="15" xfId="0" applyFont="1" applyFill="1" applyBorder="1" applyAlignment="1">
      <alignment horizontal="left" vertical="center" wrapText="1"/>
    </xf>
    <xf numFmtId="0" fontId="12" fillId="13" borderId="39" xfId="0" applyFont="1" applyFill="1" applyBorder="1" applyAlignment="1">
      <alignment horizontal="left" vertical="center" wrapText="1"/>
    </xf>
    <xf numFmtId="0" fontId="12" fillId="13" borderId="40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9" fillId="6" borderId="21" xfId="0" applyFont="1" applyFill="1" applyBorder="1" applyAlignment="1">
      <alignment horizontal="left" vertical="center"/>
    </xf>
    <xf numFmtId="0" fontId="9" fillId="6" borderId="30" xfId="0" applyFont="1" applyFill="1" applyBorder="1" applyAlignment="1">
      <alignment horizontal="left" vertical="center"/>
    </xf>
    <xf numFmtId="165" fontId="9" fillId="6" borderId="21" xfId="0" applyNumberFormat="1" applyFont="1" applyFill="1" applyBorder="1" applyAlignment="1">
      <alignment horizontal="left" vertical="center" wrapText="1"/>
    </xf>
    <xf numFmtId="165" fontId="9" fillId="6" borderId="30" xfId="0" applyNumberFormat="1" applyFont="1" applyFill="1" applyBorder="1" applyAlignment="1">
      <alignment horizontal="left" vertical="center" wrapText="1"/>
    </xf>
    <xf numFmtId="0" fontId="9" fillId="6" borderId="41" xfId="0" applyFont="1" applyFill="1" applyBorder="1" applyAlignment="1">
      <alignment horizontal="left" vertical="center"/>
    </xf>
    <xf numFmtId="0" fontId="9" fillId="6" borderId="42" xfId="0" applyFont="1" applyFill="1" applyBorder="1" applyAlignment="1">
      <alignment horizontal="left" vertical="center"/>
    </xf>
    <xf numFmtId="0" fontId="12" fillId="13" borderId="15" xfId="0" applyFont="1" applyFill="1" applyBorder="1" applyAlignment="1">
      <alignment horizontal="left" vertical="center"/>
    </xf>
    <xf numFmtId="0" fontId="12" fillId="13" borderId="39" xfId="0" applyFont="1" applyFill="1" applyBorder="1" applyAlignment="1">
      <alignment horizontal="left" vertical="center"/>
    </xf>
    <xf numFmtId="0" fontId="9" fillId="6" borderId="43" xfId="0" applyFont="1" applyFill="1" applyBorder="1" applyAlignment="1">
      <alignment horizontal="left" vertical="center"/>
    </xf>
    <xf numFmtId="0" fontId="9" fillId="6" borderId="44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2" fontId="9" fillId="6" borderId="41" xfId="0" applyNumberFormat="1" applyFont="1" applyFill="1" applyBorder="1" applyAlignment="1">
      <alignment horizontal="left" vertical="center" wrapText="1"/>
    </xf>
    <xf numFmtId="2" fontId="9" fillId="6" borderId="42" xfId="0" applyNumberFormat="1" applyFont="1" applyFill="1" applyBorder="1" applyAlignment="1">
      <alignment horizontal="left" vertical="center" wrapText="1"/>
    </xf>
    <xf numFmtId="2" fontId="9" fillId="6" borderId="21" xfId="0" applyNumberFormat="1" applyFont="1" applyFill="1" applyBorder="1" applyAlignment="1">
      <alignment horizontal="left" vertical="center"/>
    </xf>
    <xf numFmtId="2" fontId="9" fillId="6" borderId="30" xfId="0" applyNumberFormat="1" applyFont="1" applyFill="1" applyBorder="1" applyAlignment="1">
      <alignment horizontal="left" vertical="center"/>
    </xf>
  </cellXfs>
  <cellStyles count="10">
    <cellStyle name="Calculation" xfId="1" builtinId="22"/>
    <cellStyle name="Comma" xfId="2" builtinId="3"/>
    <cellStyle name="Heading 2" xfId="3" builtinId="17"/>
    <cellStyle name="Input" xfId="4" builtinId="20"/>
    <cellStyle name="Neutral" xfId="5" builtinId="28"/>
    <cellStyle name="Normal" xfId="0" builtinId="0"/>
    <cellStyle name="Note" xfId="6" builtinId="10"/>
    <cellStyle name="Output" xfId="7" builtinId="21"/>
    <cellStyle name="Percent" xfId="8" builtinId="5"/>
    <cellStyle name="Warning Text" xfId="9" builtinId="11"/>
  </cellStyles>
  <dxfs count="7"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border>
        <bottom style="thin">
          <color indexed="64"/>
        </bottom>
      </border>
    </dxf>
    <dxf>
      <font>
        <color theme="0" tint="-0.24994659260841701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KJM\Documents\CPUC\2015Cycle\Technologies\Lighting\DEER_Lighting_Technology_Specifications-InHouse-v4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Update History"/>
      <sheetName val="Instructions"/>
      <sheetName val="Incan_lamp"/>
      <sheetName val="CFLint_lamp"/>
      <sheetName val="Hal_lamp"/>
      <sheetName val="LED_lamp"/>
      <sheetName val="LF_lamp"/>
      <sheetName val="LF_Ballast"/>
      <sheetName val="LF_LmpBlst"/>
      <sheetName val="LinFluor_fixt"/>
      <sheetName val="CFLpin_lamp"/>
      <sheetName val="CFL_LmpBlst"/>
      <sheetName val="CFL_fixt"/>
      <sheetName val="HID_fixt"/>
      <sheetName val="HID_LmpBlst"/>
      <sheetName val="Exit_fixt"/>
      <sheetName val="LED_fixt"/>
      <sheetName val="Ind_LmpBlst"/>
      <sheetName val="Ind_fixt"/>
      <sheetName val="LtString"/>
      <sheetName val="NiteLight"/>
      <sheetName val="Signage"/>
      <sheetName val="PlugIn_fixt"/>
      <sheetName val="key"/>
      <sheetName val="TechGroup"/>
      <sheetName val="Tech Definitions"/>
      <sheetName val="ParamDefn"/>
      <sheetName val="ParamLists"/>
      <sheetName val="TypeID2ParamID"/>
      <sheetName val="Technology"/>
      <sheetName val="TechID2Param"/>
      <sheetName val="Tech macro"/>
      <sheetName val="Param macro"/>
      <sheetName val="Param order"/>
      <sheetName val="Code Baselines"/>
      <sheetName val="Sheet1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46"/>
  <sheetViews>
    <sheetView tabSelected="1" zoomScale="110" zoomScaleNormal="110" workbookViewId="0">
      <selection activeCell="F42" sqref="F42"/>
    </sheetView>
  </sheetViews>
  <sheetFormatPr defaultRowHeight="15"/>
  <cols>
    <col min="2" max="2" width="32.5703125" customWidth="1"/>
    <col min="3" max="3" width="10.85546875" bestFit="1" customWidth="1"/>
    <col min="4" max="4" width="8.28515625" customWidth="1"/>
  </cols>
  <sheetData>
    <row r="2" spans="2:19" ht="18" thickBot="1">
      <c r="B2" s="230" t="s">
        <v>0</v>
      </c>
      <c r="C2" s="230"/>
      <c r="D2" s="230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2:19" ht="15.75" thickTop="1">
      <c r="B3" s="106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5" spans="2:19">
      <c r="B5" s="103" t="s">
        <v>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7" spans="2:19">
      <c r="B7" s="233" t="s">
        <v>3</v>
      </c>
      <c r="C7" s="233" t="s">
        <v>4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</row>
    <row r="8" spans="2:19">
      <c r="B8" s="237" t="s">
        <v>5</v>
      </c>
      <c r="C8" s="238" t="s">
        <v>6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9"/>
    </row>
    <row r="9" spans="2:19" s="103" customFormat="1">
      <c r="B9" s="240"/>
      <c r="C9" s="112" t="s">
        <v>7</v>
      </c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241"/>
    </row>
    <row r="10" spans="2:19">
      <c r="B10" s="240"/>
      <c r="C10" s="235" t="s">
        <v>8</v>
      </c>
      <c r="D10" s="234" t="s">
        <v>9</v>
      </c>
      <c r="E10" s="112" t="s">
        <v>10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241"/>
    </row>
    <row r="11" spans="2:19">
      <c r="B11" s="240"/>
      <c r="C11" s="235" t="s">
        <v>8</v>
      </c>
      <c r="D11" s="234" t="s">
        <v>11</v>
      </c>
      <c r="E11" s="112" t="s">
        <v>12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241"/>
    </row>
    <row r="12" spans="2:19">
      <c r="B12" s="240"/>
      <c r="C12" s="235" t="s">
        <v>8</v>
      </c>
      <c r="D12" s="234" t="s">
        <v>13</v>
      </c>
      <c r="E12" s="112" t="s">
        <v>14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241"/>
    </row>
    <row r="13" spans="2:19">
      <c r="B13" s="240"/>
      <c r="C13" s="235" t="s">
        <v>8</v>
      </c>
      <c r="D13" s="234" t="s">
        <v>15</v>
      </c>
      <c r="E13" s="112" t="s">
        <v>16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241"/>
    </row>
    <row r="14" spans="2:19" s="103" customFormat="1">
      <c r="B14" s="240"/>
      <c r="C14" s="112" t="s">
        <v>17</v>
      </c>
      <c r="D14" s="23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241"/>
    </row>
    <row r="15" spans="2:19">
      <c r="B15" s="240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241"/>
    </row>
    <row r="16" spans="2:19">
      <c r="B16" s="240" t="s">
        <v>18</v>
      </c>
      <c r="C16" s="112" t="s">
        <v>19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241"/>
    </row>
    <row r="17" spans="2:19" s="103" customFormat="1">
      <c r="B17" s="240"/>
      <c r="C17" s="235" t="s">
        <v>8</v>
      </c>
      <c r="D17" s="112" t="s">
        <v>20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241"/>
    </row>
    <row r="18" spans="2:19" s="103" customFormat="1">
      <c r="B18" s="240"/>
      <c r="C18" s="235" t="s">
        <v>8</v>
      </c>
      <c r="D18" s="112" t="s">
        <v>21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241"/>
    </row>
    <row r="19" spans="2:19" s="103" customFormat="1">
      <c r="B19" s="240"/>
      <c r="C19" s="235" t="s">
        <v>8</v>
      </c>
      <c r="D19" s="112" t="s">
        <v>22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241"/>
    </row>
    <row r="20" spans="2:19">
      <c r="B20" s="240"/>
      <c r="C20" s="235" t="s">
        <v>8</v>
      </c>
      <c r="D20" s="112" t="s">
        <v>23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241"/>
    </row>
    <row r="21" spans="2:19">
      <c r="B21" s="240"/>
      <c r="C21" s="235" t="s">
        <v>8</v>
      </c>
      <c r="D21" s="112" t="s">
        <v>24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241"/>
    </row>
    <row r="22" spans="2:19" s="103" customFormat="1">
      <c r="B22" s="240"/>
      <c r="C22" s="235" t="s">
        <v>8</v>
      </c>
      <c r="D22" s="112" t="s">
        <v>25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241"/>
    </row>
    <row r="23" spans="2:19" s="103" customFormat="1">
      <c r="B23" s="240"/>
      <c r="C23" s="236"/>
      <c r="D23" s="112" t="s">
        <v>26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241"/>
    </row>
    <row r="24" spans="2:19">
      <c r="B24" s="240"/>
      <c r="C24" s="235" t="s">
        <v>8</v>
      </c>
      <c r="D24" s="112" t="s">
        <v>27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241"/>
    </row>
    <row r="25" spans="2:19" s="103" customFormat="1">
      <c r="B25" s="240"/>
      <c r="C25" s="235"/>
      <c r="D25" s="245" t="s">
        <v>28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241"/>
    </row>
    <row r="26" spans="2:19" s="103" customFormat="1">
      <c r="B26" s="240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241"/>
    </row>
    <row r="27" spans="2:19">
      <c r="B27" s="240" t="s">
        <v>29</v>
      </c>
      <c r="C27" s="112" t="s">
        <v>30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241"/>
    </row>
    <row r="28" spans="2:19">
      <c r="B28" s="240"/>
      <c r="C28" s="112" t="s">
        <v>31</v>
      </c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241"/>
    </row>
    <row r="29" spans="2:19" s="103" customFormat="1">
      <c r="B29" s="24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241"/>
    </row>
    <row r="30" spans="2:19" s="103" customFormat="1">
      <c r="B30" s="240" t="s">
        <v>32</v>
      </c>
      <c r="C30" s="112" t="s">
        <v>33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241"/>
    </row>
    <row r="31" spans="2:19" s="103" customFormat="1">
      <c r="B31" s="24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241"/>
    </row>
    <row r="32" spans="2:19">
      <c r="B32" s="240" t="s">
        <v>34</v>
      </c>
      <c r="C32" s="112" t="s">
        <v>35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241"/>
    </row>
    <row r="33" spans="2:19" s="103" customFormat="1">
      <c r="B33" s="240"/>
      <c r="C33" s="112" t="s">
        <v>36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241"/>
    </row>
    <row r="34" spans="2:19" s="103" customFormat="1">
      <c r="B34" s="240"/>
      <c r="C34" s="112" t="s">
        <v>37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241"/>
    </row>
    <row r="35" spans="2:19">
      <c r="B35" s="240"/>
      <c r="C35" s="112" t="s">
        <v>38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241"/>
    </row>
    <row r="36" spans="2:19">
      <c r="B36" s="242"/>
      <c r="C36" s="231" t="s">
        <v>39</v>
      </c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43"/>
    </row>
    <row r="37" spans="2:19" s="103" customFormat="1"/>
    <row r="39" spans="2:19">
      <c r="B39" s="105" t="s">
        <v>40</v>
      </c>
      <c r="C39" s="156">
        <v>42331</v>
      </c>
      <c r="D39" s="103" t="s">
        <v>41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</row>
    <row r="40" spans="2:19">
      <c r="B40" s="103"/>
      <c r="C40" s="103"/>
      <c r="D40" s="103" t="s">
        <v>42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</row>
    <row r="41" spans="2:19">
      <c r="B41" s="103"/>
      <c r="C41" s="103"/>
      <c r="D41" s="103" t="s">
        <v>43</v>
      </c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</row>
    <row r="42" spans="2:19">
      <c r="B42" s="103"/>
      <c r="C42" s="103"/>
      <c r="D42" s="103" t="s">
        <v>44</v>
      </c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</row>
    <row r="43" spans="2:19">
      <c r="B43" s="103"/>
      <c r="C43" s="103"/>
      <c r="D43" s="103" t="s">
        <v>45</v>
      </c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</row>
    <row r="44" spans="2:19">
      <c r="B44" s="103"/>
      <c r="C44" s="103"/>
      <c r="D44" s="103" t="s">
        <v>46</v>
      </c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</row>
    <row r="45" spans="2:19">
      <c r="B45" s="103"/>
      <c r="C45" s="103"/>
      <c r="D45" s="103" t="s">
        <v>47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</row>
    <row r="46" spans="2:19">
      <c r="B46" s="103"/>
      <c r="C46" s="103" t="s">
        <v>48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22"/>
  <sheetViews>
    <sheetView topLeftCell="HT1" workbookViewId="0">
      <selection activeCell="IV35" sqref="IV35"/>
    </sheetView>
  </sheetViews>
  <sheetFormatPr defaultRowHeight="15"/>
  <cols>
    <col min="5" max="5" width="12.7109375" bestFit="1" customWidth="1"/>
    <col min="6" max="6" width="12" bestFit="1" customWidth="1"/>
    <col min="7" max="7" width="8.7109375" customWidth="1"/>
    <col min="8" max="9" width="12.140625" customWidth="1"/>
    <col min="10" max="11" width="13.7109375" customWidth="1"/>
    <col min="12" max="12" width="10.42578125" bestFit="1" customWidth="1"/>
    <col min="13" max="13" width="10.140625" bestFit="1" customWidth="1"/>
    <col min="14" max="14" width="10" customWidth="1"/>
    <col min="15" max="16" width="7.7109375" customWidth="1"/>
    <col min="17" max="17" width="11" customWidth="1"/>
    <col min="18" max="19" width="8.5703125" customWidth="1"/>
    <col min="20" max="20" width="10.5703125" customWidth="1"/>
  </cols>
  <sheetData>
    <row r="1" spans="2:24" s="103" customFormat="1"/>
    <row r="2" spans="2:24">
      <c r="B2" s="105" t="s">
        <v>49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2:24" s="103" customFormat="1">
      <c r="B3" s="127" t="s">
        <v>50</v>
      </c>
    </row>
    <row r="4" spans="2:24" s="103" customFormat="1">
      <c r="B4" s="105"/>
    </row>
    <row r="5" spans="2:24" s="103" customFormat="1">
      <c r="B5" s="105"/>
      <c r="G5" s="170" t="s">
        <v>51</v>
      </c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</row>
    <row r="6" spans="2:24">
      <c r="B6" s="105" t="s">
        <v>52</v>
      </c>
      <c r="C6" s="103"/>
      <c r="D6" s="103"/>
      <c r="E6" s="103"/>
      <c r="F6" s="143" t="s">
        <v>53</v>
      </c>
      <c r="G6" s="250" t="s">
        <v>54</v>
      </c>
      <c r="H6" s="250" t="s">
        <v>54</v>
      </c>
      <c r="I6" s="250" t="s">
        <v>54</v>
      </c>
      <c r="J6" s="250" t="s">
        <v>54</v>
      </c>
      <c r="K6" s="250" t="s">
        <v>54</v>
      </c>
      <c r="L6" s="250" t="s">
        <v>54</v>
      </c>
      <c r="M6" s="250" t="s">
        <v>54</v>
      </c>
      <c r="N6" s="250" t="s">
        <v>55</v>
      </c>
      <c r="O6" s="250"/>
      <c r="P6" s="250"/>
      <c r="Q6" s="250" t="s">
        <v>55</v>
      </c>
      <c r="R6" s="250"/>
      <c r="S6" s="250"/>
      <c r="T6" s="250" t="s">
        <v>55</v>
      </c>
      <c r="U6" s="250" t="s">
        <v>55</v>
      </c>
      <c r="V6" s="250" t="s">
        <v>55</v>
      </c>
      <c r="W6" s="250" t="s">
        <v>54</v>
      </c>
      <c r="X6" s="103"/>
    </row>
    <row r="7" spans="2:24">
      <c r="B7" s="103"/>
      <c r="C7" s="103"/>
      <c r="D7" s="253" t="s">
        <v>56</v>
      </c>
      <c r="E7" s="254"/>
      <c r="F7" s="255"/>
      <c r="G7" s="248"/>
      <c r="H7" s="253" t="s">
        <v>57</v>
      </c>
      <c r="I7" s="254"/>
      <c r="J7" s="254"/>
      <c r="K7" s="255"/>
      <c r="L7" s="167"/>
      <c r="M7" s="168"/>
      <c r="N7" s="247" t="s">
        <v>58</v>
      </c>
      <c r="O7" s="254" t="s">
        <v>59</v>
      </c>
      <c r="P7" s="255"/>
      <c r="Q7" s="168"/>
      <c r="R7" s="254" t="s">
        <v>60</v>
      </c>
      <c r="S7" s="255"/>
      <c r="T7" s="249" t="s">
        <v>61</v>
      </c>
      <c r="U7" s="169" t="s">
        <v>61</v>
      </c>
      <c r="V7" s="169" t="s">
        <v>61</v>
      </c>
      <c r="W7" s="169" t="s">
        <v>61</v>
      </c>
      <c r="X7" s="103"/>
    </row>
    <row r="8" spans="2:24" ht="15.75" thickBot="1">
      <c r="B8" s="256" t="s">
        <v>62</v>
      </c>
      <c r="C8" s="257"/>
      <c r="D8" s="163" t="s">
        <v>63</v>
      </c>
      <c r="E8" s="164" t="s">
        <v>64</v>
      </c>
      <c r="F8" s="165" t="s">
        <v>65</v>
      </c>
      <c r="G8" s="164" t="s">
        <v>66</v>
      </c>
      <c r="H8" s="163" t="s">
        <v>67</v>
      </c>
      <c r="I8" s="164" t="s">
        <v>68</v>
      </c>
      <c r="J8" s="164" t="s">
        <v>69</v>
      </c>
      <c r="K8" s="165" t="s">
        <v>70</v>
      </c>
      <c r="L8" s="166" t="s">
        <v>71</v>
      </c>
      <c r="M8" s="164" t="s">
        <v>72</v>
      </c>
      <c r="N8" s="163" t="s">
        <v>73</v>
      </c>
      <c r="O8" s="164" t="s">
        <v>74</v>
      </c>
      <c r="P8" s="165" t="s">
        <v>75</v>
      </c>
      <c r="Q8" s="164" t="s">
        <v>61</v>
      </c>
      <c r="R8" s="164" t="s">
        <v>74</v>
      </c>
      <c r="S8" s="165" t="s">
        <v>75</v>
      </c>
      <c r="T8" s="165" t="s">
        <v>76</v>
      </c>
      <c r="U8" s="166" t="s">
        <v>77</v>
      </c>
      <c r="V8" s="166" t="s">
        <v>78</v>
      </c>
      <c r="W8" s="166" t="s">
        <v>79</v>
      </c>
      <c r="X8" s="103"/>
    </row>
    <row r="9" spans="2:24">
      <c r="B9" s="120" t="s">
        <v>80</v>
      </c>
      <c r="C9" s="121" t="s">
        <v>81</v>
      </c>
      <c r="D9" s="129">
        <f>+'Unit Cost Models'!T11</f>
        <v>3.0430000000000001</v>
      </c>
      <c r="E9" s="130">
        <f>+'Unit Cost Models'!R4</f>
        <v>-0.14966150225589619</v>
      </c>
      <c r="F9" s="131">
        <f>+'Unit Cost Models'!R20</f>
        <v>0.52692151711335011</v>
      </c>
      <c r="G9" s="130">
        <f>+'Unit Cost Models'!N10</f>
        <v>1.8411</v>
      </c>
      <c r="H9" s="129">
        <f>+'Unit Cost Models'!N12</f>
        <v>-1.8050999999999999</v>
      </c>
      <c r="I9" s="144"/>
      <c r="J9" s="131">
        <f>+'Unit Cost Models'!N14</f>
        <v>-1.1288</v>
      </c>
      <c r="K9" s="131">
        <f>-1.365+-0.48</f>
        <v>-1.845</v>
      </c>
      <c r="L9" s="132">
        <f>+'Unit Cost Models'!N16</f>
        <v>6.7507000000000001</v>
      </c>
      <c r="M9" s="130">
        <f>+'Unit Cost Models'!N18</f>
        <v>5.8051000000000004</v>
      </c>
      <c r="N9" s="132">
        <f>+'Unit Cost Models'!N26</f>
        <v>6.1600000000000002E-2</v>
      </c>
      <c r="O9" s="139">
        <v>1</v>
      </c>
      <c r="P9" s="139">
        <v>15</v>
      </c>
      <c r="Q9" s="132">
        <f>+'Unit Cost Models'!N27</f>
        <v>6.6500000000000004E-2</v>
      </c>
      <c r="R9" s="139">
        <v>4</v>
      </c>
      <c r="S9" s="139">
        <v>55</v>
      </c>
      <c r="T9" s="132">
        <f>+'Unit Cost Models'!N28</f>
        <v>9.35E-2</v>
      </c>
      <c r="U9" s="145"/>
      <c r="V9" s="146"/>
      <c r="W9" s="146"/>
      <c r="X9" s="103"/>
    </row>
    <row r="10" spans="2:24">
      <c r="B10" s="120" t="s">
        <v>80</v>
      </c>
      <c r="C10" s="121" t="s">
        <v>82</v>
      </c>
      <c r="D10" s="129">
        <f>+'Unit Cost Models'!T37</f>
        <v>5.0279999999999996</v>
      </c>
      <c r="E10" s="130">
        <f>+'Unit Cost Models'!R30</f>
        <v>0.22669576292256455</v>
      </c>
      <c r="F10" s="131">
        <f>+'Unit Cost Models'!R40</f>
        <v>0.94713628548481477</v>
      </c>
      <c r="G10" s="144"/>
      <c r="H10" s="129">
        <f>+'Unit Cost Models'!N36</f>
        <v>-2.7940999999999998</v>
      </c>
      <c r="I10" s="144"/>
      <c r="J10" s="151"/>
      <c r="K10" s="131">
        <f>-0.576</f>
        <v>-0.57599999999999996</v>
      </c>
      <c r="L10" s="152"/>
      <c r="M10" s="130">
        <f>+'Unit Cost Models'!N38</f>
        <v>4.0461</v>
      </c>
      <c r="N10" s="152"/>
      <c r="O10" s="153"/>
      <c r="P10" s="153"/>
      <c r="Q10" s="132">
        <f>+'Unit Cost Models'!N44</f>
        <v>0.14729999999999999</v>
      </c>
      <c r="R10" s="139">
        <v>5</v>
      </c>
      <c r="S10" s="139">
        <v>26</v>
      </c>
      <c r="T10" s="152"/>
      <c r="U10" s="145"/>
      <c r="V10" s="146"/>
      <c r="W10" s="146"/>
      <c r="X10" s="103"/>
    </row>
    <row r="11" spans="2:24">
      <c r="B11" s="120" t="s">
        <v>80</v>
      </c>
      <c r="C11" s="121" t="s">
        <v>83</v>
      </c>
      <c r="D11" s="129">
        <f>+'Unit Cost Models'!T53</f>
        <v>7.31541</v>
      </c>
      <c r="E11" s="130">
        <f>+'Unit Cost Models'!R46</f>
        <v>-0.65479011267261533</v>
      </c>
      <c r="F11" s="131">
        <f>+'Unit Cost Models'!R56</f>
        <v>1.2575680480638753</v>
      </c>
      <c r="G11" s="144"/>
      <c r="H11" s="129">
        <f>+'Unit Cost Models'!N52</f>
        <v>-1.7193799999999999</v>
      </c>
      <c r="I11" s="144"/>
      <c r="J11" s="131">
        <f>+'Unit Cost Models'!N54</f>
        <v>-0.61270999999999998</v>
      </c>
      <c r="K11" s="131">
        <f>-0.299+-0.001</f>
        <v>-0.3</v>
      </c>
      <c r="L11" s="152"/>
      <c r="M11" s="144"/>
      <c r="N11" s="152"/>
      <c r="O11" s="153"/>
      <c r="P11" s="153"/>
      <c r="Q11" s="132">
        <f>+'Unit Cost Models'!N60</f>
        <v>-2.6200000000000001E-2</v>
      </c>
      <c r="R11" s="139">
        <v>9</v>
      </c>
      <c r="S11" s="139">
        <v>23</v>
      </c>
      <c r="T11" s="152"/>
      <c r="U11" s="145"/>
      <c r="V11" s="146"/>
      <c r="W11" s="146"/>
      <c r="X11" s="103"/>
    </row>
    <row r="12" spans="2:24">
      <c r="B12" s="120" t="s">
        <v>80</v>
      </c>
      <c r="C12" s="121" t="s">
        <v>84</v>
      </c>
      <c r="D12" s="129">
        <f>+'Unit Cost Models'!T69</f>
        <v>4.92</v>
      </c>
      <c r="E12" s="130">
        <f>+'Unit Cost Models'!R62</f>
        <v>0.40973260011515322</v>
      </c>
      <c r="F12" s="151"/>
      <c r="G12" s="144"/>
      <c r="H12" s="129">
        <f>+'Unit Cost Models'!N67</f>
        <v>-2.0082</v>
      </c>
      <c r="I12" s="144"/>
      <c r="J12" s="131">
        <f>+'Unit Cost Models'!N69</f>
        <v>-0.86070000000000002</v>
      </c>
      <c r="K12" s="131">
        <f>-0.119+0</f>
        <v>-0.11899999999999999</v>
      </c>
      <c r="L12" s="152"/>
      <c r="M12" s="144"/>
      <c r="N12" s="132">
        <f>+'Unit Cost Models'!N71</f>
        <v>7.6799999999999993E-2</v>
      </c>
      <c r="O12" s="139">
        <v>2</v>
      </c>
      <c r="P12" s="139">
        <v>25</v>
      </c>
      <c r="Q12" s="132">
        <f>+'Unit Cost Models'!N72</f>
        <v>0.20599999999999999</v>
      </c>
      <c r="R12" s="139">
        <v>5</v>
      </c>
      <c r="S12" s="139">
        <v>15</v>
      </c>
      <c r="T12" s="152"/>
      <c r="U12" s="145"/>
      <c r="V12" s="146"/>
      <c r="W12" s="146"/>
      <c r="X12" s="103"/>
    </row>
    <row r="13" spans="2:24">
      <c r="B13" s="117" t="s">
        <v>85</v>
      </c>
      <c r="C13" s="123" t="s">
        <v>81</v>
      </c>
      <c r="D13" s="133">
        <v>2.1320000000000001</v>
      </c>
      <c r="E13" s="134">
        <v>0.23699999999999999</v>
      </c>
      <c r="F13" s="135">
        <v>0.59899999999999998</v>
      </c>
      <c r="G13" s="147"/>
      <c r="H13" s="133">
        <v>-1.69</v>
      </c>
      <c r="I13" s="134">
        <v>-1.1599999999999999</v>
      </c>
      <c r="J13" s="149"/>
      <c r="K13" s="135">
        <f>-1.551+-0.912</f>
        <v>-2.4630000000000001</v>
      </c>
      <c r="L13" s="126">
        <v>0.46179999999999999</v>
      </c>
      <c r="M13" s="147"/>
      <c r="N13" s="126">
        <v>0.19869999999999999</v>
      </c>
      <c r="O13" s="126">
        <v>0.6</v>
      </c>
      <c r="P13" s="140">
        <v>15</v>
      </c>
      <c r="Q13" s="157">
        <v>0</v>
      </c>
      <c r="R13" s="140">
        <v>3</v>
      </c>
      <c r="S13" s="140">
        <v>150</v>
      </c>
      <c r="T13" s="150"/>
      <c r="U13" s="124">
        <v>9.1999999999999998E-3</v>
      </c>
      <c r="V13" s="125">
        <v>-8.8000000000000005E-3</v>
      </c>
      <c r="W13" s="162"/>
      <c r="X13" s="103"/>
    </row>
    <row r="14" spans="2:24">
      <c r="B14" s="120" t="s">
        <v>85</v>
      </c>
      <c r="C14" s="121" t="s">
        <v>82</v>
      </c>
      <c r="D14" s="129">
        <v>3.984</v>
      </c>
      <c r="E14" s="130">
        <v>0.38800000000000001</v>
      </c>
      <c r="F14" s="131">
        <v>0.98799999999999999</v>
      </c>
      <c r="G14" s="144"/>
      <c r="H14" s="129">
        <v>-2.3199999999999998</v>
      </c>
      <c r="I14" s="130">
        <v>-1.85</v>
      </c>
      <c r="J14" s="151"/>
      <c r="K14" s="131">
        <f>-0.787+-0.22</f>
        <v>-1.0070000000000001</v>
      </c>
      <c r="L14" s="152"/>
      <c r="M14" s="144"/>
      <c r="N14" s="115">
        <v>0.5907</v>
      </c>
      <c r="O14" s="115">
        <v>0.75</v>
      </c>
      <c r="P14" s="139">
        <v>8</v>
      </c>
      <c r="Q14" s="115">
        <v>1.04E-2</v>
      </c>
      <c r="R14" s="139">
        <v>12</v>
      </c>
      <c r="S14" s="139">
        <v>150</v>
      </c>
      <c r="T14" s="152"/>
      <c r="U14" s="158"/>
      <c r="V14" s="159"/>
      <c r="W14" s="146"/>
      <c r="X14" s="103"/>
    </row>
    <row r="15" spans="2:24">
      <c r="B15" s="120" t="s">
        <v>85</v>
      </c>
      <c r="C15" s="121" t="s">
        <v>83</v>
      </c>
      <c r="D15" s="129">
        <v>2.4649999999999999</v>
      </c>
      <c r="E15" s="130">
        <v>0.30099999999999999</v>
      </c>
      <c r="F15" s="131">
        <v>0.42399999999999999</v>
      </c>
      <c r="G15" s="144"/>
      <c r="H15" s="129">
        <v>-2.5</v>
      </c>
      <c r="I15" s="130">
        <v>-1.46</v>
      </c>
      <c r="J15" s="151"/>
      <c r="K15" s="131">
        <f>-0.723+-0.018</f>
        <v>-0.74099999999999999</v>
      </c>
      <c r="L15" s="152"/>
      <c r="M15" s="144"/>
      <c r="N15" s="115">
        <v>0.96650000000000003</v>
      </c>
      <c r="O15" s="115">
        <v>0.75</v>
      </c>
      <c r="P15" s="139">
        <v>15</v>
      </c>
      <c r="Q15" s="115">
        <v>9.2999999999999992E-3</v>
      </c>
      <c r="R15" s="139">
        <v>3</v>
      </c>
      <c r="S15" s="139">
        <v>150</v>
      </c>
      <c r="T15" s="152"/>
      <c r="U15" s="158"/>
      <c r="V15" s="159"/>
      <c r="W15" s="114">
        <v>-1.2746999999999999</v>
      </c>
      <c r="X15" s="103"/>
    </row>
    <row r="16" spans="2:24">
      <c r="B16" s="118" t="s">
        <v>85</v>
      </c>
      <c r="C16" s="122" t="s">
        <v>84</v>
      </c>
      <c r="D16" s="136">
        <v>3.7429999999999999</v>
      </c>
      <c r="E16" s="137">
        <v>0.25</v>
      </c>
      <c r="F16" s="154"/>
      <c r="G16" s="148"/>
      <c r="H16" s="136">
        <v>-2.56</v>
      </c>
      <c r="I16" s="148"/>
      <c r="J16" s="154"/>
      <c r="K16" s="138">
        <f>-2.454</f>
        <v>-2.4540000000000002</v>
      </c>
      <c r="L16" s="155"/>
      <c r="M16" s="148"/>
      <c r="N16" s="116">
        <v>0.25744499999999998</v>
      </c>
      <c r="O16" s="116">
        <v>1.095</v>
      </c>
      <c r="P16" s="141">
        <v>5</v>
      </c>
      <c r="Q16" s="244">
        <v>-4.9910000000000004E-4</v>
      </c>
      <c r="R16" s="142">
        <v>3</v>
      </c>
      <c r="S16" s="142">
        <v>150</v>
      </c>
      <c r="T16" s="155"/>
      <c r="U16" s="160"/>
      <c r="V16" s="161"/>
      <c r="W16" s="161"/>
      <c r="X16" s="103"/>
    </row>
    <row r="17" spans="2:27" hidden="1">
      <c r="B17" s="184" t="s">
        <v>86</v>
      </c>
      <c r="C17" s="185" t="s">
        <v>81</v>
      </c>
      <c r="D17" s="186">
        <v>1.9810000000000001</v>
      </c>
      <c r="E17" s="187">
        <v>1.2609999999999999</v>
      </c>
      <c r="F17" s="188">
        <v>4.3040000000000003</v>
      </c>
      <c r="G17" s="187"/>
      <c r="H17" s="186"/>
      <c r="I17" s="187"/>
      <c r="J17" s="188"/>
      <c r="K17" s="188"/>
      <c r="L17" s="189"/>
      <c r="M17" s="187"/>
      <c r="N17" s="189"/>
      <c r="O17" s="190"/>
      <c r="P17" s="190"/>
      <c r="Q17" s="190">
        <v>2.04</v>
      </c>
      <c r="R17" s="191">
        <v>1.1000000000000001</v>
      </c>
      <c r="S17" s="192">
        <v>13</v>
      </c>
      <c r="T17" s="189"/>
      <c r="U17" s="193"/>
      <c r="V17" s="194"/>
      <c r="W17" s="194"/>
      <c r="X17" s="103"/>
      <c r="Y17" s="103"/>
      <c r="Z17" s="103"/>
      <c r="AA17" s="103"/>
    </row>
    <row r="18" spans="2:27" hidden="1">
      <c r="B18" s="195" t="s">
        <v>86</v>
      </c>
      <c r="C18" s="196" t="s">
        <v>82</v>
      </c>
      <c r="D18" s="197">
        <v>16.594000000000001</v>
      </c>
      <c r="E18" s="198">
        <v>1.4850000000000001</v>
      </c>
      <c r="F18" s="199">
        <v>1.3260000000000001</v>
      </c>
      <c r="G18" s="198"/>
      <c r="H18" s="197"/>
      <c r="I18" s="198"/>
      <c r="J18" s="199"/>
      <c r="K18" s="199"/>
      <c r="L18" s="200"/>
      <c r="M18" s="198"/>
      <c r="N18" s="200"/>
      <c r="O18" s="201"/>
      <c r="P18" s="201"/>
      <c r="Q18" s="201">
        <v>1.41</v>
      </c>
      <c r="R18" s="202">
        <v>0.9</v>
      </c>
      <c r="S18" s="203">
        <v>24</v>
      </c>
      <c r="T18" s="200"/>
      <c r="U18" s="204"/>
      <c r="V18" s="205"/>
      <c r="W18" s="205"/>
      <c r="X18" s="103"/>
      <c r="Y18" s="103"/>
      <c r="Z18" s="103"/>
      <c r="AA18" s="103"/>
    </row>
    <row r="19" spans="2:27" hidden="1">
      <c r="B19" s="195" t="s">
        <v>86</v>
      </c>
      <c r="C19" s="196" t="s">
        <v>83</v>
      </c>
      <c r="D19" s="197">
        <v>2.3370000000000002</v>
      </c>
      <c r="E19" s="198">
        <v>2.536</v>
      </c>
      <c r="F19" s="199">
        <v>1.726</v>
      </c>
      <c r="G19" s="198"/>
      <c r="H19" s="197"/>
      <c r="I19" s="198"/>
      <c r="J19" s="199"/>
      <c r="K19" s="199"/>
      <c r="L19" s="200"/>
      <c r="M19" s="198"/>
      <c r="N19" s="200"/>
      <c r="O19" s="201"/>
      <c r="P19" s="201"/>
      <c r="Q19" s="201">
        <v>2.2999999999999998</v>
      </c>
      <c r="R19" s="202">
        <v>1</v>
      </c>
      <c r="S19" s="203">
        <v>10</v>
      </c>
      <c r="T19" s="200"/>
      <c r="U19" s="204"/>
      <c r="V19" s="205"/>
      <c r="W19" s="205"/>
      <c r="X19" s="103"/>
      <c r="Y19" s="103"/>
      <c r="Z19" s="103"/>
      <c r="AA19" s="103"/>
    </row>
    <row r="20" spans="2:27" hidden="1">
      <c r="B20" s="206" t="s">
        <v>86</v>
      </c>
      <c r="C20" s="207" t="s">
        <v>84</v>
      </c>
      <c r="D20" s="208">
        <v>1.863</v>
      </c>
      <c r="E20" s="209">
        <v>1.631</v>
      </c>
      <c r="F20" s="210">
        <v>0.68899999999999995</v>
      </c>
      <c r="G20" s="209"/>
      <c r="H20" s="208"/>
      <c r="I20" s="209"/>
      <c r="J20" s="210"/>
      <c r="K20" s="210"/>
      <c r="L20" s="211"/>
      <c r="M20" s="209"/>
      <c r="N20" s="211"/>
      <c r="O20" s="212"/>
      <c r="P20" s="212"/>
      <c r="Q20" s="212">
        <v>2.97</v>
      </c>
      <c r="R20" s="213">
        <v>1.2</v>
      </c>
      <c r="S20" s="214">
        <v>4</v>
      </c>
      <c r="T20" s="211"/>
      <c r="U20" s="215"/>
      <c r="V20" s="216"/>
      <c r="W20" s="216"/>
      <c r="X20" s="103"/>
      <c r="Y20" s="103"/>
      <c r="Z20" s="103"/>
      <c r="AA20" s="103"/>
    </row>
    <row r="21" spans="2:27" hidden="1">
      <c r="B21" s="217" t="s">
        <v>87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2:27"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</sheetData>
  <mergeCells count="5">
    <mergeCell ref="D7:F7"/>
    <mergeCell ref="B8:C8"/>
    <mergeCell ref="R7:S7"/>
    <mergeCell ref="O7:P7"/>
    <mergeCell ref="H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291"/>
  <sheetViews>
    <sheetView workbookViewId="0">
      <pane xSplit="1" ySplit="7" topLeftCell="B8" activePane="bottomRight" state="frozen"/>
      <selection pane="bottomRight" activeCell="B8" sqref="B8"/>
      <selection pane="bottomLeft" activeCell="A8" sqref="A8"/>
      <selection pane="topRight" activeCell="B1" sqref="B1"/>
    </sheetView>
  </sheetViews>
  <sheetFormatPr defaultRowHeight="15"/>
  <cols>
    <col min="1" max="1" width="21.5703125" customWidth="1"/>
    <col min="2" max="2" width="13.28515625" bestFit="1" customWidth="1"/>
    <col min="3" max="3" width="16.42578125" customWidth="1"/>
    <col min="6" max="6" width="11.5703125" customWidth="1"/>
    <col min="12" max="12" width="12.42578125" customWidth="1"/>
    <col min="14" max="14" width="13.28515625" bestFit="1" customWidth="1"/>
    <col min="17" max="17" width="11.28515625" bestFit="1" customWidth="1"/>
    <col min="20" max="20" width="18.42578125" customWidth="1"/>
    <col min="21" max="21" width="17.7109375" customWidth="1"/>
    <col min="23" max="23" width="14.5703125" customWidth="1"/>
    <col min="24" max="24" width="10.140625" customWidth="1"/>
    <col min="68" max="68" width="10.140625" customWidth="1"/>
    <col min="71" max="71" width="27.28515625" bestFit="1" customWidth="1"/>
    <col min="73" max="77" width="10.85546875" customWidth="1"/>
    <col min="79" max="79" width="27.28515625" hidden="1" customWidth="1"/>
    <col min="80" max="86" width="0" hidden="1" customWidth="1"/>
    <col min="87" max="87" width="27.28515625" hidden="1" customWidth="1"/>
    <col min="88" max="93" width="0" hidden="1" customWidth="1"/>
  </cols>
  <sheetData>
    <row r="1" spans="1:94">
      <c r="A1" s="105" t="s">
        <v>88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</row>
    <row r="2" spans="1:94">
      <c r="A2" s="103" t="s">
        <v>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5" t="s">
        <v>90</v>
      </c>
      <c r="BT2" s="103"/>
      <c r="BU2" s="103"/>
      <c r="BV2" s="103"/>
      <c r="BW2" s="103"/>
      <c r="BX2" s="103"/>
      <c r="BY2" s="103"/>
      <c r="BZ2" s="103"/>
      <c r="CA2" s="103"/>
      <c r="CB2" s="103">
        <f>COUNTIF(CB8:CB290,"&gt;0")</f>
        <v>122</v>
      </c>
      <c r="CC2" s="103"/>
      <c r="CD2" s="103"/>
      <c r="CE2" s="103"/>
      <c r="CF2" s="103"/>
      <c r="CG2" s="103"/>
      <c r="CH2" s="103"/>
      <c r="CI2" s="103"/>
      <c r="CJ2" s="103">
        <f>COUNTIF(CJ8:CJ290,"&gt;0")</f>
        <v>137</v>
      </c>
      <c r="CK2" s="103"/>
      <c r="CL2" s="103"/>
      <c r="CM2" s="103"/>
      <c r="CN2" s="103"/>
      <c r="CO2" s="103"/>
      <c r="CP2" s="103"/>
    </row>
    <row r="3" spans="1:94">
      <c r="A3" s="103" t="s">
        <v>91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250" t="s">
        <v>92</v>
      </c>
      <c r="BX3" s="250" t="s">
        <v>93</v>
      </c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</row>
    <row r="4" spans="1:94">
      <c r="A4" s="103" t="s">
        <v>94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5" t="s">
        <v>95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43" t="s">
        <v>96</v>
      </c>
      <c r="BW4" s="250" t="s">
        <v>97</v>
      </c>
      <c r="BX4" s="250">
        <v>4.09</v>
      </c>
      <c r="BY4" s="103"/>
      <c r="BZ4" s="103"/>
      <c r="CA4" s="105" t="s">
        <v>98</v>
      </c>
      <c r="CB4" s="103"/>
      <c r="CC4" s="103"/>
      <c r="CD4" s="103"/>
      <c r="CE4" s="103"/>
      <c r="CF4" s="103"/>
      <c r="CG4" s="103"/>
      <c r="CH4" s="103"/>
      <c r="CI4" s="105" t="s">
        <v>99</v>
      </c>
      <c r="CJ4" s="103"/>
      <c r="CK4" s="103"/>
      <c r="CL4" s="103"/>
      <c r="CM4" s="103"/>
      <c r="CN4" s="103"/>
      <c r="CO4" s="103"/>
      <c r="CP4" s="103"/>
    </row>
    <row r="5" spans="1:94">
      <c r="A5" s="103" t="s">
        <v>100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 t="s">
        <v>101</v>
      </c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 t="s">
        <v>102</v>
      </c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43" t="s">
        <v>103</v>
      </c>
      <c r="BW5" s="250" t="s">
        <v>104</v>
      </c>
      <c r="BX5" s="250">
        <v>3.47</v>
      </c>
      <c r="BY5" s="128"/>
      <c r="BZ5" s="103"/>
      <c r="CA5" s="103"/>
      <c r="CB5" s="103"/>
      <c r="CC5" s="103"/>
      <c r="CD5" s="103" t="s">
        <v>105</v>
      </c>
      <c r="CE5" s="103"/>
      <c r="CF5" s="106"/>
      <c r="CG5" s="128"/>
      <c r="CH5" s="103"/>
      <c r="CI5" s="103"/>
      <c r="CJ5" s="103"/>
      <c r="CK5" s="103"/>
      <c r="CL5" s="103"/>
      <c r="CM5" s="103"/>
      <c r="CN5" s="106"/>
      <c r="CO5" s="128"/>
      <c r="CP5" s="103"/>
    </row>
    <row r="6" spans="1:94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9" t="s">
        <v>106</v>
      </c>
      <c r="X6" s="109" t="s">
        <v>62</v>
      </c>
      <c r="Y6" s="103"/>
      <c r="Z6" s="258" t="s">
        <v>56</v>
      </c>
      <c r="AA6" s="258"/>
      <c r="AB6" s="258"/>
      <c r="AC6" s="258" t="s">
        <v>51</v>
      </c>
      <c r="AD6" s="258"/>
      <c r="AE6" s="258"/>
      <c r="AF6" s="258"/>
      <c r="AG6" s="258"/>
      <c r="AH6" s="258"/>
      <c r="AI6" s="258"/>
      <c r="AJ6" s="258"/>
      <c r="AK6" s="258"/>
      <c r="AL6" s="103"/>
      <c r="AM6" s="259" t="s">
        <v>107</v>
      </c>
      <c r="AN6" s="259"/>
      <c r="AO6" s="259"/>
      <c r="AP6" s="259"/>
      <c r="AQ6" s="259"/>
      <c r="AR6" s="103"/>
      <c r="AS6" s="103"/>
      <c r="AT6" s="253" t="s">
        <v>56</v>
      </c>
      <c r="AU6" s="254"/>
      <c r="AV6" s="255"/>
      <c r="AW6" s="222"/>
      <c r="AX6" s="253" t="s">
        <v>57</v>
      </c>
      <c r="AY6" s="254"/>
      <c r="AZ6" s="254"/>
      <c r="BA6" s="255"/>
      <c r="BB6" s="167"/>
      <c r="BC6" s="224"/>
      <c r="BD6" s="247" t="s">
        <v>58</v>
      </c>
      <c r="BE6" s="254" t="s">
        <v>59</v>
      </c>
      <c r="BF6" s="255"/>
      <c r="BG6" s="168"/>
      <c r="BH6" s="254" t="s">
        <v>60</v>
      </c>
      <c r="BI6" s="255"/>
      <c r="BJ6" s="226" t="s">
        <v>61</v>
      </c>
      <c r="BK6" s="169" t="s">
        <v>61</v>
      </c>
      <c r="BL6" s="169" t="s">
        <v>61</v>
      </c>
      <c r="BM6" s="247" t="s">
        <v>61</v>
      </c>
      <c r="BN6" s="228" t="s">
        <v>108</v>
      </c>
      <c r="BO6" s="103"/>
      <c r="BP6" s="172" t="s">
        <v>109</v>
      </c>
      <c r="BQ6" s="103"/>
      <c r="BR6" s="103"/>
      <c r="BS6" s="103"/>
      <c r="BT6" s="103" t="s">
        <v>85</v>
      </c>
      <c r="BU6" s="259" t="s">
        <v>110</v>
      </c>
      <c r="BV6" s="259"/>
      <c r="BW6" s="259"/>
      <c r="BX6" s="259"/>
      <c r="BY6" s="259"/>
      <c r="BZ6" s="103"/>
      <c r="CA6" s="103"/>
      <c r="CB6" s="103" t="s">
        <v>85</v>
      </c>
      <c r="CC6" s="103"/>
      <c r="CD6" s="103" t="s">
        <v>111</v>
      </c>
      <c r="CE6" s="103"/>
      <c r="CF6" s="103"/>
      <c r="CG6" s="103"/>
      <c r="CH6" s="103"/>
      <c r="CI6" s="103"/>
      <c r="CJ6" s="103" t="s">
        <v>85</v>
      </c>
      <c r="CK6" s="103"/>
      <c r="CL6" s="103" t="s">
        <v>111</v>
      </c>
      <c r="CM6" s="103"/>
      <c r="CN6" s="103"/>
      <c r="CO6" s="103"/>
      <c r="CP6" s="103"/>
    </row>
    <row r="7" spans="1:94" ht="15.75" thickBot="1">
      <c r="A7" s="104" t="s">
        <v>112</v>
      </c>
      <c r="B7" s="104" t="s">
        <v>113</v>
      </c>
      <c r="C7" s="104" t="s">
        <v>114</v>
      </c>
      <c r="D7" s="181" t="s">
        <v>115</v>
      </c>
      <c r="E7" s="181" t="s">
        <v>116</v>
      </c>
      <c r="F7" s="181" t="s">
        <v>117</v>
      </c>
      <c r="G7" s="181" t="s">
        <v>118</v>
      </c>
      <c r="H7" s="181" t="s">
        <v>119</v>
      </c>
      <c r="I7" s="181" t="s">
        <v>120</v>
      </c>
      <c r="J7" s="181" t="s">
        <v>121</v>
      </c>
      <c r="K7" s="181" t="s">
        <v>122</v>
      </c>
      <c r="L7" s="181" t="s">
        <v>123</v>
      </c>
      <c r="M7" s="181" t="s">
        <v>124</v>
      </c>
      <c r="N7" s="181" t="s">
        <v>125</v>
      </c>
      <c r="O7" s="181" t="s">
        <v>126</v>
      </c>
      <c r="P7" s="181" t="s">
        <v>127</v>
      </c>
      <c r="Q7" s="181" t="s">
        <v>128</v>
      </c>
      <c r="R7" s="181" t="s">
        <v>129</v>
      </c>
      <c r="S7" s="181" t="s">
        <v>130</v>
      </c>
      <c r="T7" s="181" t="s">
        <v>131</v>
      </c>
      <c r="U7" s="104" t="s">
        <v>132</v>
      </c>
      <c r="V7" s="103"/>
      <c r="W7" s="110" t="s">
        <v>62</v>
      </c>
      <c r="X7" s="110" t="s">
        <v>133</v>
      </c>
      <c r="Y7" s="103"/>
      <c r="Z7" s="175" t="s">
        <v>63</v>
      </c>
      <c r="AA7" s="175" t="s">
        <v>64</v>
      </c>
      <c r="AB7" s="175" t="s">
        <v>65</v>
      </c>
      <c r="AC7" s="175" t="s">
        <v>134</v>
      </c>
      <c r="AD7" s="175" t="s">
        <v>135</v>
      </c>
      <c r="AE7" s="175" t="s">
        <v>136</v>
      </c>
      <c r="AF7" s="175" t="s">
        <v>137</v>
      </c>
      <c r="AG7" s="175" t="s">
        <v>71</v>
      </c>
      <c r="AH7" s="175" t="s">
        <v>72</v>
      </c>
      <c r="AI7" s="175" t="s">
        <v>138</v>
      </c>
      <c r="AJ7" s="175" t="s">
        <v>61</v>
      </c>
      <c r="AK7" s="175" t="s">
        <v>139</v>
      </c>
      <c r="AL7" s="103"/>
      <c r="AM7" s="173" t="s">
        <v>140</v>
      </c>
      <c r="AN7" s="173" t="s">
        <v>141</v>
      </c>
      <c r="AO7" s="173" t="s">
        <v>142</v>
      </c>
      <c r="AP7" s="173" t="s">
        <v>143</v>
      </c>
      <c r="AQ7" s="173" t="s">
        <v>144</v>
      </c>
      <c r="AR7" s="103"/>
      <c r="AS7" s="103"/>
      <c r="AT7" s="218" t="s">
        <v>63</v>
      </c>
      <c r="AU7" s="219" t="s">
        <v>64</v>
      </c>
      <c r="AV7" s="220" t="s">
        <v>65</v>
      </c>
      <c r="AW7" s="223" t="s">
        <v>66</v>
      </c>
      <c r="AX7" s="218" t="s">
        <v>67</v>
      </c>
      <c r="AY7" s="219" t="s">
        <v>68</v>
      </c>
      <c r="AZ7" s="227" t="s">
        <v>69</v>
      </c>
      <c r="BA7" s="220" t="s">
        <v>70</v>
      </c>
      <c r="BB7" s="221" t="s">
        <v>71</v>
      </c>
      <c r="BC7" s="225" t="s">
        <v>72</v>
      </c>
      <c r="BD7" s="218" t="s">
        <v>73</v>
      </c>
      <c r="BE7" s="219" t="s">
        <v>74</v>
      </c>
      <c r="BF7" s="220" t="s">
        <v>75</v>
      </c>
      <c r="BG7" s="219" t="s">
        <v>61</v>
      </c>
      <c r="BH7" s="219" t="s">
        <v>74</v>
      </c>
      <c r="BI7" s="220" t="s">
        <v>75</v>
      </c>
      <c r="BJ7" s="227" t="s">
        <v>76</v>
      </c>
      <c r="BK7" s="221" t="s">
        <v>77</v>
      </c>
      <c r="BL7" s="221" t="s">
        <v>78</v>
      </c>
      <c r="BM7" s="218" t="s">
        <v>79</v>
      </c>
      <c r="BN7" s="229" t="s">
        <v>145</v>
      </c>
      <c r="BO7" s="103"/>
      <c r="BP7" s="172" t="s">
        <v>146</v>
      </c>
      <c r="BQ7" s="103"/>
      <c r="BR7" s="103"/>
      <c r="BS7" s="103" t="s">
        <v>147</v>
      </c>
      <c r="BT7" s="103" t="s">
        <v>61</v>
      </c>
      <c r="BU7" s="173" t="s">
        <v>140</v>
      </c>
      <c r="BV7" s="173" t="s">
        <v>141</v>
      </c>
      <c r="BW7" s="173" t="s">
        <v>142</v>
      </c>
      <c r="BX7" s="173" t="s">
        <v>143</v>
      </c>
      <c r="BY7" s="173" t="s">
        <v>144</v>
      </c>
      <c r="BZ7" s="103"/>
      <c r="CA7" s="103" t="s">
        <v>148</v>
      </c>
      <c r="CB7" s="103" t="s">
        <v>61</v>
      </c>
      <c r="CC7" s="110" t="s">
        <v>70</v>
      </c>
      <c r="CD7" s="110" t="s">
        <v>141</v>
      </c>
      <c r="CE7" s="110" t="s">
        <v>142</v>
      </c>
      <c r="CF7" s="110" t="s">
        <v>143</v>
      </c>
      <c r="CG7" s="110" t="s">
        <v>149</v>
      </c>
      <c r="CH7" s="103"/>
      <c r="CI7" s="103" t="s">
        <v>148</v>
      </c>
      <c r="CJ7" s="103" t="s">
        <v>61</v>
      </c>
      <c r="CK7" s="110" t="s">
        <v>70</v>
      </c>
      <c r="CL7" s="110" t="s">
        <v>141</v>
      </c>
      <c r="CM7" s="110" t="s">
        <v>142</v>
      </c>
      <c r="CN7" s="110" t="s">
        <v>143</v>
      </c>
      <c r="CO7" s="110" t="s">
        <v>149</v>
      </c>
      <c r="CP7" s="103"/>
    </row>
    <row r="8" spans="1:94">
      <c r="A8" s="103" t="s">
        <v>150</v>
      </c>
      <c r="B8" s="103" t="s">
        <v>151</v>
      </c>
      <c r="C8" s="103" t="s">
        <v>152</v>
      </c>
      <c r="D8" s="250" t="s">
        <v>153</v>
      </c>
      <c r="E8" s="250"/>
      <c r="F8" s="250"/>
      <c r="G8" s="250"/>
      <c r="H8" s="250"/>
      <c r="I8" s="250"/>
      <c r="J8" s="250"/>
      <c r="K8" s="250"/>
      <c r="L8" s="250" t="s">
        <v>154</v>
      </c>
      <c r="M8" s="250">
        <v>2.48</v>
      </c>
      <c r="N8" s="250"/>
      <c r="O8" s="250"/>
      <c r="P8" s="250" t="s">
        <v>153</v>
      </c>
      <c r="Q8" s="250"/>
      <c r="R8" s="250"/>
      <c r="S8" s="250"/>
      <c r="T8" s="250" t="s">
        <v>155</v>
      </c>
      <c r="U8" s="103" t="s">
        <v>156</v>
      </c>
      <c r="V8" s="106" t="s">
        <v>157</v>
      </c>
      <c r="W8" s="103" t="s">
        <v>158</v>
      </c>
      <c r="X8" s="103">
        <f>IFERROR(MATCH(W8,'CostModel Coef'!$C$9:$C$12,0),0)</f>
        <v>0</v>
      </c>
      <c r="Y8" s="103"/>
      <c r="Z8" s="103" t="str">
        <f>IF($X8&gt;0,INDEX('CostModel Coef'!D$9:D$12,$X8),"")</f>
        <v/>
      </c>
      <c r="AA8" s="103" t="str">
        <f>IF($X8&gt;0,INDEX('CostModel Coef'!E$9:E$12,$X8),"")</f>
        <v/>
      </c>
      <c r="AB8" s="103" t="str">
        <f>IF($X8&gt;0,INDEX('CostModel Coef'!F$9:F$12,$X8),"")</f>
        <v/>
      </c>
      <c r="AC8" s="103" t="str">
        <f>IF($X8&gt;0,INDEX('CostModel Coef'!G$9:G$12,$X8),"")</f>
        <v/>
      </c>
      <c r="AD8" s="103" t="str">
        <f>IF($X8&gt;0,INDEX('CostModel Coef'!H$9:H$12,$X8),"")</f>
        <v/>
      </c>
      <c r="AE8" s="103" t="str">
        <f>IF($X8&gt;0,INDEX('CostModel Coef'!J$9:J$12,$X8),"")</f>
        <v/>
      </c>
      <c r="AF8" s="103" t="str">
        <f>IF($X8&gt;0,INDEX('CostModel Coef'!K$9:K$12,$X8),"")</f>
        <v/>
      </c>
      <c r="AG8" s="103" t="str">
        <f>IF($X8&gt;0,INDEX('CostModel Coef'!L$9:L$12,$X8),"")</f>
        <v/>
      </c>
      <c r="AH8" s="103" t="str">
        <f>IF($X8&gt;0,INDEX('CostModel Coef'!M$9:M$12,$X8),"")</f>
        <v/>
      </c>
      <c r="AI8" s="103" t="str">
        <f>IF($X8&gt;0,INDEX('CostModel Coef'!N$9:N$12,$X8),"")</f>
        <v/>
      </c>
      <c r="AJ8" s="103" t="str">
        <f>IF($X8&gt;0,INDEX('CostModel Coef'!Q$9:Q$12,$X8),"")</f>
        <v/>
      </c>
      <c r="AK8" s="103" t="str">
        <f>IF($X8&gt;0,INDEX('CostModel Coef'!T$9:T$12,$X8),"")</f>
        <v/>
      </c>
      <c r="AL8" s="103"/>
      <c r="AM8" s="108" t="str">
        <f>IF($X8&gt;0,SUM(Z8,AA8,AB8,IF(C8="A",AC8,0),IF(Q8="Y",AG8,0),IF(OR(G8="Yes",G8="Cont"),AH8,0),F8/1000*AI8,H8*AJ8,IF(H8&gt;25,(H8-25)*AK8)+AF8),"")</f>
        <v/>
      </c>
      <c r="AN8" s="108" t="str">
        <f>IF($X8&gt;0,SUM(Z8,AA8,AB8,IF(C8="A",AC8,0),IF(Q8="Y",AG8,0),IF(OR(G8="Yes",G8="Cont"),AH8,0),F8/1000*AI8,H8*AJ8,IF(H8&gt;25,(H8-25)*AK8)),"")</f>
        <v/>
      </c>
      <c r="AO8" s="108" t="str">
        <f>IF($X8&gt;0,SUM(Z8,AA8,AB8,IF(C8="A",AC8,0),IF(Q8="Y",AG8,0),IF(OR(G8="Yes",G8="Cont"),AH8,0),F8/1000*AI8,H8*AJ8,IF(H8&gt;25,(H8-25)*AK8)+AD8),"")</f>
        <v/>
      </c>
      <c r="AP8" s="108" t="str">
        <f>IF($X8&gt;0,SUM(Z8,AA8,AB8,IF(C8="A",AC8,0),IF(Q8="Y",AG8,0),IF(OR(G8="Yes",G8="Cont"),AH8,0),F8/1000*AI8,H8*AJ8,IF(H8&gt;25,(H8-25)*AK8)+AD8),"")</f>
        <v/>
      </c>
      <c r="AQ8" s="108" t="str">
        <f>IF($X8&gt;0,SUM(Z8,AA8,AB8,IF(C8="A",AC8,0),IF(Q8="Y",AG8,0),IF(OR(G8="Yes",G8="Cont"),AH8,0),F8/1000*AI8,H8*AJ8,IF(H8&gt;25,(H8-25)*AK8)+AD8+AE8),"")</f>
        <v/>
      </c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19"/>
      <c r="BQ8" s="103"/>
      <c r="BR8" s="103"/>
      <c r="BS8" s="103"/>
      <c r="BT8" s="174">
        <f t="shared" ref="BT8:BT71" si="0">IF(X8=2,ROUND(M8*$BX$4,0),IF(OR(X8=1,X8=3,X8=4),ROUND(M8*$BX$5,0),-1))</f>
        <v>-1</v>
      </c>
      <c r="BU8" s="171"/>
      <c r="BV8" s="103"/>
      <c r="BW8" s="103"/>
      <c r="BX8" s="103"/>
      <c r="BY8" s="103"/>
      <c r="BZ8" s="103"/>
      <c r="CA8" s="103"/>
      <c r="CB8" s="174">
        <f>IF(OR(X8=1,X8=2,X8=3),ROUND(M8*4.07,0),-1)</f>
        <v>-1</v>
      </c>
      <c r="CC8" s="112"/>
      <c r="CD8" s="103"/>
      <c r="CE8" s="103"/>
      <c r="CF8" s="103"/>
      <c r="CG8" s="103"/>
      <c r="CH8" s="103"/>
      <c r="CI8" s="103"/>
      <c r="CJ8" s="174">
        <f>IF(OR(X8=1,X8=3,X8=4),ROUND(M8*3.47,0),-1)</f>
        <v>-1</v>
      </c>
      <c r="CK8" s="112"/>
      <c r="CL8" s="103"/>
      <c r="CM8" s="103"/>
      <c r="CN8" s="103"/>
      <c r="CO8" s="103"/>
      <c r="CP8" s="103"/>
    </row>
    <row r="9" spans="1:94">
      <c r="A9" s="103" t="s">
        <v>159</v>
      </c>
      <c r="B9" s="103" t="s">
        <v>151</v>
      </c>
      <c r="C9" s="103" t="s">
        <v>153</v>
      </c>
      <c r="D9" s="250" t="s">
        <v>153</v>
      </c>
      <c r="E9" s="250"/>
      <c r="F9" s="250"/>
      <c r="G9" s="250"/>
      <c r="H9" s="250"/>
      <c r="I9" s="250"/>
      <c r="J9" s="250"/>
      <c r="K9" s="250"/>
      <c r="L9" s="250" t="s">
        <v>154</v>
      </c>
      <c r="M9" s="250">
        <v>2.84</v>
      </c>
      <c r="N9" s="250"/>
      <c r="O9" s="250"/>
      <c r="P9" s="250" t="s">
        <v>153</v>
      </c>
      <c r="Q9" s="250"/>
      <c r="R9" s="250"/>
      <c r="S9" s="250"/>
      <c r="T9" s="250" t="s">
        <v>155</v>
      </c>
      <c r="U9" s="103" t="s">
        <v>160</v>
      </c>
      <c r="V9" s="106" t="s">
        <v>157</v>
      </c>
      <c r="W9" s="103" t="s">
        <v>158</v>
      </c>
      <c r="X9" s="103">
        <f>IFERROR(MATCH(W9,'CostModel Coef'!$C$9:$C$12,0),0)</f>
        <v>0</v>
      </c>
      <c r="Y9" s="103"/>
      <c r="Z9" s="103" t="str">
        <f>IF($X9&gt;0,INDEX('CostModel Coef'!D$9:D$12,$X9),"")</f>
        <v/>
      </c>
      <c r="AA9" s="103" t="str">
        <f>IF($X9&gt;0,INDEX('CostModel Coef'!E$9:E$12,$X9),"")</f>
        <v/>
      </c>
      <c r="AB9" s="103" t="str">
        <f>IF($X9&gt;0,INDEX('CostModel Coef'!F$9:F$12,$X9),"")</f>
        <v/>
      </c>
      <c r="AC9" s="103" t="str">
        <f>IF($X9&gt;0,INDEX('CostModel Coef'!G$9:G$12,$X9),"")</f>
        <v/>
      </c>
      <c r="AD9" s="103" t="str">
        <f>IF($X9&gt;0,INDEX('CostModel Coef'!H$9:H$12,$X9),"")</f>
        <v/>
      </c>
      <c r="AE9" s="103" t="str">
        <f>IF($X9&gt;0,INDEX('CostModel Coef'!J$9:J$12,$X9),"")</f>
        <v/>
      </c>
      <c r="AF9" s="103" t="str">
        <f>IF($X9&gt;0,INDEX('CostModel Coef'!K$9:K$12,$X9),"")</f>
        <v/>
      </c>
      <c r="AG9" s="103" t="str">
        <f>IF($X9&gt;0,INDEX('CostModel Coef'!L$9:L$12,$X9),"")</f>
        <v/>
      </c>
      <c r="AH9" s="103" t="str">
        <f>IF($X9&gt;0,INDEX('CostModel Coef'!M$9:M$12,$X9),"")</f>
        <v/>
      </c>
      <c r="AI9" s="103" t="str">
        <f>IF($X9&gt;0,INDEX('CostModel Coef'!N$9:N$12,$X9),"")</f>
        <v/>
      </c>
      <c r="AJ9" s="103" t="str">
        <f>IF($X9&gt;0,INDEX('CostModel Coef'!Q$9:Q$12,$X9),"")</f>
        <v/>
      </c>
      <c r="AK9" s="103" t="str">
        <f>IF($X9&gt;0,INDEX('CostModel Coef'!T$9:T$12,$X9),"")</f>
        <v/>
      </c>
      <c r="AL9" s="103"/>
      <c r="AM9" s="108" t="str">
        <f t="shared" ref="AM9:AM72" si="1">IF($X9&gt;0,SUM(Z9,AA9,AB9,IF(C9="A",AC9,0),IF(Q9="Y",AG9,0),IF(OR(G9="Yes",G9="Cont"),AH9,0),F9/1000*AI9,H9*AJ9,IF(H9&gt;25,(H9-25)*AK9)+AF9),"")</f>
        <v/>
      </c>
      <c r="AN9" s="108" t="str">
        <f t="shared" ref="AN9:AN72" si="2">IF($X9&gt;0,SUM(Z9,AA9,AB9,IF(C9="A",AC9,0),IF(Q9="Y",AG9,0),IF(OR(G9="Yes",G9="Cont"),AH9,0),F9/1000*AI9,H9*AJ9,IF(H9&gt;25,(H9-25)*AK9)),"")</f>
        <v/>
      </c>
      <c r="AO9" s="108" t="str">
        <f t="shared" ref="AO9:AO72" si="3">IF($X9&gt;0,SUM(Z9,AA9,AB9,IF(C9="A",AC9,0),IF(Q9="Y",AG9,0),IF(OR(G9="Yes",G9="Cont"),AH9,0),F9/1000*AI9,H9*AJ9,IF(H9&gt;25,(H9-25)*AK9)+AD9),"")</f>
        <v/>
      </c>
      <c r="AP9" s="108" t="str">
        <f t="shared" ref="AP9:AP72" si="4">IF($X9&gt;0,SUM(Z9,AA9,AB9,IF(C9="A",AC9,0),IF(Q9="Y",AG9,0),IF(OR(G9="Yes",G9="Cont"),AH9,0),F9/1000*AI9,H9*AJ9,IF(H9&gt;25,(H9-25)*AK9)+AD9),"")</f>
        <v/>
      </c>
      <c r="AQ9" s="108" t="str">
        <f t="shared" ref="AQ9:AQ72" si="5">IF($X9&gt;0,SUM(Z9,AA9,AB9,IF(C9="A",AC9,0),IF(Q9="Y",AG9,0),IF(OR(G9="Yes",G9="Cont"),AH9,0),F9/1000*AI9,H9*AJ9,IF(H9&gt;25,(H9-25)*AK9)+AD9+AE9),"")</f>
        <v/>
      </c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19"/>
      <c r="BQ9" s="103"/>
      <c r="BR9" s="103"/>
      <c r="BS9" s="103"/>
      <c r="BT9" s="174">
        <f t="shared" si="0"/>
        <v>-1</v>
      </c>
      <c r="BU9" s="171"/>
      <c r="BV9" s="103"/>
      <c r="BW9" s="103"/>
      <c r="BX9" s="103"/>
      <c r="BY9" s="103"/>
      <c r="BZ9" s="103"/>
      <c r="CA9" s="103"/>
      <c r="CB9" s="174">
        <f t="shared" ref="CB9:CB72" si="6">IF(OR(X9=1,X9=2,X9=3),ROUND(M9*4.07,0),-1)</f>
        <v>-1</v>
      </c>
      <c r="CC9" s="112"/>
      <c r="CD9" s="103"/>
      <c r="CE9" s="103"/>
      <c r="CF9" s="103"/>
      <c r="CG9" s="103"/>
      <c r="CH9" s="103"/>
      <c r="CI9" s="103"/>
      <c r="CJ9" s="174">
        <f t="shared" ref="CJ9:CJ72" si="7">IF(OR(X9=1,X9=3,X9=4),ROUND(M9*3.47,0),-1)</f>
        <v>-1</v>
      </c>
      <c r="CK9" s="112"/>
      <c r="CL9" s="103"/>
      <c r="CM9" s="103"/>
      <c r="CN9" s="103"/>
      <c r="CO9" s="103"/>
      <c r="CP9" s="103"/>
    </row>
    <row r="10" spans="1:94">
      <c r="A10" s="103" t="s">
        <v>161</v>
      </c>
      <c r="B10" s="103" t="s">
        <v>151</v>
      </c>
      <c r="C10" s="103" t="s">
        <v>162</v>
      </c>
      <c r="D10" s="250" t="s">
        <v>153</v>
      </c>
      <c r="E10" s="250"/>
      <c r="F10" s="250"/>
      <c r="G10" s="250"/>
      <c r="H10" s="250"/>
      <c r="I10" s="250"/>
      <c r="J10" s="250"/>
      <c r="K10" s="250"/>
      <c r="L10" s="250" t="s">
        <v>154</v>
      </c>
      <c r="M10" s="250">
        <v>2.86</v>
      </c>
      <c r="N10" s="250"/>
      <c r="O10" s="250"/>
      <c r="P10" s="250" t="s">
        <v>153</v>
      </c>
      <c r="Q10" s="250"/>
      <c r="R10" s="250"/>
      <c r="S10" s="250"/>
      <c r="T10" s="250" t="s">
        <v>155</v>
      </c>
      <c r="U10" s="103" t="s">
        <v>163</v>
      </c>
      <c r="V10" s="106" t="s">
        <v>157</v>
      </c>
      <c r="W10" s="103" t="s">
        <v>158</v>
      </c>
      <c r="X10" s="103">
        <f>IFERROR(MATCH(W10,'CostModel Coef'!$C$9:$C$12,0),0)</f>
        <v>0</v>
      </c>
      <c r="Y10" s="103"/>
      <c r="Z10" s="103" t="str">
        <f>IF($X10&gt;0,INDEX('CostModel Coef'!D$9:D$12,$X10),"")</f>
        <v/>
      </c>
      <c r="AA10" s="103" t="str">
        <f>IF($X10&gt;0,INDEX('CostModel Coef'!E$9:E$12,$X10),"")</f>
        <v/>
      </c>
      <c r="AB10" s="103" t="str">
        <f>IF($X10&gt;0,INDEX('CostModel Coef'!F$9:F$12,$X10),"")</f>
        <v/>
      </c>
      <c r="AC10" s="103" t="str">
        <f>IF($X10&gt;0,INDEX('CostModel Coef'!G$9:G$12,$X10),"")</f>
        <v/>
      </c>
      <c r="AD10" s="103" t="str">
        <f>IF($X10&gt;0,INDEX('CostModel Coef'!H$9:H$12,$X10),"")</f>
        <v/>
      </c>
      <c r="AE10" s="103" t="str">
        <f>IF($X10&gt;0,INDEX('CostModel Coef'!J$9:J$12,$X10),"")</f>
        <v/>
      </c>
      <c r="AF10" s="103" t="str">
        <f>IF($X10&gt;0,INDEX('CostModel Coef'!K$9:K$12,$X10),"")</f>
        <v/>
      </c>
      <c r="AG10" s="103" t="str">
        <f>IF($X10&gt;0,INDEX('CostModel Coef'!L$9:L$12,$X10),"")</f>
        <v/>
      </c>
      <c r="AH10" s="103" t="str">
        <f>IF($X10&gt;0,INDEX('CostModel Coef'!M$9:M$12,$X10),"")</f>
        <v/>
      </c>
      <c r="AI10" s="103" t="str">
        <f>IF($X10&gt;0,INDEX('CostModel Coef'!N$9:N$12,$X10),"")</f>
        <v/>
      </c>
      <c r="AJ10" s="103" t="str">
        <f>IF($X10&gt;0,INDEX('CostModel Coef'!Q$9:Q$12,$X10),"")</f>
        <v/>
      </c>
      <c r="AK10" s="103" t="str">
        <f>IF($X10&gt;0,INDEX('CostModel Coef'!T$9:T$12,$X10),"")</f>
        <v/>
      </c>
      <c r="AL10" s="103"/>
      <c r="AM10" s="108" t="str">
        <f t="shared" si="1"/>
        <v/>
      </c>
      <c r="AN10" s="108" t="str">
        <f t="shared" si="2"/>
        <v/>
      </c>
      <c r="AO10" s="108" t="str">
        <f t="shared" si="3"/>
        <v/>
      </c>
      <c r="AP10" s="108" t="str">
        <f t="shared" si="4"/>
        <v/>
      </c>
      <c r="AQ10" s="108" t="str">
        <f t="shared" si="5"/>
        <v/>
      </c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19"/>
      <c r="BQ10" s="103"/>
      <c r="BR10" s="103"/>
      <c r="BS10" s="103"/>
      <c r="BT10" s="174">
        <f t="shared" si="0"/>
        <v>-1</v>
      </c>
      <c r="BU10" s="171"/>
      <c r="BV10" s="103"/>
      <c r="BW10" s="103"/>
      <c r="BX10" s="103"/>
      <c r="BY10" s="103"/>
      <c r="BZ10" s="103"/>
      <c r="CA10" s="103"/>
      <c r="CB10" s="174">
        <f t="shared" si="6"/>
        <v>-1</v>
      </c>
      <c r="CC10" s="112"/>
      <c r="CD10" s="103"/>
      <c r="CE10" s="103"/>
      <c r="CF10" s="103"/>
      <c r="CG10" s="103"/>
      <c r="CH10" s="103"/>
      <c r="CI10" s="103"/>
      <c r="CJ10" s="174">
        <f t="shared" si="7"/>
        <v>-1</v>
      </c>
      <c r="CK10" s="112"/>
      <c r="CL10" s="103"/>
      <c r="CM10" s="103"/>
      <c r="CN10" s="103"/>
      <c r="CO10" s="103"/>
      <c r="CP10" s="103"/>
    </row>
    <row r="11" spans="1:94">
      <c r="A11" s="103" t="s">
        <v>164</v>
      </c>
      <c r="B11" s="103" t="s">
        <v>165</v>
      </c>
      <c r="C11" s="103" t="s">
        <v>152</v>
      </c>
      <c r="D11" s="250" t="s">
        <v>153</v>
      </c>
      <c r="E11" s="250"/>
      <c r="F11" s="250"/>
      <c r="G11" s="250"/>
      <c r="H11" s="250"/>
      <c r="I11" s="250"/>
      <c r="J11" s="250"/>
      <c r="K11" s="250"/>
      <c r="L11" s="250" t="s">
        <v>154</v>
      </c>
      <c r="M11" s="250">
        <v>3.47</v>
      </c>
      <c r="N11" s="250"/>
      <c r="O11" s="250"/>
      <c r="P11" s="250" t="s">
        <v>153</v>
      </c>
      <c r="Q11" s="250"/>
      <c r="R11" s="250"/>
      <c r="S11" s="250"/>
      <c r="T11" s="250" t="s">
        <v>155</v>
      </c>
      <c r="U11" s="103" t="s">
        <v>166</v>
      </c>
      <c r="V11" s="106" t="s">
        <v>157</v>
      </c>
      <c r="W11" s="103" t="s">
        <v>158</v>
      </c>
      <c r="X11" s="103">
        <f>IFERROR(MATCH(W11,'CostModel Coef'!$C$9:$C$12,0),0)</f>
        <v>0</v>
      </c>
      <c r="Y11" s="103"/>
      <c r="Z11" s="103" t="str">
        <f>IF($X11&gt;0,INDEX('CostModel Coef'!D$9:D$12,$X11),"")</f>
        <v/>
      </c>
      <c r="AA11" s="103" t="str">
        <f>IF($X11&gt;0,INDEX('CostModel Coef'!E$9:E$12,$X11),"")</f>
        <v/>
      </c>
      <c r="AB11" s="103" t="str">
        <f>IF($X11&gt;0,INDEX('CostModel Coef'!F$9:F$12,$X11),"")</f>
        <v/>
      </c>
      <c r="AC11" s="103" t="str">
        <f>IF($X11&gt;0,INDEX('CostModel Coef'!G$9:G$12,$X11),"")</f>
        <v/>
      </c>
      <c r="AD11" s="103" t="str">
        <f>IF($X11&gt;0,INDEX('CostModel Coef'!H$9:H$12,$X11),"")</f>
        <v/>
      </c>
      <c r="AE11" s="103" t="str">
        <f>IF($X11&gt;0,INDEX('CostModel Coef'!J$9:J$12,$X11),"")</f>
        <v/>
      </c>
      <c r="AF11" s="103" t="str">
        <f>IF($X11&gt;0,INDEX('CostModel Coef'!K$9:K$12,$X11),"")</f>
        <v/>
      </c>
      <c r="AG11" s="103" t="str">
        <f>IF($X11&gt;0,INDEX('CostModel Coef'!L$9:L$12,$X11),"")</f>
        <v/>
      </c>
      <c r="AH11" s="103" t="str">
        <f>IF($X11&gt;0,INDEX('CostModel Coef'!M$9:M$12,$X11),"")</f>
        <v/>
      </c>
      <c r="AI11" s="103" t="str">
        <f>IF($X11&gt;0,INDEX('CostModel Coef'!N$9:N$12,$X11),"")</f>
        <v/>
      </c>
      <c r="AJ11" s="103" t="str">
        <f>IF($X11&gt;0,INDEX('CostModel Coef'!Q$9:Q$12,$X11),"")</f>
        <v/>
      </c>
      <c r="AK11" s="103" t="str">
        <f>IF($X11&gt;0,INDEX('CostModel Coef'!T$9:T$12,$X11),"")</f>
        <v/>
      </c>
      <c r="AL11" s="103"/>
      <c r="AM11" s="108" t="str">
        <f t="shared" si="1"/>
        <v/>
      </c>
      <c r="AN11" s="108" t="str">
        <f t="shared" si="2"/>
        <v/>
      </c>
      <c r="AO11" s="108" t="str">
        <f t="shared" si="3"/>
        <v/>
      </c>
      <c r="AP11" s="108" t="str">
        <f t="shared" si="4"/>
        <v/>
      </c>
      <c r="AQ11" s="108" t="str">
        <f t="shared" si="5"/>
        <v/>
      </c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19"/>
      <c r="BQ11" s="103"/>
      <c r="BR11" s="103"/>
      <c r="BS11" s="103"/>
      <c r="BT11" s="174">
        <f t="shared" si="0"/>
        <v>-1</v>
      </c>
      <c r="BU11" s="171"/>
      <c r="BV11" s="103"/>
      <c r="BW11" s="103"/>
      <c r="BX11" s="103"/>
      <c r="BY11" s="103"/>
      <c r="BZ11" s="103"/>
      <c r="CA11" s="103"/>
      <c r="CB11" s="174">
        <f t="shared" si="6"/>
        <v>-1</v>
      </c>
      <c r="CC11" s="112"/>
      <c r="CD11" s="103"/>
      <c r="CE11" s="103"/>
      <c r="CF11" s="103"/>
      <c r="CG11" s="103"/>
      <c r="CH11" s="103"/>
      <c r="CI11" s="103"/>
      <c r="CJ11" s="174">
        <f t="shared" si="7"/>
        <v>-1</v>
      </c>
      <c r="CK11" s="112"/>
      <c r="CL11" s="103"/>
      <c r="CM11" s="103"/>
      <c r="CN11" s="103"/>
      <c r="CO11" s="103"/>
      <c r="CP11" s="103"/>
    </row>
    <row r="12" spans="1:94">
      <c r="A12" s="103" t="s">
        <v>167</v>
      </c>
      <c r="B12" s="103" t="s">
        <v>165</v>
      </c>
      <c r="C12" s="103" t="s">
        <v>152</v>
      </c>
      <c r="D12" s="250" t="s">
        <v>153</v>
      </c>
      <c r="E12" s="250"/>
      <c r="F12" s="250"/>
      <c r="G12" s="250"/>
      <c r="H12" s="250"/>
      <c r="I12" s="250"/>
      <c r="J12" s="250"/>
      <c r="K12" s="250"/>
      <c r="L12" s="250" t="s">
        <v>154</v>
      </c>
      <c r="M12" s="250">
        <v>3.57</v>
      </c>
      <c r="N12" s="250"/>
      <c r="O12" s="250"/>
      <c r="P12" s="250" t="s">
        <v>153</v>
      </c>
      <c r="Q12" s="250"/>
      <c r="R12" s="250"/>
      <c r="S12" s="250"/>
      <c r="T12" s="250" t="s">
        <v>155</v>
      </c>
      <c r="U12" s="103" t="s">
        <v>168</v>
      </c>
      <c r="V12" s="106" t="s">
        <v>157</v>
      </c>
      <c r="W12" s="103" t="s">
        <v>158</v>
      </c>
      <c r="X12" s="103">
        <f>IFERROR(MATCH(W12,'CostModel Coef'!$C$9:$C$12,0),0)</f>
        <v>0</v>
      </c>
      <c r="Y12" s="103"/>
      <c r="Z12" s="103" t="str">
        <f>IF($X12&gt;0,INDEX('CostModel Coef'!D$9:D$12,$X12),"")</f>
        <v/>
      </c>
      <c r="AA12" s="103" t="str">
        <f>IF($X12&gt;0,INDEX('CostModel Coef'!E$9:E$12,$X12),"")</f>
        <v/>
      </c>
      <c r="AB12" s="103" t="str">
        <f>IF($X12&gt;0,INDEX('CostModel Coef'!F$9:F$12,$X12),"")</f>
        <v/>
      </c>
      <c r="AC12" s="103" t="str">
        <f>IF($X12&gt;0,INDEX('CostModel Coef'!G$9:G$12,$X12),"")</f>
        <v/>
      </c>
      <c r="AD12" s="103" t="str">
        <f>IF($X12&gt;0,INDEX('CostModel Coef'!H$9:H$12,$X12),"")</f>
        <v/>
      </c>
      <c r="AE12" s="103" t="str">
        <f>IF($X12&gt;0,INDEX('CostModel Coef'!J$9:J$12,$X12),"")</f>
        <v/>
      </c>
      <c r="AF12" s="103" t="str">
        <f>IF($X12&gt;0,INDEX('CostModel Coef'!K$9:K$12,$X12),"")</f>
        <v/>
      </c>
      <c r="AG12" s="103" t="str">
        <f>IF($X12&gt;0,INDEX('CostModel Coef'!L$9:L$12,$X12),"")</f>
        <v/>
      </c>
      <c r="AH12" s="103" t="str">
        <f>IF($X12&gt;0,INDEX('CostModel Coef'!M$9:M$12,$X12),"")</f>
        <v/>
      </c>
      <c r="AI12" s="103" t="str">
        <f>IF($X12&gt;0,INDEX('CostModel Coef'!N$9:N$12,$X12),"")</f>
        <v/>
      </c>
      <c r="AJ12" s="103" t="str">
        <f>IF($X12&gt;0,INDEX('CostModel Coef'!Q$9:Q$12,$X12),"")</f>
        <v/>
      </c>
      <c r="AK12" s="103" t="str">
        <f>IF($X12&gt;0,INDEX('CostModel Coef'!T$9:T$12,$X12),"")</f>
        <v/>
      </c>
      <c r="AL12" s="103"/>
      <c r="AM12" s="108" t="str">
        <f t="shared" si="1"/>
        <v/>
      </c>
      <c r="AN12" s="108" t="str">
        <f t="shared" si="2"/>
        <v/>
      </c>
      <c r="AO12" s="108" t="str">
        <f t="shared" si="3"/>
        <v/>
      </c>
      <c r="AP12" s="108" t="str">
        <f t="shared" si="4"/>
        <v/>
      </c>
      <c r="AQ12" s="108" t="str">
        <f t="shared" si="5"/>
        <v/>
      </c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19"/>
      <c r="BQ12" s="103"/>
      <c r="BR12" s="103"/>
      <c r="BS12" s="103"/>
      <c r="BT12" s="174">
        <f t="shared" si="0"/>
        <v>-1</v>
      </c>
      <c r="BU12" s="171"/>
      <c r="BV12" s="103"/>
      <c r="BW12" s="103"/>
      <c r="BX12" s="103"/>
      <c r="BY12" s="103"/>
      <c r="BZ12" s="103"/>
      <c r="CA12" s="103"/>
      <c r="CB12" s="174">
        <f t="shared" si="6"/>
        <v>-1</v>
      </c>
      <c r="CC12" s="112"/>
      <c r="CD12" s="103"/>
      <c r="CE12" s="103"/>
      <c r="CF12" s="103"/>
      <c r="CG12" s="103"/>
      <c r="CH12" s="103"/>
      <c r="CI12" s="103"/>
      <c r="CJ12" s="174">
        <f t="shared" si="7"/>
        <v>-1</v>
      </c>
      <c r="CK12" s="112"/>
      <c r="CL12" s="103"/>
      <c r="CM12" s="103"/>
      <c r="CN12" s="103"/>
      <c r="CO12" s="103"/>
      <c r="CP12" s="103"/>
    </row>
    <row r="13" spans="1:94">
      <c r="A13" s="103" t="s">
        <v>169</v>
      </c>
      <c r="B13" s="103" t="s">
        <v>165</v>
      </c>
      <c r="C13" s="103" t="s">
        <v>153</v>
      </c>
      <c r="D13" s="250" t="s">
        <v>153</v>
      </c>
      <c r="E13" s="250"/>
      <c r="F13" s="250"/>
      <c r="G13" s="250"/>
      <c r="H13" s="250"/>
      <c r="I13" s="250"/>
      <c r="J13" s="250"/>
      <c r="K13" s="250"/>
      <c r="L13" s="250" t="s">
        <v>154</v>
      </c>
      <c r="M13" s="250">
        <v>4.07</v>
      </c>
      <c r="N13" s="250"/>
      <c r="O13" s="250"/>
      <c r="P13" s="250" t="s">
        <v>153</v>
      </c>
      <c r="Q13" s="250"/>
      <c r="R13" s="250"/>
      <c r="S13" s="250"/>
      <c r="T13" s="250" t="s">
        <v>155</v>
      </c>
      <c r="U13" s="103" t="s">
        <v>170</v>
      </c>
      <c r="V13" s="106" t="s">
        <v>157</v>
      </c>
      <c r="W13" s="103" t="s">
        <v>158</v>
      </c>
      <c r="X13" s="103">
        <f>IFERROR(MATCH(W13,'CostModel Coef'!$C$9:$C$12,0),0)</f>
        <v>0</v>
      </c>
      <c r="Y13" s="103"/>
      <c r="Z13" s="103" t="str">
        <f>IF($X13&gt;0,INDEX('CostModel Coef'!D$9:D$12,$X13),"")</f>
        <v/>
      </c>
      <c r="AA13" s="103" t="str">
        <f>IF($X13&gt;0,INDEX('CostModel Coef'!E$9:E$12,$X13),"")</f>
        <v/>
      </c>
      <c r="AB13" s="103" t="str">
        <f>IF($X13&gt;0,INDEX('CostModel Coef'!F$9:F$12,$X13),"")</f>
        <v/>
      </c>
      <c r="AC13" s="103" t="str">
        <f>IF($X13&gt;0,INDEX('CostModel Coef'!G$9:G$12,$X13),"")</f>
        <v/>
      </c>
      <c r="AD13" s="103" t="str">
        <f>IF($X13&gt;0,INDEX('CostModel Coef'!H$9:H$12,$X13),"")</f>
        <v/>
      </c>
      <c r="AE13" s="103" t="str">
        <f>IF($X13&gt;0,INDEX('CostModel Coef'!J$9:J$12,$X13),"")</f>
        <v/>
      </c>
      <c r="AF13" s="103" t="str">
        <f>IF($X13&gt;0,INDEX('CostModel Coef'!K$9:K$12,$X13),"")</f>
        <v/>
      </c>
      <c r="AG13" s="103" t="str">
        <f>IF($X13&gt;0,INDEX('CostModel Coef'!L$9:L$12,$X13),"")</f>
        <v/>
      </c>
      <c r="AH13" s="103" t="str">
        <f>IF($X13&gt;0,INDEX('CostModel Coef'!M$9:M$12,$X13),"")</f>
        <v/>
      </c>
      <c r="AI13" s="103" t="str">
        <f>IF($X13&gt;0,INDEX('CostModel Coef'!N$9:N$12,$X13),"")</f>
        <v/>
      </c>
      <c r="AJ13" s="103" t="str">
        <f>IF($X13&gt;0,INDEX('CostModel Coef'!Q$9:Q$12,$X13),"")</f>
        <v/>
      </c>
      <c r="AK13" s="103" t="str">
        <f>IF($X13&gt;0,INDEX('CostModel Coef'!T$9:T$12,$X13),"")</f>
        <v/>
      </c>
      <c r="AL13" s="103"/>
      <c r="AM13" s="108" t="str">
        <f t="shared" si="1"/>
        <v/>
      </c>
      <c r="AN13" s="108" t="str">
        <f t="shared" si="2"/>
        <v/>
      </c>
      <c r="AO13" s="108" t="str">
        <f t="shared" si="3"/>
        <v/>
      </c>
      <c r="AP13" s="108" t="str">
        <f t="shared" si="4"/>
        <v/>
      </c>
      <c r="AQ13" s="108" t="str">
        <f t="shared" si="5"/>
        <v/>
      </c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19"/>
      <c r="BQ13" s="103"/>
      <c r="BR13" s="103"/>
      <c r="BS13" s="103"/>
      <c r="BT13" s="174">
        <f t="shared" si="0"/>
        <v>-1</v>
      </c>
      <c r="BU13" s="171"/>
      <c r="BV13" s="103"/>
      <c r="BW13" s="103"/>
      <c r="BX13" s="103"/>
      <c r="BY13" s="103"/>
      <c r="BZ13" s="103"/>
      <c r="CA13" s="103"/>
      <c r="CB13" s="174">
        <f t="shared" si="6"/>
        <v>-1</v>
      </c>
      <c r="CC13" s="112"/>
      <c r="CD13" s="103"/>
      <c r="CE13" s="103"/>
      <c r="CF13" s="103"/>
      <c r="CG13" s="103"/>
      <c r="CH13" s="103"/>
      <c r="CI13" s="103"/>
      <c r="CJ13" s="174">
        <f t="shared" si="7"/>
        <v>-1</v>
      </c>
      <c r="CK13" s="112"/>
      <c r="CL13" s="103"/>
      <c r="CM13" s="103"/>
      <c r="CN13" s="103"/>
      <c r="CO13" s="103"/>
      <c r="CP13" s="103"/>
    </row>
    <row r="14" spans="1:94">
      <c r="A14" s="103" t="s">
        <v>171</v>
      </c>
      <c r="B14" s="103" t="s">
        <v>165</v>
      </c>
      <c r="C14" s="103" t="s">
        <v>162</v>
      </c>
      <c r="D14" s="250" t="s">
        <v>153</v>
      </c>
      <c r="E14" s="250"/>
      <c r="F14" s="250"/>
      <c r="G14" s="250"/>
      <c r="H14" s="250"/>
      <c r="I14" s="250"/>
      <c r="J14" s="250"/>
      <c r="K14" s="250"/>
      <c r="L14" s="250" t="s">
        <v>154</v>
      </c>
      <c r="M14" s="250">
        <v>4.09</v>
      </c>
      <c r="N14" s="250"/>
      <c r="O14" s="250"/>
      <c r="P14" s="250" t="s">
        <v>153</v>
      </c>
      <c r="Q14" s="250"/>
      <c r="R14" s="250"/>
      <c r="S14" s="250"/>
      <c r="T14" s="250" t="s">
        <v>155</v>
      </c>
      <c r="U14" s="103" t="s">
        <v>172</v>
      </c>
      <c r="V14" s="106" t="s">
        <v>157</v>
      </c>
      <c r="W14" s="103" t="s">
        <v>158</v>
      </c>
      <c r="X14" s="103">
        <f>IFERROR(MATCH(W14,'CostModel Coef'!$C$9:$C$12,0),0)</f>
        <v>0</v>
      </c>
      <c r="Y14" s="103" t="str">
        <f>IF(X14&gt;0,INDEX('CostModel Coef'!$D$9:$D$12,X14),"")</f>
        <v/>
      </c>
      <c r="Z14" s="103" t="str">
        <f>IF($X14&gt;0,INDEX('CostModel Coef'!D$9:D$12,$X14),"")</f>
        <v/>
      </c>
      <c r="AA14" s="103" t="str">
        <f>IF($X14&gt;0,INDEX('CostModel Coef'!E$9:E$12,$X14),"")</f>
        <v/>
      </c>
      <c r="AB14" s="103" t="str">
        <f>IF($X14&gt;0,INDEX('CostModel Coef'!F$9:F$12,$X14),"")</f>
        <v/>
      </c>
      <c r="AC14" s="103" t="str">
        <f>IF($X14&gt;0,INDEX('CostModel Coef'!G$9:G$12,$X14),"")</f>
        <v/>
      </c>
      <c r="AD14" s="103" t="str">
        <f>IF($X14&gt;0,INDEX('CostModel Coef'!H$9:H$12,$X14),"")</f>
        <v/>
      </c>
      <c r="AE14" s="103" t="str">
        <f>IF($X14&gt;0,INDEX('CostModel Coef'!J$9:J$12,$X14),"")</f>
        <v/>
      </c>
      <c r="AF14" s="103" t="str">
        <f>IF($X14&gt;0,INDEX('CostModel Coef'!K$9:K$12,$X14),"")</f>
        <v/>
      </c>
      <c r="AG14" s="103" t="str">
        <f>IF($X14&gt;0,INDEX('CostModel Coef'!L$9:L$12,$X14),"")</f>
        <v/>
      </c>
      <c r="AH14" s="103" t="str">
        <f>IF($X14&gt;0,INDEX('CostModel Coef'!M$9:M$12,$X14),"")</f>
        <v/>
      </c>
      <c r="AI14" s="103" t="str">
        <f>IF($X14&gt;0,INDEX('CostModel Coef'!N$9:N$12,$X14),"")</f>
        <v/>
      </c>
      <c r="AJ14" s="103" t="str">
        <f>IF($X14&gt;0,INDEX('CostModel Coef'!Q$9:Q$12,$X14),"")</f>
        <v/>
      </c>
      <c r="AK14" s="103" t="str">
        <f>IF($X14&gt;0,INDEX('CostModel Coef'!T$9:T$12,$X14),"")</f>
        <v/>
      </c>
      <c r="AL14" s="103"/>
      <c r="AM14" s="108" t="str">
        <f t="shared" si="1"/>
        <v/>
      </c>
      <c r="AN14" s="108" t="str">
        <f t="shared" si="2"/>
        <v/>
      </c>
      <c r="AO14" s="108" t="str">
        <f t="shared" si="3"/>
        <v/>
      </c>
      <c r="AP14" s="108" t="str">
        <f t="shared" si="4"/>
        <v/>
      </c>
      <c r="AQ14" s="108" t="str">
        <f t="shared" si="5"/>
        <v/>
      </c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19"/>
      <c r="BQ14" s="103"/>
      <c r="BR14" s="103"/>
      <c r="BS14" s="103"/>
      <c r="BT14" s="174">
        <f t="shared" si="0"/>
        <v>-1</v>
      </c>
      <c r="BU14" s="171"/>
      <c r="BV14" s="103"/>
      <c r="BW14" s="103"/>
      <c r="BX14" s="103"/>
      <c r="BY14" s="103"/>
      <c r="BZ14" s="103"/>
      <c r="CA14" s="103"/>
      <c r="CB14" s="174">
        <f t="shared" si="6"/>
        <v>-1</v>
      </c>
      <c r="CC14" s="112"/>
      <c r="CD14" s="103"/>
      <c r="CE14" s="103"/>
      <c r="CF14" s="103"/>
      <c r="CG14" s="103"/>
      <c r="CH14" s="103"/>
      <c r="CI14" s="103"/>
      <c r="CJ14" s="174">
        <f t="shared" si="7"/>
        <v>-1</v>
      </c>
      <c r="CK14" s="112"/>
      <c r="CL14" s="103"/>
      <c r="CM14" s="103"/>
      <c r="CN14" s="103"/>
      <c r="CO14" s="103"/>
      <c r="CP14" s="103"/>
    </row>
    <row r="15" spans="1:94">
      <c r="A15" s="103" t="s">
        <v>173</v>
      </c>
      <c r="B15" s="103" t="s">
        <v>174</v>
      </c>
      <c r="C15" s="103" t="s">
        <v>153</v>
      </c>
      <c r="D15" s="250" t="s">
        <v>153</v>
      </c>
      <c r="E15" s="250"/>
      <c r="F15" s="182">
        <v>9020</v>
      </c>
      <c r="G15" s="250" t="s">
        <v>175</v>
      </c>
      <c r="H15" s="250">
        <v>13</v>
      </c>
      <c r="I15" s="250"/>
      <c r="J15" s="250"/>
      <c r="K15" s="250"/>
      <c r="L15" s="250" t="s">
        <v>61</v>
      </c>
      <c r="M15" s="250">
        <v>13</v>
      </c>
      <c r="N15" s="250"/>
      <c r="O15" s="250"/>
      <c r="P15" s="250" t="s">
        <v>153</v>
      </c>
      <c r="Q15" s="250" t="s">
        <v>176</v>
      </c>
      <c r="R15" s="250"/>
      <c r="S15" s="250"/>
      <c r="T15" s="250" t="s">
        <v>155</v>
      </c>
      <c r="U15" s="103" t="s">
        <v>177</v>
      </c>
      <c r="V15" s="106" t="s">
        <v>157</v>
      </c>
      <c r="W15" s="103" t="s">
        <v>81</v>
      </c>
      <c r="X15" s="103">
        <f>IFERROR(MATCH(W15,'CostModel Coef'!$C$9:$C$12,0),0)</f>
        <v>1</v>
      </c>
      <c r="Y15" s="103"/>
      <c r="Z15" s="103">
        <f>IF($X15&gt;0,INDEX('CostModel Coef'!D$9:D$12,$X15),"")</f>
        <v>3.0430000000000001</v>
      </c>
      <c r="AA15" s="103">
        <f>IF($X15&gt;0,INDEX('CostModel Coef'!E$9:E$12,$X15),"")</f>
        <v>-0.14966150225589619</v>
      </c>
      <c r="AB15" s="103">
        <f>IF($X15&gt;0,INDEX('CostModel Coef'!F$9:F$12,$X15),"")</f>
        <v>0.52692151711335011</v>
      </c>
      <c r="AC15" s="103">
        <f>IF($X15&gt;0,INDEX('CostModel Coef'!G$9:G$12,$X15),"")</f>
        <v>1.8411</v>
      </c>
      <c r="AD15" s="103">
        <f>IF($X15&gt;0,INDEX('CostModel Coef'!H$9:H$12,$X15),"")</f>
        <v>-1.8050999999999999</v>
      </c>
      <c r="AE15" s="103">
        <f>IF($X15&gt;0,INDEX('CostModel Coef'!J$9:J$12,$X15),"")</f>
        <v>-1.1288</v>
      </c>
      <c r="AF15" s="103">
        <f>IF($X15&gt;0,INDEX('CostModel Coef'!K$9:K$12,$X15),"")</f>
        <v>-1.845</v>
      </c>
      <c r="AG15" s="103">
        <f>IF($X15&gt;0,INDEX('CostModel Coef'!L$9:L$12,$X15),"")</f>
        <v>6.7507000000000001</v>
      </c>
      <c r="AH15" s="103">
        <f>IF($X15&gt;0,INDEX('CostModel Coef'!M$9:M$12,$X15),"")</f>
        <v>5.8051000000000004</v>
      </c>
      <c r="AI15" s="103">
        <f>IF($X15&gt;0,INDEX('CostModel Coef'!N$9:N$12,$X15),"")</f>
        <v>6.1600000000000002E-2</v>
      </c>
      <c r="AJ15" s="103">
        <f>IF($X15&gt;0,INDEX('CostModel Coef'!Q$9:Q$12,$X15),"")</f>
        <v>6.6500000000000004E-2</v>
      </c>
      <c r="AK15" s="103">
        <f>IF($X15&gt;0,INDEX('CostModel Coef'!T$9:T$12,$X15),"")</f>
        <v>9.35E-2</v>
      </c>
      <c r="AL15" s="103"/>
      <c r="AM15" s="108">
        <f t="shared" si="1"/>
        <v>9.746092014857453</v>
      </c>
      <c r="AN15" s="108">
        <f t="shared" si="2"/>
        <v>11.591092014857454</v>
      </c>
      <c r="AO15" s="108">
        <f t="shared" si="3"/>
        <v>9.7859920148574542</v>
      </c>
      <c r="AP15" s="108">
        <f t="shared" si="4"/>
        <v>9.7859920148574542</v>
      </c>
      <c r="AQ15" s="108">
        <f t="shared" si="5"/>
        <v>8.6571920148574542</v>
      </c>
      <c r="AR15" s="108"/>
      <c r="AS15" s="108"/>
      <c r="AT15" s="103">
        <f>IF($X15&gt;0,INDEX('CostModel Coef'!D$13:D$16,$X15),"")</f>
        <v>2.1320000000000001</v>
      </c>
      <c r="AU15" s="103">
        <f>IF($X15&gt;0,INDEX('CostModel Coef'!E$13:E$16,$X15),"")</f>
        <v>0.23699999999999999</v>
      </c>
      <c r="AV15" s="103">
        <f>IF($X15&gt;0,INDEX('CostModel Coef'!F$13:F$16,$X15),"")</f>
        <v>0.59899999999999998</v>
      </c>
      <c r="AW15" s="103">
        <f>IF($X15&gt;0,INDEX('CostModel Coef'!G$13:G$16,$X15),"")</f>
        <v>0</v>
      </c>
      <c r="AX15" s="103">
        <f>IF($X15&gt;0,INDEX('CostModel Coef'!H$13:H$16,$X15),"")</f>
        <v>-1.69</v>
      </c>
      <c r="AY15" s="103">
        <f>IF($X15&gt;0,INDEX('CostModel Coef'!I$13:I$16,$X15),"")</f>
        <v>-1.1599999999999999</v>
      </c>
      <c r="AZ15" s="103">
        <f>IF($X15&gt;0,INDEX('CostModel Coef'!J$13:J$16,$X15),"")</f>
        <v>0</v>
      </c>
      <c r="BA15" s="103">
        <f>IF($X15&gt;0,INDEX('CostModel Coef'!K$13:K$16,$X15),"")</f>
        <v>-2.4630000000000001</v>
      </c>
      <c r="BB15" s="103">
        <f>IF($X15&gt;0,INDEX('CostModel Coef'!L$13:L$16,$X15),"")</f>
        <v>0.46179999999999999</v>
      </c>
      <c r="BC15" s="103">
        <f>IF($X15&gt;0,INDEX('CostModel Coef'!M$13:M$16,$X15),"")</f>
        <v>0</v>
      </c>
      <c r="BD15" s="103">
        <f>IF($X15&gt;0,INDEX('CostModel Coef'!N$13:N$16,$X15),"")</f>
        <v>0.19869999999999999</v>
      </c>
      <c r="BE15" s="103">
        <f>IF($X15&gt;0,INDEX('CostModel Coef'!O$13:O$16,$X15),"")</f>
        <v>0.6</v>
      </c>
      <c r="BF15" s="103">
        <f>IF($X15&gt;0,INDEX('CostModel Coef'!P$13:P$16,$X15),"")</f>
        <v>15</v>
      </c>
      <c r="BG15" s="103">
        <f>IF($X15&gt;0,INDEX('CostModel Coef'!Q$13:Q$16,$X15),"")</f>
        <v>0</v>
      </c>
      <c r="BH15" s="103">
        <f>IF($X15&gt;0,INDEX('CostModel Coef'!R$13:R$16,$X15),"")</f>
        <v>3</v>
      </c>
      <c r="BI15" s="103">
        <f>IF($X15&gt;0,INDEX('CostModel Coef'!S$13:S$16,$X15),"")</f>
        <v>150</v>
      </c>
      <c r="BJ15" s="103">
        <f>IF($X15&gt;0,INDEX('CostModel Coef'!T$13:T$16,$X15),"")</f>
        <v>0</v>
      </c>
      <c r="BK15" s="103">
        <f>IF($X15&gt;0,INDEX('CostModel Coef'!U$13:U$16,$X15),"")</f>
        <v>9.1999999999999998E-3</v>
      </c>
      <c r="BL15" s="103">
        <f>IF($X15&gt;0,INDEX('CostModel Coef'!V$13:V$16,$X15),"")</f>
        <v>-8.8000000000000005E-3</v>
      </c>
      <c r="BM15" s="103">
        <f>IF($X15&gt;0,INDEX('CostModel Coef'!W$13:W$16,$X15),"")</f>
        <v>0</v>
      </c>
      <c r="BN15" s="103">
        <f>IF($X15&gt;0,INDEX('CostModel Coef'!X$13:X$16,$X15),"")</f>
        <v>0</v>
      </c>
      <c r="BO15" s="103"/>
      <c r="BP15" s="119">
        <v>2000</v>
      </c>
      <c r="BQ15" s="103"/>
      <c r="BR15" s="103"/>
      <c r="BS15" s="119" t="str">
        <f t="shared" ref="BS15:BS78" si="8">IF(BT15&gt;0,IF(X15=2,$BW$4,$BW$5)&amp;"_"&amp;$A15,"")</f>
        <v>WRR0347_CFLscw-3way(13w)</v>
      </c>
      <c r="BT15" s="174">
        <f t="shared" si="0"/>
        <v>45</v>
      </c>
      <c r="BU15" s="113">
        <f>IF(AND(BT15&gt;=BH15,BT15&lt;=BI15),SUM($AT15,$AU15,$AV15,IF($Q15="Y",$BB15,0),$BP15/1000*$BD15,BT15*$BG15,IF(BT15&gt;30,(BT15-30)*$BK15,0),IF(BT15&gt;75,(BT15-75)*$BL15,0),IF(BT15&lt;35,$BM15,0),$BA15),"OOS")</f>
        <v>1.5022000000000002</v>
      </c>
      <c r="BV15" s="108">
        <f>IF(AND(BT15&gt;=BH15,BT15&lt;=BI15),SUM($AT15,$AU15,$AV15,IF($Q15="Y",$BB15,0),$BP15/1000*$BD15,BT15*$BG15,IF(BT15&gt;30,(BT15-30)*$BK15,0),IF(BT15&gt;75,(BT15-75)*$BL15,0),IF(BT15&lt;35,$BM15,0)),"OOS")</f>
        <v>3.9652000000000003</v>
      </c>
      <c r="BW15" s="108">
        <f>IF(AND(BT15&gt;=BH15,BT15&lt;=BI15),SUM($AT15,$AU15,$AV15,IF($Q15="Y",$BB15,0),$BP15/1000*$BD15,BT15*$BG15,IF(BT15&gt;30,(BT15-30)*$BK15,0),IF(BT15&gt;75,(BT15-75)*$BL15,0),IF(BT15&lt;35,$BM15,0),$AX15),"OOS")</f>
        <v>2.2752000000000003</v>
      </c>
      <c r="BX15" s="108">
        <f>IF(AND(BT15&gt;=BH15,BT15&lt;=BI15),SUM($AT15,$AU15,$AV15,IF($Q15="Y",$BB15,0),$BP15/1000*$BD15,BT15*$BG15,IF(BT15&gt;30,(BT15-30)*$BK15,0),IF(BT15&gt;75,(BT15-75)*$BL15,0),IF(BT15&lt;35,$BM15,0),$AX15,$AY15),"OOS")</f>
        <v>1.1152000000000004</v>
      </c>
      <c r="BY15" s="108">
        <f>IF(AND(BT15&gt;=BH15,BT15&lt;=BI15),SUM($AT15,$AU15,$AV15,IF($Q15="Y",$BB15,0),$BP15/1000*$BD15,BT15*$BG15,IF(BT15&gt;30,(BT15-30)*$BK15,0),IF(BT15&gt;75,(BT15-75)*$BL15,0),IF(BT15&lt;35,$BM15,0),$AX15,$AY15),"OOS")</f>
        <v>1.1152000000000004</v>
      </c>
      <c r="BZ15" s="108"/>
      <c r="CA15" s="119" t="str">
        <f>IF(CB15&gt;0,CD$5&amp;"_"&amp;$A15,"")</f>
        <v/>
      </c>
      <c r="CB15" s="180">
        <v>-1</v>
      </c>
      <c r="CC15" s="113" t="str">
        <f>IF(AND(CB15&gt;=BH15,CB15&lt;=BI15),SUM($AT15,$AU15,$AV15,IF($Q15="Y",$BB15,0),$BP15/1000*$BD15,CB15*$BG15,IF(CB15&gt;30,(CB15-30)*$BK15,0),IF(CB15&gt;75,(CB15-75)*$BL15,0),IF(CB15&lt;35,$BM15,0),$BA15),"")</f>
        <v/>
      </c>
      <c r="CD15" s="108" t="str">
        <f>IF(AND(CB15&gt;=BH15,CB15&lt;=BI15),SUM($AT15,$AU15,$AV15,IF($Q15="Y",$BB15,0),$BP15/1000*$BD15,CB15*$BG15,IF(CB15&gt;30,(CB15-30)*$BK15,0),IF(CB15&gt;75,(CB15-75)*$BL15,0),IF(CB15&lt;35,$BM15,0)),"")</f>
        <v/>
      </c>
      <c r="CE15" s="108" t="str">
        <f>IF(AND(CB15&gt;=BH15,CB15&lt;=BI15),SUM($AT15,$AU15,$AV15,IF($Q15="Y",$BB15,0),$BP15/1000*$BD15,CB15*$BG15,IF(CB15&gt;30,(CB15-30)*$BK15,0),IF(CB15&gt;75,(CB15-75)*$BL15,0),IF(CB15&lt;35,$BM15,0),$AX15),"")</f>
        <v/>
      </c>
      <c r="CF15" s="108" t="str">
        <f>IF(AND(CB15&gt;=BH15,CB15&lt;=BI15),SUM($AT15,$AU15,$AV15,IF($Q15="Y",$BB15,0),$BP15/1000*$BD15,CB15*$BG15,IF(CB15&gt;30,(CB15-30)*$BK15,0),IF(CB15&gt;75,(CB15-75)*$BL15,0),IF(CB15&lt;35,$BM15,0),$AX15,$AY15),"")</f>
        <v/>
      </c>
      <c r="CG15" s="108" t="str">
        <f>IF(AND(CB15&gt;=BH15,CB15&lt;=BI15),SUM($AT15,$AU15,$AV15,IF($Q15="Y",$BB15,0),$BP15/1000*$BD15,CB15*$BG15,IF(CB15&gt;30,(CB15-30)*$BK15,0),IF(CB15&gt;75,(CB15-75)*$BL15,0),IF(CB15&lt;35,$BM15,0),$AX15,$AY15),"")</f>
        <v/>
      </c>
      <c r="CH15" s="103"/>
      <c r="CI15" s="119" t="str">
        <f t="shared" ref="CI15:CI78" si="9">IF(CJ15&gt;0,BW$5&amp;"_"&amp;$A15,"")</f>
        <v>WRR0347_CFLscw-3way(13w)</v>
      </c>
      <c r="CJ15" s="174">
        <f t="shared" si="7"/>
        <v>45</v>
      </c>
      <c r="CK15" s="113">
        <f>IF(AND(CJ15&gt;=BH15,CJ15&lt;=BI15),SUM($AT15,$AU15,$AV15,IF($Q15="Y",$BB15,0),$BP15/1000*$BD15,CJ15*$BG15,IF(CJ15&gt;30,(CJ15-30)*$BK15,0),IF(CJ15&gt;75,(CJ15-75)*$BL15,0),IF(CJ15&lt;35,$BM15,0),$BA15),"")</f>
        <v>1.5022000000000002</v>
      </c>
      <c r="CL15" s="108">
        <f>IF(AND(CJ15&gt;=BH15,CJ15&lt;=BI15),SUM($AT15,$AU15,$AV15,IF($Q15="Y",$BB15,0),$BP15/1000*$BD15,CJ15*$BG15,IF(CJ15&gt;30,(CJ15-30)*$BK15,0),IF(CJ15&gt;75,(CJ15-75)*$BL15,0),IF(CJ15&lt;35,$BM15,0)),"")</f>
        <v>3.9652000000000003</v>
      </c>
      <c r="CM15" s="108">
        <f>IF(AND(CJ15&gt;=BH15,CJ15&lt;=BI15),SUM($AT15,$AU15,$AV15,IF($Q15="Y",$BB15,0),$BP15/1000*$BD15,CJ15*$BG15,IF(CJ15&gt;30,(CJ15-30)*$BK15,0),IF(CJ15&gt;75,(CJ15-75)*$BL15,0),IF(CJ15&lt;35,$BM15,0),$AX15),"")</f>
        <v>2.2752000000000003</v>
      </c>
      <c r="CN15" s="108">
        <f>IF(AND(CJ15&gt;=BH15,CJ15&lt;=BI15),SUM($AT15,$AU15,$AV15,IF($Q15="Y",$BB15,0),$BP15/1000*$BD15,CJ15*$BG15,IF(CJ15&gt;30,(CJ15-30)*$BK15,0),IF(CJ15&gt;75,(CJ15-75)*$BL15,0),IF(CJ15&lt;35,$BM15,0),$AX15,$AY15),"")</f>
        <v>1.1152000000000004</v>
      </c>
      <c r="CO15" s="108">
        <f>IF(AND(CJ15&gt;=BH15,CJ15&lt;=BI15),SUM($AT15,$AU15,$AV15,IF($Q15="Y",$BB15,0),$BP15/1000*$BD15,CJ15*$BG15,IF(CJ15&gt;30,(CJ15-30)*$BK15,0),IF(CJ15&gt;75,(CJ15-75)*$BL15,0),IF(CJ15&lt;35,$BM15,0),$AX15,$AY15),"")</f>
        <v>1.1152000000000004</v>
      </c>
      <c r="CP15" s="103"/>
    </row>
    <row r="16" spans="1:94">
      <c r="A16" s="103" t="s">
        <v>178</v>
      </c>
      <c r="B16" s="103" t="s">
        <v>165</v>
      </c>
      <c r="C16" s="103" t="s">
        <v>152</v>
      </c>
      <c r="D16" s="250" t="s">
        <v>153</v>
      </c>
      <c r="E16" s="250">
        <v>82</v>
      </c>
      <c r="F16" s="182">
        <v>9020</v>
      </c>
      <c r="G16" s="250" t="s">
        <v>175</v>
      </c>
      <c r="H16" s="250">
        <v>15</v>
      </c>
      <c r="I16" s="250"/>
      <c r="J16" s="250"/>
      <c r="K16" s="250"/>
      <c r="L16" s="250" t="s">
        <v>61</v>
      </c>
      <c r="M16" s="250">
        <v>15</v>
      </c>
      <c r="N16" s="250"/>
      <c r="O16" s="250"/>
      <c r="P16" s="250" t="s">
        <v>153</v>
      </c>
      <c r="Q16" s="250" t="s">
        <v>176</v>
      </c>
      <c r="R16" s="250"/>
      <c r="S16" s="250"/>
      <c r="T16" s="250" t="s">
        <v>155</v>
      </c>
      <c r="U16" s="103" t="s">
        <v>179</v>
      </c>
      <c r="V16" s="106" t="s">
        <v>157</v>
      </c>
      <c r="W16" s="103" t="s">
        <v>81</v>
      </c>
      <c r="X16" s="103">
        <f>IFERROR(MATCH(W16,'CostModel Coef'!$C$9:$C$12,0),0)</f>
        <v>1</v>
      </c>
      <c r="Y16" s="103"/>
      <c r="Z16" s="103">
        <f>IF($X16&gt;0,INDEX('CostModel Coef'!D$9:D$12,$X16),"")</f>
        <v>3.0430000000000001</v>
      </c>
      <c r="AA16" s="103">
        <f>IF($X16&gt;0,INDEX('CostModel Coef'!E$9:E$12,$X16),"")</f>
        <v>-0.14966150225589619</v>
      </c>
      <c r="AB16" s="103">
        <f>IF($X16&gt;0,INDEX('CostModel Coef'!F$9:F$12,$X16),"")</f>
        <v>0.52692151711335011</v>
      </c>
      <c r="AC16" s="103">
        <f>IF($X16&gt;0,INDEX('CostModel Coef'!G$9:G$12,$X16),"")</f>
        <v>1.8411</v>
      </c>
      <c r="AD16" s="103">
        <f>IF($X16&gt;0,INDEX('CostModel Coef'!H$9:H$12,$X16),"")</f>
        <v>-1.8050999999999999</v>
      </c>
      <c r="AE16" s="103">
        <f>IF($X16&gt;0,INDEX('CostModel Coef'!J$9:J$12,$X16),"")</f>
        <v>-1.1288</v>
      </c>
      <c r="AF16" s="103">
        <f>IF($X16&gt;0,INDEX('CostModel Coef'!K$9:K$12,$X16),"")</f>
        <v>-1.845</v>
      </c>
      <c r="AG16" s="103">
        <f>IF($X16&gt;0,INDEX('CostModel Coef'!L$9:L$12,$X16),"")</f>
        <v>6.7507000000000001</v>
      </c>
      <c r="AH16" s="103">
        <f>IF($X16&gt;0,INDEX('CostModel Coef'!M$9:M$12,$X16),"")</f>
        <v>5.8051000000000004</v>
      </c>
      <c r="AI16" s="103">
        <f>IF($X16&gt;0,INDEX('CostModel Coef'!N$9:N$12,$X16),"")</f>
        <v>6.1600000000000002E-2</v>
      </c>
      <c r="AJ16" s="103">
        <f>IF($X16&gt;0,INDEX('CostModel Coef'!Q$9:Q$12,$X16),"")</f>
        <v>6.6500000000000004E-2</v>
      </c>
      <c r="AK16" s="103">
        <f>IF($X16&gt;0,INDEX('CostModel Coef'!T$9:T$12,$X16),"")</f>
        <v>9.35E-2</v>
      </c>
      <c r="AL16" s="103"/>
      <c r="AM16" s="108">
        <f t="shared" si="1"/>
        <v>9.8790920148574539</v>
      </c>
      <c r="AN16" s="108">
        <f t="shared" si="2"/>
        <v>11.724092014857455</v>
      </c>
      <c r="AO16" s="108">
        <f t="shared" si="3"/>
        <v>9.9189920148574551</v>
      </c>
      <c r="AP16" s="108">
        <f t="shared" si="4"/>
        <v>9.9189920148574551</v>
      </c>
      <c r="AQ16" s="108">
        <f t="shared" si="5"/>
        <v>8.790192014857455</v>
      </c>
      <c r="AR16" s="108"/>
      <c r="AS16" s="108"/>
      <c r="AT16" s="103">
        <f>IF($X16&gt;0,INDEX('CostModel Coef'!D$13:D$16,$X16),"")</f>
        <v>2.1320000000000001</v>
      </c>
      <c r="AU16" s="103">
        <f>IF($X16&gt;0,INDEX('CostModel Coef'!E$13:E$16,$X16),"")</f>
        <v>0.23699999999999999</v>
      </c>
      <c r="AV16" s="103">
        <f>IF($X16&gt;0,INDEX('CostModel Coef'!F$13:F$16,$X16),"")</f>
        <v>0.59899999999999998</v>
      </c>
      <c r="AW16" s="103">
        <f>IF($X16&gt;0,INDEX('CostModel Coef'!G$13:G$16,$X16),"")</f>
        <v>0</v>
      </c>
      <c r="AX16" s="103">
        <f>IF($X16&gt;0,INDEX('CostModel Coef'!H$13:H$16,$X16),"")</f>
        <v>-1.69</v>
      </c>
      <c r="AY16" s="103">
        <f>IF($X16&gt;0,INDEX('CostModel Coef'!I$13:I$16,$X16),"")</f>
        <v>-1.1599999999999999</v>
      </c>
      <c r="AZ16" s="103">
        <f>IF($X16&gt;0,INDEX('CostModel Coef'!J$13:J$16,$X16),"")</f>
        <v>0</v>
      </c>
      <c r="BA16" s="103">
        <f>IF($X16&gt;0,INDEX('CostModel Coef'!K$13:K$16,$X16),"")</f>
        <v>-2.4630000000000001</v>
      </c>
      <c r="BB16" s="103">
        <f>IF($X16&gt;0,INDEX('CostModel Coef'!L$13:L$16,$X16),"")</f>
        <v>0.46179999999999999</v>
      </c>
      <c r="BC16" s="103">
        <f>IF($X16&gt;0,INDEX('CostModel Coef'!M$13:M$16,$X16),"")</f>
        <v>0</v>
      </c>
      <c r="BD16" s="103">
        <f>IF($X16&gt;0,INDEX('CostModel Coef'!N$13:N$16,$X16),"")</f>
        <v>0.19869999999999999</v>
      </c>
      <c r="BE16" s="103">
        <f>IF($X16&gt;0,INDEX('CostModel Coef'!O$13:O$16,$X16),"")</f>
        <v>0.6</v>
      </c>
      <c r="BF16" s="103">
        <f>IF($X16&gt;0,INDEX('CostModel Coef'!P$13:P$16,$X16),"")</f>
        <v>15</v>
      </c>
      <c r="BG16" s="103">
        <f>IF($X16&gt;0,INDEX('CostModel Coef'!Q$13:Q$16,$X16),"")</f>
        <v>0</v>
      </c>
      <c r="BH16" s="103">
        <f>IF($X16&gt;0,INDEX('CostModel Coef'!R$13:R$16,$X16),"")</f>
        <v>3</v>
      </c>
      <c r="BI16" s="103">
        <f>IF($X16&gt;0,INDEX('CostModel Coef'!S$13:S$16,$X16),"")</f>
        <v>150</v>
      </c>
      <c r="BJ16" s="103">
        <f>IF($X16&gt;0,INDEX('CostModel Coef'!T$13:T$16,$X16),"")</f>
        <v>0</v>
      </c>
      <c r="BK16" s="103">
        <f>IF($X16&gt;0,INDEX('CostModel Coef'!U$13:U$16,$X16),"")</f>
        <v>9.1999999999999998E-3</v>
      </c>
      <c r="BL16" s="103">
        <f>IF($X16&gt;0,INDEX('CostModel Coef'!V$13:V$16,$X16),"")</f>
        <v>-8.8000000000000005E-3</v>
      </c>
      <c r="BM16" s="103">
        <f>IF($X16&gt;0,INDEX('CostModel Coef'!W$13:W$16,$X16),"")</f>
        <v>0</v>
      </c>
      <c r="BN16" s="103">
        <f>IF($X16&gt;0,INDEX('CostModel Coef'!X$13:X$16,$X16),"")</f>
        <v>0</v>
      </c>
      <c r="BO16" s="103"/>
      <c r="BP16" s="119">
        <v>2000</v>
      </c>
      <c r="BQ16" s="103"/>
      <c r="BR16" s="103"/>
      <c r="BS16" s="119" t="str">
        <f t="shared" si="8"/>
        <v>WRR0347_CFLscw-3way(15w)</v>
      </c>
      <c r="BT16" s="174">
        <f t="shared" si="0"/>
        <v>52</v>
      </c>
      <c r="BU16" s="113">
        <f t="shared" ref="BU16:BU79" si="10">IF(AND(BT16&gt;=BH16,BT16&lt;=BI16),SUM($AT16,$AU16,$AV16,IF($Q16="Y",$BB16,0),$BP16/1000*$BD16,BT16*$BG16,IF(BT16&gt;30,(BT16-30)*$BK16,0),IF(BT16&gt;75,(BT16-75)*$BL16,0),IF(BT16&lt;35,$BM16,0),$BA16),"OOS")</f>
        <v>1.5666000000000002</v>
      </c>
      <c r="BV16" s="108">
        <f t="shared" ref="BV16:BV79" si="11">IF(AND(BT16&gt;=BH16,BT16&lt;=BI16),SUM($AT16,$AU16,$AV16,IF($Q16="Y",$BB16,0),$BP16/1000*$BD16,BT16*$BG16,IF(BT16&gt;30,(BT16-30)*$BK16,0),IF(BT16&gt;75,(BT16-75)*$BL16,0),IF(BT16&lt;35,$BM16,0)),"OOS")</f>
        <v>4.0296000000000003</v>
      </c>
      <c r="BW16" s="108">
        <f t="shared" ref="BW16:BW79" si="12">IF(AND(BT16&gt;=BH16,BT16&lt;=BI16),SUM($AT16,$AU16,$AV16,IF($Q16="Y",$BB16,0),$BP16/1000*$BD16,BT16*$BG16,IF(BT16&gt;30,(BT16-30)*$BK16,0),IF(BT16&gt;75,(BT16-75)*$BL16,0),IF(BT16&lt;35,$BM16,0),$AX16),"OOS")</f>
        <v>2.3396000000000003</v>
      </c>
      <c r="BX16" s="108">
        <f t="shared" ref="BX16:BX79" si="13">IF(AND(BT16&gt;=BH16,BT16&lt;=BI16),SUM($AT16,$AU16,$AV16,IF($Q16="Y",$BB16,0),$BP16/1000*$BD16,BT16*$BG16,IF(BT16&gt;30,(BT16-30)*$BK16,0),IF(BT16&gt;75,(BT16-75)*$BL16,0),IF(BT16&lt;35,$BM16,0),$AX16,$AY16),"OOS")</f>
        <v>1.1796000000000004</v>
      </c>
      <c r="BY16" s="108">
        <f t="shared" ref="BY16:BY79" si="14">IF(AND(BT16&gt;=BH16,BT16&lt;=BI16),SUM($AT16,$AU16,$AV16,IF($Q16="Y",$BB16,0),$BP16/1000*$BD16,BT16*$BG16,IF(BT16&gt;30,(BT16-30)*$BK16,0),IF(BT16&gt;75,(BT16-75)*$BL16,0),IF(BT16&lt;35,$BM16,0),$AX16,$AY16),"OOS")</f>
        <v>1.1796000000000004</v>
      </c>
      <c r="BZ16" s="108"/>
      <c r="CA16" s="119" t="str">
        <f t="shared" ref="CA16:CA79" si="15">IF(CB16&gt;0,CD$5&amp;"_"&amp;$A16,"")</f>
        <v/>
      </c>
      <c r="CB16" s="180">
        <v>-1</v>
      </c>
      <c r="CC16" s="113" t="str">
        <f t="shared" ref="CC16:CC79" si="16">IF(AND(CB16&gt;=BH16,CB16&lt;=BI16),SUM($AT16,$AU16,$AV16,IF($Q16="Y",$BB16,0),$BP16/1000*$BD16,CB16*$BG16,IF(CB16&gt;30,(CB16-30)*$BK16,0),IF(CB16&gt;75,(CB16-75)*$BL16,0),IF(CB16&lt;35,$BM16,0),$BA16),"")</f>
        <v/>
      </c>
      <c r="CD16" s="108" t="str">
        <f t="shared" ref="CD16:CD79" si="17">IF(AND(CB16&gt;=BH16,CB16&lt;=BI16),SUM($AT16,$AU16,$AV16,IF($Q16="Y",$BB16,0),$BP16/1000*$BD16,CB16*$BG16,IF(CB16&gt;30,(CB16-30)*$BK16,0),IF(CB16&gt;75,(CB16-75)*$BL16,0),IF(CB16&lt;35,$BM16,0)),"")</f>
        <v/>
      </c>
      <c r="CE16" s="108" t="str">
        <f t="shared" ref="CE16:CE79" si="18">IF(AND(CB16&gt;=BH16,CB16&lt;=BI16),SUM($AT16,$AU16,$AV16,IF($Q16="Y",$BB16,0),$BP16/1000*$BD16,CB16*$BG16,IF(CB16&gt;30,(CB16-30)*$BK16,0),IF(CB16&gt;75,(CB16-75)*$BL16,0),IF(CB16&lt;35,$BM16,0),$AX16),"")</f>
        <v/>
      </c>
      <c r="CF16" s="108" t="str">
        <f t="shared" ref="CF16:CF79" si="19">IF(AND(CB16&gt;=BH16,CB16&lt;=BI16),SUM($AT16,$AU16,$AV16,IF($Q16="Y",$BB16,0),$BP16/1000*$BD16,CB16*$BG16,IF(CB16&gt;30,(CB16-30)*$BK16,0),IF(CB16&gt;75,(CB16-75)*$BL16,0),IF(CB16&lt;35,$BM16,0),$AX16,$AY16),"")</f>
        <v/>
      </c>
      <c r="CG16" s="108" t="str">
        <f t="shared" ref="CG16:CG79" si="20">IF(AND(CB16&gt;=BH16,CB16&lt;=BI16),SUM($AT16,$AU16,$AV16,IF($Q16="Y",$BB16,0),$BP16/1000*$BD16,CB16*$BG16,IF(CB16&gt;30,(CB16-30)*$BK16,0),IF(CB16&gt;75,(CB16-75)*$BL16,0),IF(CB16&lt;35,$BM16,0),$AX16,$AY16),"")</f>
        <v/>
      </c>
      <c r="CH16" s="103"/>
      <c r="CI16" s="119" t="str">
        <f t="shared" si="9"/>
        <v>WRR0347_CFLscw-3way(15w)</v>
      </c>
      <c r="CJ16" s="174">
        <f t="shared" si="7"/>
        <v>52</v>
      </c>
      <c r="CK16" s="113">
        <f t="shared" ref="CK16:CK79" si="21">IF(AND(CJ16&gt;=BH16,CJ16&lt;=BI16),SUM($AT16,$AU16,$AV16,IF($Q16="Y",$BB16,0),$BP16/1000*$BD16,CJ16*$BG16,IF(CJ16&gt;30,(CJ16-30)*$BK16,0),IF(CJ16&gt;75,(CJ16-75)*$BL16,0),IF(CJ16&lt;35,$BM16,0),$BA16),"")</f>
        <v>1.5666000000000002</v>
      </c>
      <c r="CL16" s="108">
        <f t="shared" ref="CL16:CL79" si="22">IF(AND(CJ16&gt;=BH16,CJ16&lt;=BI16),SUM($AT16,$AU16,$AV16,IF($Q16="Y",$BB16,0),$BP16/1000*$BD16,CJ16*$BG16,IF(CJ16&gt;30,(CJ16-30)*$BK16,0),IF(CJ16&gt;75,(CJ16-75)*$BL16,0),IF(CJ16&lt;35,$BM16,0)),"")</f>
        <v>4.0296000000000003</v>
      </c>
      <c r="CM16" s="108">
        <f t="shared" ref="CM16:CM79" si="23">IF(AND(CJ16&gt;=BH16,CJ16&lt;=BI16),SUM($AT16,$AU16,$AV16,IF($Q16="Y",$BB16,0),$BP16/1000*$BD16,CJ16*$BG16,IF(CJ16&gt;30,(CJ16-30)*$BK16,0),IF(CJ16&gt;75,(CJ16-75)*$BL16,0),IF(CJ16&lt;35,$BM16,0),$AX16),"")</f>
        <v>2.3396000000000003</v>
      </c>
      <c r="CN16" s="108">
        <f t="shared" ref="CN16:CN79" si="24">IF(AND(CJ16&gt;=BH16,CJ16&lt;=BI16),SUM($AT16,$AU16,$AV16,IF($Q16="Y",$BB16,0),$BP16/1000*$BD16,CJ16*$BG16,IF(CJ16&gt;30,(CJ16-30)*$BK16,0),IF(CJ16&gt;75,(CJ16-75)*$BL16,0),IF(CJ16&lt;35,$BM16,0),$AX16,$AY16),"")</f>
        <v>1.1796000000000004</v>
      </c>
      <c r="CO16" s="108">
        <f t="shared" ref="CO16:CO79" si="25">IF(AND(CJ16&gt;=BH16,CJ16&lt;=BI16),SUM($AT16,$AU16,$AV16,IF($Q16="Y",$BB16,0),$BP16/1000*$BD16,CJ16*$BG16,IF(CJ16&gt;30,(CJ16-30)*$BK16,0),IF(CJ16&gt;75,(CJ16-75)*$BL16,0),IF(CJ16&lt;35,$BM16,0),$AX16,$AY16),"")</f>
        <v>1.1796000000000004</v>
      </c>
      <c r="CP16" s="103"/>
    </row>
    <row r="17" spans="1:93">
      <c r="A17" s="103" t="s">
        <v>180</v>
      </c>
      <c r="B17" s="103" t="s">
        <v>165</v>
      </c>
      <c r="C17" s="103" t="s">
        <v>152</v>
      </c>
      <c r="D17" s="250" t="s">
        <v>153</v>
      </c>
      <c r="E17" s="250">
        <v>82</v>
      </c>
      <c r="F17" s="182">
        <v>9020</v>
      </c>
      <c r="G17" s="250" t="s">
        <v>175</v>
      </c>
      <c r="H17" s="250">
        <v>16</v>
      </c>
      <c r="I17" s="250"/>
      <c r="J17" s="250"/>
      <c r="K17" s="250"/>
      <c r="L17" s="250" t="s">
        <v>61</v>
      </c>
      <c r="M17" s="250">
        <v>16</v>
      </c>
      <c r="N17" s="250"/>
      <c r="O17" s="250"/>
      <c r="P17" s="250" t="s">
        <v>153</v>
      </c>
      <c r="Q17" s="250" t="s">
        <v>176</v>
      </c>
      <c r="R17" s="250"/>
      <c r="S17" s="250"/>
      <c r="T17" s="250" t="s">
        <v>155</v>
      </c>
      <c r="U17" s="103" t="s">
        <v>181</v>
      </c>
      <c r="V17" s="106" t="s">
        <v>157</v>
      </c>
      <c r="W17" s="103" t="s">
        <v>81</v>
      </c>
      <c r="X17" s="103">
        <f>IFERROR(MATCH(W17,'CostModel Coef'!$C$9:$C$12,0),0)</f>
        <v>1</v>
      </c>
      <c r="Y17" s="103"/>
      <c r="Z17" s="103">
        <f>IF($X17&gt;0,INDEX('CostModel Coef'!D$9:D$12,$X17),"")</f>
        <v>3.0430000000000001</v>
      </c>
      <c r="AA17" s="103">
        <f>IF($X17&gt;0,INDEX('CostModel Coef'!E$9:E$12,$X17),"")</f>
        <v>-0.14966150225589619</v>
      </c>
      <c r="AB17" s="103">
        <f>IF($X17&gt;0,INDEX('CostModel Coef'!F$9:F$12,$X17),"")</f>
        <v>0.52692151711335011</v>
      </c>
      <c r="AC17" s="103">
        <f>IF($X17&gt;0,INDEX('CostModel Coef'!G$9:G$12,$X17),"")</f>
        <v>1.8411</v>
      </c>
      <c r="AD17" s="103">
        <f>IF($X17&gt;0,INDEX('CostModel Coef'!H$9:H$12,$X17),"")</f>
        <v>-1.8050999999999999</v>
      </c>
      <c r="AE17" s="103">
        <f>IF($X17&gt;0,INDEX('CostModel Coef'!J$9:J$12,$X17),"")</f>
        <v>-1.1288</v>
      </c>
      <c r="AF17" s="103">
        <f>IF($X17&gt;0,INDEX('CostModel Coef'!K$9:K$12,$X17),"")</f>
        <v>-1.845</v>
      </c>
      <c r="AG17" s="103">
        <f>IF($X17&gt;0,INDEX('CostModel Coef'!L$9:L$12,$X17),"")</f>
        <v>6.7507000000000001</v>
      </c>
      <c r="AH17" s="103">
        <f>IF($X17&gt;0,INDEX('CostModel Coef'!M$9:M$12,$X17),"")</f>
        <v>5.8051000000000004</v>
      </c>
      <c r="AI17" s="103">
        <f>IF($X17&gt;0,INDEX('CostModel Coef'!N$9:N$12,$X17),"")</f>
        <v>6.1600000000000002E-2</v>
      </c>
      <c r="AJ17" s="103">
        <f>IF($X17&gt;0,INDEX('CostModel Coef'!Q$9:Q$12,$X17),"")</f>
        <v>6.6500000000000004E-2</v>
      </c>
      <c r="AK17" s="103">
        <f>IF($X17&gt;0,INDEX('CostModel Coef'!T$9:T$12,$X17),"")</f>
        <v>9.35E-2</v>
      </c>
      <c r="AL17" s="103"/>
      <c r="AM17" s="108">
        <f t="shared" si="1"/>
        <v>9.9455920148574535</v>
      </c>
      <c r="AN17" s="108">
        <f t="shared" si="2"/>
        <v>11.790592014857454</v>
      </c>
      <c r="AO17" s="108">
        <f t="shared" si="3"/>
        <v>9.9854920148574546</v>
      </c>
      <c r="AP17" s="108">
        <f t="shared" si="4"/>
        <v>9.9854920148574546</v>
      </c>
      <c r="AQ17" s="108">
        <f t="shared" si="5"/>
        <v>8.8566920148574546</v>
      </c>
      <c r="AR17" s="108"/>
      <c r="AS17" s="108"/>
      <c r="AT17" s="103">
        <f>IF($X17&gt;0,INDEX('CostModel Coef'!D$13:D$16,$X17),"")</f>
        <v>2.1320000000000001</v>
      </c>
      <c r="AU17" s="103">
        <f>IF($X17&gt;0,INDEX('CostModel Coef'!E$13:E$16,$X17),"")</f>
        <v>0.23699999999999999</v>
      </c>
      <c r="AV17" s="103">
        <f>IF($X17&gt;0,INDEX('CostModel Coef'!F$13:F$16,$X17),"")</f>
        <v>0.59899999999999998</v>
      </c>
      <c r="AW17" s="103">
        <f>IF($X17&gt;0,INDEX('CostModel Coef'!G$13:G$16,$X17),"")</f>
        <v>0</v>
      </c>
      <c r="AX17" s="103">
        <f>IF($X17&gt;0,INDEX('CostModel Coef'!H$13:H$16,$X17),"")</f>
        <v>-1.69</v>
      </c>
      <c r="AY17" s="103">
        <f>IF($X17&gt;0,INDEX('CostModel Coef'!I$13:I$16,$X17),"")</f>
        <v>-1.1599999999999999</v>
      </c>
      <c r="AZ17" s="103">
        <f>IF($X17&gt;0,INDEX('CostModel Coef'!J$13:J$16,$X17),"")</f>
        <v>0</v>
      </c>
      <c r="BA17" s="103">
        <f>IF($X17&gt;0,INDEX('CostModel Coef'!K$13:K$16,$X17),"")</f>
        <v>-2.4630000000000001</v>
      </c>
      <c r="BB17" s="103">
        <f>IF($X17&gt;0,INDEX('CostModel Coef'!L$13:L$16,$X17),"")</f>
        <v>0.46179999999999999</v>
      </c>
      <c r="BC17" s="103">
        <f>IF($X17&gt;0,INDEX('CostModel Coef'!M$13:M$16,$X17),"")</f>
        <v>0</v>
      </c>
      <c r="BD17" s="103">
        <f>IF($X17&gt;0,INDEX('CostModel Coef'!N$13:N$16,$X17),"")</f>
        <v>0.19869999999999999</v>
      </c>
      <c r="BE17" s="103">
        <f>IF($X17&gt;0,INDEX('CostModel Coef'!O$13:O$16,$X17),"")</f>
        <v>0.6</v>
      </c>
      <c r="BF17" s="103">
        <f>IF($X17&gt;0,INDEX('CostModel Coef'!P$13:P$16,$X17),"")</f>
        <v>15</v>
      </c>
      <c r="BG17" s="103">
        <f>IF($X17&gt;0,INDEX('CostModel Coef'!Q$13:Q$16,$X17),"")</f>
        <v>0</v>
      </c>
      <c r="BH17" s="103">
        <f>IF($X17&gt;0,INDEX('CostModel Coef'!R$13:R$16,$X17),"")</f>
        <v>3</v>
      </c>
      <c r="BI17" s="103">
        <f>IF($X17&gt;0,INDEX('CostModel Coef'!S$13:S$16,$X17),"")</f>
        <v>150</v>
      </c>
      <c r="BJ17" s="103">
        <f>IF($X17&gt;0,INDEX('CostModel Coef'!T$13:T$16,$X17),"")</f>
        <v>0</v>
      </c>
      <c r="BK17" s="103">
        <f>IF($X17&gt;0,INDEX('CostModel Coef'!U$13:U$16,$X17),"")</f>
        <v>9.1999999999999998E-3</v>
      </c>
      <c r="BL17" s="103">
        <f>IF($X17&gt;0,INDEX('CostModel Coef'!V$13:V$16,$X17),"")</f>
        <v>-8.8000000000000005E-3</v>
      </c>
      <c r="BM17" s="103">
        <f>IF($X17&gt;0,INDEX('CostModel Coef'!W$13:W$16,$X17),"")</f>
        <v>0</v>
      </c>
      <c r="BN17" s="103">
        <f>IF($X17&gt;0,INDEX('CostModel Coef'!X$13:X$16,$X17),"")</f>
        <v>0</v>
      </c>
      <c r="BO17" s="103"/>
      <c r="BP17" s="119">
        <v>2000</v>
      </c>
      <c r="BQ17" s="103"/>
      <c r="BR17" s="103"/>
      <c r="BS17" s="119" t="str">
        <f t="shared" si="8"/>
        <v>WRR0347_CFLscw-3way(16w)</v>
      </c>
      <c r="BT17" s="174">
        <f t="shared" si="0"/>
        <v>56</v>
      </c>
      <c r="BU17" s="113">
        <f t="shared" si="10"/>
        <v>1.6034000000000006</v>
      </c>
      <c r="BV17" s="108">
        <f t="shared" si="11"/>
        <v>4.0664000000000007</v>
      </c>
      <c r="BW17" s="108">
        <f t="shared" si="12"/>
        <v>2.3764000000000007</v>
      </c>
      <c r="BX17" s="108">
        <f t="shared" si="13"/>
        <v>1.2164000000000008</v>
      </c>
      <c r="BY17" s="108">
        <f t="shared" si="14"/>
        <v>1.2164000000000008</v>
      </c>
      <c r="BZ17" s="108"/>
      <c r="CA17" s="119" t="str">
        <f t="shared" si="15"/>
        <v/>
      </c>
      <c r="CB17" s="180">
        <v>-1</v>
      </c>
      <c r="CC17" s="113" t="str">
        <f t="shared" si="16"/>
        <v/>
      </c>
      <c r="CD17" s="108" t="str">
        <f t="shared" si="17"/>
        <v/>
      </c>
      <c r="CE17" s="108" t="str">
        <f t="shared" si="18"/>
        <v/>
      </c>
      <c r="CF17" s="108" t="str">
        <f t="shared" si="19"/>
        <v/>
      </c>
      <c r="CG17" s="108" t="str">
        <f t="shared" si="20"/>
        <v/>
      </c>
      <c r="CH17" s="103"/>
      <c r="CI17" s="119" t="str">
        <f t="shared" si="9"/>
        <v>WRR0347_CFLscw-3way(16w)</v>
      </c>
      <c r="CJ17" s="174">
        <f t="shared" si="7"/>
        <v>56</v>
      </c>
      <c r="CK17" s="113">
        <f t="shared" si="21"/>
        <v>1.6034000000000006</v>
      </c>
      <c r="CL17" s="108">
        <f t="shared" si="22"/>
        <v>4.0664000000000007</v>
      </c>
      <c r="CM17" s="108">
        <f t="shared" si="23"/>
        <v>2.3764000000000007</v>
      </c>
      <c r="CN17" s="108">
        <f t="shared" si="24"/>
        <v>1.2164000000000008</v>
      </c>
      <c r="CO17" s="108">
        <f t="shared" si="25"/>
        <v>1.2164000000000008</v>
      </c>
    </row>
    <row r="18" spans="1:93">
      <c r="A18" s="103" t="s">
        <v>182</v>
      </c>
      <c r="B18" s="103" t="s">
        <v>165</v>
      </c>
      <c r="C18" s="103" t="s">
        <v>152</v>
      </c>
      <c r="D18" s="250" t="s">
        <v>153</v>
      </c>
      <c r="E18" s="250">
        <v>82</v>
      </c>
      <c r="F18" s="182">
        <v>9020</v>
      </c>
      <c r="G18" s="250" t="s">
        <v>175</v>
      </c>
      <c r="H18" s="250">
        <v>17</v>
      </c>
      <c r="I18" s="250"/>
      <c r="J18" s="250"/>
      <c r="K18" s="250"/>
      <c r="L18" s="250" t="s">
        <v>61</v>
      </c>
      <c r="M18" s="250">
        <v>17</v>
      </c>
      <c r="N18" s="250"/>
      <c r="O18" s="250"/>
      <c r="P18" s="250" t="s">
        <v>153</v>
      </c>
      <c r="Q18" s="250" t="s">
        <v>176</v>
      </c>
      <c r="R18" s="250"/>
      <c r="S18" s="250"/>
      <c r="T18" s="250" t="s">
        <v>155</v>
      </c>
      <c r="U18" s="103" t="s">
        <v>183</v>
      </c>
      <c r="V18" s="106" t="s">
        <v>157</v>
      </c>
      <c r="W18" s="103" t="s">
        <v>81</v>
      </c>
      <c r="X18" s="103">
        <f>IFERROR(MATCH(W18,'CostModel Coef'!$C$9:$C$12,0),0)</f>
        <v>1</v>
      </c>
      <c r="Y18" s="103"/>
      <c r="Z18" s="103">
        <f>IF($X18&gt;0,INDEX('CostModel Coef'!D$9:D$12,$X18),"")</f>
        <v>3.0430000000000001</v>
      </c>
      <c r="AA18" s="103">
        <f>IF($X18&gt;0,INDEX('CostModel Coef'!E$9:E$12,$X18),"")</f>
        <v>-0.14966150225589619</v>
      </c>
      <c r="AB18" s="103">
        <f>IF($X18&gt;0,INDEX('CostModel Coef'!F$9:F$12,$X18),"")</f>
        <v>0.52692151711335011</v>
      </c>
      <c r="AC18" s="103">
        <f>IF($X18&gt;0,INDEX('CostModel Coef'!G$9:G$12,$X18),"")</f>
        <v>1.8411</v>
      </c>
      <c r="AD18" s="103">
        <f>IF($X18&gt;0,INDEX('CostModel Coef'!H$9:H$12,$X18),"")</f>
        <v>-1.8050999999999999</v>
      </c>
      <c r="AE18" s="103">
        <f>IF($X18&gt;0,INDEX('CostModel Coef'!J$9:J$12,$X18),"")</f>
        <v>-1.1288</v>
      </c>
      <c r="AF18" s="103">
        <f>IF($X18&gt;0,INDEX('CostModel Coef'!K$9:K$12,$X18),"")</f>
        <v>-1.845</v>
      </c>
      <c r="AG18" s="103">
        <f>IF($X18&gt;0,INDEX('CostModel Coef'!L$9:L$12,$X18),"")</f>
        <v>6.7507000000000001</v>
      </c>
      <c r="AH18" s="103">
        <f>IF($X18&gt;0,INDEX('CostModel Coef'!M$9:M$12,$X18),"")</f>
        <v>5.8051000000000004</v>
      </c>
      <c r="AI18" s="103">
        <f>IF($X18&gt;0,INDEX('CostModel Coef'!N$9:N$12,$X18),"")</f>
        <v>6.1600000000000002E-2</v>
      </c>
      <c r="AJ18" s="103">
        <f>IF($X18&gt;0,INDEX('CostModel Coef'!Q$9:Q$12,$X18),"")</f>
        <v>6.6500000000000004E-2</v>
      </c>
      <c r="AK18" s="103">
        <f>IF($X18&gt;0,INDEX('CostModel Coef'!T$9:T$12,$X18),"")</f>
        <v>9.35E-2</v>
      </c>
      <c r="AL18" s="103"/>
      <c r="AM18" s="108">
        <f t="shared" si="1"/>
        <v>10.012092014857453</v>
      </c>
      <c r="AN18" s="108">
        <f t="shared" si="2"/>
        <v>11.857092014857454</v>
      </c>
      <c r="AO18" s="108">
        <f t="shared" si="3"/>
        <v>10.051992014857454</v>
      </c>
      <c r="AP18" s="108">
        <f t="shared" si="4"/>
        <v>10.051992014857454</v>
      </c>
      <c r="AQ18" s="108">
        <f t="shared" si="5"/>
        <v>8.9231920148574542</v>
      </c>
      <c r="AR18" s="108"/>
      <c r="AS18" s="108"/>
      <c r="AT18" s="103">
        <f>IF($X18&gt;0,INDEX('CostModel Coef'!D$13:D$16,$X18),"")</f>
        <v>2.1320000000000001</v>
      </c>
      <c r="AU18" s="103">
        <f>IF($X18&gt;0,INDEX('CostModel Coef'!E$13:E$16,$X18),"")</f>
        <v>0.23699999999999999</v>
      </c>
      <c r="AV18" s="103">
        <f>IF($X18&gt;0,INDEX('CostModel Coef'!F$13:F$16,$X18),"")</f>
        <v>0.59899999999999998</v>
      </c>
      <c r="AW18" s="103">
        <f>IF($X18&gt;0,INDEX('CostModel Coef'!G$13:G$16,$X18),"")</f>
        <v>0</v>
      </c>
      <c r="AX18" s="103">
        <f>IF($X18&gt;0,INDEX('CostModel Coef'!H$13:H$16,$X18),"")</f>
        <v>-1.69</v>
      </c>
      <c r="AY18" s="103">
        <f>IF($X18&gt;0,INDEX('CostModel Coef'!I$13:I$16,$X18),"")</f>
        <v>-1.1599999999999999</v>
      </c>
      <c r="AZ18" s="103">
        <f>IF($X18&gt;0,INDEX('CostModel Coef'!J$13:J$16,$X18),"")</f>
        <v>0</v>
      </c>
      <c r="BA18" s="103">
        <f>IF($X18&gt;0,INDEX('CostModel Coef'!K$13:K$16,$X18),"")</f>
        <v>-2.4630000000000001</v>
      </c>
      <c r="BB18" s="103">
        <f>IF($X18&gt;0,INDEX('CostModel Coef'!L$13:L$16,$X18),"")</f>
        <v>0.46179999999999999</v>
      </c>
      <c r="BC18" s="103">
        <f>IF($X18&gt;0,INDEX('CostModel Coef'!M$13:M$16,$X18),"")</f>
        <v>0</v>
      </c>
      <c r="BD18" s="103">
        <f>IF($X18&gt;0,INDEX('CostModel Coef'!N$13:N$16,$X18),"")</f>
        <v>0.19869999999999999</v>
      </c>
      <c r="BE18" s="103">
        <f>IF($X18&gt;0,INDEX('CostModel Coef'!O$13:O$16,$X18),"")</f>
        <v>0.6</v>
      </c>
      <c r="BF18" s="103">
        <f>IF($X18&gt;0,INDEX('CostModel Coef'!P$13:P$16,$X18),"")</f>
        <v>15</v>
      </c>
      <c r="BG18" s="103">
        <f>IF($X18&gt;0,INDEX('CostModel Coef'!Q$13:Q$16,$X18),"")</f>
        <v>0</v>
      </c>
      <c r="BH18" s="103">
        <f>IF($X18&gt;0,INDEX('CostModel Coef'!R$13:R$16,$X18),"")</f>
        <v>3</v>
      </c>
      <c r="BI18" s="103">
        <f>IF($X18&gt;0,INDEX('CostModel Coef'!S$13:S$16,$X18),"")</f>
        <v>150</v>
      </c>
      <c r="BJ18" s="103">
        <f>IF($X18&gt;0,INDEX('CostModel Coef'!T$13:T$16,$X18),"")</f>
        <v>0</v>
      </c>
      <c r="BK18" s="103">
        <f>IF($X18&gt;0,INDEX('CostModel Coef'!U$13:U$16,$X18),"")</f>
        <v>9.1999999999999998E-3</v>
      </c>
      <c r="BL18" s="103">
        <f>IF($X18&gt;0,INDEX('CostModel Coef'!V$13:V$16,$X18),"")</f>
        <v>-8.8000000000000005E-3</v>
      </c>
      <c r="BM18" s="103">
        <f>IF($X18&gt;0,INDEX('CostModel Coef'!W$13:W$16,$X18),"")</f>
        <v>0</v>
      </c>
      <c r="BN18" s="103">
        <f>IF($X18&gt;0,INDEX('CostModel Coef'!X$13:X$16,$X18),"")</f>
        <v>0</v>
      </c>
      <c r="BO18" s="103"/>
      <c r="BP18" s="119">
        <v>2000</v>
      </c>
      <c r="BQ18" s="103"/>
      <c r="BR18" s="103"/>
      <c r="BS18" s="119" t="str">
        <f t="shared" si="8"/>
        <v>WRR0347_CFLscw-3way(17w)</v>
      </c>
      <c r="BT18" s="174">
        <f t="shared" si="0"/>
        <v>59</v>
      </c>
      <c r="BU18" s="113">
        <f t="shared" si="10"/>
        <v>1.6310000000000002</v>
      </c>
      <c r="BV18" s="108">
        <f t="shared" si="11"/>
        <v>4.0940000000000003</v>
      </c>
      <c r="BW18" s="108">
        <f t="shared" si="12"/>
        <v>2.4040000000000004</v>
      </c>
      <c r="BX18" s="108">
        <f t="shared" si="13"/>
        <v>1.2440000000000004</v>
      </c>
      <c r="BY18" s="108">
        <f t="shared" si="14"/>
        <v>1.2440000000000004</v>
      </c>
      <c r="BZ18" s="108"/>
      <c r="CA18" s="119" t="str">
        <f t="shared" si="15"/>
        <v/>
      </c>
      <c r="CB18" s="180">
        <v>-1</v>
      </c>
      <c r="CC18" s="113" t="str">
        <f t="shared" si="16"/>
        <v/>
      </c>
      <c r="CD18" s="108" t="str">
        <f t="shared" si="17"/>
        <v/>
      </c>
      <c r="CE18" s="108" t="str">
        <f t="shared" si="18"/>
        <v/>
      </c>
      <c r="CF18" s="108" t="str">
        <f t="shared" si="19"/>
        <v/>
      </c>
      <c r="CG18" s="108" t="str">
        <f t="shared" si="20"/>
        <v/>
      </c>
      <c r="CH18" s="103"/>
      <c r="CI18" s="119" t="str">
        <f t="shared" si="9"/>
        <v>WRR0347_CFLscw-3way(17w)</v>
      </c>
      <c r="CJ18" s="174">
        <f t="shared" si="7"/>
        <v>59</v>
      </c>
      <c r="CK18" s="113">
        <f t="shared" si="21"/>
        <v>1.6310000000000002</v>
      </c>
      <c r="CL18" s="108">
        <f t="shared" si="22"/>
        <v>4.0940000000000003</v>
      </c>
      <c r="CM18" s="108">
        <f t="shared" si="23"/>
        <v>2.4040000000000004</v>
      </c>
      <c r="CN18" s="108">
        <f t="shared" si="24"/>
        <v>1.2440000000000004</v>
      </c>
      <c r="CO18" s="108">
        <f t="shared" si="25"/>
        <v>1.2440000000000004</v>
      </c>
    </row>
    <row r="19" spans="1:93">
      <c r="A19" s="103" t="s">
        <v>184</v>
      </c>
      <c r="B19" s="103" t="s">
        <v>165</v>
      </c>
      <c r="C19" s="103" t="s">
        <v>152</v>
      </c>
      <c r="D19" s="250" t="s">
        <v>153</v>
      </c>
      <c r="E19" s="250">
        <v>82</v>
      </c>
      <c r="F19" s="182">
        <v>9020</v>
      </c>
      <c r="G19" s="250" t="s">
        <v>175</v>
      </c>
      <c r="H19" s="250">
        <v>18</v>
      </c>
      <c r="I19" s="250"/>
      <c r="J19" s="250"/>
      <c r="K19" s="250"/>
      <c r="L19" s="250" t="s">
        <v>61</v>
      </c>
      <c r="M19" s="250">
        <v>18</v>
      </c>
      <c r="N19" s="250"/>
      <c r="O19" s="250"/>
      <c r="P19" s="250" t="s">
        <v>153</v>
      </c>
      <c r="Q19" s="250" t="s">
        <v>176</v>
      </c>
      <c r="R19" s="250"/>
      <c r="S19" s="250"/>
      <c r="T19" s="250" t="s">
        <v>155</v>
      </c>
      <c r="U19" s="103" t="s">
        <v>185</v>
      </c>
      <c r="V19" s="106" t="s">
        <v>157</v>
      </c>
      <c r="W19" s="103" t="s">
        <v>81</v>
      </c>
      <c r="X19" s="103">
        <f>IFERROR(MATCH(W19,'CostModel Coef'!$C$9:$C$12,0),0)</f>
        <v>1</v>
      </c>
      <c r="Y19" s="103"/>
      <c r="Z19" s="103">
        <f>IF($X19&gt;0,INDEX('CostModel Coef'!D$9:D$12,$X19),"")</f>
        <v>3.0430000000000001</v>
      </c>
      <c r="AA19" s="103">
        <f>IF($X19&gt;0,INDEX('CostModel Coef'!E$9:E$12,$X19),"")</f>
        <v>-0.14966150225589619</v>
      </c>
      <c r="AB19" s="103">
        <f>IF($X19&gt;0,INDEX('CostModel Coef'!F$9:F$12,$X19),"")</f>
        <v>0.52692151711335011</v>
      </c>
      <c r="AC19" s="103">
        <f>IF($X19&gt;0,INDEX('CostModel Coef'!G$9:G$12,$X19),"")</f>
        <v>1.8411</v>
      </c>
      <c r="AD19" s="103">
        <f>IF($X19&gt;0,INDEX('CostModel Coef'!H$9:H$12,$X19),"")</f>
        <v>-1.8050999999999999</v>
      </c>
      <c r="AE19" s="103">
        <f>IF($X19&gt;0,INDEX('CostModel Coef'!J$9:J$12,$X19),"")</f>
        <v>-1.1288</v>
      </c>
      <c r="AF19" s="103">
        <f>IF($X19&gt;0,INDEX('CostModel Coef'!K$9:K$12,$X19),"")</f>
        <v>-1.845</v>
      </c>
      <c r="AG19" s="103">
        <f>IF($X19&gt;0,INDEX('CostModel Coef'!L$9:L$12,$X19),"")</f>
        <v>6.7507000000000001</v>
      </c>
      <c r="AH19" s="103">
        <f>IF($X19&gt;0,INDEX('CostModel Coef'!M$9:M$12,$X19),"")</f>
        <v>5.8051000000000004</v>
      </c>
      <c r="AI19" s="103">
        <f>IF($X19&gt;0,INDEX('CostModel Coef'!N$9:N$12,$X19),"")</f>
        <v>6.1600000000000002E-2</v>
      </c>
      <c r="AJ19" s="103">
        <f>IF($X19&gt;0,INDEX('CostModel Coef'!Q$9:Q$12,$X19),"")</f>
        <v>6.6500000000000004E-2</v>
      </c>
      <c r="AK19" s="103">
        <f>IF($X19&gt;0,INDEX('CostModel Coef'!T$9:T$12,$X19),"")</f>
        <v>9.35E-2</v>
      </c>
      <c r="AL19" s="103"/>
      <c r="AM19" s="108">
        <f t="shared" si="1"/>
        <v>10.078592014857454</v>
      </c>
      <c r="AN19" s="108">
        <f t="shared" si="2"/>
        <v>11.923592014857455</v>
      </c>
      <c r="AO19" s="108">
        <f t="shared" si="3"/>
        <v>10.118492014857456</v>
      </c>
      <c r="AP19" s="108">
        <f t="shared" si="4"/>
        <v>10.118492014857456</v>
      </c>
      <c r="AQ19" s="108">
        <f t="shared" si="5"/>
        <v>8.9896920148574555</v>
      </c>
      <c r="AR19" s="108"/>
      <c r="AS19" s="108"/>
      <c r="AT19" s="103">
        <f>IF($X19&gt;0,INDEX('CostModel Coef'!D$13:D$16,$X19),"")</f>
        <v>2.1320000000000001</v>
      </c>
      <c r="AU19" s="103">
        <f>IF($X19&gt;0,INDEX('CostModel Coef'!E$13:E$16,$X19),"")</f>
        <v>0.23699999999999999</v>
      </c>
      <c r="AV19" s="103">
        <f>IF($X19&gt;0,INDEX('CostModel Coef'!F$13:F$16,$X19),"")</f>
        <v>0.59899999999999998</v>
      </c>
      <c r="AW19" s="103">
        <f>IF($X19&gt;0,INDEX('CostModel Coef'!G$13:G$16,$X19),"")</f>
        <v>0</v>
      </c>
      <c r="AX19" s="103">
        <f>IF($X19&gt;0,INDEX('CostModel Coef'!H$13:H$16,$X19),"")</f>
        <v>-1.69</v>
      </c>
      <c r="AY19" s="103">
        <f>IF($X19&gt;0,INDEX('CostModel Coef'!I$13:I$16,$X19),"")</f>
        <v>-1.1599999999999999</v>
      </c>
      <c r="AZ19" s="103">
        <f>IF($X19&gt;0,INDEX('CostModel Coef'!J$13:J$16,$X19),"")</f>
        <v>0</v>
      </c>
      <c r="BA19" s="103">
        <f>IF($X19&gt;0,INDEX('CostModel Coef'!K$13:K$16,$X19),"")</f>
        <v>-2.4630000000000001</v>
      </c>
      <c r="BB19" s="103">
        <f>IF($X19&gt;0,INDEX('CostModel Coef'!L$13:L$16,$X19),"")</f>
        <v>0.46179999999999999</v>
      </c>
      <c r="BC19" s="103">
        <f>IF($X19&gt;0,INDEX('CostModel Coef'!M$13:M$16,$X19),"")</f>
        <v>0</v>
      </c>
      <c r="BD19" s="103">
        <f>IF($X19&gt;0,INDEX('CostModel Coef'!N$13:N$16,$X19),"")</f>
        <v>0.19869999999999999</v>
      </c>
      <c r="BE19" s="103">
        <f>IF($X19&gt;0,INDEX('CostModel Coef'!O$13:O$16,$X19),"")</f>
        <v>0.6</v>
      </c>
      <c r="BF19" s="103">
        <f>IF($X19&gt;0,INDEX('CostModel Coef'!P$13:P$16,$X19),"")</f>
        <v>15</v>
      </c>
      <c r="BG19" s="103">
        <f>IF($X19&gt;0,INDEX('CostModel Coef'!Q$13:Q$16,$X19),"")</f>
        <v>0</v>
      </c>
      <c r="BH19" s="103">
        <f>IF($X19&gt;0,INDEX('CostModel Coef'!R$13:R$16,$X19),"")</f>
        <v>3</v>
      </c>
      <c r="BI19" s="103">
        <f>IF($X19&gt;0,INDEX('CostModel Coef'!S$13:S$16,$X19),"")</f>
        <v>150</v>
      </c>
      <c r="BJ19" s="103">
        <f>IF($X19&gt;0,INDEX('CostModel Coef'!T$13:T$16,$X19),"")</f>
        <v>0</v>
      </c>
      <c r="BK19" s="103">
        <f>IF($X19&gt;0,INDEX('CostModel Coef'!U$13:U$16,$X19),"")</f>
        <v>9.1999999999999998E-3</v>
      </c>
      <c r="BL19" s="103">
        <f>IF($X19&gt;0,INDEX('CostModel Coef'!V$13:V$16,$X19),"")</f>
        <v>-8.8000000000000005E-3</v>
      </c>
      <c r="BM19" s="103">
        <f>IF($X19&gt;0,INDEX('CostModel Coef'!W$13:W$16,$X19),"")</f>
        <v>0</v>
      </c>
      <c r="BN19" s="103">
        <f>IF($X19&gt;0,INDEX('CostModel Coef'!X$13:X$16,$X19),"")</f>
        <v>0</v>
      </c>
      <c r="BO19" s="103"/>
      <c r="BP19" s="119">
        <v>2000</v>
      </c>
      <c r="BQ19" s="103"/>
      <c r="BR19" s="103"/>
      <c r="BS19" s="119" t="str">
        <f t="shared" si="8"/>
        <v>WRR0347_CFLscw-3way(18w)</v>
      </c>
      <c r="BT19" s="174">
        <f t="shared" si="0"/>
        <v>62</v>
      </c>
      <c r="BU19" s="113">
        <f t="shared" si="10"/>
        <v>1.6586000000000007</v>
      </c>
      <c r="BV19" s="108">
        <f t="shared" si="11"/>
        <v>4.1216000000000008</v>
      </c>
      <c r="BW19" s="108">
        <f t="shared" si="12"/>
        <v>2.4316000000000009</v>
      </c>
      <c r="BX19" s="108">
        <f t="shared" si="13"/>
        <v>1.271600000000001</v>
      </c>
      <c r="BY19" s="108">
        <f t="shared" si="14"/>
        <v>1.271600000000001</v>
      </c>
      <c r="BZ19" s="108"/>
      <c r="CA19" s="119" t="str">
        <f t="shared" si="15"/>
        <v/>
      </c>
      <c r="CB19" s="180">
        <v>-1</v>
      </c>
      <c r="CC19" s="113" t="str">
        <f t="shared" si="16"/>
        <v/>
      </c>
      <c r="CD19" s="108" t="str">
        <f t="shared" si="17"/>
        <v/>
      </c>
      <c r="CE19" s="108" t="str">
        <f t="shared" si="18"/>
        <v/>
      </c>
      <c r="CF19" s="108" t="str">
        <f t="shared" si="19"/>
        <v/>
      </c>
      <c r="CG19" s="108" t="str">
        <f t="shared" si="20"/>
        <v/>
      </c>
      <c r="CH19" s="103"/>
      <c r="CI19" s="119" t="str">
        <f t="shared" si="9"/>
        <v>WRR0347_CFLscw-3way(18w)</v>
      </c>
      <c r="CJ19" s="174">
        <f t="shared" si="7"/>
        <v>62</v>
      </c>
      <c r="CK19" s="113">
        <f t="shared" si="21"/>
        <v>1.6586000000000007</v>
      </c>
      <c r="CL19" s="108">
        <f t="shared" si="22"/>
        <v>4.1216000000000008</v>
      </c>
      <c r="CM19" s="108">
        <f t="shared" si="23"/>
        <v>2.4316000000000009</v>
      </c>
      <c r="CN19" s="108">
        <f t="shared" si="24"/>
        <v>1.271600000000001</v>
      </c>
      <c r="CO19" s="108">
        <f t="shared" si="25"/>
        <v>1.271600000000001</v>
      </c>
    </row>
    <row r="20" spans="1:93">
      <c r="A20" s="103" t="s">
        <v>186</v>
      </c>
      <c r="B20" s="103" t="s">
        <v>165</v>
      </c>
      <c r="C20" s="103" t="s">
        <v>152</v>
      </c>
      <c r="D20" s="250" t="s">
        <v>153</v>
      </c>
      <c r="E20" s="250">
        <v>82</v>
      </c>
      <c r="F20" s="182">
        <v>9020</v>
      </c>
      <c r="G20" s="250" t="s">
        <v>175</v>
      </c>
      <c r="H20" s="250">
        <v>19</v>
      </c>
      <c r="I20" s="250"/>
      <c r="J20" s="250"/>
      <c r="K20" s="250"/>
      <c r="L20" s="250" t="s">
        <v>61</v>
      </c>
      <c r="M20" s="250">
        <v>19</v>
      </c>
      <c r="N20" s="250"/>
      <c r="O20" s="250"/>
      <c r="P20" s="250" t="s">
        <v>153</v>
      </c>
      <c r="Q20" s="250" t="s">
        <v>176</v>
      </c>
      <c r="R20" s="250"/>
      <c r="S20" s="250"/>
      <c r="T20" s="250" t="s">
        <v>155</v>
      </c>
      <c r="U20" s="103" t="s">
        <v>187</v>
      </c>
      <c r="V20" s="106" t="s">
        <v>157</v>
      </c>
      <c r="W20" s="103" t="s">
        <v>81</v>
      </c>
      <c r="X20" s="103">
        <f>IFERROR(MATCH(W20,'CostModel Coef'!$C$9:$C$12,0),0)</f>
        <v>1</v>
      </c>
      <c r="Y20" s="103"/>
      <c r="Z20" s="103">
        <f>IF($X20&gt;0,INDEX('CostModel Coef'!D$9:D$12,$X20),"")</f>
        <v>3.0430000000000001</v>
      </c>
      <c r="AA20" s="103">
        <f>IF($X20&gt;0,INDEX('CostModel Coef'!E$9:E$12,$X20),"")</f>
        <v>-0.14966150225589619</v>
      </c>
      <c r="AB20" s="103">
        <f>IF($X20&gt;0,INDEX('CostModel Coef'!F$9:F$12,$X20),"")</f>
        <v>0.52692151711335011</v>
      </c>
      <c r="AC20" s="103">
        <f>IF($X20&gt;0,INDEX('CostModel Coef'!G$9:G$12,$X20),"")</f>
        <v>1.8411</v>
      </c>
      <c r="AD20" s="103">
        <f>IF($X20&gt;0,INDEX('CostModel Coef'!H$9:H$12,$X20),"")</f>
        <v>-1.8050999999999999</v>
      </c>
      <c r="AE20" s="103">
        <f>IF($X20&gt;0,INDEX('CostModel Coef'!J$9:J$12,$X20),"")</f>
        <v>-1.1288</v>
      </c>
      <c r="AF20" s="103">
        <f>IF($X20&gt;0,INDEX('CostModel Coef'!K$9:K$12,$X20),"")</f>
        <v>-1.845</v>
      </c>
      <c r="AG20" s="103">
        <f>IF($X20&gt;0,INDEX('CostModel Coef'!L$9:L$12,$X20),"")</f>
        <v>6.7507000000000001</v>
      </c>
      <c r="AH20" s="103">
        <f>IF($X20&gt;0,INDEX('CostModel Coef'!M$9:M$12,$X20),"")</f>
        <v>5.8051000000000004</v>
      </c>
      <c r="AI20" s="103">
        <f>IF($X20&gt;0,INDEX('CostModel Coef'!N$9:N$12,$X20),"")</f>
        <v>6.1600000000000002E-2</v>
      </c>
      <c r="AJ20" s="103">
        <f>IF($X20&gt;0,INDEX('CostModel Coef'!Q$9:Q$12,$X20),"")</f>
        <v>6.6500000000000004E-2</v>
      </c>
      <c r="AK20" s="103">
        <f>IF($X20&gt;0,INDEX('CostModel Coef'!T$9:T$12,$X20),"")</f>
        <v>9.35E-2</v>
      </c>
      <c r="AL20" s="103"/>
      <c r="AM20" s="108">
        <f t="shared" si="1"/>
        <v>10.145092014857454</v>
      </c>
      <c r="AN20" s="108">
        <f t="shared" si="2"/>
        <v>11.990092014857455</v>
      </c>
      <c r="AO20" s="108">
        <f t="shared" si="3"/>
        <v>10.184992014857455</v>
      </c>
      <c r="AP20" s="108">
        <f t="shared" si="4"/>
        <v>10.184992014857455</v>
      </c>
      <c r="AQ20" s="108">
        <f t="shared" si="5"/>
        <v>9.0561920148574551</v>
      </c>
      <c r="AR20" s="108"/>
      <c r="AS20" s="108"/>
      <c r="AT20" s="103">
        <f>IF($X20&gt;0,INDEX('CostModel Coef'!D$13:D$16,$X20),"")</f>
        <v>2.1320000000000001</v>
      </c>
      <c r="AU20" s="103">
        <f>IF($X20&gt;0,INDEX('CostModel Coef'!E$13:E$16,$X20),"")</f>
        <v>0.23699999999999999</v>
      </c>
      <c r="AV20" s="103">
        <f>IF($X20&gt;0,INDEX('CostModel Coef'!F$13:F$16,$X20),"")</f>
        <v>0.59899999999999998</v>
      </c>
      <c r="AW20" s="103">
        <f>IF($X20&gt;0,INDEX('CostModel Coef'!G$13:G$16,$X20),"")</f>
        <v>0</v>
      </c>
      <c r="AX20" s="103">
        <f>IF($X20&gt;0,INDEX('CostModel Coef'!H$13:H$16,$X20),"")</f>
        <v>-1.69</v>
      </c>
      <c r="AY20" s="103">
        <f>IF($X20&gt;0,INDEX('CostModel Coef'!I$13:I$16,$X20),"")</f>
        <v>-1.1599999999999999</v>
      </c>
      <c r="AZ20" s="103">
        <f>IF($X20&gt;0,INDEX('CostModel Coef'!J$13:J$16,$X20),"")</f>
        <v>0</v>
      </c>
      <c r="BA20" s="103">
        <f>IF($X20&gt;0,INDEX('CostModel Coef'!K$13:K$16,$X20),"")</f>
        <v>-2.4630000000000001</v>
      </c>
      <c r="BB20" s="103">
        <f>IF($X20&gt;0,INDEX('CostModel Coef'!L$13:L$16,$X20),"")</f>
        <v>0.46179999999999999</v>
      </c>
      <c r="BC20" s="103">
        <f>IF($X20&gt;0,INDEX('CostModel Coef'!M$13:M$16,$X20),"")</f>
        <v>0</v>
      </c>
      <c r="BD20" s="103">
        <f>IF($X20&gt;0,INDEX('CostModel Coef'!N$13:N$16,$X20),"")</f>
        <v>0.19869999999999999</v>
      </c>
      <c r="BE20" s="103">
        <f>IF($X20&gt;0,INDEX('CostModel Coef'!O$13:O$16,$X20),"")</f>
        <v>0.6</v>
      </c>
      <c r="BF20" s="103">
        <f>IF($X20&gt;0,INDEX('CostModel Coef'!P$13:P$16,$X20),"")</f>
        <v>15</v>
      </c>
      <c r="BG20" s="103">
        <f>IF($X20&gt;0,INDEX('CostModel Coef'!Q$13:Q$16,$X20),"")</f>
        <v>0</v>
      </c>
      <c r="BH20" s="103">
        <f>IF($X20&gt;0,INDEX('CostModel Coef'!R$13:R$16,$X20),"")</f>
        <v>3</v>
      </c>
      <c r="BI20" s="103">
        <f>IF($X20&gt;0,INDEX('CostModel Coef'!S$13:S$16,$X20),"")</f>
        <v>150</v>
      </c>
      <c r="BJ20" s="103">
        <f>IF($X20&gt;0,INDEX('CostModel Coef'!T$13:T$16,$X20),"")</f>
        <v>0</v>
      </c>
      <c r="BK20" s="103">
        <f>IF($X20&gt;0,INDEX('CostModel Coef'!U$13:U$16,$X20),"")</f>
        <v>9.1999999999999998E-3</v>
      </c>
      <c r="BL20" s="103">
        <f>IF($X20&gt;0,INDEX('CostModel Coef'!V$13:V$16,$X20),"")</f>
        <v>-8.8000000000000005E-3</v>
      </c>
      <c r="BM20" s="103">
        <f>IF($X20&gt;0,INDEX('CostModel Coef'!W$13:W$16,$X20),"")</f>
        <v>0</v>
      </c>
      <c r="BN20" s="103">
        <f>IF($X20&gt;0,INDEX('CostModel Coef'!X$13:X$16,$X20),"")</f>
        <v>0</v>
      </c>
      <c r="BO20" s="103"/>
      <c r="BP20" s="119">
        <v>2000</v>
      </c>
      <c r="BQ20" s="103"/>
      <c r="BR20" s="103"/>
      <c r="BS20" s="119" t="str">
        <f t="shared" si="8"/>
        <v>WRR0347_CFLscw-3way(19w)</v>
      </c>
      <c r="BT20" s="174">
        <f t="shared" si="0"/>
        <v>66</v>
      </c>
      <c r="BU20" s="113">
        <f t="shared" si="10"/>
        <v>1.6954000000000002</v>
      </c>
      <c r="BV20" s="108">
        <f t="shared" si="11"/>
        <v>4.1584000000000003</v>
      </c>
      <c r="BW20" s="108">
        <f t="shared" si="12"/>
        <v>2.4684000000000004</v>
      </c>
      <c r="BX20" s="108">
        <f t="shared" si="13"/>
        <v>1.3084000000000005</v>
      </c>
      <c r="BY20" s="108">
        <f t="shared" si="14"/>
        <v>1.3084000000000005</v>
      </c>
      <c r="BZ20" s="108"/>
      <c r="CA20" s="119" t="str">
        <f t="shared" si="15"/>
        <v/>
      </c>
      <c r="CB20" s="180">
        <v>-1</v>
      </c>
      <c r="CC20" s="113" t="str">
        <f t="shared" si="16"/>
        <v/>
      </c>
      <c r="CD20" s="108" t="str">
        <f t="shared" si="17"/>
        <v/>
      </c>
      <c r="CE20" s="108" t="str">
        <f t="shared" si="18"/>
        <v/>
      </c>
      <c r="CF20" s="108" t="str">
        <f t="shared" si="19"/>
        <v/>
      </c>
      <c r="CG20" s="108" t="str">
        <f t="shared" si="20"/>
        <v/>
      </c>
      <c r="CH20" s="103"/>
      <c r="CI20" s="119" t="str">
        <f t="shared" si="9"/>
        <v>WRR0347_CFLscw-3way(19w)</v>
      </c>
      <c r="CJ20" s="174">
        <f t="shared" si="7"/>
        <v>66</v>
      </c>
      <c r="CK20" s="113">
        <f t="shared" si="21"/>
        <v>1.6954000000000002</v>
      </c>
      <c r="CL20" s="108">
        <f t="shared" si="22"/>
        <v>4.1584000000000003</v>
      </c>
      <c r="CM20" s="108">
        <f t="shared" si="23"/>
        <v>2.4684000000000004</v>
      </c>
      <c r="CN20" s="108">
        <f t="shared" si="24"/>
        <v>1.3084000000000005</v>
      </c>
      <c r="CO20" s="108">
        <f t="shared" si="25"/>
        <v>1.3084000000000005</v>
      </c>
    </row>
    <row r="21" spans="1:93">
      <c r="A21" s="103" t="s">
        <v>188</v>
      </c>
      <c r="B21" s="103" t="s">
        <v>165</v>
      </c>
      <c r="C21" s="103" t="s">
        <v>152</v>
      </c>
      <c r="D21" s="250" t="s">
        <v>153</v>
      </c>
      <c r="E21" s="250">
        <v>82</v>
      </c>
      <c r="F21" s="182">
        <v>9020</v>
      </c>
      <c r="G21" s="250" t="s">
        <v>175</v>
      </c>
      <c r="H21" s="250">
        <v>20</v>
      </c>
      <c r="I21" s="250"/>
      <c r="J21" s="250"/>
      <c r="K21" s="250"/>
      <c r="L21" s="250" t="s">
        <v>61</v>
      </c>
      <c r="M21" s="250">
        <v>20</v>
      </c>
      <c r="N21" s="250"/>
      <c r="O21" s="250"/>
      <c r="P21" s="250" t="s">
        <v>153</v>
      </c>
      <c r="Q21" s="250" t="s">
        <v>176</v>
      </c>
      <c r="R21" s="250"/>
      <c r="S21" s="250"/>
      <c r="T21" s="250" t="s">
        <v>155</v>
      </c>
      <c r="U21" s="103" t="s">
        <v>189</v>
      </c>
      <c r="V21" s="106" t="s">
        <v>157</v>
      </c>
      <c r="W21" s="103" t="s">
        <v>81</v>
      </c>
      <c r="X21" s="103">
        <f>IFERROR(MATCH(W21,'CostModel Coef'!$C$9:$C$12,0),0)</f>
        <v>1</v>
      </c>
      <c r="Y21" s="103"/>
      <c r="Z21" s="103">
        <f>IF($X21&gt;0,INDEX('CostModel Coef'!D$9:D$12,$X21),"")</f>
        <v>3.0430000000000001</v>
      </c>
      <c r="AA21" s="103">
        <f>IF($X21&gt;0,INDEX('CostModel Coef'!E$9:E$12,$X21),"")</f>
        <v>-0.14966150225589619</v>
      </c>
      <c r="AB21" s="103">
        <f>IF($X21&gt;0,INDEX('CostModel Coef'!F$9:F$12,$X21),"")</f>
        <v>0.52692151711335011</v>
      </c>
      <c r="AC21" s="103">
        <f>IF($X21&gt;0,INDEX('CostModel Coef'!G$9:G$12,$X21),"")</f>
        <v>1.8411</v>
      </c>
      <c r="AD21" s="103">
        <f>IF($X21&gt;0,INDEX('CostModel Coef'!H$9:H$12,$X21),"")</f>
        <v>-1.8050999999999999</v>
      </c>
      <c r="AE21" s="103">
        <f>IF($X21&gt;0,INDEX('CostModel Coef'!J$9:J$12,$X21),"")</f>
        <v>-1.1288</v>
      </c>
      <c r="AF21" s="103">
        <f>IF($X21&gt;0,INDEX('CostModel Coef'!K$9:K$12,$X21),"")</f>
        <v>-1.845</v>
      </c>
      <c r="AG21" s="103">
        <f>IF($X21&gt;0,INDEX('CostModel Coef'!L$9:L$12,$X21),"")</f>
        <v>6.7507000000000001</v>
      </c>
      <c r="AH21" s="103">
        <f>IF($X21&gt;0,INDEX('CostModel Coef'!M$9:M$12,$X21),"")</f>
        <v>5.8051000000000004</v>
      </c>
      <c r="AI21" s="103">
        <f>IF($X21&gt;0,INDEX('CostModel Coef'!N$9:N$12,$X21),"")</f>
        <v>6.1600000000000002E-2</v>
      </c>
      <c r="AJ21" s="103">
        <f>IF($X21&gt;0,INDEX('CostModel Coef'!Q$9:Q$12,$X21),"")</f>
        <v>6.6500000000000004E-2</v>
      </c>
      <c r="AK21" s="103">
        <f>IF($X21&gt;0,INDEX('CostModel Coef'!T$9:T$12,$X21),"")</f>
        <v>9.35E-2</v>
      </c>
      <c r="AL21" s="103"/>
      <c r="AM21" s="108">
        <f t="shared" si="1"/>
        <v>10.211592014857453</v>
      </c>
      <c r="AN21" s="108">
        <f t="shared" si="2"/>
        <v>12.056592014857454</v>
      </c>
      <c r="AO21" s="108">
        <f t="shared" si="3"/>
        <v>10.251492014857455</v>
      </c>
      <c r="AP21" s="108">
        <f t="shared" si="4"/>
        <v>10.251492014857455</v>
      </c>
      <c r="AQ21" s="108">
        <f t="shared" si="5"/>
        <v>9.1226920148574546</v>
      </c>
      <c r="AR21" s="108"/>
      <c r="AS21" s="108"/>
      <c r="AT21" s="103">
        <f>IF($X21&gt;0,INDEX('CostModel Coef'!D$13:D$16,$X21),"")</f>
        <v>2.1320000000000001</v>
      </c>
      <c r="AU21" s="103">
        <f>IF($X21&gt;0,INDEX('CostModel Coef'!E$13:E$16,$X21),"")</f>
        <v>0.23699999999999999</v>
      </c>
      <c r="AV21" s="103">
        <f>IF($X21&gt;0,INDEX('CostModel Coef'!F$13:F$16,$X21),"")</f>
        <v>0.59899999999999998</v>
      </c>
      <c r="AW21" s="103">
        <f>IF($X21&gt;0,INDEX('CostModel Coef'!G$13:G$16,$X21),"")</f>
        <v>0</v>
      </c>
      <c r="AX21" s="103">
        <f>IF($X21&gt;0,INDEX('CostModel Coef'!H$13:H$16,$X21),"")</f>
        <v>-1.69</v>
      </c>
      <c r="AY21" s="103">
        <f>IF($X21&gt;0,INDEX('CostModel Coef'!I$13:I$16,$X21),"")</f>
        <v>-1.1599999999999999</v>
      </c>
      <c r="AZ21" s="103">
        <f>IF($X21&gt;0,INDEX('CostModel Coef'!J$13:J$16,$X21),"")</f>
        <v>0</v>
      </c>
      <c r="BA21" s="103">
        <f>IF($X21&gt;0,INDEX('CostModel Coef'!K$13:K$16,$X21),"")</f>
        <v>-2.4630000000000001</v>
      </c>
      <c r="BB21" s="103">
        <f>IF($X21&gt;0,INDEX('CostModel Coef'!L$13:L$16,$X21),"")</f>
        <v>0.46179999999999999</v>
      </c>
      <c r="BC21" s="103">
        <f>IF($X21&gt;0,INDEX('CostModel Coef'!M$13:M$16,$X21),"")</f>
        <v>0</v>
      </c>
      <c r="BD21" s="103">
        <f>IF($X21&gt;0,INDEX('CostModel Coef'!N$13:N$16,$X21),"")</f>
        <v>0.19869999999999999</v>
      </c>
      <c r="BE21" s="103">
        <f>IF($X21&gt;0,INDEX('CostModel Coef'!O$13:O$16,$X21),"")</f>
        <v>0.6</v>
      </c>
      <c r="BF21" s="103">
        <f>IF($X21&gt;0,INDEX('CostModel Coef'!P$13:P$16,$X21),"")</f>
        <v>15</v>
      </c>
      <c r="BG21" s="103">
        <f>IF($X21&gt;0,INDEX('CostModel Coef'!Q$13:Q$16,$X21),"")</f>
        <v>0</v>
      </c>
      <c r="BH21" s="103">
        <f>IF($X21&gt;0,INDEX('CostModel Coef'!R$13:R$16,$X21),"")</f>
        <v>3</v>
      </c>
      <c r="BI21" s="103">
        <f>IF($X21&gt;0,INDEX('CostModel Coef'!S$13:S$16,$X21),"")</f>
        <v>150</v>
      </c>
      <c r="BJ21" s="103">
        <f>IF($X21&gt;0,INDEX('CostModel Coef'!T$13:T$16,$X21),"")</f>
        <v>0</v>
      </c>
      <c r="BK21" s="103">
        <f>IF($X21&gt;0,INDEX('CostModel Coef'!U$13:U$16,$X21),"")</f>
        <v>9.1999999999999998E-3</v>
      </c>
      <c r="BL21" s="103">
        <f>IF($X21&gt;0,INDEX('CostModel Coef'!V$13:V$16,$X21),"")</f>
        <v>-8.8000000000000005E-3</v>
      </c>
      <c r="BM21" s="103">
        <f>IF($X21&gt;0,INDEX('CostModel Coef'!W$13:W$16,$X21),"")</f>
        <v>0</v>
      </c>
      <c r="BN21" s="103">
        <f>IF($X21&gt;0,INDEX('CostModel Coef'!X$13:X$16,$X21),"")</f>
        <v>0</v>
      </c>
      <c r="BO21" s="103"/>
      <c r="BP21" s="119">
        <v>2000</v>
      </c>
      <c r="BQ21" s="103"/>
      <c r="BR21" s="103"/>
      <c r="BS21" s="119" t="str">
        <f t="shared" si="8"/>
        <v>WRR0347_CFLscw-3way(20w)</v>
      </c>
      <c r="BT21" s="174">
        <f t="shared" si="0"/>
        <v>69</v>
      </c>
      <c r="BU21" s="113">
        <f t="shared" si="10"/>
        <v>1.7229999999999999</v>
      </c>
      <c r="BV21" s="108">
        <f t="shared" si="11"/>
        <v>4.1859999999999999</v>
      </c>
      <c r="BW21" s="108">
        <f t="shared" si="12"/>
        <v>2.496</v>
      </c>
      <c r="BX21" s="108">
        <f t="shared" si="13"/>
        <v>1.3360000000000001</v>
      </c>
      <c r="BY21" s="108">
        <f t="shared" si="14"/>
        <v>1.3360000000000001</v>
      </c>
      <c r="BZ21" s="108"/>
      <c r="CA21" s="119" t="str">
        <f t="shared" si="15"/>
        <v/>
      </c>
      <c r="CB21" s="180">
        <v>-1</v>
      </c>
      <c r="CC21" s="113" t="str">
        <f t="shared" si="16"/>
        <v/>
      </c>
      <c r="CD21" s="108" t="str">
        <f t="shared" si="17"/>
        <v/>
      </c>
      <c r="CE21" s="108" t="str">
        <f t="shared" si="18"/>
        <v/>
      </c>
      <c r="CF21" s="108" t="str">
        <f t="shared" si="19"/>
        <v/>
      </c>
      <c r="CG21" s="108" t="str">
        <f t="shared" si="20"/>
        <v/>
      </c>
      <c r="CH21" s="103"/>
      <c r="CI21" s="119" t="str">
        <f t="shared" si="9"/>
        <v>WRR0347_CFLscw-3way(20w)</v>
      </c>
      <c r="CJ21" s="174">
        <f t="shared" si="7"/>
        <v>69</v>
      </c>
      <c r="CK21" s="113">
        <f t="shared" si="21"/>
        <v>1.7229999999999999</v>
      </c>
      <c r="CL21" s="108">
        <f t="shared" si="22"/>
        <v>4.1859999999999999</v>
      </c>
      <c r="CM21" s="108">
        <f t="shared" si="23"/>
        <v>2.496</v>
      </c>
      <c r="CN21" s="108">
        <f t="shared" si="24"/>
        <v>1.3360000000000001</v>
      </c>
      <c r="CO21" s="108">
        <f t="shared" si="25"/>
        <v>1.3360000000000001</v>
      </c>
    </row>
    <row r="22" spans="1:93">
      <c r="A22" s="103" t="s">
        <v>190</v>
      </c>
      <c r="B22" s="103" t="s">
        <v>165</v>
      </c>
      <c r="C22" s="103" t="s">
        <v>152</v>
      </c>
      <c r="D22" s="250" t="s">
        <v>153</v>
      </c>
      <c r="E22" s="250">
        <v>82</v>
      </c>
      <c r="F22" s="182">
        <v>9020</v>
      </c>
      <c r="G22" s="250" t="s">
        <v>175</v>
      </c>
      <c r="H22" s="250">
        <v>21</v>
      </c>
      <c r="I22" s="250"/>
      <c r="J22" s="250"/>
      <c r="K22" s="250"/>
      <c r="L22" s="250" t="s">
        <v>61</v>
      </c>
      <c r="M22" s="250">
        <v>21</v>
      </c>
      <c r="N22" s="250"/>
      <c r="O22" s="250"/>
      <c r="P22" s="250" t="s">
        <v>153</v>
      </c>
      <c r="Q22" s="250" t="s">
        <v>176</v>
      </c>
      <c r="R22" s="250"/>
      <c r="S22" s="250"/>
      <c r="T22" s="250" t="s">
        <v>155</v>
      </c>
      <c r="U22" s="103" t="s">
        <v>191</v>
      </c>
      <c r="V22" s="106" t="s">
        <v>157</v>
      </c>
      <c r="W22" s="103" t="s">
        <v>81</v>
      </c>
      <c r="X22" s="103">
        <f>IFERROR(MATCH(W22,'CostModel Coef'!$C$9:$C$12,0),0)</f>
        <v>1</v>
      </c>
      <c r="Y22" s="103"/>
      <c r="Z22" s="103">
        <f>IF($X22&gt;0,INDEX('CostModel Coef'!D$9:D$12,$X22),"")</f>
        <v>3.0430000000000001</v>
      </c>
      <c r="AA22" s="103">
        <f>IF($X22&gt;0,INDEX('CostModel Coef'!E$9:E$12,$X22),"")</f>
        <v>-0.14966150225589619</v>
      </c>
      <c r="AB22" s="103">
        <f>IF($X22&gt;0,INDEX('CostModel Coef'!F$9:F$12,$X22),"")</f>
        <v>0.52692151711335011</v>
      </c>
      <c r="AC22" s="103">
        <f>IF($X22&gt;0,INDEX('CostModel Coef'!G$9:G$12,$X22),"")</f>
        <v>1.8411</v>
      </c>
      <c r="AD22" s="103">
        <f>IF($X22&gt;0,INDEX('CostModel Coef'!H$9:H$12,$X22),"")</f>
        <v>-1.8050999999999999</v>
      </c>
      <c r="AE22" s="103">
        <f>IF($X22&gt;0,INDEX('CostModel Coef'!J$9:J$12,$X22),"")</f>
        <v>-1.1288</v>
      </c>
      <c r="AF22" s="103">
        <f>IF($X22&gt;0,INDEX('CostModel Coef'!K$9:K$12,$X22),"")</f>
        <v>-1.845</v>
      </c>
      <c r="AG22" s="103">
        <f>IF($X22&gt;0,INDEX('CostModel Coef'!L$9:L$12,$X22),"")</f>
        <v>6.7507000000000001</v>
      </c>
      <c r="AH22" s="103">
        <f>IF($X22&gt;0,INDEX('CostModel Coef'!M$9:M$12,$X22),"")</f>
        <v>5.8051000000000004</v>
      </c>
      <c r="AI22" s="103">
        <f>IF($X22&gt;0,INDEX('CostModel Coef'!N$9:N$12,$X22),"")</f>
        <v>6.1600000000000002E-2</v>
      </c>
      <c r="AJ22" s="103">
        <f>IF($X22&gt;0,INDEX('CostModel Coef'!Q$9:Q$12,$X22),"")</f>
        <v>6.6500000000000004E-2</v>
      </c>
      <c r="AK22" s="103">
        <f>IF($X22&gt;0,INDEX('CostModel Coef'!T$9:T$12,$X22),"")</f>
        <v>9.35E-2</v>
      </c>
      <c r="AL22" s="103"/>
      <c r="AM22" s="108">
        <f t="shared" si="1"/>
        <v>10.278092014857453</v>
      </c>
      <c r="AN22" s="108">
        <f t="shared" si="2"/>
        <v>12.123092014857454</v>
      </c>
      <c r="AO22" s="108">
        <f t="shared" si="3"/>
        <v>10.317992014857454</v>
      </c>
      <c r="AP22" s="108">
        <f t="shared" si="4"/>
        <v>10.317992014857454</v>
      </c>
      <c r="AQ22" s="108">
        <f t="shared" si="5"/>
        <v>9.1891920148574542</v>
      </c>
      <c r="AR22" s="108"/>
      <c r="AS22" s="108"/>
      <c r="AT22" s="103">
        <f>IF($X22&gt;0,INDEX('CostModel Coef'!D$13:D$16,$X22),"")</f>
        <v>2.1320000000000001</v>
      </c>
      <c r="AU22" s="103">
        <f>IF($X22&gt;0,INDEX('CostModel Coef'!E$13:E$16,$X22),"")</f>
        <v>0.23699999999999999</v>
      </c>
      <c r="AV22" s="103">
        <f>IF($X22&gt;0,INDEX('CostModel Coef'!F$13:F$16,$X22),"")</f>
        <v>0.59899999999999998</v>
      </c>
      <c r="AW22" s="103">
        <f>IF($X22&gt;0,INDEX('CostModel Coef'!G$13:G$16,$X22),"")</f>
        <v>0</v>
      </c>
      <c r="AX22" s="103">
        <f>IF($X22&gt;0,INDEX('CostModel Coef'!H$13:H$16,$X22),"")</f>
        <v>-1.69</v>
      </c>
      <c r="AY22" s="103">
        <f>IF($X22&gt;0,INDEX('CostModel Coef'!I$13:I$16,$X22),"")</f>
        <v>-1.1599999999999999</v>
      </c>
      <c r="AZ22" s="103">
        <f>IF($X22&gt;0,INDEX('CostModel Coef'!J$13:J$16,$X22),"")</f>
        <v>0</v>
      </c>
      <c r="BA22" s="103">
        <f>IF($X22&gt;0,INDEX('CostModel Coef'!K$13:K$16,$X22),"")</f>
        <v>-2.4630000000000001</v>
      </c>
      <c r="BB22" s="103">
        <f>IF($X22&gt;0,INDEX('CostModel Coef'!L$13:L$16,$X22),"")</f>
        <v>0.46179999999999999</v>
      </c>
      <c r="BC22" s="103">
        <f>IF($X22&gt;0,INDEX('CostModel Coef'!M$13:M$16,$X22),"")</f>
        <v>0</v>
      </c>
      <c r="BD22" s="103">
        <f>IF($X22&gt;0,INDEX('CostModel Coef'!N$13:N$16,$X22),"")</f>
        <v>0.19869999999999999</v>
      </c>
      <c r="BE22" s="103">
        <f>IF($X22&gt;0,INDEX('CostModel Coef'!O$13:O$16,$X22),"")</f>
        <v>0.6</v>
      </c>
      <c r="BF22" s="103">
        <f>IF($X22&gt;0,INDEX('CostModel Coef'!P$13:P$16,$X22),"")</f>
        <v>15</v>
      </c>
      <c r="BG22" s="103">
        <f>IF($X22&gt;0,INDEX('CostModel Coef'!Q$13:Q$16,$X22),"")</f>
        <v>0</v>
      </c>
      <c r="BH22" s="103">
        <f>IF($X22&gt;0,INDEX('CostModel Coef'!R$13:R$16,$X22),"")</f>
        <v>3</v>
      </c>
      <c r="BI22" s="103">
        <f>IF($X22&gt;0,INDEX('CostModel Coef'!S$13:S$16,$X22),"")</f>
        <v>150</v>
      </c>
      <c r="BJ22" s="103">
        <f>IF($X22&gt;0,INDEX('CostModel Coef'!T$13:T$16,$X22),"")</f>
        <v>0</v>
      </c>
      <c r="BK22" s="103">
        <f>IF($X22&gt;0,INDEX('CostModel Coef'!U$13:U$16,$X22),"")</f>
        <v>9.1999999999999998E-3</v>
      </c>
      <c r="BL22" s="103">
        <f>IF($X22&gt;0,INDEX('CostModel Coef'!V$13:V$16,$X22),"")</f>
        <v>-8.8000000000000005E-3</v>
      </c>
      <c r="BM22" s="103">
        <f>IF($X22&gt;0,INDEX('CostModel Coef'!W$13:W$16,$X22),"")</f>
        <v>0</v>
      </c>
      <c r="BN22" s="103">
        <f>IF($X22&gt;0,INDEX('CostModel Coef'!X$13:X$16,$X22),"")</f>
        <v>0</v>
      </c>
      <c r="BO22" s="103"/>
      <c r="BP22" s="119">
        <v>2000</v>
      </c>
      <c r="BQ22" s="103"/>
      <c r="BR22" s="103"/>
      <c r="BS22" s="119" t="str">
        <f t="shared" si="8"/>
        <v>WRR0347_CFLscw-3way(21w)</v>
      </c>
      <c r="BT22" s="174">
        <f t="shared" si="0"/>
        <v>73</v>
      </c>
      <c r="BU22" s="113">
        <f t="shared" si="10"/>
        <v>1.7598000000000003</v>
      </c>
      <c r="BV22" s="108">
        <f t="shared" si="11"/>
        <v>4.2228000000000003</v>
      </c>
      <c r="BW22" s="108">
        <f t="shared" si="12"/>
        <v>2.5328000000000004</v>
      </c>
      <c r="BX22" s="108">
        <f t="shared" si="13"/>
        <v>1.3728000000000005</v>
      </c>
      <c r="BY22" s="108">
        <f t="shared" si="14"/>
        <v>1.3728000000000005</v>
      </c>
      <c r="BZ22" s="108"/>
      <c r="CA22" s="119" t="str">
        <f t="shared" si="15"/>
        <v/>
      </c>
      <c r="CB22" s="180">
        <v>-1</v>
      </c>
      <c r="CC22" s="113" t="str">
        <f t="shared" si="16"/>
        <v/>
      </c>
      <c r="CD22" s="108" t="str">
        <f t="shared" si="17"/>
        <v/>
      </c>
      <c r="CE22" s="108" t="str">
        <f t="shared" si="18"/>
        <v/>
      </c>
      <c r="CF22" s="108" t="str">
        <f t="shared" si="19"/>
        <v/>
      </c>
      <c r="CG22" s="108" t="str">
        <f t="shared" si="20"/>
        <v/>
      </c>
      <c r="CH22" s="103"/>
      <c r="CI22" s="119" t="str">
        <f t="shared" si="9"/>
        <v>WRR0347_CFLscw-3way(21w)</v>
      </c>
      <c r="CJ22" s="174">
        <f t="shared" si="7"/>
        <v>73</v>
      </c>
      <c r="CK22" s="113">
        <f t="shared" si="21"/>
        <v>1.7598000000000003</v>
      </c>
      <c r="CL22" s="108">
        <f t="shared" si="22"/>
        <v>4.2228000000000003</v>
      </c>
      <c r="CM22" s="108">
        <f t="shared" si="23"/>
        <v>2.5328000000000004</v>
      </c>
      <c r="CN22" s="108">
        <f t="shared" si="24"/>
        <v>1.3728000000000005</v>
      </c>
      <c r="CO22" s="108">
        <f t="shared" si="25"/>
        <v>1.3728000000000005</v>
      </c>
    </row>
    <row r="23" spans="1:93">
      <c r="A23" s="103" t="s">
        <v>192</v>
      </c>
      <c r="B23" s="103" t="s">
        <v>165</v>
      </c>
      <c r="C23" s="103" t="s">
        <v>152</v>
      </c>
      <c r="D23" s="250" t="s">
        <v>153</v>
      </c>
      <c r="E23" s="250">
        <v>82</v>
      </c>
      <c r="F23" s="182">
        <v>9020</v>
      </c>
      <c r="G23" s="250" t="s">
        <v>175</v>
      </c>
      <c r="H23" s="250">
        <v>22</v>
      </c>
      <c r="I23" s="250"/>
      <c r="J23" s="250"/>
      <c r="K23" s="250"/>
      <c r="L23" s="250" t="s">
        <v>61</v>
      </c>
      <c r="M23" s="250">
        <v>22</v>
      </c>
      <c r="N23" s="250"/>
      <c r="O23" s="250"/>
      <c r="P23" s="250" t="s">
        <v>153</v>
      </c>
      <c r="Q23" s="250" t="s">
        <v>176</v>
      </c>
      <c r="R23" s="250"/>
      <c r="S23" s="250"/>
      <c r="T23" s="250" t="s">
        <v>155</v>
      </c>
      <c r="U23" s="103" t="s">
        <v>193</v>
      </c>
      <c r="V23" s="106" t="s">
        <v>157</v>
      </c>
      <c r="W23" s="103" t="s">
        <v>81</v>
      </c>
      <c r="X23" s="103">
        <f>IFERROR(MATCH(W23,'CostModel Coef'!$C$9:$C$12,0),0)</f>
        <v>1</v>
      </c>
      <c r="Y23" s="103"/>
      <c r="Z23" s="103">
        <f>IF($X23&gt;0,INDEX('CostModel Coef'!D$9:D$12,$X23),"")</f>
        <v>3.0430000000000001</v>
      </c>
      <c r="AA23" s="103">
        <f>IF($X23&gt;0,INDEX('CostModel Coef'!E$9:E$12,$X23),"")</f>
        <v>-0.14966150225589619</v>
      </c>
      <c r="AB23" s="103">
        <f>IF($X23&gt;0,INDEX('CostModel Coef'!F$9:F$12,$X23),"")</f>
        <v>0.52692151711335011</v>
      </c>
      <c r="AC23" s="103">
        <f>IF($X23&gt;0,INDEX('CostModel Coef'!G$9:G$12,$X23),"")</f>
        <v>1.8411</v>
      </c>
      <c r="AD23" s="103">
        <f>IF($X23&gt;0,INDEX('CostModel Coef'!H$9:H$12,$X23),"")</f>
        <v>-1.8050999999999999</v>
      </c>
      <c r="AE23" s="103">
        <f>IF($X23&gt;0,INDEX('CostModel Coef'!J$9:J$12,$X23),"")</f>
        <v>-1.1288</v>
      </c>
      <c r="AF23" s="103">
        <f>IF($X23&gt;0,INDEX('CostModel Coef'!K$9:K$12,$X23),"")</f>
        <v>-1.845</v>
      </c>
      <c r="AG23" s="103">
        <f>IF($X23&gt;0,INDEX('CostModel Coef'!L$9:L$12,$X23),"")</f>
        <v>6.7507000000000001</v>
      </c>
      <c r="AH23" s="103">
        <f>IF($X23&gt;0,INDEX('CostModel Coef'!M$9:M$12,$X23),"")</f>
        <v>5.8051000000000004</v>
      </c>
      <c r="AI23" s="103">
        <f>IF($X23&gt;0,INDEX('CostModel Coef'!N$9:N$12,$X23),"")</f>
        <v>6.1600000000000002E-2</v>
      </c>
      <c r="AJ23" s="103">
        <f>IF($X23&gt;0,INDEX('CostModel Coef'!Q$9:Q$12,$X23),"")</f>
        <v>6.6500000000000004E-2</v>
      </c>
      <c r="AK23" s="103">
        <f>IF($X23&gt;0,INDEX('CostModel Coef'!T$9:T$12,$X23),"")</f>
        <v>9.35E-2</v>
      </c>
      <c r="AL23" s="103"/>
      <c r="AM23" s="108">
        <f t="shared" si="1"/>
        <v>10.344592014857453</v>
      </c>
      <c r="AN23" s="108">
        <f t="shared" si="2"/>
        <v>12.189592014857453</v>
      </c>
      <c r="AO23" s="108">
        <f t="shared" si="3"/>
        <v>10.384492014857454</v>
      </c>
      <c r="AP23" s="108">
        <f t="shared" si="4"/>
        <v>10.384492014857454</v>
      </c>
      <c r="AQ23" s="108">
        <f t="shared" si="5"/>
        <v>9.2556920148574537</v>
      </c>
      <c r="AR23" s="108"/>
      <c r="AS23" s="108"/>
      <c r="AT23" s="103">
        <f>IF($X23&gt;0,INDEX('CostModel Coef'!D$13:D$16,$X23),"")</f>
        <v>2.1320000000000001</v>
      </c>
      <c r="AU23" s="103">
        <f>IF($X23&gt;0,INDEX('CostModel Coef'!E$13:E$16,$X23),"")</f>
        <v>0.23699999999999999</v>
      </c>
      <c r="AV23" s="103">
        <f>IF($X23&gt;0,INDEX('CostModel Coef'!F$13:F$16,$X23),"")</f>
        <v>0.59899999999999998</v>
      </c>
      <c r="AW23" s="103">
        <f>IF($X23&gt;0,INDEX('CostModel Coef'!G$13:G$16,$X23),"")</f>
        <v>0</v>
      </c>
      <c r="AX23" s="103">
        <f>IF($X23&gt;0,INDEX('CostModel Coef'!H$13:H$16,$X23),"")</f>
        <v>-1.69</v>
      </c>
      <c r="AY23" s="103">
        <f>IF($X23&gt;0,INDEX('CostModel Coef'!I$13:I$16,$X23),"")</f>
        <v>-1.1599999999999999</v>
      </c>
      <c r="AZ23" s="103">
        <f>IF($X23&gt;0,INDEX('CostModel Coef'!J$13:J$16,$X23),"")</f>
        <v>0</v>
      </c>
      <c r="BA23" s="103">
        <f>IF($X23&gt;0,INDEX('CostModel Coef'!K$13:K$16,$X23),"")</f>
        <v>-2.4630000000000001</v>
      </c>
      <c r="BB23" s="103">
        <f>IF($X23&gt;0,INDEX('CostModel Coef'!L$13:L$16,$X23),"")</f>
        <v>0.46179999999999999</v>
      </c>
      <c r="BC23" s="103">
        <f>IF($X23&gt;0,INDEX('CostModel Coef'!M$13:M$16,$X23),"")</f>
        <v>0</v>
      </c>
      <c r="BD23" s="103">
        <f>IF($X23&gt;0,INDEX('CostModel Coef'!N$13:N$16,$X23),"")</f>
        <v>0.19869999999999999</v>
      </c>
      <c r="BE23" s="103">
        <f>IF($X23&gt;0,INDEX('CostModel Coef'!O$13:O$16,$X23),"")</f>
        <v>0.6</v>
      </c>
      <c r="BF23" s="103">
        <f>IF($X23&gt;0,INDEX('CostModel Coef'!P$13:P$16,$X23),"")</f>
        <v>15</v>
      </c>
      <c r="BG23" s="103">
        <f>IF($X23&gt;0,INDEX('CostModel Coef'!Q$13:Q$16,$X23),"")</f>
        <v>0</v>
      </c>
      <c r="BH23" s="103">
        <f>IF($X23&gt;0,INDEX('CostModel Coef'!R$13:R$16,$X23),"")</f>
        <v>3</v>
      </c>
      <c r="BI23" s="103">
        <f>IF($X23&gt;0,INDEX('CostModel Coef'!S$13:S$16,$X23),"")</f>
        <v>150</v>
      </c>
      <c r="BJ23" s="103">
        <f>IF($X23&gt;0,INDEX('CostModel Coef'!T$13:T$16,$X23),"")</f>
        <v>0</v>
      </c>
      <c r="BK23" s="103">
        <f>IF($X23&gt;0,INDEX('CostModel Coef'!U$13:U$16,$X23),"")</f>
        <v>9.1999999999999998E-3</v>
      </c>
      <c r="BL23" s="103">
        <f>IF($X23&gt;0,INDEX('CostModel Coef'!V$13:V$16,$X23),"")</f>
        <v>-8.8000000000000005E-3</v>
      </c>
      <c r="BM23" s="103">
        <f>IF($X23&gt;0,INDEX('CostModel Coef'!W$13:W$16,$X23),"")</f>
        <v>0</v>
      </c>
      <c r="BN23" s="103">
        <f>IF($X23&gt;0,INDEX('CostModel Coef'!X$13:X$16,$X23),"")</f>
        <v>0</v>
      </c>
      <c r="BO23" s="103"/>
      <c r="BP23" s="119">
        <v>2000</v>
      </c>
      <c r="BQ23" s="103"/>
      <c r="BR23" s="103"/>
      <c r="BS23" s="119" t="str">
        <f t="shared" si="8"/>
        <v>WRR0347_CFLscw-3way(22w)</v>
      </c>
      <c r="BT23" s="174">
        <f t="shared" si="0"/>
        <v>76</v>
      </c>
      <c r="BU23" s="113">
        <f t="shared" si="10"/>
        <v>1.7786000000000008</v>
      </c>
      <c r="BV23" s="108">
        <f t="shared" si="11"/>
        <v>4.2416000000000009</v>
      </c>
      <c r="BW23" s="108">
        <f t="shared" si="12"/>
        <v>2.551600000000001</v>
      </c>
      <c r="BX23" s="108">
        <f t="shared" si="13"/>
        <v>1.3916000000000011</v>
      </c>
      <c r="BY23" s="108">
        <f t="shared" si="14"/>
        <v>1.3916000000000011</v>
      </c>
      <c r="BZ23" s="108"/>
      <c r="CA23" s="119" t="str">
        <f t="shared" si="15"/>
        <v/>
      </c>
      <c r="CB23" s="180">
        <v>-1</v>
      </c>
      <c r="CC23" s="113" t="str">
        <f t="shared" si="16"/>
        <v/>
      </c>
      <c r="CD23" s="108" t="str">
        <f t="shared" si="17"/>
        <v/>
      </c>
      <c r="CE23" s="108" t="str">
        <f t="shared" si="18"/>
        <v/>
      </c>
      <c r="CF23" s="108" t="str">
        <f t="shared" si="19"/>
        <v/>
      </c>
      <c r="CG23" s="108" t="str">
        <f t="shared" si="20"/>
        <v/>
      </c>
      <c r="CH23" s="103"/>
      <c r="CI23" s="119" t="str">
        <f t="shared" si="9"/>
        <v>WRR0347_CFLscw-3way(22w)</v>
      </c>
      <c r="CJ23" s="174">
        <f t="shared" si="7"/>
        <v>76</v>
      </c>
      <c r="CK23" s="113">
        <f t="shared" si="21"/>
        <v>1.7786000000000008</v>
      </c>
      <c r="CL23" s="108">
        <f t="shared" si="22"/>
        <v>4.2416000000000009</v>
      </c>
      <c r="CM23" s="108">
        <f t="shared" si="23"/>
        <v>2.551600000000001</v>
      </c>
      <c r="CN23" s="108">
        <f t="shared" si="24"/>
        <v>1.3916000000000011</v>
      </c>
      <c r="CO23" s="108">
        <f t="shared" si="25"/>
        <v>1.3916000000000011</v>
      </c>
    </row>
    <row r="24" spans="1:93">
      <c r="A24" s="103" t="s">
        <v>194</v>
      </c>
      <c r="B24" s="103" t="s">
        <v>165</v>
      </c>
      <c r="C24" s="103" t="s">
        <v>152</v>
      </c>
      <c r="D24" s="250" t="s">
        <v>153</v>
      </c>
      <c r="E24" s="250">
        <v>82</v>
      </c>
      <c r="F24" s="182">
        <v>9020</v>
      </c>
      <c r="G24" s="250" t="s">
        <v>175</v>
      </c>
      <c r="H24" s="250">
        <v>23</v>
      </c>
      <c r="I24" s="250"/>
      <c r="J24" s="250"/>
      <c r="K24" s="250"/>
      <c r="L24" s="250" t="s">
        <v>61</v>
      </c>
      <c r="M24" s="250">
        <v>23</v>
      </c>
      <c r="N24" s="250"/>
      <c r="O24" s="250"/>
      <c r="P24" s="250" t="s">
        <v>153</v>
      </c>
      <c r="Q24" s="250" t="s">
        <v>176</v>
      </c>
      <c r="R24" s="250"/>
      <c r="S24" s="250"/>
      <c r="T24" s="250" t="s">
        <v>155</v>
      </c>
      <c r="U24" s="103" t="s">
        <v>195</v>
      </c>
      <c r="V24" s="106" t="s">
        <v>157</v>
      </c>
      <c r="W24" s="103" t="s">
        <v>81</v>
      </c>
      <c r="X24" s="103">
        <f>IFERROR(MATCH(W24,'CostModel Coef'!$C$9:$C$12,0),0)</f>
        <v>1</v>
      </c>
      <c r="Y24" s="103"/>
      <c r="Z24" s="103">
        <f>IF($X24&gt;0,INDEX('CostModel Coef'!D$9:D$12,$X24),"")</f>
        <v>3.0430000000000001</v>
      </c>
      <c r="AA24" s="103">
        <f>IF($X24&gt;0,INDEX('CostModel Coef'!E$9:E$12,$X24),"")</f>
        <v>-0.14966150225589619</v>
      </c>
      <c r="AB24" s="103">
        <f>IF($X24&gt;0,INDEX('CostModel Coef'!F$9:F$12,$X24),"")</f>
        <v>0.52692151711335011</v>
      </c>
      <c r="AC24" s="103">
        <f>IF($X24&gt;0,INDEX('CostModel Coef'!G$9:G$12,$X24),"")</f>
        <v>1.8411</v>
      </c>
      <c r="AD24" s="103">
        <f>IF($X24&gt;0,INDEX('CostModel Coef'!H$9:H$12,$X24),"")</f>
        <v>-1.8050999999999999</v>
      </c>
      <c r="AE24" s="103">
        <f>IF($X24&gt;0,INDEX('CostModel Coef'!J$9:J$12,$X24),"")</f>
        <v>-1.1288</v>
      </c>
      <c r="AF24" s="103">
        <f>IF($X24&gt;0,INDEX('CostModel Coef'!K$9:K$12,$X24),"")</f>
        <v>-1.845</v>
      </c>
      <c r="AG24" s="103">
        <f>IF($X24&gt;0,INDEX('CostModel Coef'!L$9:L$12,$X24),"")</f>
        <v>6.7507000000000001</v>
      </c>
      <c r="AH24" s="103">
        <f>IF($X24&gt;0,INDEX('CostModel Coef'!M$9:M$12,$X24),"")</f>
        <v>5.8051000000000004</v>
      </c>
      <c r="AI24" s="103">
        <f>IF($X24&gt;0,INDEX('CostModel Coef'!N$9:N$12,$X24),"")</f>
        <v>6.1600000000000002E-2</v>
      </c>
      <c r="AJ24" s="103">
        <f>IF($X24&gt;0,INDEX('CostModel Coef'!Q$9:Q$12,$X24),"")</f>
        <v>6.6500000000000004E-2</v>
      </c>
      <c r="AK24" s="103">
        <f>IF($X24&gt;0,INDEX('CostModel Coef'!T$9:T$12,$X24),"")</f>
        <v>9.35E-2</v>
      </c>
      <c r="AL24" s="103"/>
      <c r="AM24" s="108">
        <f t="shared" si="1"/>
        <v>10.411092014857454</v>
      </c>
      <c r="AN24" s="108">
        <f t="shared" si="2"/>
        <v>12.256092014857455</v>
      </c>
      <c r="AO24" s="108">
        <f t="shared" si="3"/>
        <v>10.450992014857455</v>
      </c>
      <c r="AP24" s="108">
        <f t="shared" si="4"/>
        <v>10.450992014857455</v>
      </c>
      <c r="AQ24" s="108">
        <f t="shared" si="5"/>
        <v>9.3221920148574551</v>
      </c>
      <c r="AR24" s="108"/>
      <c r="AS24" s="108"/>
      <c r="AT24" s="103">
        <f>IF($X24&gt;0,INDEX('CostModel Coef'!D$13:D$16,$X24),"")</f>
        <v>2.1320000000000001</v>
      </c>
      <c r="AU24" s="103">
        <f>IF($X24&gt;0,INDEX('CostModel Coef'!E$13:E$16,$X24),"")</f>
        <v>0.23699999999999999</v>
      </c>
      <c r="AV24" s="103">
        <f>IF($X24&gt;0,INDEX('CostModel Coef'!F$13:F$16,$X24),"")</f>
        <v>0.59899999999999998</v>
      </c>
      <c r="AW24" s="103">
        <f>IF($X24&gt;0,INDEX('CostModel Coef'!G$13:G$16,$X24),"")</f>
        <v>0</v>
      </c>
      <c r="AX24" s="103">
        <f>IF($X24&gt;0,INDEX('CostModel Coef'!H$13:H$16,$X24),"")</f>
        <v>-1.69</v>
      </c>
      <c r="AY24" s="103">
        <f>IF($X24&gt;0,INDEX('CostModel Coef'!I$13:I$16,$X24),"")</f>
        <v>-1.1599999999999999</v>
      </c>
      <c r="AZ24" s="103">
        <f>IF($X24&gt;0,INDEX('CostModel Coef'!J$13:J$16,$X24),"")</f>
        <v>0</v>
      </c>
      <c r="BA24" s="103">
        <f>IF($X24&gt;0,INDEX('CostModel Coef'!K$13:K$16,$X24),"")</f>
        <v>-2.4630000000000001</v>
      </c>
      <c r="BB24" s="103">
        <f>IF($X24&gt;0,INDEX('CostModel Coef'!L$13:L$16,$X24),"")</f>
        <v>0.46179999999999999</v>
      </c>
      <c r="BC24" s="103">
        <f>IF($X24&gt;0,INDEX('CostModel Coef'!M$13:M$16,$X24),"")</f>
        <v>0</v>
      </c>
      <c r="BD24" s="103">
        <f>IF($X24&gt;0,INDEX('CostModel Coef'!N$13:N$16,$X24),"")</f>
        <v>0.19869999999999999</v>
      </c>
      <c r="BE24" s="103">
        <f>IF($X24&gt;0,INDEX('CostModel Coef'!O$13:O$16,$X24),"")</f>
        <v>0.6</v>
      </c>
      <c r="BF24" s="103">
        <f>IF($X24&gt;0,INDEX('CostModel Coef'!P$13:P$16,$X24),"")</f>
        <v>15</v>
      </c>
      <c r="BG24" s="103">
        <f>IF($X24&gt;0,INDEX('CostModel Coef'!Q$13:Q$16,$X24),"")</f>
        <v>0</v>
      </c>
      <c r="BH24" s="103">
        <f>IF($X24&gt;0,INDEX('CostModel Coef'!R$13:R$16,$X24),"")</f>
        <v>3</v>
      </c>
      <c r="BI24" s="103">
        <f>IF($X24&gt;0,INDEX('CostModel Coef'!S$13:S$16,$X24),"")</f>
        <v>150</v>
      </c>
      <c r="BJ24" s="103">
        <f>IF($X24&gt;0,INDEX('CostModel Coef'!T$13:T$16,$X24),"")</f>
        <v>0</v>
      </c>
      <c r="BK24" s="103">
        <f>IF($X24&gt;0,INDEX('CostModel Coef'!U$13:U$16,$X24),"")</f>
        <v>9.1999999999999998E-3</v>
      </c>
      <c r="BL24" s="103">
        <f>IF($X24&gt;0,INDEX('CostModel Coef'!V$13:V$16,$X24),"")</f>
        <v>-8.8000000000000005E-3</v>
      </c>
      <c r="BM24" s="103">
        <f>IF($X24&gt;0,INDEX('CostModel Coef'!W$13:W$16,$X24),"")</f>
        <v>0</v>
      </c>
      <c r="BN24" s="103">
        <f>IF($X24&gt;0,INDEX('CostModel Coef'!X$13:X$16,$X24),"")</f>
        <v>0</v>
      </c>
      <c r="BO24" s="103"/>
      <c r="BP24" s="119">
        <v>2000</v>
      </c>
      <c r="BQ24" s="103"/>
      <c r="BR24" s="103"/>
      <c r="BS24" s="119" t="str">
        <f t="shared" si="8"/>
        <v>WRR0347_CFLscw-3way(23w)</v>
      </c>
      <c r="BT24" s="174">
        <f t="shared" si="0"/>
        <v>80</v>
      </c>
      <c r="BU24" s="113">
        <f t="shared" si="10"/>
        <v>1.7802000000000007</v>
      </c>
      <c r="BV24" s="108">
        <f t="shared" si="11"/>
        <v>4.2432000000000007</v>
      </c>
      <c r="BW24" s="108">
        <f t="shared" si="12"/>
        <v>2.5532000000000008</v>
      </c>
      <c r="BX24" s="108">
        <f t="shared" si="13"/>
        <v>1.3932000000000009</v>
      </c>
      <c r="BY24" s="108">
        <f t="shared" si="14"/>
        <v>1.3932000000000009</v>
      </c>
      <c r="BZ24" s="108"/>
      <c r="CA24" s="119" t="str">
        <f t="shared" si="15"/>
        <v/>
      </c>
      <c r="CB24" s="180">
        <v>-1</v>
      </c>
      <c r="CC24" s="113" t="str">
        <f t="shared" si="16"/>
        <v/>
      </c>
      <c r="CD24" s="108" t="str">
        <f t="shared" si="17"/>
        <v/>
      </c>
      <c r="CE24" s="108" t="str">
        <f t="shared" si="18"/>
        <v/>
      </c>
      <c r="CF24" s="108" t="str">
        <f t="shared" si="19"/>
        <v/>
      </c>
      <c r="CG24" s="108" t="str">
        <f t="shared" si="20"/>
        <v/>
      </c>
      <c r="CH24" s="103"/>
      <c r="CI24" s="119" t="str">
        <f t="shared" si="9"/>
        <v>WRR0347_CFLscw-3way(23w)</v>
      </c>
      <c r="CJ24" s="174">
        <f t="shared" si="7"/>
        <v>80</v>
      </c>
      <c r="CK24" s="113">
        <f t="shared" si="21"/>
        <v>1.7802000000000007</v>
      </c>
      <c r="CL24" s="108">
        <f t="shared" si="22"/>
        <v>4.2432000000000007</v>
      </c>
      <c r="CM24" s="108">
        <f t="shared" si="23"/>
        <v>2.5532000000000008</v>
      </c>
      <c r="CN24" s="108">
        <f t="shared" si="24"/>
        <v>1.3932000000000009</v>
      </c>
      <c r="CO24" s="108">
        <f t="shared" si="25"/>
        <v>1.3932000000000009</v>
      </c>
    </row>
    <row r="25" spans="1:93">
      <c r="A25" s="103" t="s">
        <v>196</v>
      </c>
      <c r="B25" s="103" t="s">
        <v>165</v>
      </c>
      <c r="C25" s="103" t="s">
        <v>152</v>
      </c>
      <c r="D25" s="250" t="s">
        <v>153</v>
      </c>
      <c r="E25" s="250">
        <v>82</v>
      </c>
      <c r="F25" s="182">
        <v>9020</v>
      </c>
      <c r="G25" s="250" t="s">
        <v>175</v>
      </c>
      <c r="H25" s="250">
        <v>24</v>
      </c>
      <c r="I25" s="250"/>
      <c r="J25" s="250"/>
      <c r="K25" s="250"/>
      <c r="L25" s="250" t="s">
        <v>61</v>
      </c>
      <c r="M25" s="250">
        <v>24</v>
      </c>
      <c r="N25" s="250"/>
      <c r="O25" s="250"/>
      <c r="P25" s="250" t="s">
        <v>153</v>
      </c>
      <c r="Q25" s="250" t="s">
        <v>176</v>
      </c>
      <c r="R25" s="250"/>
      <c r="S25" s="250"/>
      <c r="T25" s="250" t="s">
        <v>155</v>
      </c>
      <c r="U25" s="103" t="s">
        <v>197</v>
      </c>
      <c r="V25" s="106" t="s">
        <v>157</v>
      </c>
      <c r="W25" s="103" t="s">
        <v>81</v>
      </c>
      <c r="X25" s="103">
        <f>IFERROR(MATCH(W25,'CostModel Coef'!$C$9:$C$12,0),0)</f>
        <v>1</v>
      </c>
      <c r="Y25" s="103"/>
      <c r="Z25" s="103">
        <f>IF($X25&gt;0,INDEX('CostModel Coef'!D$9:D$12,$X25),"")</f>
        <v>3.0430000000000001</v>
      </c>
      <c r="AA25" s="103">
        <f>IF($X25&gt;0,INDEX('CostModel Coef'!E$9:E$12,$X25),"")</f>
        <v>-0.14966150225589619</v>
      </c>
      <c r="AB25" s="103">
        <f>IF($X25&gt;0,INDEX('CostModel Coef'!F$9:F$12,$X25),"")</f>
        <v>0.52692151711335011</v>
      </c>
      <c r="AC25" s="103">
        <f>IF($X25&gt;0,INDEX('CostModel Coef'!G$9:G$12,$X25),"")</f>
        <v>1.8411</v>
      </c>
      <c r="AD25" s="103">
        <f>IF($X25&gt;0,INDEX('CostModel Coef'!H$9:H$12,$X25),"")</f>
        <v>-1.8050999999999999</v>
      </c>
      <c r="AE25" s="103">
        <f>IF($X25&gt;0,INDEX('CostModel Coef'!J$9:J$12,$X25),"")</f>
        <v>-1.1288</v>
      </c>
      <c r="AF25" s="103">
        <f>IF($X25&gt;0,INDEX('CostModel Coef'!K$9:K$12,$X25),"")</f>
        <v>-1.845</v>
      </c>
      <c r="AG25" s="103">
        <f>IF($X25&gt;0,INDEX('CostModel Coef'!L$9:L$12,$X25),"")</f>
        <v>6.7507000000000001</v>
      </c>
      <c r="AH25" s="103">
        <f>IF($X25&gt;0,INDEX('CostModel Coef'!M$9:M$12,$X25),"")</f>
        <v>5.8051000000000004</v>
      </c>
      <c r="AI25" s="103">
        <f>IF($X25&gt;0,INDEX('CostModel Coef'!N$9:N$12,$X25),"")</f>
        <v>6.1600000000000002E-2</v>
      </c>
      <c r="AJ25" s="103">
        <f>IF($X25&gt;0,INDEX('CostModel Coef'!Q$9:Q$12,$X25),"")</f>
        <v>6.6500000000000004E-2</v>
      </c>
      <c r="AK25" s="103">
        <f>IF($X25&gt;0,INDEX('CostModel Coef'!T$9:T$12,$X25),"")</f>
        <v>9.35E-2</v>
      </c>
      <c r="AL25" s="103"/>
      <c r="AM25" s="108">
        <f t="shared" si="1"/>
        <v>10.477592014857454</v>
      </c>
      <c r="AN25" s="108">
        <f t="shared" si="2"/>
        <v>12.322592014857454</v>
      </c>
      <c r="AO25" s="108">
        <f t="shared" si="3"/>
        <v>10.517492014857455</v>
      </c>
      <c r="AP25" s="108">
        <f t="shared" si="4"/>
        <v>10.517492014857455</v>
      </c>
      <c r="AQ25" s="108">
        <f t="shared" si="5"/>
        <v>9.3886920148574546</v>
      </c>
      <c r="AR25" s="108"/>
      <c r="AS25" s="108"/>
      <c r="AT25" s="103">
        <f>IF($X25&gt;0,INDEX('CostModel Coef'!D$13:D$16,$X25),"")</f>
        <v>2.1320000000000001</v>
      </c>
      <c r="AU25" s="103">
        <f>IF($X25&gt;0,INDEX('CostModel Coef'!E$13:E$16,$X25),"")</f>
        <v>0.23699999999999999</v>
      </c>
      <c r="AV25" s="103">
        <f>IF($X25&gt;0,INDEX('CostModel Coef'!F$13:F$16,$X25),"")</f>
        <v>0.59899999999999998</v>
      </c>
      <c r="AW25" s="103">
        <f>IF($X25&gt;0,INDEX('CostModel Coef'!G$13:G$16,$X25),"")</f>
        <v>0</v>
      </c>
      <c r="AX25" s="103">
        <f>IF($X25&gt;0,INDEX('CostModel Coef'!H$13:H$16,$X25),"")</f>
        <v>-1.69</v>
      </c>
      <c r="AY25" s="103">
        <f>IF($X25&gt;0,INDEX('CostModel Coef'!I$13:I$16,$X25),"")</f>
        <v>-1.1599999999999999</v>
      </c>
      <c r="AZ25" s="103">
        <f>IF($X25&gt;0,INDEX('CostModel Coef'!J$13:J$16,$X25),"")</f>
        <v>0</v>
      </c>
      <c r="BA25" s="103">
        <f>IF($X25&gt;0,INDEX('CostModel Coef'!K$13:K$16,$X25),"")</f>
        <v>-2.4630000000000001</v>
      </c>
      <c r="BB25" s="103">
        <f>IF($X25&gt;0,INDEX('CostModel Coef'!L$13:L$16,$X25),"")</f>
        <v>0.46179999999999999</v>
      </c>
      <c r="BC25" s="103">
        <f>IF($X25&gt;0,INDEX('CostModel Coef'!M$13:M$16,$X25),"")</f>
        <v>0</v>
      </c>
      <c r="BD25" s="103">
        <f>IF($X25&gt;0,INDEX('CostModel Coef'!N$13:N$16,$X25),"")</f>
        <v>0.19869999999999999</v>
      </c>
      <c r="BE25" s="103">
        <f>IF($X25&gt;0,INDEX('CostModel Coef'!O$13:O$16,$X25),"")</f>
        <v>0.6</v>
      </c>
      <c r="BF25" s="103">
        <f>IF($X25&gt;0,INDEX('CostModel Coef'!P$13:P$16,$X25),"")</f>
        <v>15</v>
      </c>
      <c r="BG25" s="103">
        <f>IF($X25&gt;0,INDEX('CostModel Coef'!Q$13:Q$16,$X25),"")</f>
        <v>0</v>
      </c>
      <c r="BH25" s="103">
        <f>IF($X25&gt;0,INDEX('CostModel Coef'!R$13:R$16,$X25),"")</f>
        <v>3</v>
      </c>
      <c r="BI25" s="103">
        <f>IF($X25&gt;0,INDEX('CostModel Coef'!S$13:S$16,$X25),"")</f>
        <v>150</v>
      </c>
      <c r="BJ25" s="103">
        <f>IF($X25&gt;0,INDEX('CostModel Coef'!T$13:T$16,$X25),"")</f>
        <v>0</v>
      </c>
      <c r="BK25" s="103">
        <f>IF($X25&gt;0,INDEX('CostModel Coef'!U$13:U$16,$X25),"")</f>
        <v>9.1999999999999998E-3</v>
      </c>
      <c r="BL25" s="103">
        <f>IF($X25&gt;0,INDEX('CostModel Coef'!V$13:V$16,$X25),"")</f>
        <v>-8.8000000000000005E-3</v>
      </c>
      <c r="BM25" s="103">
        <f>IF($X25&gt;0,INDEX('CostModel Coef'!W$13:W$16,$X25),"")</f>
        <v>0</v>
      </c>
      <c r="BN25" s="103">
        <f>IF($X25&gt;0,INDEX('CostModel Coef'!X$13:X$16,$X25),"")</f>
        <v>0</v>
      </c>
      <c r="BO25" s="103"/>
      <c r="BP25" s="119">
        <v>2000</v>
      </c>
      <c r="BQ25" s="103"/>
      <c r="BR25" s="103"/>
      <c r="BS25" s="119" t="str">
        <f t="shared" si="8"/>
        <v>WRR0347_CFLscw-3way(24w)</v>
      </c>
      <c r="BT25" s="174">
        <f t="shared" si="0"/>
        <v>83</v>
      </c>
      <c r="BU25" s="113">
        <f t="shared" si="10"/>
        <v>1.7813999999999997</v>
      </c>
      <c r="BV25" s="108">
        <f t="shared" si="11"/>
        <v>4.2443999999999997</v>
      </c>
      <c r="BW25" s="108">
        <f t="shared" si="12"/>
        <v>2.5543999999999998</v>
      </c>
      <c r="BX25" s="108">
        <f t="shared" si="13"/>
        <v>1.3943999999999999</v>
      </c>
      <c r="BY25" s="108">
        <f t="shared" si="14"/>
        <v>1.3943999999999999</v>
      </c>
      <c r="BZ25" s="108"/>
      <c r="CA25" s="119" t="str">
        <f t="shared" si="15"/>
        <v/>
      </c>
      <c r="CB25" s="180">
        <v>-1</v>
      </c>
      <c r="CC25" s="113" t="str">
        <f t="shared" si="16"/>
        <v/>
      </c>
      <c r="CD25" s="108" t="str">
        <f t="shared" si="17"/>
        <v/>
      </c>
      <c r="CE25" s="108" t="str">
        <f t="shared" si="18"/>
        <v/>
      </c>
      <c r="CF25" s="108" t="str">
        <f t="shared" si="19"/>
        <v/>
      </c>
      <c r="CG25" s="108" t="str">
        <f t="shared" si="20"/>
        <v/>
      </c>
      <c r="CH25" s="103"/>
      <c r="CI25" s="119" t="str">
        <f t="shared" si="9"/>
        <v>WRR0347_CFLscw-3way(24w)</v>
      </c>
      <c r="CJ25" s="174">
        <f t="shared" si="7"/>
        <v>83</v>
      </c>
      <c r="CK25" s="113">
        <f t="shared" si="21"/>
        <v>1.7813999999999997</v>
      </c>
      <c r="CL25" s="108">
        <f t="shared" si="22"/>
        <v>4.2443999999999997</v>
      </c>
      <c r="CM25" s="108">
        <f t="shared" si="23"/>
        <v>2.5543999999999998</v>
      </c>
      <c r="CN25" s="108">
        <f t="shared" si="24"/>
        <v>1.3943999999999999</v>
      </c>
      <c r="CO25" s="108">
        <f t="shared" si="25"/>
        <v>1.3943999999999999</v>
      </c>
    </row>
    <row r="26" spans="1:93">
      <c r="A26" s="103" t="s">
        <v>198</v>
      </c>
      <c r="B26" s="103" t="s">
        <v>165</v>
      </c>
      <c r="C26" s="103" t="s">
        <v>152</v>
      </c>
      <c r="D26" s="250" t="s">
        <v>153</v>
      </c>
      <c r="E26" s="250">
        <v>82</v>
      </c>
      <c r="F26" s="182">
        <v>9020</v>
      </c>
      <c r="G26" s="250" t="s">
        <v>175</v>
      </c>
      <c r="H26" s="250">
        <v>25</v>
      </c>
      <c r="I26" s="250"/>
      <c r="J26" s="250"/>
      <c r="K26" s="250"/>
      <c r="L26" s="250" t="s">
        <v>61</v>
      </c>
      <c r="M26" s="250">
        <v>25</v>
      </c>
      <c r="N26" s="250"/>
      <c r="O26" s="250"/>
      <c r="P26" s="250" t="s">
        <v>153</v>
      </c>
      <c r="Q26" s="250" t="s">
        <v>176</v>
      </c>
      <c r="R26" s="250"/>
      <c r="S26" s="250"/>
      <c r="T26" s="250" t="s">
        <v>155</v>
      </c>
      <c r="U26" s="103" t="s">
        <v>199</v>
      </c>
      <c r="V26" s="106" t="s">
        <v>157</v>
      </c>
      <c r="W26" s="103" t="s">
        <v>81</v>
      </c>
      <c r="X26" s="103">
        <f>IFERROR(MATCH(W26,'CostModel Coef'!$C$9:$C$12,0),0)</f>
        <v>1</v>
      </c>
      <c r="Y26" s="103"/>
      <c r="Z26" s="103">
        <f>IF($X26&gt;0,INDEX('CostModel Coef'!D$9:D$12,$X26),"")</f>
        <v>3.0430000000000001</v>
      </c>
      <c r="AA26" s="103">
        <f>IF($X26&gt;0,INDEX('CostModel Coef'!E$9:E$12,$X26),"")</f>
        <v>-0.14966150225589619</v>
      </c>
      <c r="AB26" s="103">
        <f>IF($X26&gt;0,INDEX('CostModel Coef'!F$9:F$12,$X26),"")</f>
        <v>0.52692151711335011</v>
      </c>
      <c r="AC26" s="103">
        <f>IF($X26&gt;0,INDEX('CostModel Coef'!G$9:G$12,$X26),"")</f>
        <v>1.8411</v>
      </c>
      <c r="AD26" s="103">
        <f>IF($X26&gt;0,INDEX('CostModel Coef'!H$9:H$12,$X26),"")</f>
        <v>-1.8050999999999999</v>
      </c>
      <c r="AE26" s="103">
        <f>IF($X26&gt;0,INDEX('CostModel Coef'!J$9:J$12,$X26),"")</f>
        <v>-1.1288</v>
      </c>
      <c r="AF26" s="103">
        <f>IF($X26&gt;0,INDEX('CostModel Coef'!K$9:K$12,$X26),"")</f>
        <v>-1.845</v>
      </c>
      <c r="AG26" s="103">
        <f>IF($X26&gt;0,INDEX('CostModel Coef'!L$9:L$12,$X26),"")</f>
        <v>6.7507000000000001</v>
      </c>
      <c r="AH26" s="103">
        <f>IF($X26&gt;0,INDEX('CostModel Coef'!M$9:M$12,$X26),"")</f>
        <v>5.8051000000000004</v>
      </c>
      <c r="AI26" s="103">
        <f>IF($X26&gt;0,INDEX('CostModel Coef'!N$9:N$12,$X26),"")</f>
        <v>6.1600000000000002E-2</v>
      </c>
      <c r="AJ26" s="103">
        <f>IF($X26&gt;0,INDEX('CostModel Coef'!Q$9:Q$12,$X26),"")</f>
        <v>6.6500000000000004E-2</v>
      </c>
      <c r="AK26" s="103">
        <f>IF($X26&gt;0,INDEX('CostModel Coef'!T$9:T$12,$X26),"")</f>
        <v>9.35E-2</v>
      </c>
      <c r="AL26" s="103"/>
      <c r="AM26" s="108">
        <f t="shared" si="1"/>
        <v>10.544092014857453</v>
      </c>
      <c r="AN26" s="108">
        <f t="shared" si="2"/>
        <v>12.389092014857454</v>
      </c>
      <c r="AO26" s="108">
        <f t="shared" si="3"/>
        <v>10.583992014857454</v>
      </c>
      <c r="AP26" s="108">
        <f t="shared" si="4"/>
        <v>10.583992014857454</v>
      </c>
      <c r="AQ26" s="108">
        <f t="shared" si="5"/>
        <v>9.4551920148574542</v>
      </c>
      <c r="AR26" s="108"/>
      <c r="AS26" s="108"/>
      <c r="AT26" s="103">
        <f>IF($X26&gt;0,INDEX('CostModel Coef'!D$13:D$16,$X26),"")</f>
        <v>2.1320000000000001</v>
      </c>
      <c r="AU26" s="103">
        <f>IF($X26&gt;0,INDEX('CostModel Coef'!E$13:E$16,$X26),"")</f>
        <v>0.23699999999999999</v>
      </c>
      <c r="AV26" s="103">
        <f>IF($X26&gt;0,INDEX('CostModel Coef'!F$13:F$16,$X26),"")</f>
        <v>0.59899999999999998</v>
      </c>
      <c r="AW26" s="103">
        <f>IF($X26&gt;0,INDEX('CostModel Coef'!G$13:G$16,$X26),"")</f>
        <v>0</v>
      </c>
      <c r="AX26" s="103">
        <f>IF($X26&gt;0,INDEX('CostModel Coef'!H$13:H$16,$X26),"")</f>
        <v>-1.69</v>
      </c>
      <c r="AY26" s="103">
        <f>IF($X26&gt;0,INDEX('CostModel Coef'!I$13:I$16,$X26),"")</f>
        <v>-1.1599999999999999</v>
      </c>
      <c r="AZ26" s="103">
        <f>IF($X26&gt;0,INDEX('CostModel Coef'!J$13:J$16,$X26),"")</f>
        <v>0</v>
      </c>
      <c r="BA26" s="103">
        <f>IF($X26&gt;0,INDEX('CostModel Coef'!K$13:K$16,$X26),"")</f>
        <v>-2.4630000000000001</v>
      </c>
      <c r="BB26" s="103">
        <f>IF($X26&gt;0,INDEX('CostModel Coef'!L$13:L$16,$X26),"")</f>
        <v>0.46179999999999999</v>
      </c>
      <c r="BC26" s="103">
        <f>IF($X26&gt;0,INDEX('CostModel Coef'!M$13:M$16,$X26),"")</f>
        <v>0</v>
      </c>
      <c r="BD26" s="103">
        <f>IF($X26&gt;0,INDEX('CostModel Coef'!N$13:N$16,$X26),"")</f>
        <v>0.19869999999999999</v>
      </c>
      <c r="BE26" s="103">
        <f>IF($X26&gt;0,INDEX('CostModel Coef'!O$13:O$16,$X26),"")</f>
        <v>0.6</v>
      </c>
      <c r="BF26" s="103">
        <f>IF($X26&gt;0,INDEX('CostModel Coef'!P$13:P$16,$X26),"")</f>
        <v>15</v>
      </c>
      <c r="BG26" s="103">
        <f>IF($X26&gt;0,INDEX('CostModel Coef'!Q$13:Q$16,$X26),"")</f>
        <v>0</v>
      </c>
      <c r="BH26" s="103">
        <f>IF($X26&gt;0,INDEX('CostModel Coef'!R$13:R$16,$X26),"")</f>
        <v>3</v>
      </c>
      <c r="BI26" s="103">
        <f>IF($X26&gt;0,INDEX('CostModel Coef'!S$13:S$16,$X26),"")</f>
        <v>150</v>
      </c>
      <c r="BJ26" s="103">
        <f>IF($X26&gt;0,INDEX('CostModel Coef'!T$13:T$16,$X26),"")</f>
        <v>0</v>
      </c>
      <c r="BK26" s="103">
        <f>IF($X26&gt;0,INDEX('CostModel Coef'!U$13:U$16,$X26),"")</f>
        <v>9.1999999999999998E-3</v>
      </c>
      <c r="BL26" s="103">
        <f>IF($X26&gt;0,INDEX('CostModel Coef'!V$13:V$16,$X26),"")</f>
        <v>-8.8000000000000005E-3</v>
      </c>
      <c r="BM26" s="103">
        <f>IF($X26&gt;0,INDEX('CostModel Coef'!W$13:W$16,$X26),"")</f>
        <v>0</v>
      </c>
      <c r="BN26" s="103">
        <f>IF($X26&gt;0,INDEX('CostModel Coef'!X$13:X$16,$X26),"")</f>
        <v>0</v>
      </c>
      <c r="BO26" s="103"/>
      <c r="BP26" s="119">
        <v>2000</v>
      </c>
      <c r="BQ26" s="103"/>
      <c r="BR26" s="103"/>
      <c r="BS26" s="119" t="str">
        <f t="shared" si="8"/>
        <v>WRR0347_CFLscw-3way(25w)</v>
      </c>
      <c r="BT26" s="174">
        <f t="shared" si="0"/>
        <v>87</v>
      </c>
      <c r="BU26" s="113">
        <f t="shared" si="10"/>
        <v>1.7830000000000004</v>
      </c>
      <c r="BV26" s="108">
        <f t="shared" si="11"/>
        <v>4.2460000000000004</v>
      </c>
      <c r="BW26" s="108">
        <f t="shared" si="12"/>
        <v>2.5560000000000005</v>
      </c>
      <c r="BX26" s="108">
        <f t="shared" si="13"/>
        <v>1.3960000000000006</v>
      </c>
      <c r="BY26" s="108">
        <f t="shared" si="14"/>
        <v>1.3960000000000006</v>
      </c>
      <c r="BZ26" s="108"/>
      <c r="CA26" s="119" t="str">
        <f t="shared" si="15"/>
        <v/>
      </c>
      <c r="CB26" s="180">
        <v>-1</v>
      </c>
      <c r="CC26" s="113" t="str">
        <f t="shared" si="16"/>
        <v/>
      </c>
      <c r="CD26" s="108" t="str">
        <f t="shared" si="17"/>
        <v/>
      </c>
      <c r="CE26" s="108" t="str">
        <f t="shared" si="18"/>
        <v/>
      </c>
      <c r="CF26" s="108" t="str">
        <f t="shared" si="19"/>
        <v/>
      </c>
      <c r="CG26" s="108" t="str">
        <f t="shared" si="20"/>
        <v/>
      </c>
      <c r="CH26" s="103"/>
      <c r="CI26" s="119" t="str">
        <f t="shared" si="9"/>
        <v>WRR0347_CFLscw-3way(25w)</v>
      </c>
      <c r="CJ26" s="174">
        <f t="shared" si="7"/>
        <v>87</v>
      </c>
      <c r="CK26" s="113">
        <f t="shared" si="21"/>
        <v>1.7830000000000004</v>
      </c>
      <c r="CL26" s="108">
        <f t="shared" si="22"/>
        <v>4.2460000000000004</v>
      </c>
      <c r="CM26" s="108">
        <f t="shared" si="23"/>
        <v>2.5560000000000005</v>
      </c>
      <c r="CN26" s="108">
        <f t="shared" si="24"/>
        <v>1.3960000000000006</v>
      </c>
      <c r="CO26" s="108">
        <f t="shared" si="25"/>
        <v>1.3960000000000006</v>
      </c>
    </row>
    <row r="27" spans="1:93">
      <c r="A27" s="103" t="s">
        <v>200</v>
      </c>
      <c r="B27" s="103" t="s">
        <v>165</v>
      </c>
      <c r="C27" s="103" t="s">
        <v>152</v>
      </c>
      <c r="D27" s="250" t="s">
        <v>153</v>
      </c>
      <c r="E27" s="250">
        <v>82</v>
      </c>
      <c r="F27" s="182">
        <v>9020</v>
      </c>
      <c r="G27" s="250" t="s">
        <v>175</v>
      </c>
      <c r="H27" s="250">
        <v>26</v>
      </c>
      <c r="I27" s="250"/>
      <c r="J27" s="250"/>
      <c r="K27" s="250"/>
      <c r="L27" s="250" t="s">
        <v>61</v>
      </c>
      <c r="M27" s="250">
        <v>26</v>
      </c>
      <c r="N27" s="250"/>
      <c r="O27" s="250"/>
      <c r="P27" s="250" t="s">
        <v>153</v>
      </c>
      <c r="Q27" s="250" t="s">
        <v>176</v>
      </c>
      <c r="R27" s="250"/>
      <c r="S27" s="250"/>
      <c r="T27" s="250" t="s">
        <v>155</v>
      </c>
      <c r="U27" s="103" t="s">
        <v>201</v>
      </c>
      <c r="V27" s="106" t="s">
        <v>157</v>
      </c>
      <c r="W27" s="103" t="s">
        <v>81</v>
      </c>
      <c r="X27" s="103">
        <f>IFERROR(MATCH(W27,'CostModel Coef'!$C$9:$C$12,0),0)</f>
        <v>1</v>
      </c>
      <c r="Y27" s="103"/>
      <c r="Z27" s="103">
        <f>IF($X27&gt;0,INDEX('CostModel Coef'!D$9:D$12,$X27),"")</f>
        <v>3.0430000000000001</v>
      </c>
      <c r="AA27" s="103">
        <f>IF($X27&gt;0,INDEX('CostModel Coef'!E$9:E$12,$X27),"")</f>
        <v>-0.14966150225589619</v>
      </c>
      <c r="AB27" s="103">
        <f>IF($X27&gt;0,INDEX('CostModel Coef'!F$9:F$12,$X27),"")</f>
        <v>0.52692151711335011</v>
      </c>
      <c r="AC27" s="103">
        <f>IF($X27&gt;0,INDEX('CostModel Coef'!G$9:G$12,$X27),"")</f>
        <v>1.8411</v>
      </c>
      <c r="AD27" s="103">
        <f>IF($X27&gt;0,INDEX('CostModel Coef'!H$9:H$12,$X27),"")</f>
        <v>-1.8050999999999999</v>
      </c>
      <c r="AE27" s="103">
        <f>IF($X27&gt;0,INDEX('CostModel Coef'!J$9:J$12,$X27),"")</f>
        <v>-1.1288</v>
      </c>
      <c r="AF27" s="103">
        <f>IF($X27&gt;0,INDEX('CostModel Coef'!K$9:K$12,$X27),"")</f>
        <v>-1.845</v>
      </c>
      <c r="AG27" s="103">
        <f>IF($X27&gt;0,INDEX('CostModel Coef'!L$9:L$12,$X27),"")</f>
        <v>6.7507000000000001</v>
      </c>
      <c r="AH27" s="103">
        <f>IF($X27&gt;0,INDEX('CostModel Coef'!M$9:M$12,$X27),"")</f>
        <v>5.8051000000000004</v>
      </c>
      <c r="AI27" s="103">
        <f>IF($X27&gt;0,INDEX('CostModel Coef'!N$9:N$12,$X27),"")</f>
        <v>6.1600000000000002E-2</v>
      </c>
      <c r="AJ27" s="103">
        <f>IF($X27&gt;0,INDEX('CostModel Coef'!Q$9:Q$12,$X27),"")</f>
        <v>6.6500000000000004E-2</v>
      </c>
      <c r="AK27" s="103">
        <f>IF($X27&gt;0,INDEX('CostModel Coef'!T$9:T$12,$X27),"")</f>
        <v>9.35E-2</v>
      </c>
      <c r="AL27" s="103"/>
      <c r="AM27" s="108">
        <f t="shared" si="1"/>
        <v>10.704092014857455</v>
      </c>
      <c r="AN27" s="108">
        <f t="shared" si="2"/>
        <v>12.549092014857456</v>
      </c>
      <c r="AO27" s="108">
        <f t="shared" si="3"/>
        <v>10.743992014857454</v>
      </c>
      <c r="AP27" s="108">
        <f t="shared" si="4"/>
        <v>10.743992014857454</v>
      </c>
      <c r="AQ27" s="108">
        <f t="shared" si="5"/>
        <v>9.6151920148574561</v>
      </c>
      <c r="AR27" s="108"/>
      <c r="AS27" s="108"/>
      <c r="AT27" s="103">
        <f>IF($X27&gt;0,INDEX('CostModel Coef'!D$13:D$16,$X27),"")</f>
        <v>2.1320000000000001</v>
      </c>
      <c r="AU27" s="103">
        <f>IF($X27&gt;0,INDEX('CostModel Coef'!E$13:E$16,$X27),"")</f>
        <v>0.23699999999999999</v>
      </c>
      <c r="AV27" s="103">
        <f>IF($X27&gt;0,INDEX('CostModel Coef'!F$13:F$16,$X27),"")</f>
        <v>0.59899999999999998</v>
      </c>
      <c r="AW27" s="103">
        <f>IF($X27&gt;0,INDEX('CostModel Coef'!G$13:G$16,$X27),"")</f>
        <v>0</v>
      </c>
      <c r="AX27" s="103">
        <f>IF($X27&gt;0,INDEX('CostModel Coef'!H$13:H$16,$X27),"")</f>
        <v>-1.69</v>
      </c>
      <c r="AY27" s="103">
        <f>IF($X27&gt;0,INDEX('CostModel Coef'!I$13:I$16,$X27),"")</f>
        <v>-1.1599999999999999</v>
      </c>
      <c r="AZ27" s="103">
        <f>IF($X27&gt;0,INDEX('CostModel Coef'!J$13:J$16,$X27),"")</f>
        <v>0</v>
      </c>
      <c r="BA27" s="103">
        <f>IF($X27&gt;0,INDEX('CostModel Coef'!K$13:K$16,$X27),"")</f>
        <v>-2.4630000000000001</v>
      </c>
      <c r="BB27" s="103">
        <f>IF($X27&gt;0,INDEX('CostModel Coef'!L$13:L$16,$X27),"")</f>
        <v>0.46179999999999999</v>
      </c>
      <c r="BC27" s="103">
        <f>IF($X27&gt;0,INDEX('CostModel Coef'!M$13:M$16,$X27),"")</f>
        <v>0</v>
      </c>
      <c r="BD27" s="103">
        <f>IF($X27&gt;0,INDEX('CostModel Coef'!N$13:N$16,$X27),"")</f>
        <v>0.19869999999999999</v>
      </c>
      <c r="BE27" s="103">
        <f>IF($X27&gt;0,INDEX('CostModel Coef'!O$13:O$16,$X27),"")</f>
        <v>0.6</v>
      </c>
      <c r="BF27" s="103">
        <f>IF($X27&gt;0,INDEX('CostModel Coef'!P$13:P$16,$X27),"")</f>
        <v>15</v>
      </c>
      <c r="BG27" s="103">
        <f>IF($X27&gt;0,INDEX('CostModel Coef'!Q$13:Q$16,$X27),"")</f>
        <v>0</v>
      </c>
      <c r="BH27" s="103">
        <f>IF($X27&gt;0,INDEX('CostModel Coef'!R$13:R$16,$X27),"")</f>
        <v>3</v>
      </c>
      <c r="BI27" s="103">
        <f>IF($X27&gt;0,INDEX('CostModel Coef'!S$13:S$16,$X27),"")</f>
        <v>150</v>
      </c>
      <c r="BJ27" s="103">
        <f>IF($X27&gt;0,INDEX('CostModel Coef'!T$13:T$16,$X27),"")</f>
        <v>0</v>
      </c>
      <c r="BK27" s="103">
        <f>IF($X27&gt;0,INDEX('CostModel Coef'!U$13:U$16,$X27),"")</f>
        <v>9.1999999999999998E-3</v>
      </c>
      <c r="BL27" s="103">
        <f>IF($X27&gt;0,INDEX('CostModel Coef'!V$13:V$16,$X27),"")</f>
        <v>-8.8000000000000005E-3</v>
      </c>
      <c r="BM27" s="103">
        <f>IF($X27&gt;0,INDEX('CostModel Coef'!W$13:W$16,$X27),"")</f>
        <v>0</v>
      </c>
      <c r="BN27" s="103">
        <f>IF($X27&gt;0,INDEX('CostModel Coef'!X$13:X$16,$X27),"")</f>
        <v>0</v>
      </c>
      <c r="BO27" s="103"/>
      <c r="BP27" s="119">
        <v>2000</v>
      </c>
      <c r="BQ27" s="103"/>
      <c r="BR27" s="103"/>
      <c r="BS27" s="119" t="str">
        <f t="shared" si="8"/>
        <v>WRR0347_CFLscw-3way(26w)</v>
      </c>
      <c r="BT27" s="174">
        <f t="shared" si="0"/>
        <v>90</v>
      </c>
      <c r="BU27" s="113">
        <f t="shared" si="10"/>
        <v>1.7842000000000011</v>
      </c>
      <c r="BV27" s="108">
        <f t="shared" si="11"/>
        <v>4.2472000000000012</v>
      </c>
      <c r="BW27" s="108">
        <f t="shared" si="12"/>
        <v>2.5572000000000012</v>
      </c>
      <c r="BX27" s="108">
        <f t="shared" si="13"/>
        <v>1.3972000000000013</v>
      </c>
      <c r="BY27" s="108">
        <f t="shared" si="14"/>
        <v>1.3972000000000013</v>
      </c>
      <c r="BZ27" s="108"/>
      <c r="CA27" s="119" t="str">
        <f t="shared" si="15"/>
        <v/>
      </c>
      <c r="CB27" s="180">
        <v>-1</v>
      </c>
      <c r="CC27" s="113" t="str">
        <f t="shared" si="16"/>
        <v/>
      </c>
      <c r="CD27" s="108" t="str">
        <f t="shared" si="17"/>
        <v/>
      </c>
      <c r="CE27" s="108" t="str">
        <f t="shared" si="18"/>
        <v/>
      </c>
      <c r="CF27" s="108" t="str">
        <f t="shared" si="19"/>
        <v/>
      </c>
      <c r="CG27" s="108" t="str">
        <f t="shared" si="20"/>
        <v/>
      </c>
      <c r="CH27" s="103"/>
      <c r="CI27" s="119" t="str">
        <f t="shared" si="9"/>
        <v>WRR0347_CFLscw-3way(26w)</v>
      </c>
      <c r="CJ27" s="174">
        <f t="shared" si="7"/>
        <v>90</v>
      </c>
      <c r="CK27" s="113">
        <f t="shared" si="21"/>
        <v>1.7842000000000011</v>
      </c>
      <c r="CL27" s="108">
        <f t="shared" si="22"/>
        <v>4.2472000000000012</v>
      </c>
      <c r="CM27" s="108">
        <f t="shared" si="23"/>
        <v>2.5572000000000012</v>
      </c>
      <c r="CN27" s="108">
        <f t="shared" si="24"/>
        <v>1.3972000000000013</v>
      </c>
      <c r="CO27" s="108">
        <f t="shared" si="25"/>
        <v>1.3972000000000013</v>
      </c>
    </row>
    <row r="28" spans="1:93">
      <c r="A28" s="103" t="s">
        <v>202</v>
      </c>
      <c r="B28" s="103" t="s">
        <v>165</v>
      </c>
      <c r="C28" s="103" t="s">
        <v>152</v>
      </c>
      <c r="D28" s="250" t="s">
        <v>153</v>
      </c>
      <c r="E28" s="250">
        <v>82</v>
      </c>
      <c r="F28" s="182">
        <v>9020</v>
      </c>
      <c r="G28" s="250" t="s">
        <v>175</v>
      </c>
      <c r="H28" s="250">
        <v>27</v>
      </c>
      <c r="I28" s="250"/>
      <c r="J28" s="250"/>
      <c r="K28" s="250"/>
      <c r="L28" s="250" t="s">
        <v>61</v>
      </c>
      <c r="M28" s="250">
        <v>27</v>
      </c>
      <c r="N28" s="250"/>
      <c r="O28" s="250"/>
      <c r="P28" s="250" t="s">
        <v>153</v>
      </c>
      <c r="Q28" s="250" t="s">
        <v>176</v>
      </c>
      <c r="R28" s="250"/>
      <c r="S28" s="250"/>
      <c r="T28" s="250" t="s">
        <v>155</v>
      </c>
      <c r="U28" s="103" t="s">
        <v>203</v>
      </c>
      <c r="V28" s="106" t="s">
        <v>157</v>
      </c>
      <c r="W28" s="103" t="s">
        <v>81</v>
      </c>
      <c r="X28" s="103">
        <f>IFERROR(MATCH(W28,'CostModel Coef'!$C$9:$C$12,0),0)</f>
        <v>1</v>
      </c>
      <c r="Y28" s="103"/>
      <c r="Z28" s="103">
        <f>IF($X28&gt;0,INDEX('CostModel Coef'!D$9:D$12,$X28),"")</f>
        <v>3.0430000000000001</v>
      </c>
      <c r="AA28" s="103">
        <f>IF($X28&gt;0,INDEX('CostModel Coef'!E$9:E$12,$X28),"")</f>
        <v>-0.14966150225589619</v>
      </c>
      <c r="AB28" s="103">
        <f>IF($X28&gt;0,INDEX('CostModel Coef'!F$9:F$12,$X28),"")</f>
        <v>0.52692151711335011</v>
      </c>
      <c r="AC28" s="103">
        <f>IF($X28&gt;0,INDEX('CostModel Coef'!G$9:G$12,$X28),"")</f>
        <v>1.8411</v>
      </c>
      <c r="AD28" s="103">
        <f>IF($X28&gt;0,INDEX('CostModel Coef'!H$9:H$12,$X28),"")</f>
        <v>-1.8050999999999999</v>
      </c>
      <c r="AE28" s="103">
        <f>IF($X28&gt;0,INDEX('CostModel Coef'!J$9:J$12,$X28),"")</f>
        <v>-1.1288</v>
      </c>
      <c r="AF28" s="103">
        <f>IF($X28&gt;0,INDEX('CostModel Coef'!K$9:K$12,$X28),"")</f>
        <v>-1.845</v>
      </c>
      <c r="AG28" s="103">
        <f>IF($X28&gt;0,INDEX('CostModel Coef'!L$9:L$12,$X28),"")</f>
        <v>6.7507000000000001</v>
      </c>
      <c r="AH28" s="103">
        <f>IF($X28&gt;0,INDEX('CostModel Coef'!M$9:M$12,$X28),"")</f>
        <v>5.8051000000000004</v>
      </c>
      <c r="AI28" s="103">
        <f>IF($X28&gt;0,INDEX('CostModel Coef'!N$9:N$12,$X28),"")</f>
        <v>6.1600000000000002E-2</v>
      </c>
      <c r="AJ28" s="103">
        <f>IF($X28&gt;0,INDEX('CostModel Coef'!Q$9:Q$12,$X28),"")</f>
        <v>6.6500000000000004E-2</v>
      </c>
      <c r="AK28" s="103">
        <f>IF($X28&gt;0,INDEX('CostModel Coef'!T$9:T$12,$X28),"")</f>
        <v>9.35E-2</v>
      </c>
      <c r="AL28" s="103"/>
      <c r="AM28" s="108">
        <f t="shared" si="1"/>
        <v>10.864092014857455</v>
      </c>
      <c r="AN28" s="108">
        <f t="shared" si="2"/>
        <v>12.709092014857454</v>
      </c>
      <c r="AO28" s="108">
        <f t="shared" si="3"/>
        <v>10.903992014857455</v>
      </c>
      <c r="AP28" s="108">
        <f t="shared" si="4"/>
        <v>10.903992014857455</v>
      </c>
      <c r="AQ28" s="108">
        <f t="shared" si="5"/>
        <v>9.7751920148574545</v>
      </c>
      <c r="AR28" s="108"/>
      <c r="AS28" s="108"/>
      <c r="AT28" s="103">
        <f>IF($X28&gt;0,INDEX('CostModel Coef'!D$13:D$16,$X28),"")</f>
        <v>2.1320000000000001</v>
      </c>
      <c r="AU28" s="103">
        <f>IF($X28&gt;0,INDEX('CostModel Coef'!E$13:E$16,$X28),"")</f>
        <v>0.23699999999999999</v>
      </c>
      <c r="AV28" s="103">
        <f>IF($X28&gt;0,INDEX('CostModel Coef'!F$13:F$16,$X28),"")</f>
        <v>0.59899999999999998</v>
      </c>
      <c r="AW28" s="103">
        <f>IF($X28&gt;0,INDEX('CostModel Coef'!G$13:G$16,$X28),"")</f>
        <v>0</v>
      </c>
      <c r="AX28" s="103">
        <f>IF($X28&gt;0,INDEX('CostModel Coef'!H$13:H$16,$X28),"")</f>
        <v>-1.69</v>
      </c>
      <c r="AY28" s="103">
        <f>IF($X28&gt;0,INDEX('CostModel Coef'!I$13:I$16,$X28),"")</f>
        <v>-1.1599999999999999</v>
      </c>
      <c r="AZ28" s="103">
        <f>IF($X28&gt;0,INDEX('CostModel Coef'!J$13:J$16,$X28),"")</f>
        <v>0</v>
      </c>
      <c r="BA28" s="103">
        <f>IF($X28&gt;0,INDEX('CostModel Coef'!K$13:K$16,$X28),"")</f>
        <v>-2.4630000000000001</v>
      </c>
      <c r="BB28" s="103">
        <f>IF($X28&gt;0,INDEX('CostModel Coef'!L$13:L$16,$X28),"")</f>
        <v>0.46179999999999999</v>
      </c>
      <c r="BC28" s="103">
        <f>IF($X28&gt;0,INDEX('CostModel Coef'!M$13:M$16,$X28),"")</f>
        <v>0</v>
      </c>
      <c r="BD28" s="103">
        <f>IF($X28&gt;0,INDEX('CostModel Coef'!N$13:N$16,$X28),"")</f>
        <v>0.19869999999999999</v>
      </c>
      <c r="BE28" s="103">
        <f>IF($X28&gt;0,INDEX('CostModel Coef'!O$13:O$16,$X28),"")</f>
        <v>0.6</v>
      </c>
      <c r="BF28" s="103">
        <f>IF($X28&gt;0,INDEX('CostModel Coef'!P$13:P$16,$X28),"")</f>
        <v>15</v>
      </c>
      <c r="BG28" s="103">
        <f>IF($X28&gt;0,INDEX('CostModel Coef'!Q$13:Q$16,$X28),"")</f>
        <v>0</v>
      </c>
      <c r="BH28" s="103">
        <f>IF($X28&gt;0,INDEX('CostModel Coef'!R$13:R$16,$X28),"")</f>
        <v>3</v>
      </c>
      <c r="BI28" s="103">
        <f>IF($X28&gt;0,INDEX('CostModel Coef'!S$13:S$16,$X28),"")</f>
        <v>150</v>
      </c>
      <c r="BJ28" s="103">
        <f>IF($X28&gt;0,INDEX('CostModel Coef'!T$13:T$16,$X28),"")</f>
        <v>0</v>
      </c>
      <c r="BK28" s="103">
        <f>IF($X28&gt;0,INDEX('CostModel Coef'!U$13:U$16,$X28),"")</f>
        <v>9.1999999999999998E-3</v>
      </c>
      <c r="BL28" s="103">
        <f>IF($X28&gt;0,INDEX('CostModel Coef'!V$13:V$16,$X28),"")</f>
        <v>-8.8000000000000005E-3</v>
      </c>
      <c r="BM28" s="103">
        <f>IF($X28&gt;0,INDEX('CostModel Coef'!W$13:W$16,$X28),"")</f>
        <v>0</v>
      </c>
      <c r="BN28" s="103">
        <f>IF($X28&gt;0,INDEX('CostModel Coef'!X$13:X$16,$X28),"")</f>
        <v>0</v>
      </c>
      <c r="BO28" s="103"/>
      <c r="BP28" s="119">
        <v>2000</v>
      </c>
      <c r="BQ28" s="103"/>
      <c r="BR28" s="103"/>
      <c r="BS28" s="119" t="str">
        <f t="shared" si="8"/>
        <v>WRR0347_CFLscw-3way(27w)</v>
      </c>
      <c r="BT28" s="174">
        <f t="shared" si="0"/>
        <v>94</v>
      </c>
      <c r="BU28" s="113">
        <f t="shared" si="10"/>
        <v>1.7858000000000001</v>
      </c>
      <c r="BV28" s="108">
        <f t="shared" si="11"/>
        <v>4.2488000000000001</v>
      </c>
      <c r="BW28" s="108">
        <f t="shared" si="12"/>
        <v>2.5588000000000002</v>
      </c>
      <c r="BX28" s="108">
        <f t="shared" si="13"/>
        <v>1.3988000000000003</v>
      </c>
      <c r="BY28" s="108">
        <f t="shared" si="14"/>
        <v>1.3988000000000003</v>
      </c>
      <c r="BZ28" s="108"/>
      <c r="CA28" s="119" t="str">
        <f t="shared" si="15"/>
        <v/>
      </c>
      <c r="CB28" s="180">
        <v>-1</v>
      </c>
      <c r="CC28" s="113" t="str">
        <f t="shared" si="16"/>
        <v/>
      </c>
      <c r="CD28" s="108" t="str">
        <f t="shared" si="17"/>
        <v/>
      </c>
      <c r="CE28" s="108" t="str">
        <f t="shared" si="18"/>
        <v/>
      </c>
      <c r="CF28" s="108" t="str">
        <f t="shared" si="19"/>
        <v/>
      </c>
      <c r="CG28" s="108" t="str">
        <f t="shared" si="20"/>
        <v/>
      </c>
      <c r="CH28" s="103"/>
      <c r="CI28" s="119" t="str">
        <f t="shared" si="9"/>
        <v>WRR0347_CFLscw-3way(27w)</v>
      </c>
      <c r="CJ28" s="174">
        <f t="shared" si="7"/>
        <v>94</v>
      </c>
      <c r="CK28" s="113">
        <f t="shared" si="21"/>
        <v>1.7858000000000001</v>
      </c>
      <c r="CL28" s="108">
        <f t="shared" si="22"/>
        <v>4.2488000000000001</v>
      </c>
      <c r="CM28" s="108">
        <f t="shared" si="23"/>
        <v>2.5588000000000002</v>
      </c>
      <c r="CN28" s="108">
        <f t="shared" si="24"/>
        <v>1.3988000000000003</v>
      </c>
      <c r="CO28" s="108">
        <f t="shared" si="25"/>
        <v>1.3988000000000003</v>
      </c>
    </row>
    <row r="29" spans="1:93">
      <c r="A29" s="103" t="s">
        <v>204</v>
      </c>
      <c r="B29" s="103" t="s">
        <v>165</v>
      </c>
      <c r="C29" s="103" t="s">
        <v>152</v>
      </c>
      <c r="D29" s="250" t="s">
        <v>153</v>
      </c>
      <c r="E29" s="250">
        <v>82</v>
      </c>
      <c r="F29" s="182">
        <v>9020</v>
      </c>
      <c r="G29" s="250" t="s">
        <v>175</v>
      </c>
      <c r="H29" s="250">
        <v>28</v>
      </c>
      <c r="I29" s="250"/>
      <c r="J29" s="250"/>
      <c r="K29" s="250"/>
      <c r="L29" s="250" t="s">
        <v>61</v>
      </c>
      <c r="M29" s="250">
        <v>28</v>
      </c>
      <c r="N29" s="250"/>
      <c r="O29" s="250"/>
      <c r="P29" s="250" t="s">
        <v>153</v>
      </c>
      <c r="Q29" s="250" t="s">
        <v>176</v>
      </c>
      <c r="R29" s="250"/>
      <c r="S29" s="250"/>
      <c r="T29" s="250" t="s">
        <v>155</v>
      </c>
      <c r="U29" s="103" t="s">
        <v>205</v>
      </c>
      <c r="V29" s="106" t="s">
        <v>157</v>
      </c>
      <c r="W29" s="103" t="s">
        <v>81</v>
      </c>
      <c r="X29" s="103">
        <f>IFERROR(MATCH(W29,'CostModel Coef'!$C$9:$C$12,0),0)</f>
        <v>1</v>
      </c>
      <c r="Y29" s="103"/>
      <c r="Z29" s="103">
        <f>IF($X29&gt;0,INDEX('CostModel Coef'!D$9:D$12,$X29),"")</f>
        <v>3.0430000000000001</v>
      </c>
      <c r="AA29" s="103">
        <f>IF($X29&gt;0,INDEX('CostModel Coef'!E$9:E$12,$X29),"")</f>
        <v>-0.14966150225589619</v>
      </c>
      <c r="AB29" s="103">
        <f>IF($X29&gt;0,INDEX('CostModel Coef'!F$9:F$12,$X29),"")</f>
        <v>0.52692151711335011</v>
      </c>
      <c r="AC29" s="103">
        <f>IF($X29&gt;0,INDEX('CostModel Coef'!G$9:G$12,$X29),"")</f>
        <v>1.8411</v>
      </c>
      <c r="AD29" s="103">
        <f>IF($X29&gt;0,INDEX('CostModel Coef'!H$9:H$12,$X29),"")</f>
        <v>-1.8050999999999999</v>
      </c>
      <c r="AE29" s="103">
        <f>IF($X29&gt;0,INDEX('CostModel Coef'!J$9:J$12,$X29),"")</f>
        <v>-1.1288</v>
      </c>
      <c r="AF29" s="103">
        <f>IF($X29&gt;0,INDEX('CostModel Coef'!K$9:K$12,$X29),"")</f>
        <v>-1.845</v>
      </c>
      <c r="AG29" s="103">
        <f>IF($X29&gt;0,INDEX('CostModel Coef'!L$9:L$12,$X29),"")</f>
        <v>6.7507000000000001</v>
      </c>
      <c r="AH29" s="103">
        <f>IF($X29&gt;0,INDEX('CostModel Coef'!M$9:M$12,$X29),"")</f>
        <v>5.8051000000000004</v>
      </c>
      <c r="AI29" s="103">
        <f>IF($X29&gt;0,INDEX('CostModel Coef'!N$9:N$12,$X29),"")</f>
        <v>6.1600000000000002E-2</v>
      </c>
      <c r="AJ29" s="103">
        <f>IF($X29&gt;0,INDEX('CostModel Coef'!Q$9:Q$12,$X29),"")</f>
        <v>6.6500000000000004E-2</v>
      </c>
      <c r="AK29" s="103">
        <f>IF($X29&gt;0,INDEX('CostModel Coef'!T$9:T$12,$X29),"")</f>
        <v>9.35E-2</v>
      </c>
      <c r="AL29" s="103"/>
      <c r="AM29" s="108">
        <f t="shared" si="1"/>
        <v>11.024092014857453</v>
      </c>
      <c r="AN29" s="108">
        <f t="shared" si="2"/>
        <v>12.869092014857454</v>
      </c>
      <c r="AO29" s="108">
        <f t="shared" si="3"/>
        <v>11.063992014857455</v>
      </c>
      <c r="AP29" s="108">
        <f t="shared" si="4"/>
        <v>11.063992014857455</v>
      </c>
      <c r="AQ29" s="108">
        <f t="shared" si="5"/>
        <v>9.9351920148574546</v>
      </c>
      <c r="AR29" s="108"/>
      <c r="AS29" s="108"/>
      <c r="AT29" s="103">
        <f>IF($X29&gt;0,INDEX('CostModel Coef'!D$13:D$16,$X29),"")</f>
        <v>2.1320000000000001</v>
      </c>
      <c r="AU29" s="103">
        <f>IF($X29&gt;0,INDEX('CostModel Coef'!E$13:E$16,$X29),"")</f>
        <v>0.23699999999999999</v>
      </c>
      <c r="AV29" s="103">
        <f>IF($X29&gt;0,INDEX('CostModel Coef'!F$13:F$16,$X29),"")</f>
        <v>0.59899999999999998</v>
      </c>
      <c r="AW29" s="103">
        <f>IF($X29&gt;0,INDEX('CostModel Coef'!G$13:G$16,$X29),"")</f>
        <v>0</v>
      </c>
      <c r="AX29" s="103">
        <f>IF($X29&gt;0,INDEX('CostModel Coef'!H$13:H$16,$X29),"")</f>
        <v>-1.69</v>
      </c>
      <c r="AY29" s="103">
        <f>IF($X29&gt;0,INDEX('CostModel Coef'!I$13:I$16,$X29),"")</f>
        <v>-1.1599999999999999</v>
      </c>
      <c r="AZ29" s="103">
        <f>IF($X29&gt;0,INDEX('CostModel Coef'!J$13:J$16,$X29),"")</f>
        <v>0</v>
      </c>
      <c r="BA29" s="103">
        <f>IF($X29&gt;0,INDEX('CostModel Coef'!K$13:K$16,$X29),"")</f>
        <v>-2.4630000000000001</v>
      </c>
      <c r="BB29" s="103">
        <f>IF($X29&gt;0,INDEX('CostModel Coef'!L$13:L$16,$X29),"")</f>
        <v>0.46179999999999999</v>
      </c>
      <c r="BC29" s="103">
        <f>IF($X29&gt;0,INDEX('CostModel Coef'!M$13:M$16,$X29),"")</f>
        <v>0</v>
      </c>
      <c r="BD29" s="103">
        <f>IF($X29&gt;0,INDEX('CostModel Coef'!N$13:N$16,$X29),"")</f>
        <v>0.19869999999999999</v>
      </c>
      <c r="BE29" s="103">
        <f>IF($X29&gt;0,INDEX('CostModel Coef'!O$13:O$16,$X29),"")</f>
        <v>0.6</v>
      </c>
      <c r="BF29" s="103">
        <f>IF($X29&gt;0,INDEX('CostModel Coef'!P$13:P$16,$X29),"")</f>
        <v>15</v>
      </c>
      <c r="BG29" s="103">
        <f>IF($X29&gt;0,INDEX('CostModel Coef'!Q$13:Q$16,$X29),"")</f>
        <v>0</v>
      </c>
      <c r="BH29" s="103">
        <f>IF($X29&gt;0,INDEX('CostModel Coef'!R$13:R$16,$X29),"")</f>
        <v>3</v>
      </c>
      <c r="BI29" s="103">
        <f>IF($X29&gt;0,INDEX('CostModel Coef'!S$13:S$16,$X29),"")</f>
        <v>150</v>
      </c>
      <c r="BJ29" s="103">
        <f>IF($X29&gt;0,INDEX('CostModel Coef'!T$13:T$16,$X29),"")</f>
        <v>0</v>
      </c>
      <c r="BK29" s="103">
        <f>IF($X29&gt;0,INDEX('CostModel Coef'!U$13:U$16,$X29),"")</f>
        <v>9.1999999999999998E-3</v>
      </c>
      <c r="BL29" s="103">
        <f>IF($X29&gt;0,INDEX('CostModel Coef'!V$13:V$16,$X29),"")</f>
        <v>-8.8000000000000005E-3</v>
      </c>
      <c r="BM29" s="103">
        <f>IF($X29&gt;0,INDEX('CostModel Coef'!W$13:W$16,$X29),"")</f>
        <v>0</v>
      </c>
      <c r="BN29" s="103">
        <f>IF($X29&gt;0,INDEX('CostModel Coef'!X$13:X$16,$X29),"")</f>
        <v>0</v>
      </c>
      <c r="BO29" s="103"/>
      <c r="BP29" s="119">
        <v>2000</v>
      </c>
      <c r="BQ29" s="103"/>
      <c r="BR29" s="103"/>
      <c r="BS29" s="119" t="str">
        <f t="shared" si="8"/>
        <v>WRR0347_CFLscw-3way(28w)</v>
      </c>
      <c r="BT29" s="174">
        <f t="shared" si="0"/>
        <v>97</v>
      </c>
      <c r="BU29" s="113">
        <f t="shared" si="10"/>
        <v>1.7869999999999999</v>
      </c>
      <c r="BV29" s="108">
        <f t="shared" si="11"/>
        <v>4.25</v>
      </c>
      <c r="BW29" s="108">
        <f t="shared" si="12"/>
        <v>2.56</v>
      </c>
      <c r="BX29" s="108">
        <f t="shared" si="13"/>
        <v>1.4000000000000001</v>
      </c>
      <c r="BY29" s="108">
        <f t="shared" si="14"/>
        <v>1.4000000000000001</v>
      </c>
      <c r="BZ29" s="108"/>
      <c r="CA29" s="119" t="str">
        <f t="shared" si="15"/>
        <v/>
      </c>
      <c r="CB29" s="180">
        <v>-1</v>
      </c>
      <c r="CC29" s="113" t="str">
        <f t="shared" si="16"/>
        <v/>
      </c>
      <c r="CD29" s="108" t="str">
        <f t="shared" si="17"/>
        <v/>
      </c>
      <c r="CE29" s="108" t="str">
        <f t="shared" si="18"/>
        <v/>
      </c>
      <c r="CF29" s="108" t="str">
        <f t="shared" si="19"/>
        <v/>
      </c>
      <c r="CG29" s="108" t="str">
        <f t="shared" si="20"/>
        <v/>
      </c>
      <c r="CH29" s="103"/>
      <c r="CI29" s="119" t="str">
        <f t="shared" si="9"/>
        <v>WRR0347_CFLscw-3way(28w)</v>
      </c>
      <c r="CJ29" s="174">
        <f t="shared" si="7"/>
        <v>97</v>
      </c>
      <c r="CK29" s="113">
        <f t="shared" si="21"/>
        <v>1.7869999999999999</v>
      </c>
      <c r="CL29" s="108">
        <f t="shared" si="22"/>
        <v>4.25</v>
      </c>
      <c r="CM29" s="108">
        <f t="shared" si="23"/>
        <v>2.56</v>
      </c>
      <c r="CN29" s="108">
        <f t="shared" si="24"/>
        <v>1.4000000000000001</v>
      </c>
      <c r="CO29" s="108">
        <f t="shared" si="25"/>
        <v>1.4000000000000001</v>
      </c>
    </row>
    <row r="30" spans="1:93">
      <c r="A30" s="103" t="s">
        <v>206</v>
      </c>
      <c r="B30" s="103" t="s">
        <v>165</v>
      </c>
      <c r="C30" s="103" t="s">
        <v>152</v>
      </c>
      <c r="D30" s="250" t="s">
        <v>153</v>
      </c>
      <c r="E30" s="250">
        <v>82</v>
      </c>
      <c r="F30" s="182">
        <v>9020</v>
      </c>
      <c r="G30" s="250" t="s">
        <v>175</v>
      </c>
      <c r="H30" s="250">
        <v>29</v>
      </c>
      <c r="I30" s="250"/>
      <c r="J30" s="250"/>
      <c r="K30" s="250"/>
      <c r="L30" s="250" t="s">
        <v>61</v>
      </c>
      <c r="M30" s="250">
        <v>29</v>
      </c>
      <c r="N30" s="250"/>
      <c r="O30" s="250"/>
      <c r="P30" s="250" t="s">
        <v>153</v>
      </c>
      <c r="Q30" s="250" t="s">
        <v>176</v>
      </c>
      <c r="R30" s="250"/>
      <c r="S30" s="250"/>
      <c r="T30" s="250" t="s">
        <v>155</v>
      </c>
      <c r="U30" s="103" t="s">
        <v>207</v>
      </c>
      <c r="V30" s="106" t="s">
        <v>157</v>
      </c>
      <c r="W30" s="103" t="s">
        <v>81</v>
      </c>
      <c r="X30" s="103">
        <f>IFERROR(MATCH(W30,'CostModel Coef'!$C$9:$C$12,0),0)</f>
        <v>1</v>
      </c>
      <c r="Y30" s="103"/>
      <c r="Z30" s="103">
        <f>IF($X30&gt;0,INDEX('CostModel Coef'!D$9:D$12,$X30),"")</f>
        <v>3.0430000000000001</v>
      </c>
      <c r="AA30" s="103">
        <f>IF($X30&gt;0,INDEX('CostModel Coef'!E$9:E$12,$X30),"")</f>
        <v>-0.14966150225589619</v>
      </c>
      <c r="AB30" s="103">
        <f>IF($X30&gt;0,INDEX('CostModel Coef'!F$9:F$12,$X30),"")</f>
        <v>0.52692151711335011</v>
      </c>
      <c r="AC30" s="103">
        <f>IF($X30&gt;0,INDEX('CostModel Coef'!G$9:G$12,$X30),"")</f>
        <v>1.8411</v>
      </c>
      <c r="AD30" s="103">
        <f>IF($X30&gt;0,INDEX('CostModel Coef'!H$9:H$12,$X30),"")</f>
        <v>-1.8050999999999999</v>
      </c>
      <c r="AE30" s="103">
        <f>IF($X30&gt;0,INDEX('CostModel Coef'!J$9:J$12,$X30),"")</f>
        <v>-1.1288</v>
      </c>
      <c r="AF30" s="103">
        <f>IF($X30&gt;0,INDEX('CostModel Coef'!K$9:K$12,$X30),"")</f>
        <v>-1.845</v>
      </c>
      <c r="AG30" s="103">
        <f>IF($X30&gt;0,INDEX('CostModel Coef'!L$9:L$12,$X30),"")</f>
        <v>6.7507000000000001</v>
      </c>
      <c r="AH30" s="103">
        <f>IF($X30&gt;0,INDEX('CostModel Coef'!M$9:M$12,$X30),"")</f>
        <v>5.8051000000000004</v>
      </c>
      <c r="AI30" s="103">
        <f>IF($X30&gt;0,INDEX('CostModel Coef'!N$9:N$12,$X30),"")</f>
        <v>6.1600000000000002E-2</v>
      </c>
      <c r="AJ30" s="103">
        <f>IF($X30&gt;0,INDEX('CostModel Coef'!Q$9:Q$12,$X30),"")</f>
        <v>6.6500000000000004E-2</v>
      </c>
      <c r="AK30" s="103">
        <f>IF($X30&gt;0,INDEX('CostModel Coef'!T$9:T$12,$X30),"")</f>
        <v>9.35E-2</v>
      </c>
      <c r="AL30" s="103"/>
      <c r="AM30" s="108">
        <f t="shared" si="1"/>
        <v>11.184092014857454</v>
      </c>
      <c r="AN30" s="108">
        <f t="shared" si="2"/>
        <v>13.029092014857454</v>
      </c>
      <c r="AO30" s="108">
        <f t="shared" si="3"/>
        <v>11.223992014857455</v>
      </c>
      <c r="AP30" s="108">
        <f t="shared" si="4"/>
        <v>11.223992014857455</v>
      </c>
      <c r="AQ30" s="108">
        <f t="shared" si="5"/>
        <v>10.095192014857453</v>
      </c>
      <c r="AR30" s="108"/>
      <c r="AS30" s="108"/>
      <c r="AT30" s="103">
        <f>IF($X30&gt;0,INDEX('CostModel Coef'!D$13:D$16,$X30),"")</f>
        <v>2.1320000000000001</v>
      </c>
      <c r="AU30" s="103">
        <f>IF($X30&gt;0,INDEX('CostModel Coef'!E$13:E$16,$X30),"")</f>
        <v>0.23699999999999999</v>
      </c>
      <c r="AV30" s="103">
        <f>IF($X30&gt;0,INDEX('CostModel Coef'!F$13:F$16,$X30),"")</f>
        <v>0.59899999999999998</v>
      </c>
      <c r="AW30" s="103">
        <f>IF($X30&gt;0,INDEX('CostModel Coef'!G$13:G$16,$X30),"")</f>
        <v>0</v>
      </c>
      <c r="AX30" s="103">
        <f>IF($X30&gt;0,INDEX('CostModel Coef'!H$13:H$16,$X30),"")</f>
        <v>-1.69</v>
      </c>
      <c r="AY30" s="103">
        <f>IF($X30&gt;0,INDEX('CostModel Coef'!I$13:I$16,$X30),"")</f>
        <v>-1.1599999999999999</v>
      </c>
      <c r="AZ30" s="103">
        <f>IF($X30&gt;0,INDEX('CostModel Coef'!J$13:J$16,$X30),"")</f>
        <v>0</v>
      </c>
      <c r="BA30" s="103">
        <f>IF($X30&gt;0,INDEX('CostModel Coef'!K$13:K$16,$X30),"")</f>
        <v>-2.4630000000000001</v>
      </c>
      <c r="BB30" s="103">
        <f>IF($X30&gt;0,INDEX('CostModel Coef'!L$13:L$16,$X30),"")</f>
        <v>0.46179999999999999</v>
      </c>
      <c r="BC30" s="103">
        <f>IF($X30&gt;0,INDEX('CostModel Coef'!M$13:M$16,$X30),"")</f>
        <v>0</v>
      </c>
      <c r="BD30" s="103">
        <f>IF($X30&gt;0,INDEX('CostModel Coef'!N$13:N$16,$X30),"")</f>
        <v>0.19869999999999999</v>
      </c>
      <c r="BE30" s="103">
        <f>IF($X30&gt;0,INDEX('CostModel Coef'!O$13:O$16,$X30),"")</f>
        <v>0.6</v>
      </c>
      <c r="BF30" s="103">
        <f>IF($X30&gt;0,INDEX('CostModel Coef'!P$13:P$16,$X30),"")</f>
        <v>15</v>
      </c>
      <c r="BG30" s="103">
        <f>IF($X30&gt;0,INDEX('CostModel Coef'!Q$13:Q$16,$X30),"")</f>
        <v>0</v>
      </c>
      <c r="BH30" s="103">
        <f>IF($X30&gt;0,INDEX('CostModel Coef'!R$13:R$16,$X30),"")</f>
        <v>3</v>
      </c>
      <c r="BI30" s="103">
        <f>IF($X30&gt;0,INDEX('CostModel Coef'!S$13:S$16,$X30),"")</f>
        <v>150</v>
      </c>
      <c r="BJ30" s="103">
        <f>IF($X30&gt;0,INDEX('CostModel Coef'!T$13:T$16,$X30),"")</f>
        <v>0</v>
      </c>
      <c r="BK30" s="103">
        <f>IF($X30&gt;0,INDEX('CostModel Coef'!U$13:U$16,$X30),"")</f>
        <v>9.1999999999999998E-3</v>
      </c>
      <c r="BL30" s="103">
        <f>IF($X30&gt;0,INDEX('CostModel Coef'!V$13:V$16,$X30),"")</f>
        <v>-8.8000000000000005E-3</v>
      </c>
      <c r="BM30" s="103">
        <f>IF($X30&gt;0,INDEX('CostModel Coef'!W$13:W$16,$X30),"")</f>
        <v>0</v>
      </c>
      <c r="BN30" s="103">
        <f>IF($X30&gt;0,INDEX('CostModel Coef'!X$13:X$16,$X30),"")</f>
        <v>0</v>
      </c>
      <c r="BO30" s="103"/>
      <c r="BP30" s="119">
        <v>2000</v>
      </c>
      <c r="BQ30" s="103"/>
      <c r="BR30" s="103"/>
      <c r="BS30" s="119" t="str">
        <f t="shared" si="8"/>
        <v>WRR0347_CFLscw-3way(29w)</v>
      </c>
      <c r="BT30" s="174">
        <f t="shared" si="0"/>
        <v>101</v>
      </c>
      <c r="BU30" s="113">
        <f t="shared" si="10"/>
        <v>1.7886000000000006</v>
      </c>
      <c r="BV30" s="108">
        <f t="shared" si="11"/>
        <v>4.2516000000000007</v>
      </c>
      <c r="BW30" s="108">
        <f t="shared" si="12"/>
        <v>2.5616000000000008</v>
      </c>
      <c r="BX30" s="108">
        <f t="shared" si="13"/>
        <v>1.4016000000000008</v>
      </c>
      <c r="BY30" s="108">
        <f t="shared" si="14"/>
        <v>1.4016000000000008</v>
      </c>
      <c r="BZ30" s="108"/>
      <c r="CA30" s="119" t="str">
        <f t="shared" si="15"/>
        <v/>
      </c>
      <c r="CB30" s="180">
        <v>-1</v>
      </c>
      <c r="CC30" s="113" t="str">
        <f t="shared" si="16"/>
        <v/>
      </c>
      <c r="CD30" s="108" t="str">
        <f t="shared" si="17"/>
        <v/>
      </c>
      <c r="CE30" s="108" t="str">
        <f t="shared" si="18"/>
        <v/>
      </c>
      <c r="CF30" s="108" t="str">
        <f t="shared" si="19"/>
        <v/>
      </c>
      <c r="CG30" s="108" t="str">
        <f t="shared" si="20"/>
        <v/>
      </c>
      <c r="CH30" s="103"/>
      <c r="CI30" s="119" t="str">
        <f t="shared" si="9"/>
        <v>WRR0347_CFLscw-3way(29w)</v>
      </c>
      <c r="CJ30" s="174">
        <f t="shared" si="7"/>
        <v>101</v>
      </c>
      <c r="CK30" s="113">
        <f t="shared" si="21"/>
        <v>1.7886000000000006</v>
      </c>
      <c r="CL30" s="108">
        <f t="shared" si="22"/>
        <v>4.2516000000000007</v>
      </c>
      <c r="CM30" s="108">
        <f t="shared" si="23"/>
        <v>2.5616000000000008</v>
      </c>
      <c r="CN30" s="108">
        <f t="shared" si="24"/>
        <v>1.4016000000000008</v>
      </c>
      <c r="CO30" s="108">
        <f t="shared" si="25"/>
        <v>1.4016000000000008</v>
      </c>
    </row>
    <row r="31" spans="1:93">
      <c r="A31" s="103" t="s">
        <v>208</v>
      </c>
      <c r="B31" s="103" t="s">
        <v>165</v>
      </c>
      <c r="C31" s="103" t="s">
        <v>152</v>
      </c>
      <c r="D31" s="250" t="s">
        <v>153</v>
      </c>
      <c r="E31" s="250">
        <v>82</v>
      </c>
      <c r="F31" s="182">
        <v>9020</v>
      </c>
      <c r="G31" s="250" t="s">
        <v>175</v>
      </c>
      <c r="H31" s="250">
        <v>30</v>
      </c>
      <c r="I31" s="250"/>
      <c r="J31" s="250"/>
      <c r="K31" s="250"/>
      <c r="L31" s="250" t="s">
        <v>61</v>
      </c>
      <c r="M31" s="250">
        <v>30</v>
      </c>
      <c r="N31" s="250"/>
      <c r="O31" s="250"/>
      <c r="P31" s="250" t="s">
        <v>153</v>
      </c>
      <c r="Q31" s="250" t="s">
        <v>176</v>
      </c>
      <c r="R31" s="250"/>
      <c r="S31" s="250"/>
      <c r="T31" s="250" t="s">
        <v>155</v>
      </c>
      <c r="U31" s="103" t="s">
        <v>209</v>
      </c>
      <c r="V31" s="106" t="s">
        <v>157</v>
      </c>
      <c r="W31" s="103" t="s">
        <v>81</v>
      </c>
      <c r="X31" s="103">
        <f>IFERROR(MATCH(W31,'CostModel Coef'!$C$9:$C$12,0),0)</f>
        <v>1</v>
      </c>
      <c r="Y31" s="103"/>
      <c r="Z31" s="103">
        <f>IF($X31&gt;0,INDEX('CostModel Coef'!D$9:D$12,$X31),"")</f>
        <v>3.0430000000000001</v>
      </c>
      <c r="AA31" s="103">
        <f>IF($X31&gt;0,INDEX('CostModel Coef'!E$9:E$12,$X31),"")</f>
        <v>-0.14966150225589619</v>
      </c>
      <c r="AB31" s="103">
        <f>IF($X31&gt;0,INDEX('CostModel Coef'!F$9:F$12,$X31),"")</f>
        <v>0.52692151711335011</v>
      </c>
      <c r="AC31" s="103">
        <f>IF($X31&gt;0,INDEX('CostModel Coef'!G$9:G$12,$X31),"")</f>
        <v>1.8411</v>
      </c>
      <c r="AD31" s="103">
        <f>IF($X31&gt;0,INDEX('CostModel Coef'!H$9:H$12,$X31),"")</f>
        <v>-1.8050999999999999</v>
      </c>
      <c r="AE31" s="103">
        <f>IF($X31&gt;0,INDEX('CostModel Coef'!J$9:J$12,$X31),"")</f>
        <v>-1.1288</v>
      </c>
      <c r="AF31" s="103">
        <f>IF($X31&gt;0,INDEX('CostModel Coef'!K$9:K$12,$X31),"")</f>
        <v>-1.845</v>
      </c>
      <c r="AG31" s="103">
        <f>IF($X31&gt;0,INDEX('CostModel Coef'!L$9:L$12,$X31),"")</f>
        <v>6.7507000000000001</v>
      </c>
      <c r="AH31" s="103">
        <f>IF($X31&gt;0,INDEX('CostModel Coef'!M$9:M$12,$X31),"")</f>
        <v>5.8051000000000004</v>
      </c>
      <c r="AI31" s="103">
        <f>IF($X31&gt;0,INDEX('CostModel Coef'!N$9:N$12,$X31),"")</f>
        <v>6.1600000000000002E-2</v>
      </c>
      <c r="AJ31" s="103">
        <f>IF($X31&gt;0,INDEX('CostModel Coef'!Q$9:Q$12,$X31),"")</f>
        <v>6.6500000000000004E-2</v>
      </c>
      <c r="AK31" s="103">
        <f>IF($X31&gt;0,INDEX('CostModel Coef'!T$9:T$12,$X31),"")</f>
        <v>9.35E-2</v>
      </c>
      <c r="AL31" s="103"/>
      <c r="AM31" s="108">
        <f t="shared" si="1"/>
        <v>11.344092014857454</v>
      </c>
      <c r="AN31" s="108">
        <f t="shared" si="2"/>
        <v>13.189092014857453</v>
      </c>
      <c r="AO31" s="108">
        <f t="shared" si="3"/>
        <v>11.383992014857453</v>
      </c>
      <c r="AP31" s="108">
        <f t="shared" si="4"/>
        <v>11.383992014857453</v>
      </c>
      <c r="AQ31" s="108">
        <f t="shared" si="5"/>
        <v>10.255192014857453</v>
      </c>
      <c r="AR31" s="108"/>
      <c r="AS31" s="108"/>
      <c r="AT31" s="103">
        <f>IF($X31&gt;0,INDEX('CostModel Coef'!D$13:D$16,$X31),"")</f>
        <v>2.1320000000000001</v>
      </c>
      <c r="AU31" s="103">
        <f>IF($X31&gt;0,INDEX('CostModel Coef'!E$13:E$16,$X31),"")</f>
        <v>0.23699999999999999</v>
      </c>
      <c r="AV31" s="103">
        <f>IF($X31&gt;0,INDEX('CostModel Coef'!F$13:F$16,$X31),"")</f>
        <v>0.59899999999999998</v>
      </c>
      <c r="AW31" s="103">
        <f>IF($X31&gt;0,INDEX('CostModel Coef'!G$13:G$16,$X31),"")</f>
        <v>0</v>
      </c>
      <c r="AX31" s="103">
        <f>IF($X31&gt;0,INDEX('CostModel Coef'!H$13:H$16,$X31),"")</f>
        <v>-1.69</v>
      </c>
      <c r="AY31" s="103">
        <f>IF($X31&gt;0,INDEX('CostModel Coef'!I$13:I$16,$X31),"")</f>
        <v>-1.1599999999999999</v>
      </c>
      <c r="AZ31" s="103">
        <f>IF($X31&gt;0,INDEX('CostModel Coef'!J$13:J$16,$X31),"")</f>
        <v>0</v>
      </c>
      <c r="BA31" s="103">
        <f>IF($X31&gt;0,INDEX('CostModel Coef'!K$13:K$16,$X31),"")</f>
        <v>-2.4630000000000001</v>
      </c>
      <c r="BB31" s="103">
        <f>IF($X31&gt;0,INDEX('CostModel Coef'!L$13:L$16,$X31),"")</f>
        <v>0.46179999999999999</v>
      </c>
      <c r="BC31" s="103">
        <f>IF($X31&gt;0,INDEX('CostModel Coef'!M$13:M$16,$X31),"")</f>
        <v>0</v>
      </c>
      <c r="BD31" s="103">
        <f>IF($X31&gt;0,INDEX('CostModel Coef'!N$13:N$16,$X31),"")</f>
        <v>0.19869999999999999</v>
      </c>
      <c r="BE31" s="103">
        <f>IF($X31&gt;0,INDEX('CostModel Coef'!O$13:O$16,$X31),"")</f>
        <v>0.6</v>
      </c>
      <c r="BF31" s="103">
        <f>IF($X31&gt;0,INDEX('CostModel Coef'!P$13:P$16,$X31),"")</f>
        <v>15</v>
      </c>
      <c r="BG31" s="103">
        <f>IF($X31&gt;0,INDEX('CostModel Coef'!Q$13:Q$16,$X31),"")</f>
        <v>0</v>
      </c>
      <c r="BH31" s="103">
        <f>IF($X31&gt;0,INDEX('CostModel Coef'!R$13:R$16,$X31),"")</f>
        <v>3</v>
      </c>
      <c r="BI31" s="103">
        <f>IF($X31&gt;0,INDEX('CostModel Coef'!S$13:S$16,$X31),"")</f>
        <v>150</v>
      </c>
      <c r="BJ31" s="103">
        <f>IF($X31&gt;0,INDEX('CostModel Coef'!T$13:T$16,$X31),"")</f>
        <v>0</v>
      </c>
      <c r="BK31" s="103">
        <f>IF($X31&gt;0,INDEX('CostModel Coef'!U$13:U$16,$X31),"")</f>
        <v>9.1999999999999998E-3</v>
      </c>
      <c r="BL31" s="103">
        <f>IF($X31&gt;0,INDEX('CostModel Coef'!V$13:V$16,$X31),"")</f>
        <v>-8.8000000000000005E-3</v>
      </c>
      <c r="BM31" s="103">
        <f>IF($X31&gt;0,INDEX('CostModel Coef'!W$13:W$16,$X31),"")</f>
        <v>0</v>
      </c>
      <c r="BN31" s="103">
        <f>IF($X31&gt;0,INDEX('CostModel Coef'!X$13:X$16,$X31),"")</f>
        <v>0</v>
      </c>
      <c r="BO31" s="103"/>
      <c r="BP31" s="119">
        <v>2000</v>
      </c>
      <c r="BQ31" s="103"/>
      <c r="BR31" s="103"/>
      <c r="BS31" s="119" t="str">
        <f t="shared" si="8"/>
        <v>WRR0347_CFLscw-3way(30w)</v>
      </c>
      <c r="BT31" s="174">
        <f t="shared" si="0"/>
        <v>104</v>
      </c>
      <c r="BU31" s="113">
        <f t="shared" si="10"/>
        <v>1.7897999999999996</v>
      </c>
      <c r="BV31" s="108">
        <f t="shared" si="11"/>
        <v>4.2527999999999997</v>
      </c>
      <c r="BW31" s="108">
        <f t="shared" si="12"/>
        <v>2.5627999999999997</v>
      </c>
      <c r="BX31" s="108">
        <f t="shared" si="13"/>
        <v>1.4027999999999998</v>
      </c>
      <c r="BY31" s="108">
        <f t="shared" si="14"/>
        <v>1.4027999999999998</v>
      </c>
      <c r="BZ31" s="108"/>
      <c r="CA31" s="119" t="str">
        <f t="shared" si="15"/>
        <v/>
      </c>
      <c r="CB31" s="180">
        <v>-1</v>
      </c>
      <c r="CC31" s="113" t="str">
        <f t="shared" si="16"/>
        <v/>
      </c>
      <c r="CD31" s="108" t="str">
        <f t="shared" si="17"/>
        <v/>
      </c>
      <c r="CE31" s="108" t="str">
        <f t="shared" si="18"/>
        <v/>
      </c>
      <c r="CF31" s="108" t="str">
        <f t="shared" si="19"/>
        <v/>
      </c>
      <c r="CG31" s="108" t="str">
        <f t="shared" si="20"/>
        <v/>
      </c>
      <c r="CH31" s="103"/>
      <c r="CI31" s="119" t="str">
        <f t="shared" si="9"/>
        <v>WRR0347_CFLscw-3way(30w)</v>
      </c>
      <c r="CJ31" s="174">
        <f t="shared" si="7"/>
        <v>104</v>
      </c>
      <c r="CK31" s="113">
        <f t="shared" si="21"/>
        <v>1.7897999999999996</v>
      </c>
      <c r="CL31" s="108">
        <f t="shared" si="22"/>
        <v>4.2527999999999997</v>
      </c>
      <c r="CM31" s="108">
        <f t="shared" si="23"/>
        <v>2.5627999999999997</v>
      </c>
      <c r="CN31" s="108">
        <f t="shared" si="24"/>
        <v>1.4027999999999998</v>
      </c>
      <c r="CO31" s="108">
        <f t="shared" si="25"/>
        <v>1.4027999999999998</v>
      </c>
    </row>
    <row r="32" spans="1:93">
      <c r="A32" s="103" t="s">
        <v>210</v>
      </c>
      <c r="B32" s="103" t="s">
        <v>165</v>
      </c>
      <c r="C32" s="103" t="s">
        <v>152</v>
      </c>
      <c r="D32" s="250" t="s">
        <v>153</v>
      </c>
      <c r="E32" s="250">
        <v>82</v>
      </c>
      <c r="F32" s="182">
        <v>9020</v>
      </c>
      <c r="G32" s="250" t="s">
        <v>175</v>
      </c>
      <c r="H32" s="250">
        <v>31</v>
      </c>
      <c r="I32" s="250"/>
      <c r="J32" s="250"/>
      <c r="K32" s="250"/>
      <c r="L32" s="250" t="s">
        <v>61</v>
      </c>
      <c r="M32" s="250">
        <v>31</v>
      </c>
      <c r="N32" s="250"/>
      <c r="O32" s="250"/>
      <c r="P32" s="250" t="s">
        <v>153</v>
      </c>
      <c r="Q32" s="250" t="s">
        <v>176</v>
      </c>
      <c r="R32" s="250"/>
      <c r="S32" s="250"/>
      <c r="T32" s="250" t="s">
        <v>155</v>
      </c>
      <c r="U32" s="103" t="s">
        <v>211</v>
      </c>
      <c r="V32" s="106" t="s">
        <v>157</v>
      </c>
      <c r="W32" s="103" t="s">
        <v>81</v>
      </c>
      <c r="X32" s="103">
        <f>IFERROR(MATCH(W32,'CostModel Coef'!$C$9:$C$12,0),0)</f>
        <v>1</v>
      </c>
      <c r="Y32" s="103"/>
      <c r="Z32" s="103">
        <f>IF($X32&gt;0,INDEX('CostModel Coef'!D$9:D$12,$X32),"")</f>
        <v>3.0430000000000001</v>
      </c>
      <c r="AA32" s="103">
        <f>IF($X32&gt;0,INDEX('CostModel Coef'!E$9:E$12,$X32),"")</f>
        <v>-0.14966150225589619</v>
      </c>
      <c r="AB32" s="103">
        <f>IF($X32&gt;0,INDEX('CostModel Coef'!F$9:F$12,$X32),"")</f>
        <v>0.52692151711335011</v>
      </c>
      <c r="AC32" s="103">
        <f>IF($X32&gt;0,INDEX('CostModel Coef'!G$9:G$12,$X32),"")</f>
        <v>1.8411</v>
      </c>
      <c r="AD32" s="103">
        <f>IF($X32&gt;0,INDEX('CostModel Coef'!H$9:H$12,$X32),"")</f>
        <v>-1.8050999999999999</v>
      </c>
      <c r="AE32" s="103">
        <f>IF($X32&gt;0,INDEX('CostModel Coef'!J$9:J$12,$X32),"")</f>
        <v>-1.1288</v>
      </c>
      <c r="AF32" s="103">
        <f>IF($X32&gt;0,INDEX('CostModel Coef'!K$9:K$12,$X32),"")</f>
        <v>-1.845</v>
      </c>
      <c r="AG32" s="103">
        <f>IF($X32&gt;0,INDEX('CostModel Coef'!L$9:L$12,$X32),"")</f>
        <v>6.7507000000000001</v>
      </c>
      <c r="AH32" s="103">
        <f>IF($X32&gt;0,INDEX('CostModel Coef'!M$9:M$12,$X32),"")</f>
        <v>5.8051000000000004</v>
      </c>
      <c r="AI32" s="103">
        <f>IF($X32&gt;0,INDEX('CostModel Coef'!N$9:N$12,$X32),"")</f>
        <v>6.1600000000000002E-2</v>
      </c>
      <c r="AJ32" s="103">
        <f>IF($X32&gt;0,INDEX('CostModel Coef'!Q$9:Q$12,$X32),"")</f>
        <v>6.6500000000000004E-2</v>
      </c>
      <c r="AK32" s="103">
        <f>IF($X32&gt;0,INDEX('CostModel Coef'!T$9:T$12,$X32),"")</f>
        <v>9.35E-2</v>
      </c>
      <c r="AL32" s="103"/>
      <c r="AM32" s="108">
        <f t="shared" si="1"/>
        <v>11.504092014857454</v>
      </c>
      <c r="AN32" s="108">
        <f t="shared" si="2"/>
        <v>13.349092014857455</v>
      </c>
      <c r="AO32" s="108">
        <f t="shared" si="3"/>
        <v>11.543992014857455</v>
      </c>
      <c r="AP32" s="108">
        <f t="shared" si="4"/>
        <v>11.543992014857455</v>
      </c>
      <c r="AQ32" s="108">
        <f t="shared" si="5"/>
        <v>10.415192014857455</v>
      </c>
      <c r="AR32" s="108"/>
      <c r="AS32" s="108"/>
      <c r="AT32" s="103">
        <f>IF($X32&gt;0,INDEX('CostModel Coef'!D$13:D$16,$X32),"")</f>
        <v>2.1320000000000001</v>
      </c>
      <c r="AU32" s="103">
        <f>IF($X32&gt;0,INDEX('CostModel Coef'!E$13:E$16,$X32),"")</f>
        <v>0.23699999999999999</v>
      </c>
      <c r="AV32" s="103">
        <f>IF($X32&gt;0,INDEX('CostModel Coef'!F$13:F$16,$X32),"")</f>
        <v>0.59899999999999998</v>
      </c>
      <c r="AW32" s="103">
        <f>IF($X32&gt;0,INDEX('CostModel Coef'!G$13:G$16,$X32),"")</f>
        <v>0</v>
      </c>
      <c r="AX32" s="103">
        <f>IF($X32&gt;0,INDEX('CostModel Coef'!H$13:H$16,$X32),"")</f>
        <v>-1.69</v>
      </c>
      <c r="AY32" s="103">
        <f>IF($X32&gt;0,INDEX('CostModel Coef'!I$13:I$16,$X32),"")</f>
        <v>-1.1599999999999999</v>
      </c>
      <c r="AZ32" s="103">
        <f>IF($X32&gt;0,INDEX('CostModel Coef'!J$13:J$16,$X32),"")</f>
        <v>0</v>
      </c>
      <c r="BA32" s="103">
        <f>IF($X32&gt;0,INDEX('CostModel Coef'!K$13:K$16,$X32),"")</f>
        <v>-2.4630000000000001</v>
      </c>
      <c r="BB32" s="103">
        <f>IF($X32&gt;0,INDEX('CostModel Coef'!L$13:L$16,$X32),"")</f>
        <v>0.46179999999999999</v>
      </c>
      <c r="BC32" s="103">
        <f>IF($X32&gt;0,INDEX('CostModel Coef'!M$13:M$16,$X32),"")</f>
        <v>0</v>
      </c>
      <c r="BD32" s="103">
        <f>IF($X32&gt;0,INDEX('CostModel Coef'!N$13:N$16,$X32),"")</f>
        <v>0.19869999999999999</v>
      </c>
      <c r="BE32" s="103">
        <f>IF($X32&gt;0,INDEX('CostModel Coef'!O$13:O$16,$X32),"")</f>
        <v>0.6</v>
      </c>
      <c r="BF32" s="103">
        <f>IF($X32&gt;0,INDEX('CostModel Coef'!P$13:P$16,$X32),"")</f>
        <v>15</v>
      </c>
      <c r="BG32" s="103">
        <f>IF($X32&gt;0,INDEX('CostModel Coef'!Q$13:Q$16,$X32),"")</f>
        <v>0</v>
      </c>
      <c r="BH32" s="103">
        <f>IF($X32&gt;0,INDEX('CostModel Coef'!R$13:R$16,$X32),"")</f>
        <v>3</v>
      </c>
      <c r="BI32" s="103">
        <f>IF($X32&gt;0,INDEX('CostModel Coef'!S$13:S$16,$X32),"")</f>
        <v>150</v>
      </c>
      <c r="BJ32" s="103">
        <f>IF($X32&gt;0,INDEX('CostModel Coef'!T$13:T$16,$X32),"")</f>
        <v>0</v>
      </c>
      <c r="BK32" s="103">
        <f>IF($X32&gt;0,INDEX('CostModel Coef'!U$13:U$16,$X32),"")</f>
        <v>9.1999999999999998E-3</v>
      </c>
      <c r="BL32" s="103">
        <f>IF($X32&gt;0,INDEX('CostModel Coef'!V$13:V$16,$X32),"")</f>
        <v>-8.8000000000000005E-3</v>
      </c>
      <c r="BM32" s="103">
        <f>IF($X32&gt;0,INDEX('CostModel Coef'!W$13:W$16,$X32),"")</f>
        <v>0</v>
      </c>
      <c r="BN32" s="103">
        <f>IF($X32&gt;0,INDEX('CostModel Coef'!X$13:X$16,$X32),"")</f>
        <v>0</v>
      </c>
      <c r="BO32" s="103"/>
      <c r="BP32" s="119">
        <v>2000</v>
      </c>
      <c r="BQ32" s="103"/>
      <c r="BR32" s="103"/>
      <c r="BS32" s="119" t="str">
        <f t="shared" si="8"/>
        <v>WRR0347_CFLscw-3way(31w)</v>
      </c>
      <c r="BT32" s="174">
        <f t="shared" si="0"/>
        <v>108</v>
      </c>
      <c r="BU32" s="113">
        <f t="shared" si="10"/>
        <v>1.7914000000000003</v>
      </c>
      <c r="BV32" s="108">
        <f t="shared" si="11"/>
        <v>4.2544000000000004</v>
      </c>
      <c r="BW32" s="108">
        <f t="shared" si="12"/>
        <v>2.5644000000000005</v>
      </c>
      <c r="BX32" s="108">
        <f t="shared" si="13"/>
        <v>1.4044000000000005</v>
      </c>
      <c r="BY32" s="108">
        <f t="shared" si="14"/>
        <v>1.4044000000000005</v>
      </c>
      <c r="BZ32" s="108"/>
      <c r="CA32" s="119" t="str">
        <f t="shared" si="15"/>
        <v/>
      </c>
      <c r="CB32" s="180">
        <v>-1</v>
      </c>
      <c r="CC32" s="113" t="str">
        <f t="shared" si="16"/>
        <v/>
      </c>
      <c r="CD32" s="108" t="str">
        <f t="shared" si="17"/>
        <v/>
      </c>
      <c r="CE32" s="108" t="str">
        <f t="shared" si="18"/>
        <v/>
      </c>
      <c r="CF32" s="108" t="str">
        <f t="shared" si="19"/>
        <v/>
      </c>
      <c r="CG32" s="108" t="str">
        <f t="shared" si="20"/>
        <v/>
      </c>
      <c r="CH32" s="103"/>
      <c r="CI32" s="119" t="str">
        <f t="shared" si="9"/>
        <v>WRR0347_CFLscw-3way(31w)</v>
      </c>
      <c r="CJ32" s="174">
        <f t="shared" si="7"/>
        <v>108</v>
      </c>
      <c r="CK32" s="113">
        <f t="shared" si="21"/>
        <v>1.7914000000000003</v>
      </c>
      <c r="CL32" s="108">
        <f t="shared" si="22"/>
        <v>4.2544000000000004</v>
      </c>
      <c r="CM32" s="108">
        <f t="shared" si="23"/>
        <v>2.5644000000000005</v>
      </c>
      <c r="CN32" s="108">
        <f t="shared" si="24"/>
        <v>1.4044000000000005</v>
      </c>
      <c r="CO32" s="108">
        <f t="shared" si="25"/>
        <v>1.4044000000000005</v>
      </c>
    </row>
    <row r="33" spans="1:93">
      <c r="A33" s="103" t="s">
        <v>212</v>
      </c>
      <c r="B33" s="103" t="s">
        <v>165</v>
      </c>
      <c r="C33" s="103" t="s">
        <v>152</v>
      </c>
      <c r="D33" s="250" t="s">
        <v>153</v>
      </c>
      <c r="E33" s="250">
        <v>82</v>
      </c>
      <c r="F33" s="182">
        <v>9020</v>
      </c>
      <c r="G33" s="250" t="s">
        <v>175</v>
      </c>
      <c r="H33" s="250">
        <v>32</v>
      </c>
      <c r="I33" s="250"/>
      <c r="J33" s="250"/>
      <c r="K33" s="250"/>
      <c r="L33" s="250" t="s">
        <v>61</v>
      </c>
      <c r="M33" s="250">
        <v>32</v>
      </c>
      <c r="N33" s="250"/>
      <c r="O33" s="250"/>
      <c r="P33" s="250" t="s">
        <v>153</v>
      </c>
      <c r="Q33" s="250" t="s">
        <v>176</v>
      </c>
      <c r="R33" s="250"/>
      <c r="S33" s="250"/>
      <c r="T33" s="250" t="s">
        <v>155</v>
      </c>
      <c r="U33" s="103" t="s">
        <v>213</v>
      </c>
      <c r="V33" s="106" t="s">
        <v>157</v>
      </c>
      <c r="W33" s="103" t="s">
        <v>81</v>
      </c>
      <c r="X33" s="103">
        <f>IFERROR(MATCH(W33,'CostModel Coef'!$C$9:$C$12,0),0)</f>
        <v>1</v>
      </c>
      <c r="Y33" s="103"/>
      <c r="Z33" s="103">
        <f>IF($X33&gt;0,INDEX('CostModel Coef'!D$9:D$12,$X33),"")</f>
        <v>3.0430000000000001</v>
      </c>
      <c r="AA33" s="103">
        <f>IF($X33&gt;0,INDEX('CostModel Coef'!E$9:E$12,$X33),"")</f>
        <v>-0.14966150225589619</v>
      </c>
      <c r="AB33" s="103">
        <f>IF($X33&gt;0,INDEX('CostModel Coef'!F$9:F$12,$X33),"")</f>
        <v>0.52692151711335011</v>
      </c>
      <c r="AC33" s="103">
        <f>IF($X33&gt;0,INDEX('CostModel Coef'!G$9:G$12,$X33),"")</f>
        <v>1.8411</v>
      </c>
      <c r="AD33" s="103">
        <f>IF($X33&gt;0,INDEX('CostModel Coef'!H$9:H$12,$X33),"")</f>
        <v>-1.8050999999999999</v>
      </c>
      <c r="AE33" s="103">
        <f>IF($X33&gt;0,INDEX('CostModel Coef'!J$9:J$12,$X33),"")</f>
        <v>-1.1288</v>
      </c>
      <c r="AF33" s="103">
        <f>IF($X33&gt;0,INDEX('CostModel Coef'!K$9:K$12,$X33),"")</f>
        <v>-1.845</v>
      </c>
      <c r="AG33" s="103">
        <f>IF($X33&gt;0,INDEX('CostModel Coef'!L$9:L$12,$X33),"")</f>
        <v>6.7507000000000001</v>
      </c>
      <c r="AH33" s="103">
        <f>IF($X33&gt;0,INDEX('CostModel Coef'!M$9:M$12,$X33),"")</f>
        <v>5.8051000000000004</v>
      </c>
      <c r="AI33" s="103">
        <f>IF($X33&gt;0,INDEX('CostModel Coef'!N$9:N$12,$X33),"")</f>
        <v>6.1600000000000002E-2</v>
      </c>
      <c r="AJ33" s="103">
        <f>IF($X33&gt;0,INDEX('CostModel Coef'!Q$9:Q$12,$X33),"")</f>
        <v>6.6500000000000004E-2</v>
      </c>
      <c r="AK33" s="103">
        <f>IF($X33&gt;0,INDEX('CostModel Coef'!T$9:T$12,$X33),"")</f>
        <v>9.35E-2</v>
      </c>
      <c r="AL33" s="103"/>
      <c r="AM33" s="108">
        <f t="shared" si="1"/>
        <v>11.664092014857454</v>
      </c>
      <c r="AN33" s="108">
        <f t="shared" si="2"/>
        <v>13.509092014857455</v>
      </c>
      <c r="AO33" s="108">
        <f t="shared" si="3"/>
        <v>11.703992014857455</v>
      </c>
      <c r="AP33" s="108">
        <f t="shared" si="4"/>
        <v>11.703992014857455</v>
      </c>
      <c r="AQ33" s="108">
        <f t="shared" si="5"/>
        <v>10.575192014857453</v>
      </c>
      <c r="AR33" s="108"/>
      <c r="AS33" s="108"/>
      <c r="AT33" s="103">
        <f>IF($X33&gt;0,INDEX('CostModel Coef'!D$13:D$16,$X33),"")</f>
        <v>2.1320000000000001</v>
      </c>
      <c r="AU33" s="103">
        <f>IF($X33&gt;0,INDEX('CostModel Coef'!E$13:E$16,$X33),"")</f>
        <v>0.23699999999999999</v>
      </c>
      <c r="AV33" s="103">
        <f>IF($X33&gt;0,INDEX('CostModel Coef'!F$13:F$16,$X33),"")</f>
        <v>0.59899999999999998</v>
      </c>
      <c r="AW33" s="103">
        <f>IF($X33&gt;0,INDEX('CostModel Coef'!G$13:G$16,$X33),"")</f>
        <v>0</v>
      </c>
      <c r="AX33" s="103">
        <f>IF($X33&gt;0,INDEX('CostModel Coef'!H$13:H$16,$X33),"")</f>
        <v>-1.69</v>
      </c>
      <c r="AY33" s="103">
        <f>IF($X33&gt;0,INDEX('CostModel Coef'!I$13:I$16,$X33),"")</f>
        <v>-1.1599999999999999</v>
      </c>
      <c r="AZ33" s="103">
        <f>IF($X33&gt;0,INDEX('CostModel Coef'!J$13:J$16,$X33),"")</f>
        <v>0</v>
      </c>
      <c r="BA33" s="103">
        <f>IF($X33&gt;0,INDEX('CostModel Coef'!K$13:K$16,$X33),"")</f>
        <v>-2.4630000000000001</v>
      </c>
      <c r="BB33" s="103">
        <f>IF($X33&gt;0,INDEX('CostModel Coef'!L$13:L$16,$X33),"")</f>
        <v>0.46179999999999999</v>
      </c>
      <c r="BC33" s="103">
        <f>IF($X33&gt;0,INDEX('CostModel Coef'!M$13:M$16,$X33),"")</f>
        <v>0</v>
      </c>
      <c r="BD33" s="103">
        <f>IF($X33&gt;0,INDEX('CostModel Coef'!N$13:N$16,$X33),"")</f>
        <v>0.19869999999999999</v>
      </c>
      <c r="BE33" s="103">
        <f>IF($X33&gt;0,INDEX('CostModel Coef'!O$13:O$16,$X33),"")</f>
        <v>0.6</v>
      </c>
      <c r="BF33" s="103">
        <f>IF($X33&gt;0,INDEX('CostModel Coef'!P$13:P$16,$X33),"")</f>
        <v>15</v>
      </c>
      <c r="BG33" s="103">
        <f>IF($X33&gt;0,INDEX('CostModel Coef'!Q$13:Q$16,$X33),"")</f>
        <v>0</v>
      </c>
      <c r="BH33" s="103">
        <f>IF($X33&gt;0,INDEX('CostModel Coef'!R$13:R$16,$X33),"")</f>
        <v>3</v>
      </c>
      <c r="BI33" s="103">
        <f>IF($X33&gt;0,INDEX('CostModel Coef'!S$13:S$16,$X33),"")</f>
        <v>150</v>
      </c>
      <c r="BJ33" s="103">
        <f>IF($X33&gt;0,INDEX('CostModel Coef'!T$13:T$16,$X33),"")</f>
        <v>0</v>
      </c>
      <c r="BK33" s="103">
        <f>IF($X33&gt;0,INDEX('CostModel Coef'!U$13:U$16,$X33),"")</f>
        <v>9.1999999999999998E-3</v>
      </c>
      <c r="BL33" s="103">
        <f>IF($X33&gt;0,INDEX('CostModel Coef'!V$13:V$16,$X33),"")</f>
        <v>-8.8000000000000005E-3</v>
      </c>
      <c r="BM33" s="103">
        <f>IF($X33&gt;0,INDEX('CostModel Coef'!W$13:W$16,$X33),"")</f>
        <v>0</v>
      </c>
      <c r="BN33" s="103">
        <f>IF($X33&gt;0,INDEX('CostModel Coef'!X$13:X$16,$X33),"")</f>
        <v>0</v>
      </c>
      <c r="BO33" s="103"/>
      <c r="BP33" s="119">
        <v>2000</v>
      </c>
      <c r="BQ33" s="103"/>
      <c r="BR33" s="103"/>
      <c r="BS33" s="119" t="str">
        <f t="shared" si="8"/>
        <v>WRR0347_CFLscw-3way(32w)</v>
      </c>
      <c r="BT33" s="174">
        <f t="shared" si="0"/>
        <v>111</v>
      </c>
      <c r="BU33" s="113">
        <f t="shared" si="10"/>
        <v>1.7926000000000002</v>
      </c>
      <c r="BV33" s="108">
        <f t="shared" si="11"/>
        <v>4.2556000000000003</v>
      </c>
      <c r="BW33" s="108">
        <f t="shared" si="12"/>
        <v>2.5656000000000003</v>
      </c>
      <c r="BX33" s="108">
        <f t="shared" si="13"/>
        <v>1.4056000000000004</v>
      </c>
      <c r="BY33" s="108">
        <f t="shared" si="14"/>
        <v>1.4056000000000004</v>
      </c>
      <c r="BZ33" s="108"/>
      <c r="CA33" s="119" t="str">
        <f t="shared" si="15"/>
        <v/>
      </c>
      <c r="CB33" s="180">
        <v>-1</v>
      </c>
      <c r="CC33" s="113" t="str">
        <f t="shared" si="16"/>
        <v/>
      </c>
      <c r="CD33" s="108" t="str">
        <f t="shared" si="17"/>
        <v/>
      </c>
      <c r="CE33" s="108" t="str">
        <f t="shared" si="18"/>
        <v/>
      </c>
      <c r="CF33" s="108" t="str">
        <f t="shared" si="19"/>
        <v/>
      </c>
      <c r="CG33" s="108" t="str">
        <f t="shared" si="20"/>
        <v/>
      </c>
      <c r="CH33" s="103"/>
      <c r="CI33" s="119" t="str">
        <f t="shared" si="9"/>
        <v>WRR0347_CFLscw-3way(32w)</v>
      </c>
      <c r="CJ33" s="174">
        <f t="shared" si="7"/>
        <v>111</v>
      </c>
      <c r="CK33" s="113">
        <f t="shared" si="21"/>
        <v>1.7926000000000002</v>
      </c>
      <c r="CL33" s="108">
        <f t="shared" si="22"/>
        <v>4.2556000000000003</v>
      </c>
      <c r="CM33" s="108">
        <f t="shared" si="23"/>
        <v>2.5656000000000003</v>
      </c>
      <c r="CN33" s="108">
        <f t="shared" si="24"/>
        <v>1.4056000000000004</v>
      </c>
      <c r="CO33" s="108">
        <f t="shared" si="25"/>
        <v>1.4056000000000004</v>
      </c>
    </row>
    <row r="34" spans="1:93">
      <c r="A34" s="103" t="s">
        <v>214</v>
      </c>
      <c r="B34" s="103" t="s">
        <v>165</v>
      </c>
      <c r="C34" s="103" t="s">
        <v>152</v>
      </c>
      <c r="D34" s="250" t="s">
        <v>153</v>
      </c>
      <c r="E34" s="250">
        <v>82</v>
      </c>
      <c r="F34" s="182">
        <v>9020</v>
      </c>
      <c r="G34" s="250" t="s">
        <v>175</v>
      </c>
      <c r="H34" s="250">
        <v>33</v>
      </c>
      <c r="I34" s="250"/>
      <c r="J34" s="250"/>
      <c r="K34" s="250"/>
      <c r="L34" s="250" t="s">
        <v>61</v>
      </c>
      <c r="M34" s="250">
        <v>33</v>
      </c>
      <c r="N34" s="250"/>
      <c r="O34" s="250"/>
      <c r="P34" s="250" t="s">
        <v>153</v>
      </c>
      <c r="Q34" s="250" t="s">
        <v>176</v>
      </c>
      <c r="R34" s="250"/>
      <c r="S34" s="250"/>
      <c r="T34" s="250" t="s">
        <v>155</v>
      </c>
      <c r="U34" s="103" t="s">
        <v>215</v>
      </c>
      <c r="V34" s="106" t="s">
        <v>157</v>
      </c>
      <c r="W34" s="103" t="s">
        <v>81</v>
      </c>
      <c r="X34" s="103">
        <f>IFERROR(MATCH(W34,'CostModel Coef'!$C$9:$C$12,0),0)</f>
        <v>1</v>
      </c>
      <c r="Y34" s="103"/>
      <c r="Z34" s="103">
        <f>IF($X34&gt;0,INDEX('CostModel Coef'!D$9:D$12,$X34),"")</f>
        <v>3.0430000000000001</v>
      </c>
      <c r="AA34" s="103">
        <f>IF($X34&gt;0,INDEX('CostModel Coef'!E$9:E$12,$X34),"")</f>
        <v>-0.14966150225589619</v>
      </c>
      <c r="AB34" s="103">
        <f>IF($X34&gt;0,INDEX('CostModel Coef'!F$9:F$12,$X34),"")</f>
        <v>0.52692151711335011</v>
      </c>
      <c r="AC34" s="103">
        <f>IF($X34&gt;0,INDEX('CostModel Coef'!G$9:G$12,$X34),"")</f>
        <v>1.8411</v>
      </c>
      <c r="AD34" s="103">
        <f>IF($X34&gt;0,INDEX('CostModel Coef'!H$9:H$12,$X34),"")</f>
        <v>-1.8050999999999999</v>
      </c>
      <c r="AE34" s="103">
        <f>IF($X34&gt;0,INDEX('CostModel Coef'!J$9:J$12,$X34),"")</f>
        <v>-1.1288</v>
      </c>
      <c r="AF34" s="103">
        <f>IF($X34&gt;0,INDEX('CostModel Coef'!K$9:K$12,$X34),"")</f>
        <v>-1.845</v>
      </c>
      <c r="AG34" s="103">
        <f>IF($X34&gt;0,INDEX('CostModel Coef'!L$9:L$12,$X34),"")</f>
        <v>6.7507000000000001</v>
      </c>
      <c r="AH34" s="103">
        <f>IF($X34&gt;0,INDEX('CostModel Coef'!M$9:M$12,$X34),"")</f>
        <v>5.8051000000000004</v>
      </c>
      <c r="AI34" s="103">
        <f>IF($X34&gt;0,INDEX('CostModel Coef'!N$9:N$12,$X34),"")</f>
        <v>6.1600000000000002E-2</v>
      </c>
      <c r="AJ34" s="103">
        <f>IF($X34&gt;0,INDEX('CostModel Coef'!Q$9:Q$12,$X34),"")</f>
        <v>6.6500000000000004E-2</v>
      </c>
      <c r="AK34" s="103">
        <f>IF($X34&gt;0,INDEX('CostModel Coef'!T$9:T$12,$X34),"")</f>
        <v>9.35E-2</v>
      </c>
      <c r="AL34" s="103"/>
      <c r="AM34" s="108">
        <f t="shared" si="1"/>
        <v>11.824092014857454</v>
      </c>
      <c r="AN34" s="108">
        <f t="shared" si="2"/>
        <v>13.669092014857453</v>
      </c>
      <c r="AO34" s="108">
        <f t="shared" si="3"/>
        <v>11.863992014857454</v>
      </c>
      <c r="AP34" s="108">
        <f t="shared" si="4"/>
        <v>11.863992014857454</v>
      </c>
      <c r="AQ34" s="108">
        <f t="shared" si="5"/>
        <v>10.735192014857454</v>
      </c>
      <c r="AR34" s="108"/>
      <c r="AS34" s="108"/>
      <c r="AT34" s="103">
        <f>IF($X34&gt;0,INDEX('CostModel Coef'!D$13:D$16,$X34),"")</f>
        <v>2.1320000000000001</v>
      </c>
      <c r="AU34" s="103">
        <f>IF($X34&gt;0,INDEX('CostModel Coef'!E$13:E$16,$X34),"")</f>
        <v>0.23699999999999999</v>
      </c>
      <c r="AV34" s="103">
        <f>IF($X34&gt;0,INDEX('CostModel Coef'!F$13:F$16,$X34),"")</f>
        <v>0.59899999999999998</v>
      </c>
      <c r="AW34" s="103">
        <f>IF($X34&gt;0,INDEX('CostModel Coef'!G$13:G$16,$X34),"")</f>
        <v>0</v>
      </c>
      <c r="AX34" s="103">
        <f>IF($X34&gt;0,INDEX('CostModel Coef'!H$13:H$16,$X34),"")</f>
        <v>-1.69</v>
      </c>
      <c r="AY34" s="103">
        <f>IF($X34&gt;0,INDEX('CostModel Coef'!I$13:I$16,$X34),"")</f>
        <v>-1.1599999999999999</v>
      </c>
      <c r="AZ34" s="103">
        <f>IF($X34&gt;0,INDEX('CostModel Coef'!J$13:J$16,$X34),"")</f>
        <v>0</v>
      </c>
      <c r="BA34" s="103">
        <f>IF($X34&gt;0,INDEX('CostModel Coef'!K$13:K$16,$X34),"")</f>
        <v>-2.4630000000000001</v>
      </c>
      <c r="BB34" s="103">
        <f>IF($X34&gt;0,INDEX('CostModel Coef'!L$13:L$16,$X34),"")</f>
        <v>0.46179999999999999</v>
      </c>
      <c r="BC34" s="103">
        <f>IF($X34&gt;0,INDEX('CostModel Coef'!M$13:M$16,$X34),"")</f>
        <v>0</v>
      </c>
      <c r="BD34" s="103">
        <f>IF($X34&gt;0,INDEX('CostModel Coef'!N$13:N$16,$X34),"")</f>
        <v>0.19869999999999999</v>
      </c>
      <c r="BE34" s="103">
        <f>IF($X34&gt;0,INDEX('CostModel Coef'!O$13:O$16,$X34),"")</f>
        <v>0.6</v>
      </c>
      <c r="BF34" s="103">
        <f>IF($X34&gt;0,INDEX('CostModel Coef'!P$13:P$16,$X34),"")</f>
        <v>15</v>
      </c>
      <c r="BG34" s="103">
        <f>IF($X34&gt;0,INDEX('CostModel Coef'!Q$13:Q$16,$X34),"")</f>
        <v>0</v>
      </c>
      <c r="BH34" s="103">
        <f>IF($X34&gt;0,INDEX('CostModel Coef'!R$13:R$16,$X34),"")</f>
        <v>3</v>
      </c>
      <c r="BI34" s="103">
        <f>IF($X34&gt;0,INDEX('CostModel Coef'!S$13:S$16,$X34),"")</f>
        <v>150</v>
      </c>
      <c r="BJ34" s="103">
        <f>IF($X34&gt;0,INDEX('CostModel Coef'!T$13:T$16,$X34),"")</f>
        <v>0</v>
      </c>
      <c r="BK34" s="103">
        <f>IF($X34&gt;0,INDEX('CostModel Coef'!U$13:U$16,$X34),"")</f>
        <v>9.1999999999999998E-3</v>
      </c>
      <c r="BL34" s="103">
        <f>IF($X34&gt;0,INDEX('CostModel Coef'!V$13:V$16,$X34),"")</f>
        <v>-8.8000000000000005E-3</v>
      </c>
      <c r="BM34" s="103">
        <f>IF($X34&gt;0,INDEX('CostModel Coef'!W$13:W$16,$X34),"")</f>
        <v>0</v>
      </c>
      <c r="BN34" s="103">
        <f>IF($X34&gt;0,INDEX('CostModel Coef'!X$13:X$16,$X34),"")</f>
        <v>0</v>
      </c>
      <c r="BO34" s="103"/>
      <c r="BP34" s="119">
        <v>2000</v>
      </c>
      <c r="BQ34" s="103"/>
      <c r="BR34" s="103"/>
      <c r="BS34" s="119" t="str">
        <f t="shared" si="8"/>
        <v>WRR0347_CFLscw-3way(33w)</v>
      </c>
      <c r="BT34" s="174">
        <f t="shared" si="0"/>
        <v>115</v>
      </c>
      <c r="BU34" s="113">
        <f t="shared" si="10"/>
        <v>1.7942</v>
      </c>
      <c r="BV34" s="108">
        <f t="shared" si="11"/>
        <v>4.2572000000000001</v>
      </c>
      <c r="BW34" s="108">
        <f t="shared" si="12"/>
        <v>2.5672000000000001</v>
      </c>
      <c r="BX34" s="108">
        <f t="shared" si="13"/>
        <v>1.4072000000000002</v>
      </c>
      <c r="BY34" s="108">
        <f t="shared" si="14"/>
        <v>1.4072000000000002</v>
      </c>
      <c r="BZ34" s="108"/>
      <c r="CA34" s="119" t="str">
        <f t="shared" si="15"/>
        <v/>
      </c>
      <c r="CB34" s="180">
        <v>-1</v>
      </c>
      <c r="CC34" s="113" t="str">
        <f t="shared" si="16"/>
        <v/>
      </c>
      <c r="CD34" s="108" t="str">
        <f t="shared" si="17"/>
        <v/>
      </c>
      <c r="CE34" s="108" t="str">
        <f t="shared" si="18"/>
        <v/>
      </c>
      <c r="CF34" s="108" t="str">
        <f t="shared" si="19"/>
        <v/>
      </c>
      <c r="CG34" s="108" t="str">
        <f t="shared" si="20"/>
        <v/>
      </c>
      <c r="CH34" s="103"/>
      <c r="CI34" s="119" t="str">
        <f t="shared" si="9"/>
        <v>WRR0347_CFLscw-3way(33w)</v>
      </c>
      <c r="CJ34" s="174">
        <f t="shared" si="7"/>
        <v>115</v>
      </c>
      <c r="CK34" s="113">
        <f t="shared" si="21"/>
        <v>1.7942</v>
      </c>
      <c r="CL34" s="108">
        <f t="shared" si="22"/>
        <v>4.2572000000000001</v>
      </c>
      <c r="CM34" s="108">
        <f t="shared" si="23"/>
        <v>2.5672000000000001</v>
      </c>
      <c r="CN34" s="108">
        <f t="shared" si="24"/>
        <v>1.4072000000000002</v>
      </c>
      <c r="CO34" s="108">
        <f t="shared" si="25"/>
        <v>1.4072000000000002</v>
      </c>
    </row>
    <row r="35" spans="1:93">
      <c r="A35" s="103" t="s">
        <v>216</v>
      </c>
      <c r="B35" s="103" t="s">
        <v>165</v>
      </c>
      <c r="C35" s="103" t="s">
        <v>152</v>
      </c>
      <c r="D35" s="250" t="s">
        <v>153</v>
      </c>
      <c r="E35" s="250">
        <v>82</v>
      </c>
      <c r="F35" s="182">
        <v>9020</v>
      </c>
      <c r="G35" s="250" t="s">
        <v>175</v>
      </c>
      <c r="H35" s="250">
        <v>40</v>
      </c>
      <c r="I35" s="250"/>
      <c r="J35" s="250"/>
      <c r="K35" s="250"/>
      <c r="L35" s="250" t="s">
        <v>61</v>
      </c>
      <c r="M35" s="250">
        <v>40</v>
      </c>
      <c r="N35" s="250"/>
      <c r="O35" s="250"/>
      <c r="P35" s="250" t="s">
        <v>153</v>
      </c>
      <c r="Q35" s="250" t="s">
        <v>176</v>
      </c>
      <c r="R35" s="250"/>
      <c r="S35" s="250"/>
      <c r="T35" s="250" t="s">
        <v>155</v>
      </c>
      <c r="U35" s="103" t="s">
        <v>217</v>
      </c>
      <c r="V35" s="106" t="s">
        <v>157</v>
      </c>
      <c r="W35" s="103" t="s">
        <v>81</v>
      </c>
      <c r="X35" s="103">
        <f>IFERROR(MATCH(W35,'CostModel Coef'!$C$9:$C$12,0),0)</f>
        <v>1</v>
      </c>
      <c r="Y35" s="103"/>
      <c r="Z35" s="103">
        <f>IF($X35&gt;0,INDEX('CostModel Coef'!D$9:D$12,$X35),"")</f>
        <v>3.0430000000000001</v>
      </c>
      <c r="AA35" s="103">
        <f>IF($X35&gt;0,INDEX('CostModel Coef'!E$9:E$12,$X35),"")</f>
        <v>-0.14966150225589619</v>
      </c>
      <c r="AB35" s="103">
        <f>IF($X35&gt;0,INDEX('CostModel Coef'!F$9:F$12,$X35),"")</f>
        <v>0.52692151711335011</v>
      </c>
      <c r="AC35" s="103">
        <f>IF($X35&gt;0,INDEX('CostModel Coef'!G$9:G$12,$X35),"")</f>
        <v>1.8411</v>
      </c>
      <c r="AD35" s="103">
        <f>IF($X35&gt;0,INDEX('CostModel Coef'!H$9:H$12,$X35),"")</f>
        <v>-1.8050999999999999</v>
      </c>
      <c r="AE35" s="103">
        <f>IF($X35&gt;0,INDEX('CostModel Coef'!J$9:J$12,$X35),"")</f>
        <v>-1.1288</v>
      </c>
      <c r="AF35" s="103">
        <f>IF($X35&gt;0,INDEX('CostModel Coef'!K$9:K$12,$X35),"")</f>
        <v>-1.845</v>
      </c>
      <c r="AG35" s="103">
        <f>IF($X35&gt;0,INDEX('CostModel Coef'!L$9:L$12,$X35),"")</f>
        <v>6.7507000000000001</v>
      </c>
      <c r="AH35" s="103">
        <f>IF($X35&gt;0,INDEX('CostModel Coef'!M$9:M$12,$X35),"")</f>
        <v>5.8051000000000004</v>
      </c>
      <c r="AI35" s="103">
        <f>IF($X35&gt;0,INDEX('CostModel Coef'!N$9:N$12,$X35),"")</f>
        <v>6.1600000000000002E-2</v>
      </c>
      <c r="AJ35" s="103">
        <f>IF($X35&gt;0,INDEX('CostModel Coef'!Q$9:Q$12,$X35),"")</f>
        <v>6.6500000000000004E-2</v>
      </c>
      <c r="AK35" s="103">
        <f>IF($X35&gt;0,INDEX('CostModel Coef'!T$9:T$12,$X35),"")</f>
        <v>9.35E-2</v>
      </c>
      <c r="AL35" s="103"/>
      <c r="AM35" s="108">
        <f t="shared" si="1"/>
        <v>12.944092014857453</v>
      </c>
      <c r="AN35" s="108">
        <f t="shared" si="2"/>
        <v>14.789092014857454</v>
      </c>
      <c r="AO35" s="108">
        <f t="shared" si="3"/>
        <v>12.983992014857455</v>
      </c>
      <c r="AP35" s="108">
        <f t="shared" si="4"/>
        <v>12.983992014857455</v>
      </c>
      <c r="AQ35" s="108">
        <f t="shared" si="5"/>
        <v>11.855192014857455</v>
      </c>
      <c r="AR35" s="108"/>
      <c r="AS35" s="108"/>
      <c r="AT35" s="103">
        <f>IF($X35&gt;0,INDEX('CostModel Coef'!D$13:D$16,$X35),"")</f>
        <v>2.1320000000000001</v>
      </c>
      <c r="AU35" s="103">
        <f>IF($X35&gt;0,INDEX('CostModel Coef'!E$13:E$16,$X35),"")</f>
        <v>0.23699999999999999</v>
      </c>
      <c r="AV35" s="103">
        <f>IF($X35&gt;0,INDEX('CostModel Coef'!F$13:F$16,$X35),"")</f>
        <v>0.59899999999999998</v>
      </c>
      <c r="AW35" s="103">
        <f>IF($X35&gt;0,INDEX('CostModel Coef'!G$13:G$16,$X35),"")</f>
        <v>0</v>
      </c>
      <c r="AX35" s="103">
        <f>IF($X35&gt;0,INDEX('CostModel Coef'!H$13:H$16,$X35),"")</f>
        <v>-1.69</v>
      </c>
      <c r="AY35" s="103">
        <f>IF($X35&gt;0,INDEX('CostModel Coef'!I$13:I$16,$X35),"")</f>
        <v>-1.1599999999999999</v>
      </c>
      <c r="AZ35" s="103">
        <f>IF($X35&gt;0,INDEX('CostModel Coef'!J$13:J$16,$X35),"")</f>
        <v>0</v>
      </c>
      <c r="BA35" s="103">
        <f>IF($X35&gt;0,INDEX('CostModel Coef'!K$13:K$16,$X35),"")</f>
        <v>-2.4630000000000001</v>
      </c>
      <c r="BB35" s="103">
        <f>IF($X35&gt;0,INDEX('CostModel Coef'!L$13:L$16,$X35),"")</f>
        <v>0.46179999999999999</v>
      </c>
      <c r="BC35" s="103">
        <f>IF($X35&gt;0,INDEX('CostModel Coef'!M$13:M$16,$X35),"")</f>
        <v>0</v>
      </c>
      <c r="BD35" s="103">
        <f>IF($X35&gt;0,INDEX('CostModel Coef'!N$13:N$16,$X35),"")</f>
        <v>0.19869999999999999</v>
      </c>
      <c r="BE35" s="103">
        <f>IF($X35&gt;0,INDEX('CostModel Coef'!O$13:O$16,$X35),"")</f>
        <v>0.6</v>
      </c>
      <c r="BF35" s="103">
        <f>IF($X35&gt;0,INDEX('CostModel Coef'!P$13:P$16,$X35),"")</f>
        <v>15</v>
      </c>
      <c r="BG35" s="103">
        <f>IF($X35&gt;0,INDEX('CostModel Coef'!Q$13:Q$16,$X35),"")</f>
        <v>0</v>
      </c>
      <c r="BH35" s="103">
        <f>IF($X35&gt;0,INDEX('CostModel Coef'!R$13:R$16,$X35),"")</f>
        <v>3</v>
      </c>
      <c r="BI35" s="103">
        <f>IF($X35&gt;0,INDEX('CostModel Coef'!S$13:S$16,$X35),"")</f>
        <v>150</v>
      </c>
      <c r="BJ35" s="103">
        <f>IF($X35&gt;0,INDEX('CostModel Coef'!T$13:T$16,$X35),"")</f>
        <v>0</v>
      </c>
      <c r="BK35" s="103">
        <f>IF($X35&gt;0,INDEX('CostModel Coef'!U$13:U$16,$X35),"")</f>
        <v>9.1999999999999998E-3</v>
      </c>
      <c r="BL35" s="103">
        <f>IF($X35&gt;0,INDEX('CostModel Coef'!V$13:V$16,$X35),"")</f>
        <v>-8.8000000000000005E-3</v>
      </c>
      <c r="BM35" s="103">
        <f>IF($X35&gt;0,INDEX('CostModel Coef'!W$13:W$16,$X35),"")</f>
        <v>0</v>
      </c>
      <c r="BN35" s="103">
        <f>IF($X35&gt;0,INDEX('CostModel Coef'!X$13:X$16,$X35),"")</f>
        <v>0</v>
      </c>
      <c r="BO35" s="103"/>
      <c r="BP35" s="119">
        <v>2000</v>
      </c>
      <c r="BQ35" s="103"/>
      <c r="BR35" s="103"/>
      <c r="BS35" s="119" t="str">
        <f t="shared" si="8"/>
        <v>WRR0347_CFLscw-3way(40w)</v>
      </c>
      <c r="BT35" s="174">
        <f t="shared" si="0"/>
        <v>139</v>
      </c>
      <c r="BU35" s="113">
        <f t="shared" si="10"/>
        <v>1.8037999999999998</v>
      </c>
      <c r="BV35" s="108">
        <f t="shared" si="11"/>
        <v>4.2667999999999999</v>
      </c>
      <c r="BW35" s="108">
        <f t="shared" si="12"/>
        <v>2.5768</v>
      </c>
      <c r="BX35" s="108">
        <f t="shared" si="13"/>
        <v>1.4168000000000001</v>
      </c>
      <c r="BY35" s="108">
        <f t="shared" si="14"/>
        <v>1.4168000000000001</v>
      </c>
      <c r="BZ35" s="108"/>
      <c r="CA35" s="119" t="str">
        <f t="shared" si="15"/>
        <v/>
      </c>
      <c r="CB35" s="180">
        <v>-1</v>
      </c>
      <c r="CC35" s="113" t="str">
        <f t="shared" si="16"/>
        <v/>
      </c>
      <c r="CD35" s="108" t="str">
        <f t="shared" si="17"/>
        <v/>
      </c>
      <c r="CE35" s="108" t="str">
        <f t="shared" si="18"/>
        <v/>
      </c>
      <c r="CF35" s="108" t="str">
        <f t="shared" si="19"/>
        <v/>
      </c>
      <c r="CG35" s="108" t="str">
        <f t="shared" si="20"/>
        <v/>
      </c>
      <c r="CH35" s="103"/>
      <c r="CI35" s="119" t="str">
        <f t="shared" si="9"/>
        <v>WRR0347_CFLscw-3way(40w)</v>
      </c>
      <c r="CJ35" s="174">
        <f t="shared" si="7"/>
        <v>139</v>
      </c>
      <c r="CK35" s="113">
        <f t="shared" si="21"/>
        <v>1.8037999999999998</v>
      </c>
      <c r="CL35" s="108">
        <f t="shared" si="22"/>
        <v>4.2667999999999999</v>
      </c>
      <c r="CM35" s="108">
        <f t="shared" si="23"/>
        <v>2.5768</v>
      </c>
      <c r="CN35" s="108">
        <f t="shared" si="24"/>
        <v>1.4168000000000001</v>
      </c>
      <c r="CO35" s="108">
        <f t="shared" si="25"/>
        <v>1.4168000000000001</v>
      </c>
    </row>
    <row r="36" spans="1:93">
      <c r="A36" s="103" t="s">
        <v>218</v>
      </c>
      <c r="B36" s="103" t="s">
        <v>165</v>
      </c>
      <c r="C36" s="103" t="s">
        <v>152</v>
      </c>
      <c r="D36" s="250" t="s">
        <v>153</v>
      </c>
      <c r="E36" s="250">
        <v>82</v>
      </c>
      <c r="F36" s="182">
        <v>9020</v>
      </c>
      <c r="G36" s="250" t="s">
        <v>175</v>
      </c>
      <c r="H36" s="250">
        <v>42</v>
      </c>
      <c r="I36" s="250"/>
      <c r="J36" s="250"/>
      <c r="K36" s="250"/>
      <c r="L36" s="250" t="s">
        <v>61</v>
      </c>
      <c r="M36" s="250">
        <v>42</v>
      </c>
      <c r="N36" s="250"/>
      <c r="O36" s="250"/>
      <c r="P36" s="250" t="s">
        <v>153</v>
      </c>
      <c r="Q36" s="250" t="s">
        <v>176</v>
      </c>
      <c r="R36" s="250"/>
      <c r="S36" s="250"/>
      <c r="T36" s="250" t="s">
        <v>155</v>
      </c>
      <c r="U36" s="103" t="s">
        <v>219</v>
      </c>
      <c r="V36" s="106" t="s">
        <v>157</v>
      </c>
      <c r="W36" s="103" t="s">
        <v>81</v>
      </c>
      <c r="X36" s="103">
        <f>IFERROR(MATCH(W36,'CostModel Coef'!$C$9:$C$12,0),0)</f>
        <v>1</v>
      </c>
      <c r="Y36" s="103"/>
      <c r="Z36" s="103">
        <f>IF($X36&gt;0,INDEX('CostModel Coef'!D$9:D$12,$X36),"")</f>
        <v>3.0430000000000001</v>
      </c>
      <c r="AA36" s="103">
        <f>IF($X36&gt;0,INDEX('CostModel Coef'!E$9:E$12,$X36),"")</f>
        <v>-0.14966150225589619</v>
      </c>
      <c r="AB36" s="103">
        <f>IF($X36&gt;0,INDEX('CostModel Coef'!F$9:F$12,$X36),"")</f>
        <v>0.52692151711335011</v>
      </c>
      <c r="AC36" s="103">
        <f>IF($X36&gt;0,INDEX('CostModel Coef'!G$9:G$12,$X36),"")</f>
        <v>1.8411</v>
      </c>
      <c r="AD36" s="103">
        <f>IF($X36&gt;0,INDEX('CostModel Coef'!H$9:H$12,$X36),"")</f>
        <v>-1.8050999999999999</v>
      </c>
      <c r="AE36" s="103">
        <f>IF($X36&gt;0,INDEX('CostModel Coef'!J$9:J$12,$X36),"")</f>
        <v>-1.1288</v>
      </c>
      <c r="AF36" s="103">
        <f>IF($X36&gt;0,INDEX('CostModel Coef'!K$9:K$12,$X36),"")</f>
        <v>-1.845</v>
      </c>
      <c r="AG36" s="103">
        <f>IF($X36&gt;0,INDEX('CostModel Coef'!L$9:L$12,$X36),"")</f>
        <v>6.7507000000000001</v>
      </c>
      <c r="AH36" s="103">
        <f>IF($X36&gt;0,INDEX('CostModel Coef'!M$9:M$12,$X36),"")</f>
        <v>5.8051000000000004</v>
      </c>
      <c r="AI36" s="103">
        <f>IF($X36&gt;0,INDEX('CostModel Coef'!N$9:N$12,$X36),"")</f>
        <v>6.1600000000000002E-2</v>
      </c>
      <c r="AJ36" s="103">
        <f>IF($X36&gt;0,INDEX('CostModel Coef'!Q$9:Q$12,$X36),"")</f>
        <v>6.6500000000000004E-2</v>
      </c>
      <c r="AK36" s="103">
        <f>IF($X36&gt;0,INDEX('CostModel Coef'!T$9:T$12,$X36),"")</f>
        <v>9.35E-2</v>
      </c>
      <c r="AL36" s="103"/>
      <c r="AM36" s="108">
        <f t="shared" si="1"/>
        <v>13.264092014857455</v>
      </c>
      <c r="AN36" s="108">
        <f t="shared" si="2"/>
        <v>15.109092014857454</v>
      </c>
      <c r="AO36" s="108">
        <f t="shared" si="3"/>
        <v>13.303992014857455</v>
      </c>
      <c r="AP36" s="108">
        <f t="shared" si="4"/>
        <v>13.303992014857455</v>
      </c>
      <c r="AQ36" s="108">
        <f t="shared" si="5"/>
        <v>12.175192014857455</v>
      </c>
      <c r="AR36" s="108"/>
      <c r="AS36" s="108"/>
      <c r="AT36" s="103">
        <f>IF($X36&gt;0,INDEX('CostModel Coef'!D$13:D$16,$X36),"")</f>
        <v>2.1320000000000001</v>
      </c>
      <c r="AU36" s="103">
        <f>IF($X36&gt;0,INDEX('CostModel Coef'!E$13:E$16,$X36),"")</f>
        <v>0.23699999999999999</v>
      </c>
      <c r="AV36" s="103">
        <f>IF($X36&gt;0,INDEX('CostModel Coef'!F$13:F$16,$X36),"")</f>
        <v>0.59899999999999998</v>
      </c>
      <c r="AW36" s="103">
        <f>IF($X36&gt;0,INDEX('CostModel Coef'!G$13:G$16,$X36),"")</f>
        <v>0</v>
      </c>
      <c r="AX36" s="103">
        <f>IF($X36&gt;0,INDEX('CostModel Coef'!H$13:H$16,$X36),"")</f>
        <v>-1.69</v>
      </c>
      <c r="AY36" s="103">
        <f>IF($X36&gt;0,INDEX('CostModel Coef'!I$13:I$16,$X36),"")</f>
        <v>-1.1599999999999999</v>
      </c>
      <c r="AZ36" s="103">
        <f>IF($X36&gt;0,INDEX('CostModel Coef'!J$13:J$16,$X36),"")</f>
        <v>0</v>
      </c>
      <c r="BA36" s="103">
        <f>IF($X36&gt;0,INDEX('CostModel Coef'!K$13:K$16,$X36),"")</f>
        <v>-2.4630000000000001</v>
      </c>
      <c r="BB36" s="103">
        <f>IF($X36&gt;0,INDEX('CostModel Coef'!L$13:L$16,$X36),"")</f>
        <v>0.46179999999999999</v>
      </c>
      <c r="BC36" s="103">
        <f>IF($X36&gt;0,INDEX('CostModel Coef'!M$13:M$16,$X36),"")</f>
        <v>0</v>
      </c>
      <c r="BD36" s="103">
        <f>IF($X36&gt;0,INDEX('CostModel Coef'!N$13:N$16,$X36),"")</f>
        <v>0.19869999999999999</v>
      </c>
      <c r="BE36" s="103">
        <f>IF($X36&gt;0,INDEX('CostModel Coef'!O$13:O$16,$X36),"")</f>
        <v>0.6</v>
      </c>
      <c r="BF36" s="103">
        <f>IF($X36&gt;0,INDEX('CostModel Coef'!P$13:P$16,$X36),"")</f>
        <v>15</v>
      </c>
      <c r="BG36" s="103">
        <f>IF($X36&gt;0,INDEX('CostModel Coef'!Q$13:Q$16,$X36),"")</f>
        <v>0</v>
      </c>
      <c r="BH36" s="103">
        <f>IF($X36&gt;0,INDEX('CostModel Coef'!R$13:R$16,$X36),"")</f>
        <v>3</v>
      </c>
      <c r="BI36" s="103">
        <f>IF($X36&gt;0,INDEX('CostModel Coef'!S$13:S$16,$X36),"")</f>
        <v>150</v>
      </c>
      <c r="BJ36" s="103">
        <f>IF($X36&gt;0,INDEX('CostModel Coef'!T$13:T$16,$X36),"")</f>
        <v>0</v>
      </c>
      <c r="BK36" s="103">
        <f>IF($X36&gt;0,INDEX('CostModel Coef'!U$13:U$16,$X36),"")</f>
        <v>9.1999999999999998E-3</v>
      </c>
      <c r="BL36" s="103">
        <f>IF($X36&gt;0,INDEX('CostModel Coef'!V$13:V$16,$X36),"")</f>
        <v>-8.8000000000000005E-3</v>
      </c>
      <c r="BM36" s="103">
        <f>IF($X36&gt;0,INDEX('CostModel Coef'!W$13:W$16,$X36),"")</f>
        <v>0</v>
      </c>
      <c r="BN36" s="103">
        <f>IF($X36&gt;0,INDEX('CostModel Coef'!X$13:X$16,$X36),"")</f>
        <v>0</v>
      </c>
      <c r="BO36" s="103"/>
      <c r="BP36" s="119">
        <v>2000</v>
      </c>
      <c r="BQ36" s="103"/>
      <c r="BR36" s="103"/>
      <c r="BS36" s="119" t="str">
        <f t="shared" si="8"/>
        <v>WRR0347_CFLscw-3way(42w)</v>
      </c>
      <c r="BT36" s="174">
        <f t="shared" si="0"/>
        <v>146</v>
      </c>
      <c r="BU36" s="113">
        <f t="shared" si="10"/>
        <v>1.8066000000000004</v>
      </c>
      <c r="BV36" s="108">
        <f t="shared" si="11"/>
        <v>4.2696000000000005</v>
      </c>
      <c r="BW36" s="108">
        <f t="shared" si="12"/>
        <v>2.5796000000000006</v>
      </c>
      <c r="BX36" s="108">
        <f t="shared" si="13"/>
        <v>1.4196000000000006</v>
      </c>
      <c r="BY36" s="108">
        <f t="shared" si="14"/>
        <v>1.4196000000000006</v>
      </c>
      <c r="BZ36" s="108"/>
      <c r="CA36" s="119" t="str">
        <f t="shared" si="15"/>
        <v/>
      </c>
      <c r="CB36" s="180">
        <v>-1</v>
      </c>
      <c r="CC36" s="113" t="str">
        <f t="shared" si="16"/>
        <v/>
      </c>
      <c r="CD36" s="108" t="str">
        <f t="shared" si="17"/>
        <v/>
      </c>
      <c r="CE36" s="108" t="str">
        <f t="shared" si="18"/>
        <v/>
      </c>
      <c r="CF36" s="108" t="str">
        <f t="shared" si="19"/>
        <v/>
      </c>
      <c r="CG36" s="108" t="str">
        <f t="shared" si="20"/>
        <v/>
      </c>
      <c r="CH36" s="103"/>
      <c r="CI36" s="119" t="str">
        <f t="shared" si="9"/>
        <v>WRR0347_CFLscw-3way(42w)</v>
      </c>
      <c r="CJ36" s="174">
        <f t="shared" si="7"/>
        <v>146</v>
      </c>
      <c r="CK36" s="113">
        <f t="shared" si="21"/>
        <v>1.8066000000000004</v>
      </c>
      <c r="CL36" s="108">
        <f t="shared" si="22"/>
        <v>4.2696000000000005</v>
      </c>
      <c r="CM36" s="108">
        <f t="shared" si="23"/>
        <v>2.5796000000000006</v>
      </c>
      <c r="CN36" s="108">
        <f t="shared" si="24"/>
        <v>1.4196000000000006</v>
      </c>
      <c r="CO36" s="108">
        <f t="shared" si="25"/>
        <v>1.4196000000000006</v>
      </c>
    </row>
    <row r="37" spans="1:93">
      <c r="A37" s="103" t="s">
        <v>220</v>
      </c>
      <c r="B37" s="103" t="s">
        <v>174</v>
      </c>
      <c r="C37" s="103" t="s">
        <v>221</v>
      </c>
      <c r="D37" s="250" t="s">
        <v>153</v>
      </c>
      <c r="E37" s="250"/>
      <c r="F37" s="182">
        <v>9020</v>
      </c>
      <c r="G37" s="250" t="s">
        <v>175</v>
      </c>
      <c r="H37" s="250">
        <v>10</v>
      </c>
      <c r="I37" s="250"/>
      <c r="J37" s="250"/>
      <c r="K37" s="250"/>
      <c r="L37" s="250" t="s">
        <v>61</v>
      </c>
      <c r="M37" s="250">
        <v>10</v>
      </c>
      <c r="N37" s="250"/>
      <c r="O37" s="250"/>
      <c r="P37" s="250" t="s">
        <v>153</v>
      </c>
      <c r="Q37" s="250"/>
      <c r="R37" s="250"/>
      <c r="S37" s="250"/>
      <c r="T37" s="250" t="s">
        <v>155</v>
      </c>
      <c r="U37" s="103" t="s">
        <v>222</v>
      </c>
      <c r="V37" s="106" t="s">
        <v>157</v>
      </c>
      <c r="W37" s="103" t="s">
        <v>81</v>
      </c>
      <c r="X37" s="103">
        <f>IFERROR(MATCH(W37,'CostModel Coef'!$C$9:$C$12,0),0)</f>
        <v>1</v>
      </c>
      <c r="Y37" s="103"/>
      <c r="Z37" s="103">
        <f>IF($X37&gt;0,INDEX('CostModel Coef'!D$9:D$12,$X37),"")</f>
        <v>3.0430000000000001</v>
      </c>
      <c r="AA37" s="103">
        <f>IF($X37&gt;0,INDEX('CostModel Coef'!E$9:E$12,$X37),"")</f>
        <v>-0.14966150225589619</v>
      </c>
      <c r="AB37" s="103">
        <f>IF($X37&gt;0,INDEX('CostModel Coef'!F$9:F$12,$X37),"")</f>
        <v>0.52692151711335011</v>
      </c>
      <c r="AC37" s="103">
        <f>IF($X37&gt;0,INDEX('CostModel Coef'!G$9:G$12,$X37),"")</f>
        <v>1.8411</v>
      </c>
      <c r="AD37" s="103">
        <f>IF($X37&gt;0,INDEX('CostModel Coef'!H$9:H$12,$X37),"")</f>
        <v>-1.8050999999999999</v>
      </c>
      <c r="AE37" s="103">
        <f>IF($X37&gt;0,INDEX('CostModel Coef'!J$9:J$12,$X37),"")</f>
        <v>-1.1288</v>
      </c>
      <c r="AF37" s="103">
        <f>IF($X37&gt;0,INDEX('CostModel Coef'!K$9:K$12,$X37),"")</f>
        <v>-1.845</v>
      </c>
      <c r="AG37" s="103">
        <f>IF($X37&gt;0,INDEX('CostModel Coef'!L$9:L$12,$X37),"")</f>
        <v>6.7507000000000001</v>
      </c>
      <c r="AH37" s="103">
        <f>IF($X37&gt;0,INDEX('CostModel Coef'!M$9:M$12,$X37),"")</f>
        <v>5.8051000000000004</v>
      </c>
      <c r="AI37" s="103">
        <f>IF($X37&gt;0,INDEX('CostModel Coef'!N$9:N$12,$X37),"")</f>
        <v>6.1600000000000002E-2</v>
      </c>
      <c r="AJ37" s="103">
        <f>IF($X37&gt;0,INDEX('CostModel Coef'!Q$9:Q$12,$X37),"")</f>
        <v>6.6500000000000004E-2</v>
      </c>
      <c r="AK37" s="103">
        <f>IF($X37&gt;0,INDEX('CostModel Coef'!T$9:T$12,$X37),"")</f>
        <v>9.35E-2</v>
      </c>
      <c r="AL37" s="103"/>
      <c r="AM37" s="108">
        <f t="shared" si="1"/>
        <v>4.6369920148574542</v>
      </c>
      <c r="AN37" s="108">
        <f t="shared" si="2"/>
        <v>6.4819920148574539</v>
      </c>
      <c r="AO37" s="108">
        <f t="shared" si="3"/>
        <v>4.6768920148574544</v>
      </c>
      <c r="AP37" s="108">
        <f t="shared" si="4"/>
        <v>4.6768920148574544</v>
      </c>
      <c r="AQ37" s="108">
        <f t="shared" si="5"/>
        <v>3.548092014857454</v>
      </c>
      <c r="AR37" s="108"/>
      <c r="AS37" s="108"/>
      <c r="AT37" s="103">
        <f>IF($X37&gt;0,INDEX('CostModel Coef'!D$13:D$16,$X37),"")</f>
        <v>2.1320000000000001</v>
      </c>
      <c r="AU37" s="103">
        <f>IF($X37&gt;0,INDEX('CostModel Coef'!E$13:E$16,$X37),"")</f>
        <v>0.23699999999999999</v>
      </c>
      <c r="AV37" s="103">
        <f>IF($X37&gt;0,INDEX('CostModel Coef'!F$13:F$16,$X37),"")</f>
        <v>0.59899999999999998</v>
      </c>
      <c r="AW37" s="103">
        <f>IF($X37&gt;0,INDEX('CostModel Coef'!G$13:G$16,$X37),"")</f>
        <v>0</v>
      </c>
      <c r="AX37" s="103">
        <f>IF($X37&gt;0,INDEX('CostModel Coef'!H$13:H$16,$X37),"")</f>
        <v>-1.69</v>
      </c>
      <c r="AY37" s="103">
        <f>IF($X37&gt;0,INDEX('CostModel Coef'!I$13:I$16,$X37),"")</f>
        <v>-1.1599999999999999</v>
      </c>
      <c r="AZ37" s="103">
        <f>IF($X37&gt;0,INDEX('CostModel Coef'!J$13:J$16,$X37),"")</f>
        <v>0</v>
      </c>
      <c r="BA37" s="103">
        <f>IF($X37&gt;0,INDEX('CostModel Coef'!K$13:K$16,$X37),"")</f>
        <v>-2.4630000000000001</v>
      </c>
      <c r="BB37" s="103">
        <f>IF($X37&gt;0,INDEX('CostModel Coef'!L$13:L$16,$X37),"")</f>
        <v>0.46179999999999999</v>
      </c>
      <c r="BC37" s="103">
        <f>IF($X37&gt;0,INDEX('CostModel Coef'!M$13:M$16,$X37),"")</f>
        <v>0</v>
      </c>
      <c r="BD37" s="103">
        <f>IF($X37&gt;0,INDEX('CostModel Coef'!N$13:N$16,$X37),"")</f>
        <v>0.19869999999999999</v>
      </c>
      <c r="BE37" s="103">
        <f>IF($X37&gt;0,INDEX('CostModel Coef'!O$13:O$16,$X37),"")</f>
        <v>0.6</v>
      </c>
      <c r="BF37" s="103">
        <f>IF($X37&gt;0,INDEX('CostModel Coef'!P$13:P$16,$X37),"")</f>
        <v>15</v>
      </c>
      <c r="BG37" s="103">
        <f>IF($X37&gt;0,INDEX('CostModel Coef'!Q$13:Q$16,$X37),"")</f>
        <v>0</v>
      </c>
      <c r="BH37" s="103">
        <f>IF($X37&gt;0,INDEX('CostModel Coef'!R$13:R$16,$X37),"")</f>
        <v>3</v>
      </c>
      <c r="BI37" s="103">
        <f>IF($X37&gt;0,INDEX('CostModel Coef'!S$13:S$16,$X37),"")</f>
        <v>150</v>
      </c>
      <c r="BJ37" s="103">
        <f>IF($X37&gt;0,INDEX('CostModel Coef'!T$13:T$16,$X37),"")</f>
        <v>0</v>
      </c>
      <c r="BK37" s="103">
        <f>IF($X37&gt;0,INDEX('CostModel Coef'!U$13:U$16,$X37),"")</f>
        <v>9.1999999999999998E-3</v>
      </c>
      <c r="BL37" s="103">
        <f>IF($X37&gt;0,INDEX('CostModel Coef'!V$13:V$16,$X37),"")</f>
        <v>-8.8000000000000005E-3</v>
      </c>
      <c r="BM37" s="103">
        <f>IF($X37&gt;0,INDEX('CostModel Coef'!W$13:W$16,$X37),"")</f>
        <v>0</v>
      </c>
      <c r="BN37" s="103">
        <f>IF($X37&gt;0,INDEX('CostModel Coef'!X$13:X$16,$X37),"")</f>
        <v>0</v>
      </c>
      <c r="BO37" s="103"/>
      <c r="BP37" s="119">
        <v>2000</v>
      </c>
      <c r="BQ37" s="103"/>
      <c r="BR37" s="103"/>
      <c r="BS37" s="119" t="str">
        <f t="shared" si="8"/>
        <v>WRR0347_CFLscw-A(10w)</v>
      </c>
      <c r="BT37" s="174">
        <f t="shared" si="0"/>
        <v>35</v>
      </c>
      <c r="BU37" s="113">
        <f t="shared" si="10"/>
        <v>0.94839999999999991</v>
      </c>
      <c r="BV37" s="108">
        <f t="shared" si="11"/>
        <v>3.4114</v>
      </c>
      <c r="BW37" s="108">
        <f t="shared" si="12"/>
        <v>1.7214</v>
      </c>
      <c r="BX37" s="108">
        <f t="shared" si="13"/>
        <v>0.56140000000000012</v>
      </c>
      <c r="BY37" s="108">
        <f t="shared" si="14"/>
        <v>0.56140000000000012</v>
      </c>
      <c r="BZ37" s="108"/>
      <c r="CA37" s="119" t="str">
        <f t="shared" si="15"/>
        <v>WRR0407_CFLscw-A(10w)</v>
      </c>
      <c r="CB37" s="174">
        <f t="shared" si="6"/>
        <v>41</v>
      </c>
      <c r="CC37" s="113">
        <f t="shared" si="16"/>
        <v>1.0036</v>
      </c>
      <c r="CD37" s="108">
        <f t="shared" si="17"/>
        <v>3.4666000000000001</v>
      </c>
      <c r="CE37" s="108">
        <f t="shared" si="18"/>
        <v>1.7766000000000002</v>
      </c>
      <c r="CF37" s="108">
        <f t="shared" si="19"/>
        <v>0.61660000000000026</v>
      </c>
      <c r="CG37" s="108">
        <f t="shared" si="20"/>
        <v>0.61660000000000026</v>
      </c>
      <c r="CH37" s="103"/>
      <c r="CI37" s="119" t="str">
        <f t="shared" si="9"/>
        <v>WRR0347_CFLscw-A(10w)</v>
      </c>
      <c r="CJ37" s="174">
        <f t="shared" si="7"/>
        <v>35</v>
      </c>
      <c r="CK37" s="113">
        <f t="shared" si="21"/>
        <v>0.94839999999999991</v>
      </c>
      <c r="CL37" s="108">
        <f t="shared" si="22"/>
        <v>3.4114</v>
      </c>
      <c r="CM37" s="108">
        <f t="shared" si="23"/>
        <v>1.7214</v>
      </c>
      <c r="CN37" s="108">
        <f t="shared" si="24"/>
        <v>0.56140000000000012</v>
      </c>
      <c r="CO37" s="108">
        <f t="shared" si="25"/>
        <v>0.56140000000000012</v>
      </c>
    </row>
    <row r="38" spans="1:93">
      <c r="A38" s="103" t="s">
        <v>223</v>
      </c>
      <c r="B38" s="103" t="s">
        <v>174</v>
      </c>
      <c r="C38" s="103" t="s">
        <v>221</v>
      </c>
      <c r="D38" s="250" t="s">
        <v>153</v>
      </c>
      <c r="E38" s="250"/>
      <c r="F38" s="182">
        <v>9020</v>
      </c>
      <c r="G38" s="250" t="s">
        <v>175</v>
      </c>
      <c r="H38" s="250">
        <v>11</v>
      </c>
      <c r="I38" s="250"/>
      <c r="J38" s="250"/>
      <c r="K38" s="250"/>
      <c r="L38" s="250" t="s">
        <v>61</v>
      </c>
      <c r="M38" s="250">
        <v>11</v>
      </c>
      <c r="N38" s="250"/>
      <c r="O38" s="250"/>
      <c r="P38" s="250" t="s">
        <v>153</v>
      </c>
      <c r="Q38" s="250"/>
      <c r="R38" s="250"/>
      <c r="S38" s="250"/>
      <c r="T38" s="250" t="s">
        <v>155</v>
      </c>
      <c r="U38" s="103" t="s">
        <v>224</v>
      </c>
      <c r="V38" s="106" t="s">
        <v>157</v>
      </c>
      <c r="W38" s="103" t="s">
        <v>81</v>
      </c>
      <c r="X38" s="103">
        <f>IFERROR(MATCH(W38,'CostModel Coef'!$C$9:$C$12,0),0)</f>
        <v>1</v>
      </c>
      <c r="Y38" s="103"/>
      <c r="Z38" s="103">
        <f>IF($X38&gt;0,INDEX('CostModel Coef'!D$9:D$12,$X38),"")</f>
        <v>3.0430000000000001</v>
      </c>
      <c r="AA38" s="103">
        <f>IF($X38&gt;0,INDEX('CostModel Coef'!E$9:E$12,$X38),"")</f>
        <v>-0.14966150225589619</v>
      </c>
      <c r="AB38" s="103">
        <f>IF($X38&gt;0,INDEX('CostModel Coef'!F$9:F$12,$X38),"")</f>
        <v>0.52692151711335011</v>
      </c>
      <c r="AC38" s="103">
        <f>IF($X38&gt;0,INDEX('CostModel Coef'!G$9:G$12,$X38),"")</f>
        <v>1.8411</v>
      </c>
      <c r="AD38" s="103">
        <f>IF($X38&gt;0,INDEX('CostModel Coef'!H$9:H$12,$X38),"")</f>
        <v>-1.8050999999999999</v>
      </c>
      <c r="AE38" s="103">
        <f>IF($X38&gt;0,INDEX('CostModel Coef'!J$9:J$12,$X38),"")</f>
        <v>-1.1288</v>
      </c>
      <c r="AF38" s="103">
        <f>IF($X38&gt;0,INDEX('CostModel Coef'!K$9:K$12,$X38),"")</f>
        <v>-1.845</v>
      </c>
      <c r="AG38" s="103">
        <f>IF($X38&gt;0,INDEX('CostModel Coef'!L$9:L$12,$X38),"")</f>
        <v>6.7507000000000001</v>
      </c>
      <c r="AH38" s="103">
        <f>IF($X38&gt;0,INDEX('CostModel Coef'!M$9:M$12,$X38),"")</f>
        <v>5.8051000000000004</v>
      </c>
      <c r="AI38" s="103">
        <f>IF($X38&gt;0,INDEX('CostModel Coef'!N$9:N$12,$X38),"")</f>
        <v>6.1600000000000002E-2</v>
      </c>
      <c r="AJ38" s="103">
        <f>IF($X38&gt;0,INDEX('CostModel Coef'!Q$9:Q$12,$X38),"")</f>
        <v>6.6500000000000004E-2</v>
      </c>
      <c r="AK38" s="103">
        <f>IF($X38&gt;0,INDEX('CostModel Coef'!T$9:T$12,$X38),"")</f>
        <v>9.35E-2</v>
      </c>
      <c r="AL38" s="103"/>
      <c r="AM38" s="108">
        <f t="shared" si="1"/>
        <v>4.7034920148574537</v>
      </c>
      <c r="AN38" s="108">
        <f t="shared" si="2"/>
        <v>6.5484920148574535</v>
      </c>
      <c r="AO38" s="108">
        <f t="shared" si="3"/>
        <v>4.743392014857454</v>
      </c>
      <c r="AP38" s="108">
        <f t="shared" si="4"/>
        <v>4.743392014857454</v>
      </c>
      <c r="AQ38" s="108">
        <f t="shared" si="5"/>
        <v>3.6145920148574535</v>
      </c>
      <c r="AR38" s="108"/>
      <c r="AS38" s="108"/>
      <c r="AT38" s="103">
        <f>IF($X38&gt;0,INDEX('CostModel Coef'!D$13:D$16,$X38),"")</f>
        <v>2.1320000000000001</v>
      </c>
      <c r="AU38" s="103">
        <f>IF($X38&gt;0,INDEX('CostModel Coef'!E$13:E$16,$X38),"")</f>
        <v>0.23699999999999999</v>
      </c>
      <c r="AV38" s="103">
        <f>IF($X38&gt;0,INDEX('CostModel Coef'!F$13:F$16,$X38),"")</f>
        <v>0.59899999999999998</v>
      </c>
      <c r="AW38" s="103">
        <f>IF($X38&gt;0,INDEX('CostModel Coef'!G$13:G$16,$X38),"")</f>
        <v>0</v>
      </c>
      <c r="AX38" s="103">
        <f>IF($X38&gt;0,INDEX('CostModel Coef'!H$13:H$16,$X38),"")</f>
        <v>-1.69</v>
      </c>
      <c r="AY38" s="103">
        <f>IF($X38&gt;0,INDEX('CostModel Coef'!I$13:I$16,$X38),"")</f>
        <v>-1.1599999999999999</v>
      </c>
      <c r="AZ38" s="103">
        <f>IF($X38&gt;0,INDEX('CostModel Coef'!J$13:J$16,$X38),"")</f>
        <v>0</v>
      </c>
      <c r="BA38" s="103">
        <f>IF($X38&gt;0,INDEX('CostModel Coef'!K$13:K$16,$X38),"")</f>
        <v>-2.4630000000000001</v>
      </c>
      <c r="BB38" s="103">
        <f>IF($X38&gt;0,INDEX('CostModel Coef'!L$13:L$16,$X38),"")</f>
        <v>0.46179999999999999</v>
      </c>
      <c r="BC38" s="103">
        <f>IF($X38&gt;0,INDEX('CostModel Coef'!M$13:M$16,$X38),"")</f>
        <v>0</v>
      </c>
      <c r="BD38" s="103">
        <f>IF($X38&gt;0,INDEX('CostModel Coef'!N$13:N$16,$X38),"")</f>
        <v>0.19869999999999999</v>
      </c>
      <c r="BE38" s="103">
        <f>IF($X38&gt;0,INDEX('CostModel Coef'!O$13:O$16,$X38),"")</f>
        <v>0.6</v>
      </c>
      <c r="BF38" s="103">
        <f>IF($X38&gt;0,INDEX('CostModel Coef'!P$13:P$16,$X38),"")</f>
        <v>15</v>
      </c>
      <c r="BG38" s="103">
        <f>IF($X38&gt;0,INDEX('CostModel Coef'!Q$13:Q$16,$X38),"")</f>
        <v>0</v>
      </c>
      <c r="BH38" s="103">
        <f>IF($X38&gt;0,INDEX('CostModel Coef'!R$13:R$16,$X38),"")</f>
        <v>3</v>
      </c>
      <c r="BI38" s="103">
        <f>IF($X38&gt;0,INDEX('CostModel Coef'!S$13:S$16,$X38),"")</f>
        <v>150</v>
      </c>
      <c r="BJ38" s="103">
        <f>IF($X38&gt;0,INDEX('CostModel Coef'!T$13:T$16,$X38),"")</f>
        <v>0</v>
      </c>
      <c r="BK38" s="103">
        <f>IF($X38&gt;0,INDEX('CostModel Coef'!U$13:U$16,$X38),"")</f>
        <v>9.1999999999999998E-3</v>
      </c>
      <c r="BL38" s="103">
        <f>IF($X38&gt;0,INDEX('CostModel Coef'!V$13:V$16,$X38),"")</f>
        <v>-8.8000000000000005E-3</v>
      </c>
      <c r="BM38" s="103">
        <f>IF($X38&gt;0,INDEX('CostModel Coef'!W$13:W$16,$X38),"")</f>
        <v>0</v>
      </c>
      <c r="BN38" s="103">
        <f>IF($X38&gt;0,INDEX('CostModel Coef'!X$13:X$16,$X38),"")</f>
        <v>0</v>
      </c>
      <c r="BO38" s="103"/>
      <c r="BP38" s="119">
        <v>2000</v>
      </c>
      <c r="BQ38" s="103"/>
      <c r="BR38" s="103"/>
      <c r="BS38" s="119" t="str">
        <f t="shared" si="8"/>
        <v>WRR0347_CFLscw-A(11w)</v>
      </c>
      <c r="BT38" s="174">
        <f t="shared" si="0"/>
        <v>38</v>
      </c>
      <c r="BU38" s="113">
        <f t="shared" si="10"/>
        <v>0.97599999999999998</v>
      </c>
      <c r="BV38" s="108">
        <f t="shared" si="11"/>
        <v>3.4390000000000001</v>
      </c>
      <c r="BW38" s="108">
        <f t="shared" si="12"/>
        <v>1.7490000000000001</v>
      </c>
      <c r="BX38" s="108">
        <f t="shared" si="13"/>
        <v>0.58900000000000019</v>
      </c>
      <c r="BY38" s="108">
        <f t="shared" si="14"/>
        <v>0.58900000000000019</v>
      </c>
      <c r="BZ38" s="108"/>
      <c r="CA38" s="119" t="str">
        <f t="shared" si="15"/>
        <v>WRR0407_CFLscw-A(11w)</v>
      </c>
      <c r="CB38" s="174">
        <f t="shared" si="6"/>
        <v>45</v>
      </c>
      <c r="CC38" s="113">
        <f t="shared" si="16"/>
        <v>1.0404</v>
      </c>
      <c r="CD38" s="108">
        <f t="shared" si="17"/>
        <v>3.5034000000000001</v>
      </c>
      <c r="CE38" s="108">
        <f t="shared" si="18"/>
        <v>1.8134000000000001</v>
      </c>
      <c r="CF38" s="108">
        <f t="shared" si="19"/>
        <v>0.6534000000000002</v>
      </c>
      <c r="CG38" s="108">
        <f t="shared" si="20"/>
        <v>0.6534000000000002</v>
      </c>
      <c r="CH38" s="103"/>
      <c r="CI38" s="119" t="str">
        <f t="shared" si="9"/>
        <v>WRR0347_CFLscw-A(11w)</v>
      </c>
      <c r="CJ38" s="174">
        <f t="shared" si="7"/>
        <v>38</v>
      </c>
      <c r="CK38" s="113">
        <f t="shared" si="21"/>
        <v>0.97599999999999998</v>
      </c>
      <c r="CL38" s="108">
        <f t="shared" si="22"/>
        <v>3.4390000000000001</v>
      </c>
      <c r="CM38" s="108">
        <f t="shared" si="23"/>
        <v>1.7490000000000001</v>
      </c>
      <c r="CN38" s="108">
        <f t="shared" si="24"/>
        <v>0.58900000000000019</v>
      </c>
      <c r="CO38" s="108">
        <f t="shared" si="25"/>
        <v>0.58900000000000019</v>
      </c>
    </row>
    <row r="39" spans="1:93">
      <c r="A39" s="103" t="s">
        <v>225</v>
      </c>
      <c r="B39" s="103" t="s">
        <v>174</v>
      </c>
      <c r="C39" s="103" t="s">
        <v>221</v>
      </c>
      <c r="D39" s="250" t="s">
        <v>153</v>
      </c>
      <c r="E39" s="250"/>
      <c r="F39" s="182">
        <v>9020</v>
      </c>
      <c r="G39" s="250" t="s">
        <v>175</v>
      </c>
      <c r="H39" s="250">
        <v>12</v>
      </c>
      <c r="I39" s="250"/>
      <c r="J39" s="250"/>
      <c r="K39" s="250"/>
      <c r="L39" s="250" t="s">
        <v>61</v>
      </c>
      <c r="M39" s="250">
        <v>12</v>
      </c>
      <c r="N39" s="250"/>
      <c r="O39" s="250"/>
      <c r="P39" s="250" t="s">
        <v>153</v>
      </c>
      <c r="Q39" s="250"/>
      <c r="R39" s="250"/>
      <c r="S39" s="250"/>
      <c r="T39" s="250" t="s">
        <v>155</v>
      </c>
      <c r="U39" s="103" t="s">
        <v>226</v>
      </c>
      <c r="V39" s="106" t="s">
        <v>157</v>
      </c>
      <c r="W39" s="103" t="s">
        <v>81</v>
      </c>
      <c r="X39" s="103">
        <f>IFERROR(MATCH(W39,'CostModel Coef'!$C$9:$C$12,0),0)</f>
        <v>1</v>
      </c>
      <c r="Y39" s="103"/>
      <c r="Z39" s="103">
        <f>IF($X39&gt;0,INDEX('CostModel Coef'!D$9:D$12,$X39),"")</f>
        <v>3.0430000000000001</v>
      </c>
      <c r="AA39" s="103">
        <f>IF($X39&gt;0,INDEX('CostModel Coef'!E$9:E$12,$X39),"")</f>
        <v>-0.14966150225589619</v>
      </c>
      <c r="AB39" s="103">
        <f>IF($X39&gt;0,INDEX('CostModel Coef'!F$9:F$12,$X39),"")</f>
        <v>0.52692151711335011</v>
      </c>
      <c r="AC39" s="103">
        <f>IF($X39&gt;0,INDEX('CostModel Coef'!G$9:G$12,$X39),"")</f>
        <v>1.8411</v>
      </c>
      <c r="AD39" s="103">
        <f>IF($X39&gt;0,INDEX('CostModel Coef'!H$9:H$12,$X39),"")</f>
        <v>-1.8050999999999999</v>
      </c>
      <c r="AE39" s="103">
        <f>IF($X39&gt;0,INDEX('CostModel Coef'!J$9:J$12,$X39),"")</f>
        <v>-1.1288</v>
      </c>
      <c r="AF39" s="103">
        <f>IF($X39&gt;0,INDEX('CostModel Coef'!K$9:K$12,$X39),"")</f>
        <v>-1.845</v>
      </c>
      <c r="AG39" s="103">
        <f>IF($X39&gt;0,INDEX('CostModel Coef'!L$9:L$12,$X39),"")</f>
        <v>6.7507000000000001</v>
      </c>
      <c r="AH39" s="103">
        <f>IF($X39&gt;0,INDEX('CostModel Coef'!M$9:M$12,$X39),"")</f>
        <v>5.8051000000000004</v>
      </c>
      <c r="AI39" s="103">
        <f>IF($X39&gt;0,INDEX('CostModel Coef'!N$9:N$12,$X39),"")</f>
        <v>6.1600000000000002E-2</v>
      </c>
      <c r="AJ39" s="103">
        <f>IF($X39&gt;0,INDEX('CostModel Coef'!Q$9:Q$12,$X39),"")</f>
        <v>6.6500000000000004E-2</v>
      </c>
      <c r="AK39" s="103">
        <f>IF($X39&gt;0,INDEX('CostModel Coef'!T$9:T$12,$X39),"")</f>
        <v>9.35E-2</v>
      </c>
      <c r="AL39" s="103"/>
      <c r="AM39" s="108">
        <f t="shared" si="1"/>
        <v>4.7699920148574542</v>
      </c>
      <c r="AN39" s="108">
        <f t="shared" si="2"/>
        <v>6.6149920148574539</v>
      </c>
      <c r="AO39" s="108">
        <f t="shared" si="3"/>
        <v>4.8098920148574535</v>
      </c>
      <c r="AP39" s="108">
        <f t="shared" si="4"/>
        <v>4.8098920148574535</v>
      </c>
      <c r="AQ39" s="108">
        <f t="shared" si="5"/>
        <v>3.681092014857454</v>
      </c>
      <c r="AR39" s="108"/>
      <c r="AS39" s="108"/>
      <c r="AT39" s="103">
        <f>IF($X39&gt;0,INDEX('CostModel Coef'!D$13:D$16,$X39),"")</f>
        <v>2.1320000000000001</v>
      </c>
      <c r="AU39" s="103">
        <f>IF($X39&gt;0,INDEX('CostModel Coef'!E$13:E$16,$X39),"")</f>
        <v>0.23699999999999999</v>
      </c>
      <c r="AV39" s="103">
        <f>IF($X39&gt;0,INDEX('CostModel Coef'!F$13:F$16,$X39),"")</f>
        <v>0.59899999999999998</v>
      </c>
      <c r="AW39" s="103">
        <f>IF($X39&gt;0,INDEX('CostModel Coef'!G$13:G$16,$X39),"")</f>
        <v>0</v>
      </c>
      <c r="AX39" s="103">
        <f>IF($X39&gt;0,INDEX('CostModel Coef'!H$13:H$16,$X39),"")</f>
        <v>-1.69</v>
      </c>
      <c r="AY39" s="103">
        <f>IF($X39&gt;0,INDEX('CostModel Coef'!I$13:I$16,$X39),"")</f>
        <v>-1.1599999999999999</v>
      </c>
      <c r="AZ39" s="103">
        <f>IF($X39&gt;0,INDEX('CostModel Coef'!J$13:J$16,$X39),"")</f>
        <v>0</v>
      </c>
      <c r="BA39" s="103">
        <f>IF($X39&gt;0,INDEX('CostModel Coef'!K$13:K$16,$X39),"")</f>
        <v>-2.4630000000000001</v>
      </c>
      <c r="BB39" s="103">
        <f>IF($X39&gt;0,INDEX('CostModel Coef'!L$13:L$16,$X39),"")</f>
        <v>0.46179999999999999</v>
      </c>
      <c r="BC39" s="103">
        <f>IF($X39&gt;0,INDEX('CostModel Coef'!M$13:M$16,$X39),"")</f>
        <v>0</v>
      </c>
      <c r="BD39" s="103">
        <f>IF($X39&gt;0,INDEX('CostModel Coef'!N$13:N$16,$X39),"")</f>
        <v>0.19869999999999999</v>
      </c>
      <c r="BE39" s="103">
        <f>IF($X39&gt;0,INDEX('CostModel Coef'!O$13:O$16,$X39),"")</f>
        <v>0.6</v>
      </c>
      <c r="BF39" s="103">
        <f>IF($X39&gt;0,INDEX('CostModel Coef'!P$13:P$16,$X39),"")</f>
        <v>15</v>
      </c>
      <c r="BG39" s="103">
        <f>IF($X39&gt;0,INDEX('CostModel Coef'!Q$13:Q$16,$X39),"")</f>
        <v>0</v>
      </c>
      <c r="BH39" s="103">
        <f>IF($X39&gt;0,INDEX('CostModel Coef'!R$13:R$16,$X39),"")</f>
        <v>3</v>
      </c>
      <c r="BI39" s="103">
        <f>IF($X39&gt;0,INDEX('CostModel Coef'!S$13:S$16,$X39),"")</f>
        <v>150</v>
      </c>
      <c r="BJ39" s="103">
        <f>IF($X39&gt;0,INDEX('CostModel Coef'!T$13:T$16,$X39),"")</f>
        <v>0</v>
      </c>
      <c r="BK39" s="103">
        <f>IF($X39&gt;0,INDEX('CostModel Coef'!U$13:U$16,$X39),"")</f>
        <v>9.1999999999999998E-3</v>
      </c>
      <c r="BL39" s="103">
        <f>IF($X39&gt;0,INDEX('CostModel Coef'!V$13:V$16,$X39),"")</f>
        <v>-8.8000000000000005E-3</v>
      </c>
      <c r="BM39" s="103">
        <f>IF($X39&gt;0,INDEX('CostModel Coef'!W$13:W$16,$X39),"")</f>
        <v>0</v>
      </c>
      <c r="BN39" s="103">
        <f>IF($X39&gt;0,INDEX('CostModel Coef'!X$13:X$16,$X39),"")</f>
        <v>0</v>
      </c>
      <c r="BO39" s="103"/>
      <c r="BP39" s="119">
        <v>2000</v>
      </c>
      <c r="BQ39" s="103"/>
      <c r="BR39" s="103"/>
      <c r="BS39" s="119" t="str">
        <f t="shared" si="8"/>
        <v>WRR0347_CFLscw-A(12w)</v>
      </c>
      <c r="BT39" s="174">
        <f t="shared" si="0"/>
        <v>42</v>
      </c>
      <c r="BU39" s="113">
        <f t="shared" si="10"/>
        <v>1.0127999999999999</v>
      </c>
      <c r="BV39" s="108">
        <f t="shared" si="11"/>
        <v>3.4758</v>
      </c>
      <c r="BW39" s="108">
        <f t="shared" si="12"/>
        <v>1.7858000000000001</v>
      </c>
      <c r="BX39" s="108">
        <f t="shared" si="13"/>
        <v>0.62580000000000013</v>
      </c>
      <c r="BY39" s="108">
        <f t="shared" si="14"/>
        <v>0.62580000000000013</v>
      </c>
      <c r="BZ39" s="108"/>
      <c r="CA39" s="119" t="str">
        <f t="shared" si="15"/>
        <v>WRR0407_CFLscw-A(12w)</v>
      </c>
      <c r="CB39" s="174">
        <f t="shared" si="6"/>
        <v>49</v>
      </c>
      <c r="CC39" s="113">
        <f t="shared" si="16"/>
        <v>1.0771999999999999</v>
      </c>
      <c r="CD39" s="108">
        <f t="shared" si="17"/>
        <v>3.5402</v>
      </c>
      <c r="CE39" s="108">
        <f t="shared" si="18"/>
        <v>1.8502000000000001</v>
      </c>
      <c r="CF39" s="108">
        <f t="shared" si="19"/>
        <v>0.69020000000000015</v>
      </c>
      <c r="CG39" s="108">
        <f t="shared" si="20"/>
        <v>0.69020000000000015</v>
      </c>
      <c r="CH39" s="103"/>
      <c r="CI39" s="119" t="str">
        <f t="shared" si="9"/>
        <v>WRR0347_CFLscw-A(12w)</v>
      </c>
      <c r="CJ39" s="174">
        <f t="shared" si="7"/>
        <v>42</v>
      </c>
      <c r="CK39" s="113">
        <f t="shared" si="21"/>
        <v>1.0127999999999999</v>
      </c>
      <c r="CL39" s="108">
        <f t="shared" si="22"/>
        <v>3.4758</v>
      </c>
      <c r="CM39" s="108">
        <f t="shared" si="23"/>
        <v>1.7858000000000001</v>
      </c>
      <c r="CN39" s="108">
        <f t="shared" si="24"/>
        <v>0.62580000000000013</v>
      </c>
      <c r="CO39" s="108">
        <f t="shared" si="25"/>
        <v>0.62580000000000013</v>
      </c>
    </row>
    <row r="40" spans="1:93">
      <c r="A40" s="103" t="s">
        <v>227</v>
      </c>
      <c r="B40" s="103" t="s">
        <v>174</v>
      </c>
      <c r="C40" s="103" t="s">
        <v>221</v>
      </c>
      <c r="D40" s="250" t="s">
        <v>153</v>
      </c>
      <c r="E40" s="250"/>
      <c r="F40" s="182">
        <v>9020</v>
      </c>
      <c r="G40" s="250" t="s">
        <v>175</v>
      </c>
      <c r="H40" s="250">
        <v>13</v>
      </c>
      <c r="I40" s="250"/>
      <c r="J40" s="250"/>
      <c r="K40" s="250"/>
      <c r="L40" s="250" t="s">
        <v>61</v>
      </c>
      <c r="M40" s="250">
        <v>13</v>
      </c>
      <c r="N40" s="250"/>
      <c r="O40" s="250"/>
      <c r="P40" s="250" t="s">
        <v>153</v>
      </c>
      <c r="Q40" s="250"/>
      <c r="R40" s="250"/>
      <c r="S40" s="250"/>
      <c r="T40" s="250" t="s">
        <v>155</v>
      </c>
      <c r="U40" s="103" t="s">
        <v>228</v>
      </c>
      <c r="V40" s="106" t="s">
        <v>157</v>
      </c>
      <c r="W40" s="103" t="s">
        <v>81</v>
      </c>
      <c r="X40" s="103">
        <f>IFERROR(MATCH(W40,'CostModel Coef'!$C$9:$C$12,0),0)</f>
        <v>1</v>
      </c>
      <c r="Y40" s="103"/>
      <c r="Z40" s="103">
        <f>IF($X40&gt;0,INDEX('CostModel Coef'!D$9:D$12,$X40),"")</f>
        <v>3.0430000000000001</v>
      </c>
      <c r="AA40" s="103">
        <f>IF($X40&gt;0,INDEX('CostModel Coef'!E$9:E$12,$X40),"")</f>
        <v>-0.14966150225589619</v>
      </c>
      <c r="AB40" s="103">
        <f>IF($X40&gt;0,INDEX('CostModel Coef'!F$9:F$12,$X40),"")</f>
        <v>0.52692151711335011</v>
      </c>
      <c r="AC40" s="103">
        <f>IF($X40&gt;0,INDEX('CostModel Coef'!G$9:G$12,$X40),"")</f>
        <v>1.8411</v>
      </c>
      <c r="AD40" s="103">
        <f>IF($X40&gt;0,INDEX('CostModel Coef'!H$9:H$12,$X40),"")</f>
        <v>-1.8050999999999999</v>
      </c>
      <c r="AE40" s="103">
        <f>IF($X40&gt;0,INDEX('CostModel Coef'!J$9:J$12,$X40),"")</f>
        <v>-1.1288</v>
      </c>
      <c r="AF40" s="103">
        <f>IF($X40&gt;0,INDEX('CostModel Coef'!K$9:K$12,$X40),"")</f>
        <v>-1.845</v>
      </c>
      <c r="AG40" s="103">
        <f>IF($X40&gt;0,INDEX('CostModel Coef'!L$9:L$12,$X40),"")</f>
        <v>6.7507000000000001</v>
      </c>
      <c r="AH40" s="103">
        <f>IF($X40&gt;0,INDEX('CostModel Coef'!M$9:M$12,$X40),"")</f>
        <v>5.8051000000000004</v>
      </c>
      <c r="AI40" s="103">
        <f>IF($X40&gt;0,INDEX('CostModel Coef'!N$9:N$12,$X40),"")</f>
        <v>6.1600000000000002E-2</v>
      </c>
      <c r="AJ40" s="103">
        <f>IF($X40&gt;0,INDEX('CostModel Coef'!Q$9:Q$12,$X40),"")</f>
        <v>6.6500000000000004E-2</v>
      </c>
      <c r="AK40" s="103">
        <f>IF($X40&gt;0,INDEX('CostModel Coef'!T$9:T$12,$X40),"")</f>
        <v>9.35E-2</v>
      </c>
      <c r="AL40" s="103"/>
      <c r="AM40" s="108">
        <f t="shared" si="1"/>
        <v>4.8364920148574546</v>
      </c>
      <c r="AN40" s="108">
        <f t="shared" si="2"/>
        <v>6.6814920148574544</v>
      </c>
      <c r="AO40" s="108">
        <f t="shared" si="3"/>
        <v>4.8763920148574549</v>
      </c>
      <c r="AP40" s="108">
        <f t="shared" si="4"/>
        <v>4.8763920148574549</v>
      </c>
      <c r="AQ40" s="108">
        <f t="shared" si="5"/>
        <v>3.7475920148574544</v>
      </c>
      <c r="AR40" s="108"/>
      <c r="AS40" s="108"/>
      <c r="AT40" s="103">
        <f>IF($X40&gt;0,INDEX('CostModel Coef'!D$13:D$16,$X40),"")</f>
        <v>2.1320000000000001</v>
      </c>
      <c r="AU40" s="103">
        <f>IF($X40&gt;0,INDEX('CostModel Coef'!E$13:E$16,$X40),"")</f>
        <v>0.23699999999999999</v>
      </c>
      <c r="AV40" s="103">
        <f>IF($X40&gt;0,INDEX('CostModel Coef'!F$13:F$16,$X40),"")</f>
        <v>0.59899999999999998</v>
      </c>
      <c r="AW40" s="103">
        <f>IF($X40&gt;0,INDEX('CostModel Coef'!G$13:G$16,$X40),"")</f>
        <v>0</v>
      </c>
      <c r="AX40" s="103">
        <f>IF($X40&gt;0,INDEX('CostModel Coef'!H$13:H$16,$X40),"")</f>
        <v>-1.69</v>
      </c>
      <c r="AY40" s="103">
        <f>IF($X40&gt;0,INDEX('CostModel Coef'!I$13:I$16,$X40),"")</f>
        <v>-1.1599999999999999</v>
      </c>
      <c r="AZ40" s="103">
        <f>IF($X40&gt;0,INDEX('CostModel Coef'!J$13:J$16,$X40),"")</f>
        <v>0</v>
      </c>
      <c r="BA40" s="103">
        <f>IF($X40&gt;0,INDEX('CostModel Coef'!K$13:K$16,$X40),"")</f>
        <v>-2.4630000000000001</v>
      </c>
      <c r="BB40" s="103">
        <f>IF($X40&gt;0,INDEX('CostModel Coef'!L$13:L$16,$X40),"")</f>
        <v>0.46179999999999999</v>
      </c>
      <c r="BC40" s="103">
        <f>IF($X40&gt;0,INDEX('CostModel Coef'!M$13:M$16,$X40),"")</f>
        <v>0</v>
      </c>
      <c r="BD40" s="103">
        <f>IF($X40&gt;0,INDEX('CostModel Coef'!N$13:N$16,$X40),"")</f>
        <v>0.19869999999999999</v>
      </c>
      <c r="BE40" s="103">
        <f>IF($X40&gt;0,INDEX('CostModel Coef'!O$13:O$16,$X40),"")</f>
        <v>0.6</v>
      </c>
      <c r="BF40" s="103">
        <f>IF($X40&gt;0,INDEX('CostModel Coef'!P$13:P$16,$X40),"")</f>
        <v>15</v>
      </c>
      <c r="BG40" s="103">
        <f>IF($X40&gt;0,INDEX('CostModel Coef'!Q$13:Q$16,$X40),"")</f>
        <v>0</v>
      </c>
      <c r="BH40" s="103">
        <f>IF($X40&gt;0,INDEX('CostModel Coef'!R$13:R$16,$X40),"")</f>
        <v>3</v>
      </c>
      <c r="BI40" s="103">
        <f>IF($X40&gt;0,INDEX('CostModel Coef'!S$13:S$16,$X40),"")</f>
        <v>150</v>
      </c>
      <c r="BJ40" s="103">
        <f>IF($X40&gt;0,INDEX('CostModel Coef'!T$13:T$16,$X40),"")</f>
        <v>0</v>
      </c>
      <c r="BK40" s="103">
        <f>IF($X40&gt;0,INDEX('CostModel Coef'!U$13:U$16,$X40),"")</f>
        <v>9.1999999999999998E-3</v>
      </c>
      <c r="BL40" s="103">
        <f>IF($X40&gt;0,INDEX('CostModel Coef'!V$13:V$16,$X40),"")</f>
        <v>-8.8000000000000005E-3</v>
      </c>
      <c r="BM40" s="103">
        <f>IF($X40&gt;0,INDEX('CostModel Coef'!W$13:W$16,$X40),"")</f>
        <v>0</v>
      </c>
      <c r="BN40" s="103">
        <f>IF($X40&gt;0,INDEX('CostModel Coef'!X$13:X$16,$X40),"")</f>
        <v>0</v>
      </c>
      <c r="BO40" s="103"/>
      <c r="BP40" s="119">
        <v>2000</v>
      </c>
      <c r="BQ40" s="103"/>
      <c r="BR40" s="103"/>
      <c r="BS40" s="119" t="str">
        <f t="shared" si="8"/>
        <v>WRR0347_CFLscw-A(13w)</v>
      </c>
      <c r="BT40" s="174">
        <f t="shared" si="0"/>
        <v>45</v>
      </c>
      <c r="BU40" s="113">
        <f t="shared" si="10"/>
        <v>1.0404</v>
      </c>
      <c r="BV40" s="108">
        <f t="shared" si="11"/>
        <v>3.5034000000000001</v>
      </c>
      <c r="BW40" s="108">
        <f t="shared" si="12"/>
        <v>1.8134000000000001</v>
      </c>
      <c r="BX40" s="108">
        <f t="shared" si="13"/>
        <v>0.6534000000000002</v>
      </c>
      <c r="BY40" s="108">
        <f t="shared" si="14"/>
        <v>0.6534000000000002</v>
      </c>
      <c r="BZ40" s="108"/>
      <c r="CA40" s="119" t="str">
        <f t="shared" si="15"/>
        <v>WRR0407_CFLscw-A(13w)</v>
      </c>
      <c r="CB40" s="174">
        <f t="shared" si="6"/>
        <v>53</v>
      </c>
      <c r="CC40" s="113">
        <f t="shared" si="16"/>
        <v>1.1139999999999999</v>
      </c>
      <c r="CD40" s="108">
        <f t="shared" si="17"/>
        <v>3.577</v>
      </c>
      <c r="CE40" s="108">
        <f t="shared" si="18"/>
        <v>1.887</v>
      </c>
      <c r="CF40" s="108">
        <f t="shared" si="19"/>
        <v>0.72700000000000009</v>
      </c>
      <c r="CG40" s="108">
        <f t="shared" si="20"/>
        <v>0.72700000000000009</v>
      </c>
      <c r="CH40" s="103"/>
      <c r="CI40" s="119" t="str">
        <f t="shared" si="9"/>
        <v>WRR0347_CFLscw-A(13w)</v>
      </c>
      <c r="CJ40" s="174">
        <f t="shared" si="7"/>
        <v>45</v>
      </c>
      <c r="CK40" s="113">
        <f t="shared" si="21"/>
        <v>1.0404</v>
      </c>
      <c r="CL40" s="108">
        <f t="shared" si="22"/>
        <v>3.5034000000000001</v>
      </c>
      <c r="CM40" s="108">
        <f t="shared" si="23"/>
        <v>1.8134000000000001</v>
      </c>
      <c r="CN40" s="108">
        <f t="shared" si="24"/>
        <v>0.6534000000000002</v>
      </c>
      <c r="CO40" s="108">
        <f t="shared" si="25"/>
        <v>0.6534000000000002</v>
      </c>
    </row>
    <row r="41" spans="1:93">
      <c r="A41" s="103" t="s">
        <v>229</v>
      </c>
      <c r="B41" s="103" t="s">
        <v>174</v>
      </c>
      <c r="C41" s="103" t="s">
        <v>221</v>
      </c>
      <c r="D41" s="250" t="s">
        <v>153</v>
      </c>
      <c r="E41" s="250"/>
      <c r="F41" s="182">
        <v>9020</v>
      </c>
      <c r="G41" s="250" t="s">
        <v>175</v>
      </c>
      <c r="H41" s="250">
        <v>14</v>
      </c>
      <c r="I41" s="250"/>
      <c r="J41" s="250"/>
      <c r="K41" s="250"/>
      <c r="L41" s="250" t="s">
        <v>61</v>
      </c>
      <c r="M41" s="250">
        <v>14</v>
      </c>
      <c r="N41" s="250"/>
      <c r="O41" s="250"/>
      <c r="P41" s="250" t="s">
        <v>153</v>
      </c>
      <c r="Q41" s="250"/>
      <c r="R41" s="250"/>
      <c r="S41" s="250"/>
      <c r="T41" s="250" t="s">
        <v>155</v>
      </c>
      <c r="U41" s="103" t="s">
        <v>230</v>
      </c>
      <c r="V41" s="106" t="s">
        <v>157</v>
      </c>
      <c r="W41" s="103" t="s">
        <v>81</v>
      </c>
      <c r="X41" s="103">
        <f>IFERROR(MATCH(W41,'CostModel Coef'!$C$9:$C$12,0),0)</f>
        <v>1</v>
      </c>
      <c r="Y41" s="103"/>
      <c r="Z41" s="103">
        <f>IF($X41&gt;0,INDEX('CostModel Coef'!D$9:D$12,$X41),"")</f>
        <v>3.0430000000000001</v>
      </c>
      <c r="AA41" s="103">
        <f>IF($X41&gt;0,INDEX('CostModel Coef'!E$9:E$12,$X41),"")</f>
        <v>-0.14966150225589619</v>
      </c>
      <c r="AB41" s="103">
        <f>IF($X41&gt;0,INDEX('CostModel Coef'!F$9:F$12,$X41),"")</f>
        <v>0.52692151711335011</v>
      </c>
      <c r="AC41" s="103">
        <f>IF($X41&gt;0,INDEX('CostModel Coef'!G$9:G$12,$X41),"")</f>
        <v>1.8411</v>
      </c>
      <c r="AD41" s="103">
        <f>IF($X41&gt;0,INDEX('CostModel Coef'!H$9:H$12,$X41),"")</f>
        <v>-1.8050999999999999</v>
      </c>
      <c r="AE41" s="103">
        <f>IF($X41&gt;0,INDEX('CostModel Coef'!J$9:J$12,$X41),"")</f>
        <v>-1.1288</v>
      </c>
      <c r="AF41" s="103">
        <f>IF($X41&gt;0,INDEX('CostModel Coef'!K$9:K$12,$X41),"")</f>
        <v>-1.845</v>
      </c>
      <c r="AG41" s="103">
        <f>IF($X41&gt;0,INDEX('CostModel Coef'!L$9:L$12,$X41),"")</f>
        <v>6.7507000000000001</v>
      </c>
      <c r="AH41" s="103">
        <f>IF($X41&gt;0,INDEX('CostModel Coef'!M$9:M$12,$X41),"")</f>
        <v>5.8051000000000004</v>
      </c>
      <c r="AI41" s="103">
        <f>IF($X41&gt;0,INDEX('CostModel Coef'!N$9:N$12,$X41),"")</f>
        <v>6.1600000000000002E-2</v>
      </c>
      <c r="AJ41" s="103">
        <f>IF($X41&gt;0,INDEX('CostModel Coef'!Q$9:Q$12,$X41),"")</f>
        <v>6.6500000000000004E-2</v>
      </c>
      <c r="AK41" s="103">
        <f>IF($X41&gt;0,INDEX('CostModel Coef'!T$9:T$12,$X41),"")</f>
        <v>9.35E-2</v>
      </c>
      <c r="AL41" s="103"/>
      <c r="AM41" s="108">
        <f t="shared" si="1"/>
        <v>4.9029920148574542</v>
      </c>
      <c r="AN41" s="108">
        <f t="shared" si="2"/>
        <v>6.7479920148574539</v>
      </c>
      <c r="AO41" s="108">
        <f t="shared" si="3"/>
        <v>4.9428920148574544</v>
      </c>
      <c r="AP41" s="108">
        <f t="shared" si="4"/>
        <v>4.9428920148574544</v>
      </c>
      <c r="AQ41" s="108">
        <f t="shared" si="5"/>
        <v>3.814092014857454</v>
      </c>
      <c r="AR41" s="108"/>
      <c r="AS41" s="108"/>
      <c r="AT41" s="103">
        <f>IF($X41&gt;0,INDEX('CostModel Coef'!D$13:D$16,$X41),"")</f>
        <v>2.1320000000000001</v>
      </c>
      <c r="AU41" s="103">
        <f>IF($X41&gt;0,INDEX('CostModel Coef'!E$13:E$16,$X41),"")</f>
        <v>0.23699999999999999</v>
      </c>
      <c r="AV41" s="103">
        <f>IF($X41&gt;0,INDEX('CostModel Coef'!F$13:F$16,$X41),"")</f>
        <v>0.59899999999999998</v>
      </c>
      <c r="AW41" s="103">
        <f>IF($X41&gt;0,INDEX('CostModel Coef'!G$13:G$16,$X41),"")</f>
        <v>0</v>
      </c>
      <c r="AX41" s="103">
        <f>IF($X41&gt;0,INDEX('CostModel Coef'!H$13:H$16,$X41),"")</f>
        <v>-1.69</v>
      </c>
      <c r="AY41" s="103">
        <f>IF($X41&gt;0,INDEX('CostModel Coef'!I$13:I$16,$X41),"")</f>
        <v>-1.1599999999999999</v>
      </c>
      <c r="AZ41" s="103">
        <f>IF($X41&gt;0,INDEX('CostModel Coef'!J$13:J$16,$X41),"")</f>
        <v>0</v>
      </c>
      <c r="BA41" s="103">
        <f>IF($X41&gt;0,INDEX('CostModel Coef'!K$13:K$16,$X41),"")</f>
        <v>-2.4630000000000001</v>
      </c>
      <c r="BB41" s="103">
        <f>IF($X41&gt;0,INDEX('CostModel Coef'!L$13:L$16,$X41),"")</f>
        <v>0.46179999999999999</v>
      </c>
      <c r="BC41" s="103">
        <f>IF($X41&gt;0,INDEX('CostModel Coef'!M$13:M$16,$X41),"")</f>
        <v>0</v>
      </c>
      <c r="BD41" s="103">
        <f>IF($X41&gt;0,INDEX('CostModel Coef'!N$13:N$16,$X41),"")</f>
        <v>0.19869999999999999</v>
      </c>
      <c r="BE41" s="103">
        <f>IF($X41&gt;0,INDEX('CostModel Coef'!O$13:O$16,$X41),"")</f>
        <v>0.6</v>
      </c>
      <c r="BF41" s="103">
        <f>IF($X41&gt;0,INDEX('CostModel Coef'!P$13:P$16,$X41),"")</f>
        <v>15</v>
      </c>
      <c r="BG41" s="103">
        <f>IF($X41&gt;0,INDEX('CostModel Coef'!Q$13:Q$16,$X41),"")</f>
        <v>0</v>
      </c>
      <c r="BH41" s="103">
        <f>IF($X41&gt;0,INDEX('CostModel Coef'!R$13:R$16,$X41),"")</f>
        <v>3</v>
      </c>
      <c r="BI41" s="103">
        <f>IF($X41&gt;0,INDEX('CostModel Coef'!S$13:S$16,$X41),"")</f>
        <v>150</v>
      </c>
      <c r="BJ41" s="103">
        <f>IF($X41&gt;0,INDEX('CostModel Coef'!T$13:T$16,$X41),"")</f>
        <v>0</v>
      </c>
      <c r="BK41" s="103">
        <f>IF($X41&gt;0,INDEX('CostModel Coef'!U$13:U$16,$X41),"")</f>
        <v>9.1999999999999998E-3</v>
      </c>
      <c r="BL41" s="103">
        <f>IF($X41&gt;0,INDEX('CostModel Coef'!V$13:V$16,$X41),"")</f>
        <v>-8.8000000000000005E-3</v>
      </c>
      <c r="BM41" s="103">
        <f>IF($X41&gt;0,INDEX('CostModel Coef'!W$13:W$16,$X41),"")</f>
        <v>0</v>
      </c>
      <c r="BN41" s="103">
        <f>IF($X41&gt;0,INDEX('CostModel Coef'!X$13:X$16,$X41),"")</f>
        <v>0</v>
      </c>
      <c r="BO41" s="103"/>
      <c r="BP41" s="119">
        <v>2000</v>
      </c>
      <c r="BQ41" s="103"/>
      <c r="BR41" s="103"/>
      <c r="BS41" s="119" t="str">
        <f t="shared" si="8"/>
        <v>WRR0347_CFLscw-A(14w)</v>
      </c>
      <c r="BT41" s="174">
        <f t="shared" si="0"/>
        <v>49</v>
      </c>
      <c r="BU41" s="113">
        <f t="shared" si="10"/>
        <v>1.0771999999999999</v>
      </c>
      <c r="BV41" s="108">
        <f t="shared" si="11"/>
        <v>3.5402</v>
      </c>
      <c r="BW41" s="108">
        <f t="shared" si="12"/>
        <v>1.8502000000000001</v>
      </c>
      <c r="BX41" s="108">
        <f t="shared" si="13"/>
        <v>0.69020000000000015</v>
      </c>
      <c r="BY41" s="108">
        <f t="shared" si="14"/>
        <v>0.69020000000000015</v>
      </c>
      <c r="BZ41" s="108"/>
      <c r="CA41" s="119" t="str">
        <f t="shared" si="15"/>
        <v>WRR0407_CFLscw-A(14w)</v>
      </c>
      <c r="CB41" s="174">
        <f t="shared" si="6"/>
        <v>57</v>
      </c>
      <c r="CC41" s="113">
        <f t="shared" si="16"/>
        <v>1.1508000000000003</v>
      </c>
      <c r="CD41" s="108">
        <f t="shared" si="17"/>
        <v>3.6138000000000003</v>
      </c>
      <c r="CE41" s="108">
        <f t="shared" si="18"/>
        <v>1.9238000000000004</v>
      </c>
      <c r="CF41" s="108">
        <f t="shared" si="19"/>
        <v>0.76380000000000048</v>
      </c>
      <c r="CG41" s="108">
        <f t="shared" si="20"/>
        <v>0.76380000000000048</v>
      </c>
      <c r="CH41" s="103"/>
      <c r="CI41" s="119" t="str">
        <f t="shared" si="9"/>
        <v>WRR0347_CFLscw-A(14w)</v>
      </c>
      <c r="CJ41" s="174">
        <f t="shared" si="7"/>
        <v>49</v>
      </c>
      <c r="CK41" s="113">
        <f t="shared" si="21"/>
        <v>1.0771999999999999</v>
      </c>
      <c r="CL41" s="108">
        <f t="shared" si="22"/>
        <v>3.5402</v>
      </c>
      <c r="CM41" s="108">
        <f t="shared" si="23"/>
        <v>1.8502000000000001</v>
      </c>
      <c r="CN41" s="108">
        <f t="shared" si="24"/>
        <v>0.69020000000000015</v>
      </c>
      <c r="CO41" s="108">
        <f t="shared" si="25"/>
        <v>0.69020000000000015</v>
      </c>
    </row>
    <row r="42" spans="1:93">
      <c r="A42" s="103" t="s">
        <v>231</v>
      </c>
      <c r="B42" s="103" t="s">
        <v>174</v>
      </c>
      <c r="C42" s="103" t="s">
        <v>221</v>
      </c>
      <c r="D42" s="250" t="s">
        <v>153</v>
      </c>
      <c r="E42" s="250"/>
      <c r="F42" s="182">
        <v>9020</v>
      </c>
      <c r="G42" s="250" t="s">
        <v>175</v>
      </c>
      <c r="H42" s="250">
        <v>15</v>
      </c>
      <c r="I42" s="250"/>
      <c r="J42" s="250"/>
      <c r="K42" s="250"/>
      <c r="L42" s="250" t="s">
        <v>61</v>
      </c>
      <c r="M42" s="250">
        <v>15</v>
      </c>
      <c r="N42" s="250"/>
      <c r="O42" s="250"/>
      <c r="P42" s="250" t="s">
        <v>153</v>
      </c>
      <c r="Q42" s="250"/>
      <c r="R42" s="250"/>
      <c r="S42" s="250"/>
      <c r="T42" s="250" t="s">
        <v>155</v>
      </c>
      <c r="U42" s="103" t="s">
        <v>232</v>
      </c>
      <c r="V42" s="106" t="s">
        <v>157</v>
      </c>
      <c r="W42" s="103" t="s">
        <v>81</v>
      </c>
      <c r="X42" s="103">
        <f>IFERROR(MATCH(W42,'CostModel Coef'!$C$9:$C$12,0),0)</f>
        <v>1</v>
      </c>
      <c r="Y42" s="103"/>
      <c r="Z42" s="103">
        <f>IF($X42&gt;0,INDEX('CostModel Coef'!D$9:D$12,$X42),"")</f>
        <v>3.0430000000000001</v>
      </c>
      <c r="AA42" s="103">
        <f>IF($X42&gt;0,INDEX('CostModel Coef'!E$9:E$12,$X42),"")</f>
        <v>-0.14966150225589619</v>
      </c>
      <c r="AB42" s="103">
        <f>IF($X42&gt;0,INDEX('CostModel Coef'!F$9:F$12,$X42),"")</f>
        <v>0.52692151711335011</v>
      </c>
      <c r="AC42" s="103">
        <f>IF($X42&gt;0,INDEX('CostModel Coef'!G$9:G$12,$X42),"")</f>
        <v>1.8411</v>
      </c>
      <c r="AD42" s="103">
        <f>IF($X42&gt;0,INDEX('CostModel Coef'!H$9:H$12,$X42),"")</f>
        <v>-1.8050999999999999</v>
      </c>
      <c r="AE42" s="103">
        <f>IF($X42&gt;0,INDEX('CostModel Coef'!J$9:J$12,$X42),"")</f>
        <v>-1.1288</v>
      </c>
      <c r="AF42" s="103">
        <f>IF($X42&gt;0,INDEX('CostModel Coef'!K$9:K$12,$X42),"")</f>
        <v>-1.845</v>
      </c>
      <c r="AG42" s="103">
        <f>IF($X42&gt;0,INDEX('CostModel Coef'!L$9:L$12,$X42),"")</f>
        <v>6.7507000000000001</v>
      </c>
      <c r="AH42" s="103">
        <f>IF($X42&gt;0,INDEX('CostModel Coef'!M$9:M$12,$X42),"")</f>
        <v>5.8051000000000004</v>
      </c>
      <c r="AI42" s="103">
        <f>IF($X42&gt;0,INDEX('CostModel Coef'!N$9:N$12,$X42),"")</f>
        <v>6.1600000000000002E-2</v>
      </c>
      <c r="AJ42" s="103">
        <f>IF($X42&gt;0,INDEX('CostModel Coef'!Q$9:Q$12,$X42),"")</f>
        <v>6.6500000000000004E-2</v>
      </c>
      <c r="AK42" s="103">
        <f>IF($X42&gt;0,INDEX('CostModel Coef'!T$9:T$12,$X42),"")</f>
        <v>9.35E-2</v>
      </c>
      <c r="AL42" s="103"/>
      <c r="AM42" s="108">
        <f t="shared" si="1"/>
        <v>4.9694920148574537</v>
      </c>
      <c r="AN42" s="108">
        <f t="shared" si="2"/>
        <v>6.8144920148574535</v>
      </c>
      <c r="AO42" s="108">
        <f t="shared" si="3"/>
        <v>5.009392014857454</v>
      </c>
      <c r="AP42" s="108">
        <f t="shared" si="4"/>
        <v>5.009392014857454</v>
      </c>
      <c r="AQ42" s="108">
        <f t="shared" si="5"/>
        <v>3.8805920148574535</v>
      </c>
      <c r="AR42" s="108"/>
      <c r="AS42" s="108"/>
      <c r="AT42" s="103">
        <f>IF($X42&gt;0,INDEX('CostModel Coef'!D$13:D$16,$X42),"")</f>
        <v>2.1320000000000001</v>
      </c>
      <c r="AU42" s="103">
        <f>IF($X42&gt;0,INDEX('CostModel Coef'!E$13:E$16,$X42),"")</f>
        <v>0.23699999999999999</v>
      </c>
      <c r="AV42" s="103">
        <f>IF($X42&gt;0,INDEX('CostModel Coef'!F$13:F$16,$X42),"")</f>
        <v>0.59899999999999998</v>
      </c>
      <c r="AW42" s="103">
        <f>IF($X42&gt;0,INDEX('CostModel Coef'!G$13:G$16,$X42),"")</f>
        <v>0</v>
      </c>
      <c r="AX42" s="103">
        <f>IF($X42&gt;0,INDEX('CostModel Coef'!H$13:H$16,$X42),"")</f>
        <v>-1.69</v>
      </c>
      <c r="AY42" s="103">
        <f>IF($X42&gt;0,INDEX('CostModel Coef'!I$13:I$16,$X42),"")</f>
        <v>-1.1599999999999999</v>
      </c>
      <c r="AZ42" s="103">
        <f>IF($X42&gt;0,INDEX('CostModel Coef'!J$13:J$16,$X42),"")</f>
        <v>0</v>
      </c>
      <c r="BA42" s="103">
        <f>IF($X42&gt;0,INDEX('CostModel Coef'!K$13:K$16,$X42),"")</f>
        <v>-2.4630000000000001</v>
      </c>
      <c r="BB42" s="103">
        <f>IF($X42&gt;0,INDEX('CostModel Coef'!L$13:L$16,$X42),"")</f>
        <v>0.46179999999999999</v>
      </c>
      <c r="BC42" s="103">
        <f>IF($X42&gt;0,INDEX('CostModel Coef'!M$13:M$16,$X42),"")</f>
        <v>0</v>
      </c>
      <c r="BD42" s="103">
        <f>IF($X42&gt;0,INDEX('CostModel Coef'!N$13:N$16,$X42),"")</f>
        <v>0.19869999999999999</v>
      </c>
      <c r="BE42" s="103">
        <f>IF($X42&gt;0,INDEX('CostModel Coef'!O$13:O$16,$X42),"")</f>
        <v>0.6</v>
      </c>
      <c r="BF42" s="103">
        <f>IF($X42&gt;0,INDEX('CostModel Coef'!P$13:P$16,$X42),"")</f>
        <v>15</v>
      </c>
      <c r="BG42" s="103">
        <f>IF($X42&gt;0,INDEX('CostModel Coef'!Q$13:Q$16,$X42),"")</f>
        <v>0</v>
      </c>
      <c r="BH42" s="103">
        <f>IF($X42&gt;0,INDEX('CostModel Coef'!R$13:R$16,$X42),"")</f>
        <v>3</v>
      </c>
      <c r="BI42" s="103">
        <f>IF($X42&gt;0,INDEX('CostModel Coef'!S$13:S$16,$X42),"")</f>
        <v>150</v>
      </c>
      <c r="BJ42" s="103">
        <f>IF($X42&gt;0,INDEX('CostModel Coef'!T$13:T$16,$X42),"")</f>
        <v>0</v>
      </c>
      <c r="BK42" s="103">
        <f>IF($X42&gt;0,INDEX('CostModel Coef'!U$13:U$16,$X42),"")</f>
        <v>9.1999999999999998E-3</v>
      </c>
      <c r="BL42" s="103">
        <f>IF($X42&gt;0,INDEX('CostModel Coef'!V$13:V$16,$X42),"")</f>
        <v>-8.8000000000000005E-3</v>
      </c>
      <c r="BM42" s="103">
        <f>IF($X42&gt;0,INDEX('CostModel Coef'!W$13:W$16,$X42),"")</f>
        <v>0</v>
      </c>
      <c r="BN42" s="103">
        <f>IF($X42&gt;0,INDEX('CostModel Coef'!X$13:X$16,$X42),"")</f>
        <v>0</v>
      </c>
      <c r="BO42" s="103"/>
      <c r="BP42" s="119">
        <v>2000</v>
      </c>
      <c r="BQ42" s="103"/>
      <c r="BR42" s="103"/>
      <c r="BS42" s="119" t="str">
        <f t="shared" si="8"/>
        <v>WRR0347_CFLscw-A(15w)</v>
      </c>
      <c r="BT42" s="174">
        <f t="shared" si="0"/>
        <v>52</v>
      </c>
      <c r="BU42" s="113">
        <f t="shared" si="10"/>
        <v>1.1048</v>
      </c>
      <c r="BV42" s="108">
        <f t="shared" si="11"/>
        <v>3.5678000000000001</v>
      </c>
      <c r="BW42" s="108">
        <f t="shared" si="12"/>
        <v>1.8778000000000001</v>
      </c>
      <c r="BX42" s="108">
        <f t="shared" si="13"/>
        <v>0.71780000000000022</v>
      </c>
      <c r="BY42" s="108">
        <f t="shared" si="14"/>
        <v>0.71780000000000022</v>
      </c>
      <c r="BZ42" s="108"/>
      <c r="CA42" s="119" t="str">
        <f t="shared" si="15"/>
        <v>WRR0407_CFLscw-A(15w)</v>
      </c>
      <c r="CB42" s="174">
        <f t="shared" si="6"/>
        <v>61</v>
      </c>
      <c r="CC42" s="113">
        <f t="shared" si="16"/>
        <v>1.1876000000000002</v>
      </c>
      <c r="CD42" s="108">
        <f t="shared" si="17"/>
        <v>3.6506000000000003</v>
      </c>
      <c r="CE42" s="108">
        <f t="shared" si="18"/>
        <v>1.9606000000000003</v>
      </c>
      <c r="CF42" s="108">
        <f t="shared" si="19"/>
        <v>0.80060000000000042</v>
      </c>
      <c r="CG42" s="108">
        <f t="shared" si="20"/>
        <v>0.80060000000000042</v>
      </c>
      <c r="CH42" s="103"/>
      <c r="CI42" s="119" t="str">
        <f t="shared" si="9"/>
        <v>WRR0347_CFLscw-A(15w)</v>
      </c>
      <c r="CJ42" s="174">
        <f t="shared" si="7"/>
        <v>52</v>
      </c>
      <c r="CK42" s="113">
        <f t="shared" si="21"/>
        <v>1.1048</v>
      </c>
      <c r="CL42" s="108">
        <f t="shared" si="22"/>
        <v>3.5678000000000001</v>
      </c>
      <c r="CM42" s="108">
        <f t="shared" si="23"/>
        <v>1.8778000000000001</v>
      </c>
      <c r="CN42" s="108">
        <f t="shared" si="24"/>
        <v>0.71780000000000022</v>
      </c>
      <c r="CO42" s="108">
        <f t="shared" si="25"/>
        <v>0.71780000000000022</v>
      </c>
    </row>
    <row r="43" spans="1:93">
      <c r="A43" s="103" t="s">
        <v>233</v>
      </c>
      <c r="B43" s="103" t="s">
        <v>174</v>
      </c>
      <c r="C43" s="103" t="s">
        <v>221</v>
      </c>
      <c r="D43" s="250" t="s">
        <v>153</v>
      </c>
      <c r="E43" s="250"/>
      <c r="F43" s="182">
        <v>9020</v>
      </c>
      <c r="G43" s="250" t="s">
        <v>175</v>
      </c>
      <c r="H43" s="250">
        <v>16</v>
      </c>
      <c r="I43" s="250"/>
      <c r="J43" s="250"/>
      <c r="K43" s="250"/>
      <c r="L43" s="250" t="s">
        <v>61</v>
      </c>
      <c r="M43" s="250">
        <v>16</v>
      </c>
      <c r="N43" s="250"/>
      <c r="O43" s="250"/>
      <c r="P43" s="250" t="s">
        <v>153</v>
      </c>
      <c r="Q43" s="250"/>
      <c r="R43" s="250"/>
      <c r="S43" s="250"/>
      <c r="T43" s="250" t="s">
        <v>155</v>
      </c>
      <c r="U43" s="103" t="s">
        <v>234</v>
      </c>
      <c r="V43" s="106" t="s">
        <v>157</v>
      </c>
      <c r="W43" s="103" t="s">
        <v>81</v>
      </c>
      <c r="X43" s="103">
        <f>IFERROR(MATCH(W43,'CostModel Coef'!$C$9:$C$12,0),0)</f>
        <v>1</v>
      </c>
      <c r="Y43" s="103"/>
      <c r="Z43" s="103">
        <f>IF($X43&gt;0,INDEX('CostModel Coef'!D$9:D$12,$X43),"")</f>
        <v>3.0430000000000001</v>
      </c>
      <c r="AA43" s="103">
        <f>IF($X43&gt;0,INDEX('CostModel Coef'!E$9:E$12,$X43),"")</f>
        <v>-0.14966150225589619</v>
      </c>
      <c r="AB43" s="103">
        <f>IF($X43&gt;0,INDEX('CostModel Coef'!F$9:F$12,$X43),"")</f>
        <v>0.52692151711335011</v>
      </c>
      <c r="AC43" s="103">
        <f>IF($X43&gt;0,INDEX('CostModel Coef'!G$9:G$12,$X43),"")</f>
        <v>1.8411</v>
      </c>
      <c r="AD43" s="103">
        <f>IF($X43&gt;0,INDEX('CostModel Coef'!H$9:H$12,$X43),"")</f>
        <v>-1.8050999999999999</v>
      </c>
      <c r="AE43" s="103">
        <f>IF($X43&gt;0,INDEX('CostModel Coef'!J$9:J$12,$X43),"")</f>
        <v>-1.1288</v>
      </c>
      <c r="AF43" s="103">
        <f>IF($X43&gt;0,INDEX('CostModel Coef'!K$9:K$12,$X43),"")</f>
        <v>-1.845</v>
      </c>
      <c r="AG43" s="103">
        <f>IF($X43&gt;0,INDEX('CostModel Coef'!L$9:L$12,$X43),"")</f>
        <v>6.7507000000000001</v>
      </c>
      <c r="AH43" s="103">
        <f>IF($X43&gt;0,INDEX('CostModel Coef'!M$9:M$12,$X43),"")</f>
        <v>5.8051000000000004</v>
      </c>
      <c r="AI43" s="103">
        <f>IF($X43&gt;0,INDEX('CostModel Coef'!N$9:N$12,$X43),"")</f>
        <v>6.1600000000000002E-2</v>
      </c>
      <c r="AJ43" s="103">
        <f>IF($X43&gt;0,INDEX('CostModel Coef'!Q$9:Q$12,$X43),"")</f>
        <v>6.6500000000000004E-2</v>
      </c>
      <c r="AK43" s="103">
        <f>IF($X43&gt;0,INDEX('CostModel Coef'!T$9:T$12,$X43),"")</f>
        <v>9.35E-2</v>
      </c>
      <c r="AL43" s="103"/>
      <c r="AM43" s="108">
        <f t="shared" si="1"/>
        <v>5.0359920148574542</v>
      </c>
      <c r="AN43" s="108">
        <f t="shared" si="2"/>
        <v>6.8809920148574539</v>
      </c>
      <c r="AO43" s="108">
        <f t="shared" si="3"/>
        <v>5.0758920148574536</v>
      </c>
      <c r="AP43" s="108">
        <f t="shared" si="4"/>
        <v>5.0758920148574536</v>
      </c>
      <c r="AQ43" s="108">
        <f t="shared" si="5"/>
        <v>3.947092014857454</v>
      </c>
      <c r="AR43" s="108"/>
      <c r="AS43" s="108"/>
      <c r="AT43" s="103">
        <f>IF($X43&gt;0,INDEX('CostModel Coef'!D$13:D$16,$X43),"")</f>
        <v>2.1320000000000001</v>
      </c>
      <c r="AU43" s="103">
        <f>IF($X43&gt;0,INDEX('CostModel Coef'!E$13:E$16,$X43),"")</f>
        <v>0.23699999999999999</v>
      </c>
      <c r="AV43" s="103">
        <f>IF($X43&gt;0,INDEX('CostModel Coef'!F$13:F$16,$X43),"")</f>
        <v>0.59899999999999998</v>
      </c>
      <c r="AW43" s="103">
        <f>IF($X43&gt;0,INDEX('CostModel Coef'!G$13:G$16,$X43),"")</f>
        <v>0</v>
      </c>
      <c r="AX43" s="103">
        <f>IF($X43&gt;0,INDEX('CostModel Coef'!H$13:H$16,$X43),"")</f>
        <v>-1.69</v>
      </c>
      <c r="AY43" s="103">
        <f>IF($X43&gt;0,INDEX('CostModel Coef'!I$13:I$16,$X43),"")</f>
        <v>-1.1599999999999999</v>
      </c>
      <c r="AZ43" s="103">
        <f>IF($X43&gt;0,INDEX('CostModel Coef'!J$13:J$16,$X43),"")</f>
        <v>0</v>
      </c>
      <c r="BA43" s="103">
        <f>IF($X43&gt;0,INDEX('CostModel Coef'!K$13:K$16,$X43),"")</f>
        <v>-2.4630000000000001</v>
      </c>
      <c r="BB43" s="103">
        <f>IF($X43&gt;0,INDEX('CostModel Coef'!L$13:L$16,$X43),"")</f>
        <v>0.46179999999999999</v>
      </c>
      <c r="BC43" s="103">
        <f>IF($X43&gt;0,INDEX('CostModel Coef'!M$13:M$16,$X43),"")</f>
        <v>0</v>
      </c>
      <c r="BD43" s="103">
        <f>IF($X43&gt;0,INDEX('CostModel Coef'!N$13:N$16,$X43),"")</f>
        <v>0.19869999999999999</v>
      </c>
      <c r="BE43" s="103">
        <f>IF($X43&gt;0,INDEX('CostModel Coef'!O$13:O$16,$X43),"")</f>
        <v>0.6</v>
      </c>
      <c r="BF43" s="103">
        <f>IF($X43&gt;0,INDEX('CostModel Coef'!P$13:P$16,$X43),"")</f>
        <v>15</v>
      </c>
      <c r="BG43" s="103">
        <f>IF($X43&gt;0,INDEX('CostModel Coef'!Q$13:Q$16,$X43),"")</f>
        <v>0</v>
      </c>
      <c r="BH43" s="103">
        <f>IF($X43&gt;0,INDEX('CostModel Coef'!R$13:R$16,$X43),"")</f>
        <v>3</v>
      </c>
      <c r="BI43" s="103">
        <f>IF($X43&gt;0,INDEX('CostModel Coef'!S$13:S$16,$X43),"")</f>
        <v>150</v>
      </c>
      <c r="BJ43" s="103">
        <f>IF($X43&gt;0,INDEX('CostModel Coef'!T$13:T$16,$X43),"")</f>
        <v>0</v>
      </c>
      <c r="BK43" s="103">
        <f>IF($X43&gt;0,INDEX('CostModel Coef'!U$13:U$16,$X43),"")</f>
        <v>9.1999999999999998E-3</v>
      </c>
      <c r="BL43" s="103">
        <f>IF($X43&gt;0,INDEX('CostModel Coef'!V$13:V$16,$X43),"")</f>
        <v>-8.8000000000000005E-3</v>
      </c>
      <c r="BM43" s="103">
        <f>IF($X43&gt;0,INDEX('CostModel Coef'!W$13:W$16,$X43),"")</f>
        <v>0</v>
      </c>
      <c r="BN43" s="103">
        <f>IF($X43&gt;0,INDEX('CostModel Coef'!X$13:X$16,$X43),"")</f>
        <v>0</v>
      </c>
      <c r="BO43" s="103"/>
      <c r="BP43" s="119">
        <v>2000</v>
      </c>
      <c r="BQ43" s="103"/>
      <c r="BR43" s="103"/>
      <c r="BS43" s="119" t="str">
        <f t="shared" si="8"/>
        <v>WRR0347_CFLscw-A(16w)</v>
      </c>
      <c r="BT43" s="174">
        <f t="shared" si="0"/>
        <v>56</v>
      </c>
      <c r="BU43" s="113">
        <f t="shared" si="10"/>
        <v>1.1415999999999999</v>
      </c>
      <c r="BV43" s="108">
        <f t="shared" si="11"/>
        <v>3.6046</v>
      </c>
      <c r="BW43" s="108">
        <f t="shared" si="12"/>
        <v>1.9146000000000001</v>
      </c>
      <c r="BX43" s="108">
        <f t="shared" si="13"/>
        <v>0.75460000000000016</v>
      </c>
      <c r="BY43" s="108">
        <f t="shared" si="14"/>
        <v>0.75460000000000016</v>
      </c>
      <c r="BZ43" s="108"/>
      <c r="CA43" s="119" t="str">
        <f t="shared" si="15"/>
        <v>WRR0407_CFLscw-A(16w)</v>
      </c>
      <c r="CB43" s="174">
        <f t="shared" si="6"/>
        <v>65</v>
      </c>
      <c r="CC43" s="113">
        <f t="shared" si="16"/>
        <v>1.2244000000000002</v>
      </c>
      <c r="CD43" s="108">
        <f t="shared" si="17"/>
        <v>3.6874000000000002</v>
      </c>
      <c r="CE43" s="108">
        <f t="shared" si="18"/>
        <v>1.9974000000000003</v>
      </c>
      <c r="CF43" s="108">
        <f t="shared" si="19"/>
        <v>0.83740000000000037</v>
      </c>
      <c r="CG43" s="108">
        <f t="shared" si="20"/>
        <v>0.83740000000000037</v>
      </c>
      <c r="CH43" s="103"/>
      <c r="CI43" s="119" t="str">
        <f t="shared" si="9"/>
        <v>WRR0347_CFLscw-A(16w)</v>
      </c>
      <c r="CJ43" s="174">
        <f t="shared" si="7"/>
        <v>56</v>
      </c>
      <c r="CK43" s="113">
        <f t="shared" si="21"/>
        <v>1.1415999999999999</v>
      </c>
      <c r="CL43" s="108">
        <f t="shared" si="22"/>
        <v>3.6046</v>
      </c>
      <c r="CM43" s="108">
        <f t="shared" si="23"/>
        <v>1.9146000000000001</v>
      </c>
      <c r="CN43" s="108">
        <f t="shared" si="24"/>
        <v>0.75460000000000016</v>
      </c>
      <c r="CO43" s="108">
        <f t="shared" si="25"/>
        <v>0.75460000000000016</v>
      </c>
    </row>
    <row r="44" spans="1:93">
      <c r="A44" s="103" t="s">
        <v>235</v>
      </c>
      <c r="B44" s="103" t="s">
        <v>174</v>
      </c>
      <c r="C44" s="103" t="s">
        <v>221</v>
      </c>
      <c r="D44" s="250" t="s">
        <v>153</v>
      </c>
      <c r="E44" s="250"/>
      <c r="F44" s="182">
        <v>9020</v>
      </c>
      <c r="G44" s="250" t="s">
        <v>175</v>
      </c>
      <c r="H44" s="250">
        <v>18</v>
      </c>
      <c r="I44" s="250"/>
      <c r="J44" s="250"/>
      <c r="K44" s="250"/>
      <c r="L44" s="250" t="s">
        <v>61</v>
      </c>
      <c r="M44" s="250">
        <v>18</v>
      </c>
      <c r="N44" s="250"/>
      <c r="O44" s="250"/>
      <c r="P44" s="250" t="s">
        <v>153</v>
      </c>
      <c r="Q44" s="250"/>
      <c r="R44" s="250"/>
      <c r="S44" s="250"/>
      <c r="T44" s="250" t="s">
        <v>155</v>
      </c>
      <c r="U44" s="103" t="s">
        <v>236</v>
      </c>
      <c r="V44" s="106" t="s">
        <v>157</v>
      </c>
      <c r="W44" s="103" t="s">
        <v>81</v>
      </c>
      <c r="X44" s="103">
        <f>IFERROR(MATCH(W44,'CostModel Coef'!$C$9:$C$12,0),0)</f>
        <v>1</v>
      </c>
      <c r="Y44" s="103"/>
      <c r="Z44" s="103">
        <f>IF($X44&gt;0,INDEX('CostModel Coef'!D$9:D$12,$X44),"")</f>
        <v>3.0430000000000001</v>
      </c>
      <c r="AA44" s="103">
        <f>IF($X44&gt;0,INDEX('CostModel Coef'!E$9:E$12,$X44),"")</f>
        <v>-0.14966150225589619</v>
      </c>
      <c r="AB44" s="103">
        <f>IF($X44&gt;0,INDEX('CostModel Coef'!F$9:F$12,$X44),"")</f>
        <v>0.52692151711335011</v>
      </c>
      <c r="AC44" s="103">
        <f>IF($X44&gt;0,INDEX('CostModel Coef'!G$9:G$12,$X44),"")</f>
        <v>1.8411</v>
      </c>
      <c r="AD44" s="103">
        <f>IF($X44&gt;0,INDEX('CostModel Coef'!H$9:H$12,$X44),"")</f>
        <v>-1.8050999999999999</v>
      </c>
      <c r="AE44" s="103">
        <f>IF($X44&gt;0,INDEX('CostModel Coef'!J$9:J$12,$X44),"")</f>
        <v>-1.1288</v>
      </c>
      <c r="AF44" s="103">
        <f>IF($X44&gt;0,INDEX('CostModel Coef'!K$9:K$12,$X44),"")</f>
        <v>-1.845</v>
      </c>
      <c r="AG44" s="103">
        <f>IF($X44&gt;0,INDEX('CostModel Coef'!L$9:L$12,$X44),"")</f>
        <v>6.7507000000000001</v>
      </c>
      <c r="AH44" s="103">
        <f>IF($X44&gt;0,INDEX('CostModel Coef'!M$9:M$12,$X44),"")</f>
        <v>5.8051000000000004</v>
      </c>
      <c r="AI44" s="103">
        <f>IF($X44&gt;0,INDEX('CostModel Coef'!N$9:N$12,$X44),"")</f>
        <v>6.1600000000000002E-2</v>
      </c>
      <c r="AJ44" s="103">
        <f>IF($X44&gt;0,INDEX('CostModel Coef'!Q$9:Q$12,$X44),"")</f>
        <v>6.6500000000000004E-2</v>
      </c>
      <c r="AK44" s="103">
        <f>IF($X44&gt;0,INDEX('CostModel Coef'!T$9:T$12,$X44),"")</f>
        <v>9.35E-2</v>
      </c>
      <c r="AL44" s="103"/>
      <c r="AM44" s="108">
        <f t="shared" si="1"/>
        <v>5.1689920148574542</v>
      </c>
      <c r="AN44" s="108">
        <f t="shared" si="2"/>
        <v>7.0139920148574539</v>
      </c>
      <c r="AO44" s="108">
        <f t="shared" si="3"/>
        <v>5.2088920148574545</v>
      </c>
      <c r="AP44" s="108">
        <f t="shared" si="4"/>
        <v>5.2088920148574545</v>
      </c>
      <c r="AQ44" s="108">
        <f t="shared" si="5"/>
        <v>4.0800920148574544</v>
      </c>
      <c r="AR44" s="108"/>
      <c r="AS44" s="108"/>
      <c r="AT44" s="103">
        <f>IF($X44&gt;0,INDEX('CostModel Coef'!D$13:D$16,$X44),"")</f>
        <v>2.1320000000000001</v>
      </c>
      <c r="AU44" s="103">
        <f>IF($X44&gt;0,INDEX('CostModel Coef'!E$13:E$16,$X44),"")</f>
        <v>0.23699999999999999</v>
      </c>
      <c r="AV44" s="103">
        <f>IF($X44&gt;0,INDEX('CostModel Coef'!F$13:F$16,$X44),"")</f>
        <v>0.59899999999999998</v>
      </c>
      <c r="AW44" s="103">
        <f>IF($X44&gt;0,INDEX('CostModel Coef'!G$13:G$16,$X44),"")</f>
        <v>0</v>
      </c>
      <c r="AX44" s="103">
        <f>IF($X44&gt;0,INDEX('CostModel Coef'!H$13:H$16,$X44),"")</f>
        <v>-1.69</v>
      </c>
      <c r="AY44" s="103">
        <f>IF($X44&gt;0,INDEX('CostModel Coef'!I$13:I$16,$X44),"")</f>
        <v>-1.1599999999999999</v>
      </c>
      <c r="AZ44" s="103">
        <f>IF($X44&gt;0,INDEX('CostModel Coef'!J$13:J$16,$X44),"")</f>
        <v>0</v>
      </c>
      <c r="BA44" s="103">
        <f>IF($X44&gt;0,INDEX('CostModel Coef'!K$13:K$16,$X44),"")</f>
        <v>-2.4630000000000001</v>
      </c>
      <c r="BB44" s="103">
        <f>IF($X44&gt;0,INDEX('CostModel Coef'!L$13:L$16,$X44),"")</f>
        <v>0.46179999999999999</v>
      </c>
      <c r="BC44" s="103">
        <f>IF($X44&gt;0,INDEX('CostModel Coef'!M$13:M$16,$X44),"")</f>
        <v>0</v>
      </c>
      <c r="BD44" s="103">
        <f>IF($X44&gt;0,INDEX('CostModel Coef'!N$13:N$16,$X44),"")</f>
        <v>0.19869999999999999</v>
      </c>
      <c r="BE44" s="103">
        <f>IF($X44&gt;0,INDEX('CostModel Coef'!O$13:O$16,$X44),"")</f>
        <v>0.6</v>
      </c>
      <c r="BF44" s="103">
        <f>IF($X44&gt;0,INDEX('CostModel Coef'!P$13:P$16,$X44),"")</f>
        <v>15</v>
      </c>
      <c r="BG44" s="103">
        <f>IF($X44&gt;0,INDEX('CostModel Coef'!Q$13:Q$16,$X44),"")</f>
        <v>0</v>
      </c>
      <c r="BH44" s="103">
        <f>IF($X44&gt;0,INDEX('CostModel Coef'!R$13:R$16,$X44),"")</f>
        <v>3</v>
      </c>
      <c r="BI44" s="103">
        <f>IF($X44&gt;0,INDEX('CostModel Coef'!S$13:S$16,$X44),"")</f>
        <v>150</v>
      </c>
      <c r="BJ44" s="103">
        <f>IF($X44&gt;0,INDEX('CostModel Coef'!T$13:T$16,$X44),"")</f>
        <v>0</v>
      </c>
      <c r="BK44" s="103">
        <f>IF($X44&gt;0,INDEX('CostModel Coef'!U$13:U$16,$X44),"")</f>
        <v>9.1999999999999998E-3</v>
      </c>
      <c r="BL44" s="103">
        <f>IF($X44&gt;0,INDEX('CostModel Coef'!V$13:V$16,$X44),"")</f>
        <v>-8.8000000000000005E-3</v>
      </c>
      <c r="BM44" s="103">
        <f>IF($X44&gt;0,INDEX('CostModel Coef'!W$13:W$16,$X44),"")</f>
        <v>0</v>
      </c>
      <c r="BN44" s="103">
        <f>IF($X44&gt;0,INDEX('CostModel Coef'!X$13:X$16,$X44),"")</f>
        <v>0</v>
      </c>
      <c r="BO44" s="103"/>
      <c r="BP44" s="119">
        <v>2000</v>
      </c>
      <c r="BQ44" s="103"/>
      <c r="BR44" s="103"/>
      <c r="BS44" s="119" t="str">
        <f t="shared" si="8"/>
        <v>WRR0347_CFLscw-A(18w)</v>
      </c>
      <c r="BT44" s="174">
        <f t="shared" si="0"/>
        <v>62</v>
      </c>
      <c r="BU44" s="113">
        <f t="shared" si="10"/>
        <v>1.1968000000000001</v>
      </c>
      <c r="BV44" s="108">
        <f t="shared" si="11"/>
        <v>3.6598000000000002</v>
      </c>
      <c r="BW44" s="108">
        <f t="shared" si="12"/>
        <v>1.9698000000000002</v>
      </c>
      <c r="BX44" s="108">
        <f t="shared" si="13"/>
        <v>0.8098000000000003</v>
      </c>
      <c r="BY44" s="108">
        <f t="shared" si="14"/>
        <v>0.8098000000000003</v>
      </c>
      <c r="BZ44" s="108"/>
      <c r="CA44" s="119" t="str">
        <f t="shared" si="15"/>
        <v>WRR0407_CFLscw-A(18w)</v>
      </c>
      <c r="CB44" s="174">
        <f t="shared" si="6"/>
        <v>73</v>
      </c>
      <c r="CC44" s="113">
        <f t="shared" si="16"/>
        <v>1.298</v>
      </c>
      <c r="CD44" s="108">
        <f t="shared" si="17"/>
        <v>3.7610000000000001</v>
      </c>
      <c r="CE44" s="108">
        <f t="shared" si="18"/>
        <v>2.0710000000000002</v>
      </c>
      <c r="CF44" s="108">
        <f t="shared" si="19"/>
        <v>0.91100000000000025</v>
      </c>
      <c r="CG44" s="108">
        <f t="shared" si="20"/>
        <v>0.91100000000000025</v>
      </c>
      <c r="CH44" s="103"/>
      <c r="CI44" s="119" t="str">
        <f t="shared" si="9"/>
        <v>WRR0347_CFLscw-A(18w)</v>
      </c>
      <c r="CJ44" s="174">
        <f t="shared" si="7"/>
        <v>62</v>
      </c>
      <c r="CK44" s="113">
        <f t="shared" si="21"/>
        <v>1.1968000000000001</v>
      </c>
      <c r="CL44" s="108">
        <f t="shared" si="22"/>
        <v>3.6598000000000002</v>
      </c>
      <c r="CM44" s="108">
        <f t="shared" si="23"/>
        <v>1.9698000000000002</v>
      </c>
      <c r="CN44" s="108">
        <f t="shared" si="24"/>
        <v>0.8098000000000003</v>
      </c>
      <c r="CO44" s="108">
        <f t="shared" si="25"/>
        <v>0.8098000000000003</v>
      </c>
    </row>
    <row r="45" spans="1:93">
      <c r="A45" s="103" t="s">
        <v>237</v>
      </c>
      <c r="B45" s="103" t="s">
        <v>174</v>
      </c>
      <c r="C45" s="103" t="s">
        <v>221</v>
      </c>
      <c r="D45" s="250" t="s">
        <v>153</v>
      </c>
      <c r="E45" s="250"/>
      <c r="F45" s="182">
        <v>9020</v>
      </c>
      <c r="G45" s="250" t="s">
        <v>175</v>
      </c>
      <c r="H45" s="250">
        <v>19</v>
      </c>
      <c r="I45" s="250"/>
      <c r="J45" s="250"/>
      <c r="K45" s="250"/>
      <c r="L45" s="250" t="s">
        <v>61</v>
      </c>
      <c r="M45" s="250">
        <v>19</v>
      </c>
      <c r="N45" s="250"/>
      <c r="O45" s="250"/>
      <c r="P45" s="250" t="s">
        <v>153</v>
      </c>
      <c r="Q45" s="250"/>
      <c r="R45" s="250"/>
      <c r="S45" s="250"/>
      <c r="T45" s="250" t="s">
        <v>155</v>
      </c>
      <c r="U45" s="103" t="s">
        <v>238</v>
      </c>
      <c r="V45" s="106" t="s">
        <v>157</v>
      </c>
      <c r="W45" s="103" t="s">
        <v>81</v>
      </c>
      <c r="X45" s="103">
        <f>IFERROR(MATCH(W45,'CostModel Coef'!$C$9:$C$12,0),0)</f>
        <v>1</v>
      </c>
      <c r="Y45" s="103"/>
      <c r="Z45" s="103">
        <f>IF($X45&gt;0,INDEX('CostModel Coef'!D$9:D$12,$X45),"")</f>
        <v>3.0430000000000001</v>
      </c>
      <c r="AA45" s="103">
        <f>IF($X45&gt;0,INDEX('CostModel Coef'!E$9:E$12,$X45),"")</f>
        <v>-0.14966150225589619</v>
      </c>
      <c r="AB45" s="103">
        <f>IF($X45&gt;0,INDEX('CostModel Coef'!F$9:F$12,$X45),"")</f>
        <v>0.52692151711335011</v>
      </c>
      <c r="AC45" s="103">
        <f>IF($X45&gt;0,INDEX('CostModel Coef'!G$9:G$12,$X45),"")</f>
        <v>1.8411</v>
      </c>
      <c r="AD45" s="103">
        <f>IF($X45&gt;0,INDEX('CostModel Coef'!H$9:H$12,$X45),"")</f>
        <v>-1.8050999999999999</v>
      </c>
      <c r="AE45" s="103">
        <f>IF($X45&gt;0,INDEX('CostModel Coef'!J$9:J$12,$X45),"")</f>
        <v>-1.1288</v>
      </c>
      <c r="AF45" s="103">
        <f>IF($X45&gt;0,INDEX('CostModel Coef'!K$9:K$12,$X45),"")</f>
        <v>-1.845</v>
      </c>
      <c r="AG45" s="103">
        <f>IF($X45&gt;0,INDEX('CostModel Coef'!L$9:L$12,$X45),"")</f>
        <v>6.7507000000000001</v>
      </c>
      <c r="AH45" s="103">
        <f>IF($X45&gt;0,INDEX('CostModel Coef'!M$9:M$12,$X45),"")</f>
        <v>5.8051000000000004</v>
      </c>
      <c r="AI45" s="103">
        <f>IF($X45&gt;0,INDEX('CostModel Coef'!N$9:N$12,$X45),"")</f>
        <v>6.1600000000000002E-2</v>
      </c>
      <c r="AJ45" s="103">
        <f>IF($X45&gt;0,INDEX('CostModel Coef'!Q$9:Q$12,$X45),"")</f>
        <v>6.6500000000000004E-2</v>
      </c>
      <c r="AK45" s="103">
        <f>IF($X45&gt;0,INDEX('CostModel Coef'!T$9:T$12,$X45),"")</f>
        <v>9.35E-2</v>
      </c>
      <c r="AL45" s="103"/>
      <c r="AM45" s="108">
        <f t="shared" si="1"/>
        <v>5.2354920148574537</v>
      </c>
      <c r="AN45" s="108">
        <f t="shared" si="2"/>
        <v>7.0804920148574535</v>
      </c>
      <c r="AO45" s="108">
        <f t="shared" si="3"/>
        <v>5.275392014857454</v>
      </c>
      <c r="AP45" s="108">
        <f t="shared" si="4"/>
        <v>5.275392014857454</v>
      </c>
      <c r="AQ45" s="108">
        <f t="shared" si="5"/>
        <v>4.146592014857454</v>
      </c>
      <c r="AR45" s="108"/>
      <c r="AS45" s="108"/>
      <c r="AT45" s="103">
        <f>IF($X45&gt;0,INDEX('CostModel Coef'!D$13:D$16,$X45),"")</f>
        <v>2.1320000000000001</v>
      </c>
      <c r="AU45" s="103">
        <f>IF($X45&gt;0,INDEX('CostModel Coef'!E$13:E$16,$X45),"")</f>
        <v>0.23699999999999999</v>
      </c>
      <c r="AV45" s="103">
        <f>IF($X45&gt;0,INDEX('CostModel Coef'!F$13:F$16,$X45),"")</f>
        <v>0.59899999999999998</v>
      </c>
      <c r="AW45" s="103">
        <f>IF($X45&gt;0,INDEX('CostModel Coef'!G$13:G$16,$X45),"")</f>
        <v>0</v>
      </c>
      <c r="AX45" s="103">
        <f>IF($X45&gt;0,INDEX('CostModel Coef'!H$13:H$16,$X45),"")</f>
        <v>-1.69</v>
      </c>
      <c r="AY45" s="103">
        <f>IF($X45&gt;0,INDEX('CostModel Coef'!I$13:I$16,$X45),"")</f>
        <v>-1.1599999999999999</v>
      </c>
      <c r="AZ45" s="103">
        <f>IF($X45&gt;0,INDEX('CostModel Coef'!J$13:J$16,$X45),"")</f>
        <v>0</v>
      </c>
      <c r="BA45" s="103">
        <f>IF($X45&gt;0,INDEX('CostModel Coef'!K$13:K$16,$X45),"")</f>
        <v>-2.4630000000000001</v>
      </c>
      <c r="BB45" s="103">
        <f>IF($X45&gt;0,INDEX('CostModel Coef'!L$13:L$16,$X45),"")</f>
        <v>0.46179999999999999</v>
      </c>
      <c r="BC45" s="103">
        <f>IF($X45&gt;0,INDEX('CostModel Coef'!M$13:M$16,$X45),"")</f>
        <v>0</v>
      </c>
      <c r="BD45" s="103">
        <f>IF($X45&gt;0,INDEX('CostModel Coef'!N$13:N$16,$X45),"")</f>
        <v>0.19869999999999999</v>
      </c>
      <c r="BE45" s="103">
        <f>IF($X45&gt;0,INDEX('CostModel Coef'!O$13:O$16,$X45),"")</f>
        <v>0.6</v>
      </c>
      <c r="BF45" s="103">
        <f>IF($X45&gt;0,INDEX('CostModel Coef'!P$13:P$16,$X45),"")</f>
        <v>15</v>
      </c>
      <c r="BG45" s="103">
        <f>IF($X45&gt;0,INDEX('CostModel Coef'!Q$13:Q$16,$X45),"")</f>
        <v>0</v>
      </c>
      <c r="BH45" s="103">
        <f>IF($X45&gt;0,INDEX('CostModel Coef'!R$13:R$16,$X45),"")</f>
        <v>3</v>
      </c>
      <c r="BI45" s="103">
        <f>IF($X45&gt;0,INDEX('CostModel Coef'!S$13:S$16,$X45),"")</f>
        <v>150</v>
      </c>
      <c r="BJ45" s="103">
        <f>IF($X45&gt;0,INDEX('CostModel Coef'!T$13:T$16,$X45),"")</f>
        <v>0</v>
      </c>
      <c r="BK45" s="103">
        <f>IF($X45&gt;0,INDEX('CostModel Coef'!U$13:U$16,$X45),"")</f>
        <v>9.1999999999999998E-3</v>
      </c>
      <c r="BL45" s="103">
        <f>IF($X45&gt;0,INDEX('CostModel Coef'!V$13:V$16,$X45),"")</f>
        <v>-8.8000000000000005E-3</v>
      </c>
      <c r="BM45" s="103">
        <f>IF($X45&gt;0,INDEX('CostModel Coef'!W$13:W$16,$X45),"")</f>
        <v>0</v>
      </c>
      <c r="BN45" s="103">
        <f>IF($X45&gt;0,INDEX('CostModel Coef'!X$13:X$16,$X45),"")</f>
        <v>0</v>
      </c>
      <c r="BO45" s="103"/>
      <c r="BP45" s="119">
        <v>2000</v>
      </c>
      <c r="BQ45" s="103"/>
      <c r="BR45" s="103"/>
      <c r="BS45" s="119" t="str">
        <f t="shared" si="8"/>
        <v>WRR0347_CFLscw-A(19w)</v>
      </c>
      <c r="BT45" s="174">
        <f t="shared" si="0"/>
        <v>66</v>
      </c>
      <c r="BU45" s="113">
        <f t="shared" si="10"/>
        <v>1.2336</v>
      </c>
      <c r="BV45" s="108">
        <f t="shared" si="11"/>
        <v>3.6966000000000001</v>
      </c>
      <c r="BW45" s="108">
        <f t="shared" si="12"/>
        <v>2.0066000000000002</v>
      </c>
      <c r="BX45" s="108">
        <f t="shared" si="13"/>
        <v>0.84660000000000024</v>
      </c>
      <c r="BY45" s="108">
        <f t="shared" si="14"/>
        <v>0.84660000000000024</v>
      </c>
      <c r="BZ45" s="108"/>
      <c r="CA45" s="119" t="str">
        <f t="shared" si="15"/>
        <v>WRR0407_CFLscw-A(19w)</v>
      </c>
      <c r="CB45" s="174">
        <f t="shared" si="6"/>
        <v>77</v>
      </c>
      <c r="CC45" s="113">
        <f t="shared" si="16"/>
        <v>1.3172000000000001</v>
      </c>
      <c r="CD45" s="108">
        <f t="shared" si="17"/>
        <v>3.7802000000000002</v>
      </c>
      <c r="CE45" s="108">
        <f t="shared" si="18"/>
        <v>2.0902000000000003</v>
      </c>
      <c r="CF45" s="108">
        <f t="shared" si="19"/>
        <v>0.93020000000000036</v>
      </c>
      <c r="CG45" s="108">
        <f t="shared" si="20"/>
        <v>0.93020000000000036</v>
      </c>
      <c r="CH45" s="103"/>
      <c r="CI45" s="119" t="str">
        <f t="shared" si="9"/>
        <v>WRR0347_CFLscw-A(19w)</v>
      </c>
      <c r="CJ45" s="174">
        <f t="shared" si="7"/>
        <v>66</v>
      </c>
      <c r="CK45" s="113">
        <f t="shared" si="21"/>
        <v>1.2336</v>
      </c>
      <c r="CL45" s="108">
        <f t="shared" si="22"/>
        <v>3.6966000000000001</v>
      </c>
      <c r="CM45" s="108">
        <f t="shared" si="23"/>
        <v>2.0066000000000002</v>
      </c>
      <c r="CN45" s="108">
        <f t="shared" si="24"/>
        <v>0.84660000000000024</v>
      </c>
      <c r="CO45" s="108">
        <f t="shared" si="25"/>
        <v>0.84660000000000024</v>
      </c>
    </row>
    <row r="46" spans="1:93">
      <c r="A46" s="103" t="s">
        <v>239</v>
      </c>
      <c r="B46" s="103" t="s">
        <v>174</v>
      </c>
      <c r="C46" s="103" t="s">
        <v>221</v>
      </c>
      <c r="D46" s="250" t="s">
        <v>153</v>
      </c>
      <c r="E46" s="250"/>
      <c r="F46" s="182">
        <v>9020</v>
      </c>
      <c r="G46" s="250" t="s">
        <v>175</v>
      </c>
      <c r="H46" s="250">
        <v>20</v>
      </c>
      <c r="I46" s="250"/>
      <c r="J46" s="250"/>
      <c r="K46" s="250"/>
      <c r="L46" s="250" t="s">
        <v>61</v>
      </c>
      <c r="M46" s="250">
        <v>20</v>
      </c>
      <c r="N46" s="250"/>
      <c r="O46" s="250"/>
      <c r="P46" s="250" t="s">
        <v>153</v>
      </c>
      <c r="Q46" s="250"/>
      <c r="R46" s="250"/>
      <c r="S46" s="250"/>
      <c r="T46" s="250" t="s">
        <v>155</v>
      </c>
      <c r="U46" s="103" t="s">
        <v>240</v>
      </c>
      <c r="V46" s="106" t="s">
        <v>157</v>
      </c>
      <c r="W46" s="103" t="s">
        <v>81</v>
      </c>
      <c r="X46" s="103">
        <f>IFERROR(MATCH(W46,'CostModel Coef'!$C$9:$C$12,0),0)</f>
        <v>1</v>
      </c>
      <c r="Y46" s="103"/>
      <c r="Z46" s="103">
        <f>IF($X46&gt;0,INDEX('CostModel Coef'!D$9:D$12,$X46),"")</f>
        <v>3.0430000000000001</v>
      </c>
      <c r="AA46" s="103">
        <f>IF($X46&gt;0,INDEX('CostModel Coef'!E$9:E$12,$X46),"")</f>
        <v>-0.14966150225589619</v>
      </c>
      <c r="AB46" s="103">
        <f>IF($X46&gt;0,INDEX('CostModel Coef'!F$9:F$12,$X46),"")</f>
        <v>0.52692151711335011</v>
      </c>
      <c r="AC46" s="103">
        <f>IF($X46&gt;0,INDEX('CostModel Coef'!G$9:G$12,$X46),"")</f>
        <v>1.8411</v>
      </c>
      <c r="AD46" s="103">
        <f>IF($X46&gt;0,INDEX('CostModel Coef'!H$9:H$12,$X46),"")</f>
        <v>-1.8050999999999999</v>
      </c>
      <c r="AE46" s="103">
        <f>IF($X46&gt;0,INDEX('CostModel Coef'!J$9:J$12,$X46),"")</f>
        <v>-1.1288</v>
      </c>
      <c r="AF46" s="103">
        <f>IF($X46&gt;0,INDEX('CostModel Coef'!K$9:K$12,$X46),"")</f>
        <v>-1.845</v>
      </c>
      <c r="AG46" s="103">
        <f>IF($X46&gt;0,INDEX('CostModel Coef'!L$9:L$12,$X46),"")</f>
        <v>6.7507000000000001</v>
      </c>
      <c r="AH46" s="103">
        <f>IF($X46&gt;0,INDEX('CostModel Coef'!M$9:M$12,$X46),"")</f>
        <v>5.8051000000000004</v>
      </c>
      <c r="AI46" s="103">
        <f>IF($X46&gt;0,INDEX('CostModel Coef'!N$9:N$12,$X46),"")</f>
        <v>6.1600000000000002E-2</v>
      </c>
      <c r="AJ46" s="103">
        <f>IF($X46&gt;0,INDEX('CostModel Coef'!Q$9:Q$12,$X46),"")</f>
        <v>6.6500000000000004E-2</v>
      </c>
      <c r="AK46" s="103">
        <f>IF($X46&gt;0,INDEX('CostModel Coef'!T$9:T$12,$X46),"")</f>
        <v>9.35E-2</v>
      </c>
      <c r="AL46" s="103"/>
      <c r="AM46" s="108">
        <f t="shared" si="1"/>
        <v>5.3019920148574542</v>
      </c>
      <c r="AN46" s="108">
        <f t="shared" si="2"/>
        <v>7.1469920148574539</v>
      </c>
      <c r="AO46" s="108">
        <f t="shared" si="3"/>
        <v>5.3418920148574536</v>
      </c>
      <c r="AP46" s="108">
        <f t="shared" si="4"/>
        <v>5.3418920148574536</v>
      </c>
      <c r="AQ46" s="108">
        <f t="shared" si="5"/>
        <v>4.2130920148574535</v>
      </c>
      <c r="AR46" s="108"/>
      <c r="AS46" s="108"/>
      <c r="AT46" s="103">
        <f>IF($X46&gt;0,INDEX('CostModel Coef'!D$13:D$16,$X46),"")</f>
        <v>2.1320000000000001</v>
      </c>
      <c r="AU46" s="103">
        <f>IF($X46&gt;0,INDEX('CostModel Coef'!E$13:E$16,$X46),"")</f>
        <v>0.23699999999999999</v>
      </c>
      <c r="AV46" s="103">
        <f>IF($X46&gt;0,INDEX('CostModel Coef'!F$13:F$16,$X46),"")</f>
        <v>0.59899999999999998</v>
      </c>
      <c r="AW46" s="103">
        <f>IF($X46&gt;0,INDEX('CostModel Coef'!G$13:G$16,$X46),"")</f>
        <v>0</v>
      </c>
      <c r="AX46" s="103">
        <f>IF($X46&gt;0,INDEX('CostModel Coef'!H$13:H$16,$X46),"")</f>
        <v>-1.69</v>
      </c>
      <c r="AY46" s="103">
        <f>IF($X46&gt;0,INDEX('CostModel Coef'!I$13:I$16,$X46),"")</f>
        <v>-1.1599999999999999</v>
      </c>
      <c r="AZ46" s="103">
        <f>IF($X46&gt;0,INDEX('CostModel Coef'!J$13:J$16,$X46),"")</f>
        <v>0</v>
      </c>
      <c r="BA46" s="103">
        <f>IF($X46&gt;0,INDEX('CostModel Coef'!K$13:K$16,$X46),"")</f>
        <v>-2.4630000000000001</v>
      </c>
      <c r="BB46" s="103">
        <f>IF($X46&gt;0,INDEX('CostModel Coef'!L$13:L$16,$X46),"")</f>
        <v>0.46179999999999999</v>
      </c>
      <c r="BC46" s="103">
        <f>IF($X46&gt;0,INDEX('CostModel Coef'!M$13:M$16,$X46),"")</f>
        <v>0</v>
      </c>
      <c r="BD46" s="103">
        <f>IF($X46&gt;0,INDEX('CostModel Coef'!N$13:N$16,$X46),"")</f>
        <v>0.19869999999999999</v>
      </c>
      <c r="BE46" s="103">
        <f>IF($X46&gt;0,INDEX('CostModel Coef'!O$13:O$16,$X46),"")</f>
        <v>0.6</v>
      </c>
      <c r="BF46" s="103">
        <f>IF($X46&gt;0,INDEX('CostModel Coef'!P$13:P$16,$X46),"")</f>
        <v>15</v>
      </c>
      <c r="BG46" s="103">
        <f>IF($X46&gt;0,INDEX('CostModel Coef'!Q$13:Q$16,$X46),"")</f>
        <v>0</v>
      </c>
      <c r="BH46" s="103">
        <f>IF($X46&gt;0,INDEX('CostModel Coef'!R$13:R$16,$X46),"")</f>
        <v>3</v>
      </c>
      <c r="BI46" s="103">
        <f>IF($X46&gt;0,INDEX('CostModel Coef'!S$13:S$16,$X46),"")</f>
        <v>150</v>
      </c>
      <c r="BJ46" s="103">
        <f>IF($X46&gt;0,INDEX('CostModel Coef'!T$13:T$16,$X46),"")</f>
        <v>0</v>
      </c>
      <c r="BK46" s="103">
        <f>IF($X46&gt;0,INDEX('CostModel Coef'!U$13:U$16,$X46),"")</f>
        <v>9.1999999999999998E-3</v>
      </c>
      <c r="BL46" s="103">
        <f>IF($X46&gt;0,INDEX('CostModel Coef'!V$13:V$16,$X46),"")</f>
        <v>-8.8000000000000005E-3</v>
      </c>
      <c r="BM46" s="103">
        <f>IF($X46&gt;0,INDEX('CostModel Coef'!W$13:W$16,$X46),"")</f>
        <v>0</v>
      </c>
      <c r="BN46" s="103">
        <f>IF($X46&gt;0,INDEX('CostModel Coef'!X$13:X$16,$X46),"")</f>
        <v>0</v>
      </c>
      <c r="BO46" s="103"/>
      <c r="BP46" s="119">
        <v>2000</v>
      </c>
      <c r="BQ46" s="103"/>
      <c r="BR46" s="103"/>
      <c r="BS46" s="119" t="str">
        <f t="shared" si="8"/>
        <v>WRR0347_CFLscw-A(20w)</v>
      </c>
      <c r="BT46" s="174">
        <f t="shared" si="0"/>
        <v>69</v>
      </c>
      <c r="BU46" s="113">
        <f t="shared" si="10"/>
        <v>1.2612000000000001</v>
      </c>
      <c r="BV46" s="108">
        <f t="shared" si="11"/>
        <v>3.7242000000000002</v>
      </c>
      <c r="BW46" s="108">
        <f t="shared" si="12"/>
        <v>2.0342000000000002</v>
      </c>
      <c r="BX46" s="108">
        <f t="shared" si="13"/>
        <v>0.87420000000000031</v>
      </c>
      <c r="BY46" s="108">
        <f t="shared" si="14"/>
        <v>0.87420000000000031</v>
      </c>
      <c r="BZ46" s="108"/>
      <c r="CA46" s="119" t="str">
        <f t="shared" si="15"/>
        <v>WRR0407_CFLscw-A(20w)</v>
      </c>
      <c r="CB46" s="174">
        <f t="shared" si="6"/>
        <v>81</v>
      </c>
      <c r="CC46" s="113">
        <f t="shared" si="16"/>
        <v>1.3188</v>
      </c>
      <c r="CD46" s="108">
        <f t="shared" si="17"/>
        <v>3.7818000000000001</v>
      </c>
      <c r="CE46" s="108">
        <f t="shared" si="18"/>
        <v>2.0918000000000001</v>
      </c>
      <c r="CF46" s="108">
        <f t="shared" si="19"/>
        <v>0.93180000000000018</v>
      </c>
      <c r="CG46" s="108">
        <f t="shared" si="20"/>
        <v>0.93180000000000018</v>
      </c>
      <c r="CH46" s="103"/>
      <c r="CI46" s="119" t="str">
        <f t="shared" si="9"/>
        <v>WRR0347_CFLscw-A(20w)</v>
      </c>
      <c r="CJ46" s="174">
        <f t="shared" si="7"/>
        <v>69</v>
      </c>
      <c r="CK46" s="113">
        <f t="shared" si="21"/>
        <v>1.2612000000000001</v>
      </c>
      <c r="CL46" s="108">
        <f t="shared" si="22"/>
        <v>3.7242000000000002</v>
      </c>
      <c r="CM46" s="108">
        <f t="shared" si="23"/>
        <v>2.0342000000000002</v>
      </c>
      <c r="CN46" s="108">
        <f t="shared" si="24"/>
        <v>0.87420000000000031</v>
      </c>
      <c r="CO46" s="108">
        <f t="shared" si="25"/>
        <v>0.87420000000000031</v>
      </c>
    </row>
    <row r="47" spans="1:93">
      <c r="A47" s="103" t="s">
        <v>241</v>
      </c>
      <c r="B47" s="103" t="s">
        <v>174</v>
      </c>
      <c r="C47" s="103" t="s">
        <v>221</v>
      </c>
      <c r="D47" s="250" t="s">
        <v>153</v>
      </c>
      <c r="E47" s="250"/>
      <c r="F47" s="182">
        <v>9020</v>
      </c>
      <c r="G47" s="250" t="s">
        <v>175</v>
      </c>
      <c r="H47" s="250">
        <v>22</v>
      </c>
      <c r="I47" s="250"/>
      <c r="J47" s="250"/>
      <c r="K47" s="250"/>
      <c r="L47" s="250" t="s">
        <v>61</v>
      </c>
      <c r="M47" s="250">
        <v>22</v>
      </c>
      <c r="N47" s="250"/>
      <c r="O47" s="250"/>
      <c r="P47" s="250" t="s">
        <v>153</v>
      </c>
      <c r="Q47" s="250"/>
      <c r="R47" s="250"/>
      <c r="S47" s="250"/>
      <c r="T47" s="250" t="s">
        <v>155</v>
      </c>
      <c r="U47" s="103" t="s">
        <v>242</v>
      </c>
      <c r="V47" s="106" t="s">
        <v>157</v>
      </c>
      <c r="W47" s="103" t="s">
        <v>81</v>
      </c>
      <c r="X47" s="103">
        <f>IFERROR(MATCH(W47,'CostModel Coef'!$C$9:$C$12,0),0)</f>
        <v>1</v>
      </c>
      <c r="Y47" s="103"/>
      <c r="Z47" s="103">
        <f>IF($X47&gt;0,INDEX('CostModel Coef'!D$9:D$12,$X47),"")</f>
        <v>3.0430000000000001</v>
      </c>
      <c r="AA47" s="103">
        <f>IF($X47&gt;0,INDEX('CostModel Coef'!E$9:E$12,$X47),"")</f>
        <v>-0.14966150225589619</v>
      </c>
      <c r="AB47" s="103">
        <f>IF($X47&gt;0,INDEX('CostModel Coef'!F$9:F$12,$X47),"")</f>
        <v>0.52692151711335011</v>
      </c>
      <c r="AC47" s="103">
        <f>IF($X47&gt;0,INDEX('CostModel Coef'!G$9:G$12,$X47),"")</f>
        <v>1.8411</v>
      </c>
      <c r="AD47" s="103">
        <f>IF($X47&gt;0,INDEX('CostModel Coef'!H$9:H$12,$X47),"")</f>
        <v>-1.8050999999999999</v>
      </c>
      <c r="AE47" s="103">
        <f>IF($X47&gt;0,INDEX('CostModel Coef'!J$9:J$12,$X47),"")</f>
        <v>-1.1288</v>
      </c>
      <c r="AF47" s="103">
        <f>IF($X47&gt;0,INDEX('CostModel Coef'!K$9:K$12,$X47),"")</f>
        <v>-1.845</v>
      </c>
      <c r="AG47" s="103">
        <f>IF($X47&gt;0,INDEX('CostModel Coef'!L$9:L$12,$X47),"")</f>
        <v>6.7507000000000001</v>
      </c>
      <c r="AH47" s="103">
        <f>IF($X47&gt;0,INDEX('CostModel Coef'!M$9:M$12,$X47),"")</f>
        <v>5.8051000000000004</v>
      </c>
      <c r="AI47" s="103">
        <f>IF($X47&gt;0,INDEX('CostModel Coef'!N$9:N$12,$X47),"")</f>
        <v>6.1600000000000002E-2</v>
      </c>
      <c r="AJ47" s="103">
        <f>IF($X47&gt;0,INDEX('CostModel Coef'!Q$9:Q$12,$X47),"")</f>
        <v>6.6500000000000004E-2</v>
      </c>
      <c r="AK47" s="103">
        <f>IF($X47&gt;0,INDEX('CostModel Coef'!T$9:T$12,$X47),"")</f>
        <v>9.35E-2</v>
      </c>
      <c r="AL47" s="103"/>
      <c r="AM47" s="108">
        <f t="shared" si="1"/>
        <v>5.4349920148574542</v>
      </c>
      <c r="AN47" s="108">
        <f t="shared" si="2"/>
        <v>7.279992014857454</v>
      </c>
      <c r="AO47" s="108">
        <f t="shared" si="3"/>
        <v>5.4748920148574545</v>
      </c>
      <c r="AP47" s="108">
        <f t="shared" si="4"/>
        <v>5.4748920148574545</v>
      </c>
      <c r="AQ47" s="108">
        <f t="shared" si="5"/>
        <v>4.3460920148574544</v>
      </c>
      <c r="AR47" s="108"/>
      <c r="AS47" s="108"/>
      <c r="AT47" s="103">
        <f>IF($X47&gt;0,INDEX('CostModel Coef'!D$13:D$16,$X47),"")</f>
        <v>2.1320000000000001</v>
      </c>
      <c r="AU47" s="103">
        <f>IF($X47&gt;0,INDEX('CostModel Coef'!E$13:E$16,$X47),"")</f>
        <v>0.23699999999999999</v>
      </c>
      <c r="AV47" s="103">
        <f>IF($X47&gt;0,INDEX('CostModel Coef'!F$13:F$16,$X47),"")</f>
        <v>0.59899999999999998</v>
      </c>
      <c r="AW47" s="103">
        <f>IF($X47&gt;0,INDEX('CostModel Coef'!G$13:G$16,$X47),"")</f>
        <v>0</v>
      </c>
      <c r="AX47" s="103">
        <f>IF($X47&gt;0,INDEX('CostModel Coef'!H$13:H$16,$X47),"")</f>
        <v>-1.69</v>
      </c>
      <c r="AY47" s="103">
        <f>IF($X47&gt;0,INDEX('CostModel Coef'!I$13:I$16,$X47),"")</f>
        <v>-1.1599999999999999</v>
      </c>
      <c r="AZ47" s="103">
        <f>IF($X47&gt;0,INDEX('CostModel Coef'!J$13:J$16,$X47),"")</f>
        <v>0</v>
      </c>
      <c r="BA47" s="103">
        <f>IF($X47&gt;0,INDEX('CostModel Coef'!K$13:K$16,$X47),"")</f>
        <v>-2.4630000000000001</v>
      </c>
      <c r="BB47" s="103">
        <f>IF($X47&gt;0,INDEX('CostModel Coef'!L$13:L$16,$X47),"")</f>
        <v>0.46179999999999999</v>
      </c>
      <c r="BC47" s="103">
        <f>IF($X47&gt;0,INDEX('CostModel Coef'!M$13:M$16,$X47),"")</f>
        <v>0</v>
      </c>
      <c r="BD47" s="103">
        <f>IF($X47&gt;0,INDEX('CostModel Coef'!N$13:N$16,$X47),"")</f>
        <v>0.19869999999999999</v>
      </c>
      <c r="BE47" s="103">
        <f>IF($X47&gt;0,INDEX('CostModel Coef'!O$13:O$16,$X47),"")</f>
        <v>0.6</v>
      </c>
      <c r="BF47" s="103">
        <f>IF($X47&gt;0,INDEX('CostModel Coef'!P$13:P$16,$X47),"")</f>
        <v>15</v>
      </c>
      <c r="BG47" s="103">
        <f>IF($X47&gt;0,INDEX('CostModel Coef'!Q$13:Q$16,$X47),"")</f>
        <v>0</v>
      </c>
      <c r="BH47" s="103">
        <f>IF($X47&gt;0,INDEX('CostModel Coef'!R$13:R$16,$X47),"")</f>
        <v>3</v>
      </c>
      <c r="BI47" s="103">
        <f>IF($X47&gt;0,INDEX('CostModel Coef'!S$13:S$16,$X47),"")</f>
        <v>150</v>
      </c>
      <c r="BJ47" s="103">
        <f>IF($X47&gt;0,INDEX('CostModel Coef'!T$13:T$16,$X47),"")</f>
        <v>0</v>
      </c>
      <c r="BK47" s="103">
        <f>IF($X47&gt;0,INDEX('CostModel Coef'!U$13:U$16,$X47),"")</f>
        <v>9.1999999999999998E-3</v>
      </c>
      <c r="BL47" s="103">
        <f>IF($X47&gt;0,INDEX('CostModel Coef'!V$13:V$16,$X47),"")</f>
        <v>-8.8000000000000005E-3</v>
      </c>
      <c r="BM47" s="103">
        <f>IF($X47&gt;0,INDEX('CostModel Coef'!W$13:W$16,$X47),"")</f>
        <v>0</v>
      </c>
      <c r="BN47" s="103">
        <f>IF($X47&gt;0,INDEX('CostModel Coef'!X$13:X$16,$X47),"")</f>
        <v>0</v>
      </c>
      <c r="BO47" s="103"/>
      <c r="BP47" s="119">
        <v>2000</v>
      </c>
      <c r="BQ47" s="103"/>
      <c r="BR47" s="103"/>
      <c r="BS47" s="119" t="str">
        <f t="shared" si="8"/>
        <v>WRR0347_CFLscw-A(22w)</v>
      </c>
      <c r="BT47" s="174">
        <f t="shared" si="0"/>
        <v>76</v>
      </c>
      <c r="BU47" s="113">
        <f t="shared" si="10"/>
        <v>1.3168000000000002</v>
      </c>
      <c r="BV47" s="108">
        <f t="shared" si="11"/>
        <v>3.7798000000000003</v>
      </c>
      <c r="BW47" s="108">
        <f t="shared" si="12"/>
        <v>2.0898000000000003</v>
      </c>
      <c r="BX47" s="108">
        <f t="shared" si="13"/>
        <v>0.9298000000000004</v>
      </c>
      <c r="BY47" s="108">
        <f t="shared" si="14"/>
        <v>0.9298000000000004</v>
      </c>
      <c r="BZ47" s="108"/>
      <c r="CA47" s="119" t="str">
        <f t="shared" si="15"/>
        <v>WRR0407_CFLscw-A(22w)</v>
      </c>
      <c r="CB47" s="174">
        <f t="shared" si="6"/>
        <v>90</v>
      </c>
      <c r="CC47" s="113">
        <f t="shared" si="16"/>
        <v>1.3224</v>
      </c>
      <c r="CD47" s="108">
        <f t="shared" si="17"/>
        <v>3.7854000000000001</v>
      </c>
      <c r="CE47" s="108">
        <f t="shared" si="18"/>
        <v>2.0954000000000002</v>
      </c>
      <c r="CF47" s="108">
        <f t="shared" si="19"/>
        <v>0.93540000000000023</v>
      </c>
      <c r="CG47" s="108">
        <f t="shared" si="20"/>
        <v>0.93540000000000023</v>
      </c>
      <c r="CH47" s="103"/>
      <c r="CI47" s="119" t="str">
        <f t="shared" si="9"/>
        <v>WRR0347_CFLscw-A(22w)</v>
      </c>
      <c r="CJ47" s="174">
        <f t="shared" si="7"/>
        <v>76</v>
      </c>
      <c r="CK47" s="113">
        <f t="shared" si="21"/>
        <v>1.3168000000000002</v>
      </c>
      <c r="CL47" s="108">
        <f t="shared" si="22"/>
        <v>3.7798000000000003</v>
      </c>
      <c r="CM47" s="108">
        <f t="shared" si="23"/>
        <v>2.0898000000000003</v>
      </c>
      <c r="CN47" s="108">
        <f t="shared" si="24"/>
        <v>0.9298000000000004</v>
      </c>
      <c r="CO47" s="108">
        <f t="shared" si="25"/>
        <v>0.9298000000000004</v>
      </c>
    </row>
    <row r="48" spans="1:93">
      <c r="A48" s="103" t="s">
        <v>243</v>
      </c>
      <c r="B48" s="103" t="s">
        <v>174</v>
      </c>
      <c r="C48" s="103" t="s">
        <v>221</v>
      </c>
      <c r="D48" s="250" t="s">
        <v>153</v>
      </c>
      <c r="E48" s="250"/>
      <c r="F48" s="182">
        <v>9020</v>
      </c>
      <c r="G48" s="250" t="s">
        <v>175</v>
      </c>
      <c r="H48" s="250">
        <v>23</v>
      </c>
      <c r="I48" s="250"/>
      <c r="J48" s="250"/>
      <c r="K48" s="250"/>
      <c r="L48" s="250" t="s">
        <v>61</v>
      </c>
      <c r="M48" s="250">
        <v>23</v>
      </c>
      <c r="N48" s="250"/>
      <c r="O48" s="250"/>
      <c r="P48" s="250" t="s">
        <v>153</v>
      </c>
      <c r="Q48" s="250"/>
      <c r="R48" s="250"/>
      <c r="S48" s="250"/>
      <c r="T48" s="250" t="s">
        <v>155</v>
      </c>
      <c r="U48" s="103" t="s">
        <v>244</v>
      </c>
      <c r="V48" s="106" t="s">
        <v>157</v>
      </c>
      <c r="W48" s="103" t="s">
        <v>81</v>
      </c>
      <c r="X48" s="103">
        <f>IFERROR(MATCH(W48,'CostModel Coef'!$C$9:$C$12,0),0)</f>
        <v>1</v>
      </c>
      <c r="Y48" s="103"/>
      <c r="Z48" s="103">
        <f>IF($X48&gt;0,INDEX('CostModel Coef'!D$9:D$12,$X48),"")</f>
        <v>3.0430000000000001</v>
      </c>
      <c r="AA48" s="103">
        <f>IF($X48&gt;0,INDEX('CostModel Coef'!E$9:E$12,$X48),"")</f>
        <v>-0.14966150225589619</v>
      </c>
      <c r="AB48" s="103">
        <f>IF($X48&gt;0,INDEX('CostModel Coef'!F$9:F$12,$X48),"")</f>
        <v>0.52692151711335011</v>
      </c>
      <c r="AC48" s="103">
        <f>IF($X48&gt;0,INDEX('CostModel Coef'!G$9:G$12,$X48),"")</f>
        <v>1.8411</v>
      </c>
      <c r="AD48" s="103">
        <f>IF($X48&gt;0,INDEX('CostModel Coef'!H$9:H$12,$X48),"")</f>
        <v>-1.8050999999999999</v>
      </c>
      <c r="AE48" s="103">
        <f>IF($X48&gt;0,INDEX('CostModel Coef'!J$9:J$12,$X48),"")</f>
        <v>-1.1288</v>
      </c>
      <c r="AF48" s="103">
        <f>IF($X48&gt;0,INDEX('CostModel Coef'!K$9:K$12,$X48),"")</f>
        <v>-1.845</v>
      </c>
      <c r="AG48" s="103">
        <f>IF($X48&gt;0,INDEX('CostModel Coef'!L$9:L$12,$X48),"")</f>
        <v>6.7507000000000001</v>
      </c>
      <c r="AH48" s="103">
        <f>IF($X48&gt;0,INDEX('CostModel Coef'!M$9:M$12,$X48),"")</f>
        <v>5.8051000000000004</v>
      </c>
      <c r="AI48" s="103">
        <f>IF($X48&gt;0,INDEX('CostModel Coef'!N$9:N$12,$X48),"")</f>
        <v>6.1600000000000002E-2</v>
      </c>
      <c r="AJ48" s="103">
        <f>IF($X48&gt;0,INDEX('CostModel Coef'!Q$9:Q$12,$X48),"")</f>
        <v>6.6500000000000004E-2</v>
      </c>
      <c r="AK48" s="103">
        <f>IF($X48&gt;0,INDEX('CostModel Coef'!T$9:T$12,$X48),"")</f>
        <v>9.35E-2</v>
      </c>
      <c r="AL48" s="103"/>
      <c r="AM48" s="108">
        <f t="shared" si="1"/>
        <v>5.5014920148574538</v>
      </c>
      <c r="AN48" s="108">
        <f t="shared" si="2"/>
        <v>7.3464920148574535</v>
      </c>
      <c r="AO48" s="108">
        <f t="shared" si="3"/>
        <v>5.541392014857454</v>
      </c>
      <c r="AP48" s="108">
        <f t="shared" si="4"/>
        <v>5.541392014857454</v>
      </c>
      <c r="AQ48" s="108">
        <f t="shared" si="5"/>
        <v>4.412592014857454</v>
      </c>
      <c r="AR48" s="108"/>
      <c r="AS48" s="108"/>
      <c r="AT48" s="103">
        <f>IF($X48&gt;0,INDEX('CostModel Coef'!D$13:D$16,$X48),"")</f>
        <v>2.1320000000000001</v>
      </c>
      <c r="AU48" s="103">
        <f>IF($X48&gt;0,INDEX('CostModel Coef'!E$13:E$16,$X48),"")</f>
        <v>0.23699999999999999</v>
      </c>
      <c r="AV48" s="103">
        <f>IF($X48&gt;0,INDEX('CostModel Coef'!F$13:F$16,$X48),"")</f>
        <v>0.59899999999999998</v>
      </c>
      <c r="AW48" s="103">
        <f>IF($X48&gt;0,INDEX('CostModel Coef'!G$13:G$16,$X48),"")</f>
        <v>0</v>
      </c>
      <c r="AX48" s="103">
        <f>IF($X48&gt;0,INDEX('CostModel Coef'!H$13:H$16,$X48),"")</f>
        <v>-1.69</v>
      </c>
      <c r="AY48" s="103">
        <f>IF($X48&gt;0,INDEX('CostModel Coef'!I$13:I$16,$X48),"")</f>
        <v>-1.1599999999999999</v>
      </c>
      <c r="AZ48" s="103">
        <f>IF($X48&gt;0,INDEX('CostModel Coef'!J$13:J$16,$X48),"")</f>
        <v>0</v>
      </c>
      <c r="BA48" s="103">
        <f>IF($X48&gt;0,INDEX('CostModel Coef'!K$13:K$16,$X48),"")</f>
        <v>-2.4630000000000001</v>
      </c>
      <c r="BB48" s="103">
        <f>IF($X48&gt;0,INDEX('CostModel Coef'!L$13:L$16,$X48),"")</f>
        <v>0.46179999999999999</v>
      </c>
      <c r="BC48" s="103">
        <f>IF($X48&gt;0,INDEX('CostModel Coef'!M$13:M$16,$X48),"")</f>
        <v>0</v>
      </c>
      <c r="BD48" s="103">
        <f>IF($X48&gt;0,INDEX('CostModel Coef'!N$13:N$16,$X48),"")</f>
        <v>0.19869999999999999</v>
      </c>
      <c r="BE48" s="103">
        <f>IF($X48&gt;0,INDEX('CostModel Coef'!O$13:O$16,$X48),"")</f>
        <v>0.6</v>
      </c>
      <c r="BF48" s="103">
        <f>IF($X48&gt;0,INDEX('CostModel Coef'!P$13:P$16,$X48),"")</f>
        <v>15</v>
      </c>
      <c r="BG48" s="103">
        <f>IF($X48&gt;0,INDEX('CostModel Coef'!Q$13:Q$16,$X48),"")</f>
        <v>0</v>
      </c>
      <c r="BH48" s="103">
        <f>IF($X48&gt;0,INDEX('CostModel Coef'!R$13:R$16,$X48),"")</f>
        <v>3</v>
      </c>
      <c r="BI48" s="103">
        <f>IF($X48&gt;0,INDEX('CostModel Coef'!S$13:S$16,$X48),"")</f>
        <v>150</v>
      </c>
      <c r="BJ48" s="103">
        <f>IF($X48&gt;0,INDEX('CostModel Coef'!T$13:T$16,$X48),"")</f>
        <v>0</v>
      </c>
      <c r="BK48" s="103">
        <f>IF($X48&gt;0,INDEX('CostModel Coef'!U$13:U$16,$X48),"")</f>
        <v>9.1999999999999998E-3</v>
      </c>
      <c r="BL48" s="103">
        <f>IF($X48&gt;0,INDEX('CostModel Coef'!V$13:V$16,$X48),"")</f>
        <v>-8.8000000000000005E-3</v>
      </c>
      <c r="BM48" s="103">
        <f>IF($X48&gt;0,INDEX('CostModel Coef'!W$13:W$16,$X48),"")</f>
        <v>0</v>
      </c>
      <c r="BN48" s="103">
        <f>IF($X48&gt;0,INDEX('CostModel Coef'!X$13:X$16,$X48),"")</f>
        <v>0</v>
      </c>
      <c r="BO48" s="103"/>
      <c r="BP48" s="119">
        <v>2000</v>
      </c>
      <c r="BQ48" s="103"/>
      <c r="BR48" s="103"/>
      <c r="BS48" s="119" t="str">
        <f t="shared" si="8"/>
        <v>WRR0347_CFLscw-A(23w)</v>
      </c>
      <c r="BT48" s="174">
        <f t="shared" si="0"/>
        <v>80</v>
      </c>
      <c r="BU48" s="113">
        <f t="shared" si="10"/>
        <v>1.3184</v>
      </c>
      <c r="BV48" s="108">
        <f t="shared" si="11"/>
        <v>3.7814000000000001</v>
      </c>
      <c r="BW48" s="108">
        <f t="shared" si="12"/>
        <v>2.0914000000000001</v>
      </c>
      <c r="BX48" s="108">
        <f t="shared" si="13"/>
        <v>0.93140000000000023</v>
      </c>
      <c r="BY48" s="108">
        <f t="shared" si="14"/>
        <v>0.93140000000000023</v>
      </c>
      <c r="BZ48" s="108"/>
      <c r="CA48" s="119" t="str">
        <f t="shared" si="15"/>
        <v>WRR0407_CFLscw-A(23w)</v>
      </c>
      <c r="CB48" s="174">
        <f t="shared" si="6"/>
        <v>94</v>
      </c>
      <c r="CC48" s="113">
        <f t="shared" si="16"/>
        <v>1.3239999999999998</v>
      </c>
      <c r="CD48" s="108">
        <f t="shared" si="17"/>
        <v>3.7869999999999999</v>
      </c>
      <c r="CE48" s="108">
        <f t="shared" si="18"/>
        <v>2.097</v>
      </c>
      <c r="CF48" s="108">
        <f t="shared" si="19"/>
        <v>0.93700000000000006</v>
      </c>
      <c r="CG48" s="108">
        <f t="shared" si="20"/>
        <v>0.93700000000000006</v>
      </c>
      <c r="CH48" s="103"/>
      <c r="CI48" s="119" t="str">
        <f t="shared" si="9"/>
        <v>WRR0347_CFLscw-A(23w)</v>
      </c>
      <c r="CJ48" s="174">
        <f t="shared" si="7"/>
        <v>80</v>
      </c>
      <c r="CK48" s="113">
        <f t="shared" si="21"/>
        <v>1.3184</v>
      </c>
      <c r="CL48" s="108">
        <f t="shared" si="22"/>
        <v>3.7814000000000001</v>
      </c>
      <c r="CM48" s="108">
        <f t="shared" si="23"/>
        <v>2.0914000000000001</v>
      </c>
      <c r="CN48" s="108">
        <f t="shared" si="24"/>
        <v>0.93140000000000023</v>
      </c>
      <c r="CO48" s="108">
        <f t="shared" si="25"/>
        <v>0.93140000000000023</v>
      </c>
    </row>
    <row r="49" spans="1:93">
      <c r="A49" s="103" t="s">
        <v>245</v>
      </c>
      <c r="B49" s="103" t="s">
        <v>174</v>
      </c>
      <c r="C49" s="103" t="s">
        <v>221</v>
      </c>
      <c r="D49" s="250" t="s">
        <v>153</v>
      </c>
      <c r="E49" s="250"/>
      <c r="F49" s="182">
        <v>9020</v>
      </c>
      <c r="G49" s="250" t="s">
        <v>175</v>
      </c>
      <c r="H49" s="250">
        <v>24</v>
      </c>
      <c r="I49" s="250"/>
      <c r="J49" s="250"/>
      <c r="K49" s="250"/>
      <c r="L49" s="250" t="s">
        <v>61</v>
      </c>
      <c r="M49" s="250">
        <v>24</v>
      </c>
      <c r="N49" s="250"/>
      <c r="O49" s="250"/>
      <c r="P49" s="250" t="s">
        <v>153</v>
      </c>
      <c r="Q49" s="250"/>
      <c r="R49" s="250"/>
      <c r="S49" s="250"/>
      <c r="T49" s="250" t="s">
        <v>155</v>
      </c>
      <c r="U49" s="103" t="s">
        <v>246</v>
      </c>
      <c r="V49" s="106" t="s">
        <v>157</v>
      </c>
      <c r="W49" s="103" t="s">
        <v>81</v>
      </c>
      <c r="X49" s="103">
        <f>IFERROR(MATCH(W49,'CostModel Coef'!$C$9:$C$12,0),0)</f>
        <v>1</v>
      </c>
      <c r="Y49" s="103"/>
      <c r="Z49" s="103">
        <f>IF($X49&gt;0,INDEX('CostModel Coef'!D$9:D$12,$X49),"")</f>
        <v>3.0430000000000001</v>
      </c>
      <c r="AA49" s="103">
        <f>IF($X49&gt;0,INDEX('CostModel Coef'!E$9:E$12,$X49),"")</f>
        <v>-0.14966150225589619</v>
      </c>
      <c r="AB49" s="103">
        <f>IF($X49&gt;0,INDEX('CostModel Coef'!F$9:F$12,$X49),"")</f>
        <v>0.52692151711335011</v>
      </c>
      <c r="AC49" s="103">
        <f>IF($X49&gt;0,INDEX('CostModel Coef'!G$9:G$12,$X49),"")</f>
        <v>1.8411</v>
      </c>
      <c r="AD49" s="103">
        <f>IF($X49&gt;0,INDEX('CostModel Coef'!H$9:H$12,$X49),"")</f>
        <v>-1.8050999999999999</v>
      </c>
      <c r="AE49" s="103">
        <f>IF($X49&gt;0,INDEX('CostModel Coef'!J$9:J$12,$X49),"")</f>
        <v>-1.1288</v>
      </c>
      <c r="AF49" s="103">
        <f>IF($X49&gt;0,INDEX('CostModel Coef'!K$9:K$12,$X49),"")</f>
        <v>-1.845</v>
      </c>
      <c r="AG49" s="103">
        <f>IF($X49&gt;0,INDEX('CostModel Coef'!L$9:L$12,$X49),"")</f>
        <v>6.7507000000000001</v>
      </c>
      <c r="AH49" s="103">
        <f>IF($X49&gt;0,INDEX('CostModel Coef'!M$9:M$12,$X49),"")</f>
        <v>5.8051000000000004</v>
      </c>
      <c r="AI49" s="103">
        <f>IF($X49&gt;0,INDEX('CostModel Coef'!N$9:N$12,$X49),"")</f>
        <v>6.1600000000000002E-2</v>
      </c>
      <c r="AJ49" s="103">
        <f>IF($X49&gt;0,INDEX('CostModel Coef'!Q$9:Q$12,$X49),"")</f>
        <v>6.6500000000000004E-2</v>
      </c>
      <c r="AK49" s="103">
        <f>IF($X49&gt;0,INDEX('CostModel Coef'!T$9:T$12,$X49),"")</f>
        <v>9.35E-2</v>
      </c>
      <c r="AL49" s="103"/>
      <c r="AM49" s="108">
        <f t="shared" si="1"/>
        <v>5.5679920148574542</v>
      </c>
      <c r="AN49" s="108">
        <f t="shared" si="2"/>
        <v>7.412992014857454</v>
      </c>
      <c r="AO49" s="108">
        <f t="shared" si="3"/>
        <v>5.6078920148574536</v>
      </c>
      <c r="AP49" s="108">
        <f t="shared" si="4"/>
        <v>5.6078920148574536</v>
      </c>
      <c r="AQ49" s="108">
        <f t="shared" si="5"/>
        <v>4.4790920148574536</v>
      </c>
      <c r="AR49" s="108"/>
      <c r="AS49" s="108"/>
      <c r="AT49" s="103">
        <f>IF($X49&gt;0,INDEX('CostModel Coef'!D$13:D$16,$X49),"")</f>
        <v>2.1320000000000001</v>
      </c>
      <c r="AU49" s="103">
        <f>IF($X49&gt;0,INDEX('CostModel Coef'!E$13:E$16,$X49),"")</f>
        <v>0.23699999999999999</v>
      </c>
      <c r="AV49" s="103">
        <f>IF($X49&gt;0,INDEX('CostModel Coef'!F$13:F$16,$X49),"")</f>
        <v>0.59899999999999998</v>
      </c>
      <c r="AW49" s="103">
        <f>IF($X49&gt;0,INDEX('CostModel Coef'!G$13:G$16,$X49),"")</f>
        <v>0</v>
      </c>
      <c r="AX49" s="103">
        <f>IF($X49&gt;0,INDEX('CostModel Coef'!H$13:H$16,$X49),"")</f>
        <v>-1.69</v>
      </c>
      <c r="AY49" s="103">
        <f>IF($X49&gt;0,INDEX('CostModel Coef'!I$13:I$16,$X49),"")</f>
        <v>-1.1599999999999999</v>
      </c>
      <c r="AZ49" s="103">
        <f>IF($X49&gt;0,INDEX('CostModel Coef'!J$13:J$16,$X49),"")</f>
        <v>0</v>
      </c>
      <c r="BA49" s="103">
        <f>IF($X49&gt;0,INDEX('CostModel Coef'!K$13:K$16,$X49),"")</f>
        <v>-2.4630000000000001</v>
      </c>
      <c r="BB49" s="103">
        <f>IF($X49&gt;0,INDEX('CostModel Coef'!L$13:L$16,$X49),"")</f>
        <v>0.46179999999999999</v>
      </c>
      <c r="BC49" s="103">
        <f>IF($X49&gt;0,INDEX('CostModel Coef'!M$13:M$16,$X49),"")</f>
        <v>0</v>
      </c>
      <c r="BD49" s="103">
        <f>IF($X49&gt;0,INDEX('CostModel Coef'!N$13:N$16,$X49),"")</f>
        <v>0.19869999999999999</v>
      </c>
      <c r="BE49" s="103">
        <f>IF($X49&gt;0,INDEX('CostModel Coef'!O$13:O$16,$X49),"")</f>
        <v>0.6</v>
      </c>
      <c r="BF49" s="103">
        <f>IF($X49&gt;0,INDEX('CostModel Coef'!P$13:P$16,$X49),"")</f>
        <v>15</v>
      </c>
      <c r="BG49" s="103">
        <f>IF($X49&gt;0,INDEX('CostModel Coef'!Q$13:Q$16,$X49),"")</f>
        <v>0</v>
      </c>
      <c r="BH49" s="103">
        <f>IF($X49&gt;0,INDEX('CostModel Coef'!R$13:R$16,$X49),"")</f>
        <v>3</v>
      </c>
      <c r="BI49" s="103">
        <f>IF($X49&gt;0,INDEX('CostModel Coef'!S$13:S$16,$X49),"")</f>
        <v>150</v>
      </c>
      <c r="BJ49" s="103">
        <f>IF($X49&gt;0,INDEX('CostModel Coef'!T$13:T$16,$X49),"")</f>
        <v>0</v>
      </c>
      <c r="BK49" s="103">
        <f>IF($X49&gt;0,INDEX('CostModel Coef'!U$13:U$16,$X49),"")</f>
        <v>9.1999999999999998E-3</v>
      </c>
      <c r="BL49" s="103">
        <f>IF($X49&gt;0,INDEX('CostModel Coef'!V$13:V$16,$X49),"")</f>
        <v>-8.8000000000000005E-3</v>
      </c>
      <c r="BM49" s="103">
        <f>IF($X49&gt;0,INDEX('CostModel Coef'!W$13:W$16,$X49),"")</f>
        <v>0</v>
      </c>
      <c r="BN49" s="103">
        <f>IF($X49&gt;0,INDEX('CostModel Coef'!X$13:X$16,$X49),"")</f>
        <v>0</v>
      </c>
      <c r="BO49" s="103"/>
      <c r="BP49" s="119">
        <v>2000</v>
      </c>
      <c r="BQ49" s="103"/>
      <c r="BR49" s="103"/>
      <c r="BS49" s="119" t="str">
        <f t="shared" si="8"/>
        <v>WRR0347_CFLscw-A(24w)</v>
      </c>
      <c r="BT49" s="174">
        <f t="shared" si="0"/>
        <v>83</v>
      </c>
      <c r="BU49" s="113">
        <f t="shared" si="10"/>
        <v>1.3196000000000003</v>
      </c>
      <c r="BV49" s="108">
        <f t="shared" si="11"/>
        <v>3.7826000000000004</v>
      </c>
      <c r="BW49" s="108">
        <f t="shared" si="12"/>
        <v>2.0926000000000005</v>
      </c>
      <c r="BX49" s="108">
        <f t="shared" si="13"/>
        <v>0.93260000000000054</v>
      </c>
      <c r="BY49" s="108">
        <f t="shared" si="14"/>
        <v>0.93260000000000054</v>
      </c>
      <c r="BZ49" s="108"/>
      <c r="CA49" s="119" t="str">
        <f t="shared" si="15"/>
        <v>WRR0407_CFLscw-A(24w)</v>
      </c>
      <c r="CB49" s="174">
        <f t="shared" si="6"/>
        <v>98</v>
      </c>
      <c r="CC49" s="113">
        <f t="shared" si="16"/>
        <v>1.3256000000000001</v>
      </c>
      <c r="CD49" s="108">
        <f t="shared" si="17"/>
        <v>3.7886000000000002</v>
      </c>
      <c r="CE49" s="108">
        <f t="shared" si="18"/>
        <v>2.0986000000000002</v>
      </c>
      <c r="CF49" s="108">
        <f t="shared" si="19"/>
        <v>0.93860000000000032</v>
      </c>
      <c r="CG49" s="108">
        <f t="shared" si="20"/>
        <v>0.93860000000000032</v>
      </c>
      <c r="CH49" s="103"/>
      <c r="CI49" s="119" t="str">
        <f t="shared" si="9"/>
        <v>WRR0347_CFLscw-A(24w)</v>
      </c>
      <c r="CJ49" s="174">
        <f t="shared" si="7"/>
        <v>83</v>
      </c>
      <c r="CK49" s="113">
        <f t="shared" si="21"/>
        <v>1.3196000000000003</v>
      </c>
      <c r="CL49" s="108">
        <f t="shared" si="22"/>
        <v>3.7826000000000004</v>
      </c>
      <c r="CM49" s="108">
        <f t="shared" si="23"/>
        <v>2.0926000000000005</v>
      </c>
      <c r="CN49" s="108">
        <f t="shared" si="24"/>
        <v>0.93260000000000054</v>
      </c>
      <c r="CO49" s="108">
        <f t="shared" si="25"/>
        <v>0.93260000000000054</v>
      </c>
    </row>
    <row r="50" spans="1:93">
      <c r="A50" s="103" t="s">
        <v>247</v>
      </c>
      <c r="B50" s="103" t="s">
        <v>174</v>
      </c>
      <c r="C50" s="103" t="s">
        <v>221</v>
      </c>
      <c r="D50" s="250" t="s">
        <v>153</v>
      </c>
      <c r="E50" s="250"/>
      <c r="F50" s="182">
        <v>9020</v>
      </c>
      <c r="G50" s="250" t="s">
        <v>175</v>
      </c>
      <c r="H50" s="250">
        <v>25</v>
      </c>
      <c r="I50" s="250"/>
      <c r="J50" s="250"/>
      <c r="K50" s="250"/>
      <c r="L50" s="250" t="s">
        <v>61</v>
      </c>
      <c r="M50" s="250">
        <v>25</v>
      </c>
      <c r="N50" s="250"/>
      <c r="O50" s="250"/>
      <c r="P50" s="250" t="s">
        <v>153</v>
      </c>
      <c r="Q50" s="250"/>
      <c r="R50" s="250"/>
      <c r="S50" s="250"/>
      <c r="T50" s="250" t="s">
        <v>155</v>
      </c>
      <c r="U50" s="103" t="s">
        <v>248</v>
      </c>
      <c r="V50" s="106" t="s">
        <v>157</v>
      </c>
      <c r="W50" s="103" t="s">
        <v>81</v>
      </c>
      <c r="X50" s="103">
        <f>IFERROR(MATCH(W50,'CostModel Coef'!$C$9:$C$12,0),0)</f>
        <v>1</v>
      </c>
      <c r="Y50" s="103"/>
      <c r="Z50" s="103">
        <f>IF($X50&gt;0,INDEX('CostModel Coef'!D$9:D$12,$X50),"")</f>
        <v>3.0430000000000001</v>
      </c>
      <c r="AA50" s="103">
        <f>IF($X50&gt;0,INDEX('CostModel Coef'!E$9:E$12,$X50),"")</f>
        <v>-0.14966150225589619</v>
      </c>
      <c r="AB50" s="103">
        <f>IF($X50&gt;0,INDEX('CostModel Coef'!F$9:F$12,$X50),"")</f>
        <v>0.52692151711335011</v>
      </c>
      <c r="AC50" s="103">
        <f>IF($X50&gt;0,INDEX('CostModel Coef'!G$9:G$12,$X50),"")</f>
        <v>1.8411</v>
      </c>
      <c r="AD50" s="103">
        <f>IF($X50&gt;0,INDEX('CostModel Coef'!H$9:H$12,$X50),"")</f>
        <v>-1.8050999999999999</v>
      </c>
      <c r="AE50" s="103">
        <f>IF($X50&gt;0,INDEX('CostModel Coef'!J$9:J$12,$X50),"")</f>
        <v>-1.1288</v>
      </c>
      <c r="AF50" s="103">
        <f>IF($X50&gt;0,INDEX('CostModel Coef'!K$9:K$12,$X50),"")</f>
        <v>-1.845</v>
      </c>
      <c r="AG50" s="103">
        <f>IF($X50&gt;0,INDEX('CostModel Coef'!L$9:L$12,$X50),"")</f>
        <v>6.7507000000000001</v>
      </c>
      <c r="AH50" s="103">
        <f>IF($X50&gt;0,INDEX('CostModel Coef'!M$9:M$12,$X50),"")</f>
        <v>5.8051000000000004</v>
      </c>
      <c r="AI50" s="103">
        <f>IF($X50&gt;0,INDEX('CostModel Coef'!N$9:N$12,$X50),"")</f>
        <v>6.1600000000000002E-2</v>
      </c>
      <c r="AJ50" s="103">
        <f>IF($X50&gt;0,INDEX('CostModel Coef'!Q$9:Q$12,$X50),"")</f>
        <v>6.6500000000000004E-2</v>
      </c>
      <c r="AK50" s="103">
        <f>IF($X50&gt;0,INDEX('CostModel Coef'!T$9:T$12,$X50),"")</f>
        <v>9.35E-2</v>
      </c>
      <c r="AL50" s="103"/>
      <c r="AM50" s="108">
        <f t="shared" si="1"/>
        <v>5.6344920148574547</v>
      </c>
      <c r="AN50" s="108">
        <f t="shared" si="2"/>
        <v>7.4794920148574544</v>
      </c>
      <c r="AO50" s="108">
        <f t="shared" si="3"/>
        <v>5.6743920148574549</v>
      </c>
      <c r="AP50" s="108">
        <f t="shared" si="4"/>
        <v>5.6743920148574549</v>
      </c>
      <c r="AQ50" s="108">
        <f t="shared" si="5"/>
        <v>4.5455920148574549</v>
      </c>
      <c r="AR50" s="108"/>
      <c r="AS50" s="108"/>
      <c r="AT50" s="103">
        <f>IF($X50&gt;0,INDEX('CostModel Coef'!D$13:D$16,$X50),"")</f>
        <v>2.1320000000000001</v>
      </c>
      <c r="AU50" s="103">
        <f>IF($X50&gt;0,INDEX('CostModel Coef'!E$13:E$16,$X50),"")</f>
        <v>0.23699999999999999</v>
      </c>
      <c r="AV50" s="103">
        <f>IF($X50&gt;0,INDEX('CostModel Coef'!F$13:F$16,$X50),"")</f>
        <v>0.59899999999999998</v>
      </c>
      <c r="AW50" s="103">
        <f>IF($X50&gt;0,INDEX('CostModel Coef'!G$13:G$16,$X50),"")</f>
        <v>0</v>
      </c>
      <c r="AX50" s="103">
        <f>IF($X50&gt;0,INDEX('CostModel Coef'!H$13:H$16,$X50),"")</f>
        <v>-1.69</v>
      </c>
      <c r="AY50" s="103">
        <f>IF($X50&gt;0,INDEX('CostModel Coef'!I$13:I$16,$X50),"")</f>
        <v>-1.1599999999999999</v>
      </c>
      <c r="AZ50" s="103">
        <f>IF($X50&gt;0,INDEX('CostModel Coef'!J$13:J$16,$X50),"")</f>
        <v>0</v>
      </c>
      <c r="BA50" s="103">
        <f>IF($X50&gt;0,INDEX('CostModel Coef'!K$13:K$16,$X50),"")</f>
        <v>-2.4630000000000001</v>
      </c>
      <c r="BB50" s="103">
        <f>IF($X50&gt;0,INDEX('CostModel Coef'!L$13:L$16,$X50),"")</f>
        <v>0.46179999999999999</v>
      </c>
      <c r="BC50" s="103">
        <f>IF($X50&gt;0,INDEX('CostModel Coef'!M$13:M$16,$X50),"")</f>
        <v>0</v>
      </c>
      <c r="BD50" s="103">
        <f>IF($X50&gt;0,INDEX('CostModel Coef'!N$13:N$16,$X50),"")</f>
        <v>0.19869999999999999</v>
      </c>
      <c r="BE50" s="103">
        <f>IF($X50&gt;0,INDEX('CostModel Coef'!O$13:O$16,$X50),"")</f>
        <v>0.6</v>
      </c>
      <c r="BF50" s="103">
        <f>IF($X50&gt;0,INDEX('CostModel Coef'!P$13:P$16,$X50),"")</f>
        <v>15</v>
      </c>
      <c r="BG50" s="103">
        <f>IF($X50&gt;0,INDEX('CostModel Coef'!Q$13:Q$16,$X50),"")</f>
        <v>0</v>
      </c>
      <c r="BH50" s="103">
        <f>IF($X50&gt;0,INDEX('CostModel Coef'!R$13:R$16,$X50),"")</f>
        <v>3</v>
      </c>
      <c r="BI50" s="103">
        <f>IF($X50&gt;0,INDEX('CostModel Coef'!S$13:S$16,$X50),"")</f>
        <v>150</v>
      </c>
      <c r="BJ50" s="103">
        <f>IF($X50&gt;0,INDEX('CostModel Coef'!T$13:T$16,$X50),"")</f>
        <v>0</v>
      </c>
      <c r="BK50" s="103">
        <f>IF($X50&gt;0,INDEX('CostModel Coef'!U$13:U$16,$X50),"")</f>
        <v>9.1999999999999998E-3</v>
      </c>
      <c r="BL50" s="103">
        <f>IF($X50&gt;0,INDEX('CostModel Coef'!V$13:V$16,$X50),"")</f>
        <v>-8.8000000000000005E-3</v>
      </c>
      <c r="BM50" s="103">
        <f>IF($X50&gt;0,INDEX('CostModel Coef'!W$13:W$16,$X50),"")</f>
        <v>0</v>
      </c>
      <c r="BN50" s="103">
        <f>IF($X50&gt;0,INDEX('CostModel Coef'!X$13:X$16,$X50),"")</f>
        <v>0</v>
      </c>
      <c r="BO50" s="103"/>
      <c r="BP50" s="119">
        <v>2000</v>
      </c>
      <c r="BQ50" s="103"/>
      <c r="BR50" s="103"/>
      <c r="BS50" s="119" t="str">
        <f t="shared" si="8"/>
        <v>WRR0347_CFLscw-A(25w)</v>
      </c>
      <c r="BT50" s="174">
        <f t="shared" si="0"/>
        <v>87</v>
      </c>
      <c r="BU50" s="113">
        <f t="shared" si="10"/>
        <v>1.3212000000000002</v>
      </c>
      <c r="BV50" s="108">
        <f t="shared" si="11"/>
        <v>3.7842000000000002</v>
      </c>
      <c r="BW50" s="108">
        <f t="shared" si="12"/>
        <v>2.0942000000000003</v>
      </c>
      <c r="BX50" s="108">
        <f t="shared" si="13"/>
        <v>0.93420000000000036</v>
      </c>
      <c r="BY50" s="108">
        <f t="shared" si="14"/>
        <v>0.93420000000000036</v>
      </c>
      <c r="BZ50" s="108"/>
      <c r="CA50" s="119" t="str">
        <f t="shared" si="15"/>
        <v>WRR0407_CFLscw-A(25w)</v>
      </c>
      <c r="CB50" s="174">
        <f t="shared" si="6"/>
        <v>102</v>
      </c>
      <c r="CC50" s="113">
        <f t="shared" si="16"/>
        <v>1.3271999999999999</v>
      </c>
      <c r="CD50" s="108">
        <f t="shared" si="17"/>
        <v>3.7902</v>
      </c>
      <c r="CE50" s="108">
        <f t="shared" si="18"/>
        <v>2.1002000000000001</v>
      </c>
      <c r="CF50" s="108">
        <f t="shared" si="19"/>
        <v>0.94020000000000015</v>
      </c>
      <c r="CG50" s="108">
        <f t="shared" si="20"/>
        <v>0.94020000000000015</v>
      </c>
      <c r="CH50" s="103"/>
      <c r="CI50" s="119" t="str">
        <f t="shared" si="9"/>
        <v>WRR0347_CFLscw-A(25w)</v>
      </c>
      <c r="CJ50" s="174">
        <f t="shared" si="7"/>
        <v>87</v>
      </c>
      <c r="CK50" s="113">
        <f t="shared" si="21"/>
        <v>1.3212000000000002</v>
      </c>
      <c r="CL50" s="108">
        <f t="shared" si="22"/>
        <v>3.7842000000000002</v>
      </c>
      <c r="CM50" s="108">
        <f t="shared" si="23"/>
        <v>2.0942000000000003</v>
      </c>
      <c r="CN50" s="108">
        <f t="shared" si="24"/>
        <v>0.93420000000000036</v>
      </c>
      <c r="CO50" s="108">
        <f t="shared" si="25"/>
        <v>0.93420000000000036</v>
      </c>
    </row>
    <row r="51" spans="1:93">
      <c r="A51" s="103" t="s">
        <v>249</v>
      </c>
      <c r="B51" s="103" t="s">
        <v>174</v>
      </c>
      <c r="C51" s="103" t="s">
        <v>221</v>
      </c>
      <c r="D51" s="250" t="s">
        <v>153</v>
      </c>
      <c r="E51" s="250"/>
      <c r="F51" s="182">
        <v>9020</v>
      </c>
      <c r="G51" s="250" t="s">
        <v>175</v>
      </c>
      <c r="H51" s="250">
        <v>26</v>
      </c>
      <c r="I51" s="250"/>
      <c r="J51" s="250"/>
      <c r="K51" s="250"/>
      <c r="L51" s="250" t="s">
        <v>61</v>
      </c>
      <c r="M51" s="250">
        <v>26</v>
      </c>
      <c r="N51" s="250"/>
      <c r="O51" s="250"/>
      <c r="P51" s="250" t="s">
        <v>153</v>
      </c>
      <c r="Q51" s="250"/>
      <c r="R51" s="250"/>
      <c r="S51" s="250"/>
      <c r="T51" s="250" t="s">
        <v>155</v>
      </c>
      <c r="U51" s="103" t="s">
        <v>250</v>
      </c>
      <c r="V51" s="106" t="s">
        <v>157</v>
      </c>
      <c r="W51" s="103" t="s">
        <v>81</v>
      </c>
      <c r="X51" s="103">
        <f>IFERROR(MATCH(W51,'CostModel Coef'!$C$9:$C$12,0),0)</f>
        <v>1</v>
      </c>
      <c r="Y51" s="103"/>
      <c r="Z51" s="103">
        <f>IF($X51&gt;0,INDEX('CostModel Coef'!D$9:D$12,$X51),"")</f>
        <v>3.0430000000000001</v>
      </c>
      <c r="AA51" s="103">
        <f>IF($X51&gt;0,INDEX('CostModel Coef'!E$9:E$12,$X51),"")</f>
        <v>-0.14966150225589619</v>
      </c>
      <c r="AB51" s="103">
        <f>IF($X51&gt;0,INDEX('CostModel Coef'!F$9:F$12,$X51),"")</f>
        <v>0.52692151711335011</v>
      </c>
      <c r="AC51" s="103">
        <f>IF($X51&gt;0,INDEX('CostModel Coef'!G$9:G$12,$X51),"")</f>
        <v>1.8411</v>
      </c>
      <c r="AD51" s="103">
        <f>IF($X51&gt;0,INDEX('CostModel Coef'!H$9:H$12,$X51),"")</f>
        <v>-1.8050999999999999</v>
      </c>
      <c r="AE51" s="103">
        <f>IF($X51&gt;0,INDEX('CostModel Coef'!J$9:J$12,$X51),"")</f>
        <v>-1.1288</v>
      </c>
      <c r="AF51" s="103">
        <f>IF($X51&gt;0,INDEX('CostModel Coef'!K$9:K$12,$X51),"")</f>
        <v>-1.845</v>
      </c>
      <c r="AG51" s="103">
        <f>IF($X51&gt;0,INDEX('CostModel Coef'!L$9:L$12,$X51),"")</f>
        <v>6.7507000000000001</v>
      </c>
      <c r="AH51" s="103">
        <f>IF($X51&gt;0,INDEX('CostModel Coef'!M$9:M$12,$X51),"")</f>
        <v>5.8051000000000004</v>
      </c>
      <c r="AI51" s="103">
        <f>IF($X51&gt;0,INDEX('CostModel Coef'!N$9:N$12,$X51),"")</f>
        <v>6.1600000000000002E-2</v>
      </c>
      <c r="AJ51" s="103">
        <f>IF($X51&gt;0,INDEX('CostModel Coef'!Q$9:Q$12,$X51),"")</f>
        <v>6.6500000000000004E-2</v>
      </c>
      <c r="AK51" s="103">
        <f>IF($X51&gt;0,INDEX('CostModel Coef'!T$9:T$12,$X51),"")</f>
        <v>9.35E-2</v>
      </c>
      <c r="AL51" s="103"/>
      <c r="AM51" s="108">
        <f t="shared" si="1"/>
        <v>5.7944920148574539</v>
      </c>
      <c r="AN51" s="108">
        <f t="shared" si="2"/>
        <v>7.6394920148574537</v>
      </c>
      <c r="AO51" s="108">
        <f t="shared" si="3"/>
        <v>5.8343920148574542</v>
      </c>
      <c r="AP51" s="108">
        <f t="shared" si="4"/>
        <v>5.8343920148574542</v>
      </c>
      <c r="AQ51" s="108">
        <f t="shared" si="5"/>
        <v>4.7055920148574542</v>
      </c>
      <c r="AR51" s="108"/>
      <c r="AS51" s="108"/>
      <c r="AT51" s="103">
        <f>IF($X51&gt;0,INDEX('CostModel Coef'!D$13:D$16,$X51),"")</f>
        <v>2.1320000000000001</v>
      </c>
      <c r="AU51" s="103">
        <f>IF($X51&gt;0,INDEX('CostModel Coef'!E$13:E$16,$X51),"")</f>
        <v>0.23699999999999999</v>
      </c>
      <c r="AV51" s="103">
        <f>IF($X51&gt;0,INDEX('CostModel Coef'!F$13:F$16,$X51),"")</f>
        <v>0.59899999999999998</v>
      </c>
      <c r="AW51" s="103">
        <f>IF($X51&gt;0,INDEX('CostModel Coef'!G$13:G$16,$X51),"")</f>
        <v>0</v>
      </c>
      <c r="AX51" s="103">
        <f>IF($X51&gt;0,INDEX('CostModel Coef'!H$13:H$16,$X51),"")</f>
        <v>-1.69</v>
      </c>
      <c r="AY51" s="103">
        <f>IF($X51&gt;0,INDEX('CostModel Coef'!I$13:I$16,$X51),"")</f>
        <v>-1.1599999999999999</v>
      </c>
      <c r="AZ51" s="103">
        <f>IF($X51&gt;0,INDEX('CostModel Coef'!J$13:J$16,$X51),"")</f>
        <v>0</v>
      </c>
      <c r="BA51" s="103">
        <f>IF($X51&gt;0,INDEX('CostModel Coef'!K$13:K$16,$X51),"")</f>
        <v>-2.4630000000000001</v>
      </c>
      <c r="BB51" s="103">
        <f>IF($X51&gt;0,INDEX('CostModel Coef'!L$13:L$16,$X51),"")</f>
        <v>0.46179999999999999</v>
      </c>
      <c r="BC51" s="103">
        <f>IF($X51&gt;0,INDEX('CostModel Coef'!M$13:M$16,$X51),"")</f>
        <v>0</v>
      </c>
      <c r="BD51" s="103">
        <f>IF($X51&gt;0,INDEX('CostModel Coef'!N$13:N$16,$X51),"")</f>
        <v>0.19869999999999999</v>
      </c>
      <c r="BE51" s="103">
        <f>IF($X51&gt;0,INDEX('CostModel Coef'!O$13:O$16,$X51),"")</f>
        <v>0.6</v>
      </c>
      <c r="BF51" s="103">
        <f>IF($X51&gt;0,INDEX('CostModel Coef'!P$13:P$16,$X51),"")</f>
        <v>15</v>
      </c>
      <c r="BG51" s="103">
        <f>IF($X51&gt;0,INDEX('CostModel Coef'!Q$13:Q$16,$X51),"")</f>
        <v>0</v>
      </c>
      <c r="BH51" s="103">
        <f>IF($X51&gt;0,INDEX('CostModel Coef'!R$13:R$16,$X51),"")</f>
        <v>3</v>
      </c>
      <c r="BI51" s="103">
        <f>IF($X51&gt;0,INDEX('CostModel Coef'!S$13:S$16,$X51),"")</f>
        <v>150</v>
      </c>
      <c r="BJ51" s="103">
        <f>IF($X51&gt;0,INDEX('CostModel Coef'!T$13:T$16,$X51),"")</f>
        <v>0</v>
      </c>
      <c r="BK51" s="103">
        <f>IF($X51&gt;0,INDEX('CostModel Coef'!U$13:U$16,$X51),"")</f>
        <v>9.1999999999999998E-3</v>
      </c>
      <c r="BL51" s="103">
        <f>IF($X51&gt;0,INDEX('CostModel Coef'!V$13:V$16,$X51),"")</f>
        <v>-8.8000000000000005E-3</v>
      </c>
      <c r="BM51" s="103">
        <f>IF($X51&gt;0,INDEX('CostModel Coef'!W$13:W$16,$X51),"")</f>
        <v>0</v>
      </c>
      <c r="BN51" s="103">
        <f>IF($X51&gt;0,INDEX('CostModel Coef'!X$13:X$16,$X51),"")</f>
        <v>0</v>
      </c>
      <c r="BO51" s="103"/>
      <c r="BP51" s="119">
        <v>2000</v>
      </c>
      <c r="BQ51" s="103"/>
      <c r="BR51" s="103"/>
      <c r="BS51" s="119" t="str">
        <f t="shared" si="8"/>
        <v>WRR0347_CFLscw-A(26w)</v>
      </c>
      <c r="BT51" s="174">
        <f t="shared" si="0"/>
        <v>90</v>
      </c>
      <c r="BU51" s="113">
        <f t="shared" si="10"/>
        <v>1.3224</v>
      </c>
      <c r="BV51" s="108">
        <f t="shared" si="11"/>
        <v>3.7854000000000001</v>
      </c>
      <c r="BW51" s="108">
        <f t="shared" si="12"/>
        <v>2.0954000000000002</v>
      </c>
      <c r="BX51" s="108">
        <f t="shared" si="13"/>
        <v>0.93540000000000023</v>
      </c>
      <c r="BY51" s="108">
        <f t="shared" si="14"/>
        <v>0.93540000000000023</v>
      </c>
      <c r="BZ51" s="108"/>
      <c r="CA51" s="119" t="str">
        <f t="shared" si="15"/>
        <v>WRR0407_CFLscw-A(26w)</v>
      </c>
      <c r="CB51" s="174">
        <f t="shared" si="6"/>
        <v>106</v>
      </c>
      <c r="CC51" s="113">
        <f t="shared" si="16"/>
        <v>1.3288000000000002</v>
      </c>
      <c r="CD51" s="108">
        <f t="shared" si="17"/>
        <v>3.7918000000000003</v>
      </c>
      <c r="CE51" s="108">
        <f t="shared" si="18"/>
        <v>2.1018000000000003</v>
      </c>
      <c r="CF51" s="108">
        <f t="shared" si="19"/>
        <v>0.94180000000000041</v>
      </c>
      <c r="CG51" s="108">
        <f t="shared" si="20"/>
        <v>0.94180000000000041</v>
      </c>
      <c r="CH51" s="103"/>
      <c r="CI51" s="119" t="str">
        <f t="shared" si="9"/>
        <v>WRR0347_CFLscw-A(26w)</v>
      </c>
      <c r="CJ51" s="174">
        <f t="shared" si="7"/>
        <v>90</v>
      </c>
      <c r="CK51" s="113">
        <f t="shared" si="21"/>
        <v>1.3224</v>
      </c>
      <c r="CL51" s="108">
        <f t="shared" si="22"/>
        <v>3.7854000000000001</v>
      </c>
      <c r="CM51" s="108">
        <f t="shared" si="23"/>
        <v>2.0954000000000002</v>
      </c>
      <c r="CN51" s="108">
        <f t="shared" si="24"/>
        <v>0.93540000000000023</v>
      </c>
      <c r="CO51" s="108">
        <f t="shared" si="25"/>
        <v>0.93540000000000023</v>
      </c>
    </row>
    <row r="52" spans="1:93">
      <c r="A52" s="103" t="s">
        <v>251</v>
      </c>
      <c r="B52" s="103" t="s">
        <v>174</v>
      </c>
      <c r="C52" s="103" t="s">
        <v>221</v>
      </c>
      <c r="D52" s="250" t="s">
        <v>153</v>
      </c>
      <c r="E52" s="250"/>
      <c r="F52" s="182">
        <v>9020</v>
      </c>
      <c r="G52" s="250" t="s">
        <v>175</v>
      </c>
      <c r="H52" s="250">
        <v>27</v>
      </c>
      <c r="I52" s="250"/>
      <c r="J52" s="250"/>
      <c r="K52" s="250"/>
      <c r="L52" s="250" t="s">
        <v>61</v>
      </c>
      <c r="M52" s="250">
        <v>27</v>
      </c>
      <c r="N52" s="250"/>
      <c r="O52" s="250"/>
      <c r="P52" s="250" t="s">
        <v>153</v>
      </c>
      <c r="Q52" s="250"/>
      <c r="R52" s="250"/>
      <c r="S52" s="250"/>
      <c r="T52" s="250" t="s">
        <v>155</v>
      </c>
      <c r="U52" s="103" t="s">
        <v>252</v>
      </c>
      <c r="V52" s="106" t="s">
        <v>157</v>
      </c>
      <c r="W52" s="103" t="s">
        <v>81</v>
      </c>
      <c r="X52" s="103">
        <f>IFERROR(MATCH(W52,'CostModel Coef'!$C$9:$C$12,0),0)</f>
        <v>1</v>
      </c>
      <c r="Y52" s="103"/>
      <c r="Z52" s="103">
        <f>IF($X52&gt;0,INDEX('CostModel Coef'!D$9:D$12,$X52),"")</f>
        <v>3.0430000000000001</v>
      </c>
      <c r="AA52" s="103">
        <f>IF($X52&gt;0,INDEX('CostModel Coef'!E$9:E$12,$X52),"")</f>
        <v>-0.14966150225589619</v>
      </c>
      <c r="AB52" s="103">
        <f>IF($X52&gt;0,INDEX('CostModel Coef'!F$9:F$12,$X52),"")</f>
        <v>0.52692151711335011</v>
      </c>
      <c r="AC52" s="103">
        <f>IF($X52&gt;0,INDEX('CostModel Coef'!G$9:G$12,$X52),"")</f>
        <v>1.8411</v>
      </c>
      <c r="AD52" s="103">
        <f>IF($X52&gt;0,INDEX('CostModel Coef'!H$9:H$12,$X52),"")</f>
        <v>-1.8050999999999999</v>
      </c>
      <c r="AE52" s="103">
        <f>IF($X52&gt;0,INDEX('CostModel Coef'!J$9:J$12,$X52),"")</f>
        <v>-1.1288</v>
      </c>
      <c r="AF52" s="103">
        <f>IF($X52&gt;0,INDEX('CostModel Coef'!K$9:K$12,$X52),"")</f>
        <v>-1.845</v>
      </c>
      <c r="AG52" s="103">
        <f>IF($X52&gt;0,INDEX('CostModel Coef'!L$9:L$12,$X52),"")</f>
        <v>6.7507000000000001</v>
      </c>
      <c r="AH52" s="103">
        <f>IF($X52&gt;0,INDEX('CostModel Coef'!M$9:M$12,$X52),"")</f>
        <v>5.8051000000000004</v>
      </c>
      <c r="AI52" s="103">
        <f>IF($X52&gt;0,INDEX('CostModel Coef'!N$9:N$12,$X52),"")</f>
        <v>6.1600000000000002E-2</v>
      </c>
      <c r="AJ52" s="103">
        <f>IF($X52&gt;0,INDEX('CostModel Coef'!Q$9:Q$12,$X52),"")</f>
        <v>6.6500000000000004E-2</v>
      </c>
      <c r="AK52" s="103">
        <f>IF($X52&gt;0,INDEX('CostModel Coef'!T$9:T$12,$X52),"")</f>
        <v>9.35E-2</v>
      </c>
      <c r="AL52" s="103"/>
      <c r="AM52" s="108">
        <f t="shared" si="1"/>
        <v>5.9544920148574541</v>
      </c>
      <c r="AN52" s="108">
        <f t="shared" si="2"/>
        <v>7.7994920148574538</v>
      </c>
      <c r="AO52" s="108">
        <f t="shared" si="3"/>
        <v>5.9943920148574534</v>
      </c>
      <c r="AP52" s="108">
        <f t="shared" si="4"/>
        <v>5.9943920148574534</v>
      </c>
      <c r="AQ52" s="108">
        <f t="shared" si="5"/>
        <v>4.8655920148574534</v>
      </c>
      <c r="AR52" s="108"/>
      <c r="AS52" s="108"/>
      <c r="AT52" s="103">
        <f>IF($X52&gt;0,INDEX('CostModel Coef'!D$13:D$16,$X52),"")</f>
        <v>2.1320000000000001</v>
      </c>
      <c r="AU52" s="103">
        <f>IF($X52&gt;0,INDEX('CostModel Coef'!E$13:E$16,$X52),"")</f>
        <v>0.23699999999999999</v>
      </c>
      <c r="AV52" s="103">
        <f>IF($X52&gt;0,INDEX('CostModel Coef'!F$13:F$16,$X52),"")</f>
        <v>0.59899999999999998</v>
      </c>
      <c r="AW52" s="103">
        <f>IF($X52&gt;0,INDEX('CostModel Coef'!G$13:G$16,$X52),"")</f>
        <v>0</v>
      </c>
      <c r="AX52" s="103">
        <f>IF($X52&gt;0,INDEX('CostModel Coef'!H$13:H$16,$X52),"")</f>
        <v>-1.69</v>
      </c>
      <c r="AY52" s="103">
        <f>IF($X52&gt;0,INDEX('CostModel Coef'!I$13:I$16,$X52),"")</f>
        <v>-1.1599999999999999</v>
      </c>
      <c r="AZ52" s="103">
        <f>IF($X52&gt;0,INDEX('CostModel Coef'!J$13:J$16,$X52),"")</f>
        <v>0</v>
      </c>
      <c r="BA52" s="103">
        <f>IF($X52&gt;0,INDEX('CostModel Coef'!K$13:K$16,$X52),"")</f>
        <v>-2.4630000000000001</v>
      </c>
      <c r="BB52" s="103">
        <f>IF($X52&gt;0,INDEX('CostModel Coef'!L$13:L$16,$X52),"")</f>
        <v>0.46179999999999999</v>
      </c>
      <c r="BC52" s="103">
        <f>IF($X52&gt;0,INDEX('CostModel Coef'!M$13:M$16,$X52),"")</f>
        <v>0</v>
      </c>
      <c r="BD52" s="103">
        <f>IF($X52&gt;0,INDEX('CostModel Coef'!N$13:N$16,$X52),"")</f>
        <v>0.19869999999999999</v>
      </c>
      <c r="BE52" s="103">
        <f>IF($X52&gt;0,INDEX('CostModel Coef'!O$13:O$16,$X52),"")</f>
        <v>0.6</v>
      </c>
      <c r="BF52" s="103">
        <f>IF($X52&gt;0,INDEX('CostModel Coef'!P$13:P$16,$X52),"")</f>
        <v>15</v>
      </c>
      <c r="BG52" s="103">
        <f>IF($X52&gt;0,INDEX('CostModel Coef'!Q$13:Q$16,$X52),"")</f>
        <v>0</v>
      </c>
      <c r="BH52" s="103">
        <f>IF($X52&gt;0,INDEX('CostModel Coef'!R$13:R$16,$X52),"")</f>
        <v>3</v>
      </c>
      <c r="BI52" s="103">
        <f>IF($X52&gt;0,INDEX('CostModel Coef'!S$13:S$16,$X52),"")</f>
        <v>150</v>
      </c>
      <c r="BJ52" s="103">
        <f>IF($X52&gt;0,INDEX('CostModel Coef'!T$13:T$16,$X52),"")</f>
        <v>0</v>
      </c>
      <c r="BK52" s="103">
        <f>IF($X52&gt;0,INDEX('CostModel Coef'!U$13:U$16,$X52),"")</f>
        <v>9.1999999999999998E-3</v>
      </c>
      <c r="BL52" s="103">
        <f>IF($X52&gt;0,INDEX('CostModel Coef'!V$13:V$16,$X52),"")</f>
        <v>-8.8000000000000005E-3</v>
      </c>
      <c r="BM52" s="103">
        <f>IF($X52&gt;0,INDEX('CostModel Coef'!W$13:W$16,$X52),"")</f>
        <v>0</v>
      </c>
      <c r="BN52" s="103">
        <f>IF($X52&gt;0,INDEX('CostModel Coef'!X$13:X$16,$X52),"")</f>
        <v>0</v>
      </c>
      <c r="BO52" s="103"/>
      <c r="BP52" s="119">
        <v>2000</v>
      </c>
      <c r="BQ52" s="103"/>
      <c r="BR52" s="103"/>
      <c r="BS52" s="119" t="str">
        <f t="shared" si="8"/>
        <v>WRR0347_CFLscw-A(27w)</v>
      </c>
      <c r="BT52" s="174">
        <f t="shared" si="0"/>
        <v>94</v>
      </c>
      <c r="BU52" s="113">
        <f t="shared" si="10"/>
        <v>1.3239999999999998</v>
      </c>
      <c r="BV52" s="108">
        <f t="shared" si="11"/>
        <v>3.7869999999999999</v>
      </c>
      <c r="BW52" s="108">
        <f t="shared" si="12"/>
        <v>2.097</v>
      </c>
      <c r="BX52" s="108">
        <f t="shared" si="13"/>
        <v>0.93700000000000006</v>
      </c>
      <c r="BY52" s="108">
        <f t="shared" si="14"/>
        <v>0.93700000000000006</v>
      </c>
      <c r="BZ52" s="108"/>
      <c r="CA52" s="119" t="str">
        <f t="shared" si="15"/>
        <v>WRR0407_CFLscw-A(27w)</v>
      </c>
      <c r="CB52" s="174">
        <f t="shared" si="6"/>
        <v>110</v>
      </c>
      <c r="CC52" s="113">
        <f t="shared" si="16"/>
        <v>1.3304</v>
      </c>
      <c r="CD52" s="108">
        <f t="shared" si="17"/>
        <v>3.7934000000000001</v>
      </c>
      <c r="CE52" s="108">
        <f t="shared" si="18"/>
        <v>2.1034000000000002</v>
      </c>
      <c r="CF52" s="108">
        <f t="shared" si="19"/>
        <v>0.94340000000000024</v>
      </c>
      <c r="CG52" s="108">
        <f t="shared" si="20"/>
        <v>0.94340000000000024</v>
      </c>
      <c r="CH52" s="103"/>
      <c r="CI52" s="119" t="str">
        <f t="shared" si="9"/>
        <v>WRR0347_CFLscw-A(27w)</v>
      </c>
      <c r="CJ52" s="174">
        <f t="shared" si="7"/>
        <v>94</v>
      </c>
      <c r="CK52" s="113">
        <f t="shared" si="21"/>
        <v>1.3239999999999998</v>
      </c>
      <c r="CL52" s="108">
        <f t="shared" si="22"/>
        <v>3.7869999999999999</v>
      </c>
      <c r="CM52" s="108">
        <f t="shared" si="23"/>
        <v>2.097</v>
      </c>
      <c r="CN52" s="108">
        <f t="shared" si="24"/>
        <v>0.93700000000000006</v>
      </c>
      <c r="CO52" s="108">
        <f t="shared" si="25"/>
        <v>0.93700000000000006</v>
      </c>
    </row>
    <row r="53" spans="1:93">
      <c r="A53" s="103" t="s">
        <v>253</v>
      </c>
      <c r="B53" s="103" t="s">
        <v>174</v>
      </c>
      <c r="C53" s="103" t="s">
        <v>221</v>
      </c>
      <c r="D53" s="250" t="s">
        <v>153</v>
      </c>
      <c r="E53" s="250"/>
      <c r="F53" s="182">
        <v>9020</v>
      </c>
      <c r="G53" s="250" t="s">
        <v>175</v>
      </c>
      <c r="H53" s="250">
        <v>28</v>
      </c>
      <c r="I53" s="250"/>
      <c r="J53" s="250"/>
      <c r="K53" s="250"/>
      <c r="L53" s="250" t="s">
        <v>61</v>
      </c>
      <c r="M53" s="250">
        <v>28</v>
      </c>
      <c r="N53" s="250"/>
      <c r="O53" s="250"/>
      <c r="P53" s="250" t="s">
        <v>153</v>
      </c>
      <c r="Q53" s="250"/>
      <c r="R53" s="250"/>
      <c r="S53" s="250"/>
      <c r="T53" s="250" t="s">
        <v>155</v>
      </c>
      <c r="U53" s="103" t="s">
        <v>254</v>
      </c>
      <c r="V53" s="106" t="s">
        <v>157</v>
      </c>
      <c r="W53" s="103" t="s">
        <v>81</v>
      </c>
      <c r="X53" s="103">
        <f>IFERROR(MATCH(W53,'CostModel Coef'!$C$9:$C$12,0),0)</f>
        <v>1</v>
      </c>
      <c r="Y53" s="103"/>
      <c r="Z53" s="103">
        <f>IF($X53&gt;0,INDEX('CostModel Coef'!D$9:D$12,$X53),"")</f>
        <v>3.0430000000000001</v>
      </c>
      <c r="AA53" s="103">
        <f>IF($X53&gt;0,INDEX('CostModel Coef'!E$9:E$12,$X53),"")</f>
        <v>-0.14966150225589619</v>
      </c>
      <c r="AB53" s="103">
        <f>IF($X53&gt;0,INDEX('CostModel Coef'!F$9:F$12,$X53),"")</f>
        <v>0.52692151711335011</v>
      </c>
      <c r="AC53" s="103">
        <f>IF($X53&gt;0,INDEX('CostModel Coef'!G$9:G$12,$X53),"")</f>
        <v>1.8411</v>
      </c>
      <c r="AD53" s="103">
        <f>IF($X53&gt;0,INDEX('CostModel Coef'!H$9:H$12,$X53),"")</f>
        <v>-1.8050999999999999</v>
      </c>
      <c r="AE53" s="103">
        <f>IF($X53&gt;0,INDEX('CostModel Coef'!J$9:J$12,$X53),"")</f>
        <v>-1.1288</v>
      </c>
      <c r="AF53" s="103">
        <f>IF($X53&gt;0,INDEX('CostModel Coef'!K$9:K$12,$X53),"")</f>
        <v>-1.845</v>
      </c>
      <c r="AG53" s="103">
        <f>IF($X53&gt;0,INDEX('CostModel Coef'!L$9:L$12,$X53),"")</f>
        <v>6.7507000000000001</v>
      </c>
      <c r="AH53" s="103">
        <f>IF($X53&gt;0,INDEX('CostModel Coef'!M$9:M$12,$X53),"")</f>
        <v>5.8051000000000004</v>
      </c>
      <c r="AI53" s="103">
        <f>IF($X53&gt;0,INDEX('CostModel Coef'!N$9:N$12,$X53),"")</f>
        <v>6.1600000000000002E-2</v>
      </c>
      <c r="AJ53" s="103">
        <f>IF($X53&gt;0,INDEX('CostModel Coef'!Q$9:Q$12,$X53),"")</f>
        <v>6.6500000000000004E-2</v>
      </c>
      <c r="AK53" s="103">
        <f>IF($X53&gt;0,INDEX('CostModel Coef'!T$9:T$12,$X53),"")</f>
        <v>9.35E-2</v>
      </c>
      <c r="AL53" s="103"/>
      <c r="AM53" s="108">
        <f t="shared" si="1"/>
        <v>6.1144920148574542</v>
      </c>
      <c r="AN53" s="108">
        <f t="shared" si="2"/>
        <v>7.9594920148574539</v>
      </c>
      <c r="AO53" s="108">
        <f t="shared" si="3"/>
        <v>6.1543920148574536</v>
      </c>
      <c r="AP53" s="108">
        <f t="shared" si="4"/>
        <v>6.1543920148574536</v>
      </c>
      <c r="AQ53" s="108">
        <f t="shared" si="5"/>
        <v>5.0255920148574535</v>
      </c>
      <c r="AR53" s="108"/>
      <c r="AS53" s="108"/>
      <c r="AT53" s="103">
        <f>IF($X53&gt;0,INDEX('CostModel Coef'!D$13:D$16,$X53),"")</f>
        <v>2.1320000000000001</v>
      </c>
      <c r="AU53" s="103">
        <f>IF($X53&gt;0,INDEX('CostModel Coef'!E$13:E$16,$X53),"")</f>
        <v>0.23699999999999999</v>
      </c>
      <c r="AV53" s="103">
        <f>IF($X53&gt;0,INDEX('CostModel Coef'!F$13:F$16,$X53),"")</f>
        <v>0.59899999999999998</v>
      </c>
      <c r="AW53" s="103">
        <f>IF($X53&gt;0,INDEX('CostModel Coef'!G$13:G$16,$X53),"")</f>
        <v>0</v>
      </c>
      <c r="AX53" s="103">
        <f>IF($X53&gt;0,INDEX('CostModel Coef'!H$13:H$16,$X53),"")</f>
        <v>-1.69</v>
      </c>
      <c r="AY53" s="103">
        <f>IF($X53&gt;0,INDEX('CostModel Coef'!I$13:I$16,$X53),"")</f>
        <v>-1.1599999999999999</v>
      </c>
      <c r="AZ53" s="103">
        <f>IF($X53&gt;0,INDEX('CostModel Coef'!J$13:J$16,$X53),"")</f>
        <v>0</v>
      </c>
      <c r="BA53" s="103">
        <f>IF($X53&gt;0,INDEX('CostModel Coef'!K$13:K$16,$X53),"")</f>
        <v>-2.4630000000000001</v>
      </c>
      <c r="BB53" s="103">
        <f>IF($X53&gt;0,INDEX('CostModel Coef'!L$13:L$16,$X53),"")</f>
        <v>0.46179999999999999</v>
      </c>
      <c r="BC53" s="103">
        <f>IF($X53&gt;0,INDEX('CostModel Coef'!M$13:M$16,$X53),"")</f>
        <v>0</v>
      </c>
      <c r="BD53" s="103">
        <f>IF($X53&gt;0,INDEX('CostModel Coef'!N$13:N$16,$X53),"")</f>
        <v>0.19869999999999999</v>
      </c>
      <c r="BE53" s="103">
        <f>IF($X53&gt;0,INDEX('CostModel Coef'!O$13:O$16,$X53),"")</f>
        <v>0.6</v>
      </c>
      <c r="BF53" s="103">
        <f>IF($X53&gt;0,INDEX('CostModel Coef'!P$13:P$16,$X53),"")</f>
        <v>15</v>
      </c>
      <c r="BG53" s="103">
        <f>IF($X53&gt;0,INDEX('CostModel Coef'!Q$13:Q$16,$X53),"")</f>
        <v>0</v>
      </c>
      <c r="BH53" s="103">
        <f>IF($X53&gt;0,INDEX('CostModel Coef'!R$13:R$16,$X53),"")</f>
        <v>3</v>
      </c>
      <c r="BI53" s="103">
        <f>IF($X53&gt;0,INDEX('CostModel Coef'!S$13:S$16,$X53),"")</f>
        <v>150</v>
      </c>
      <c r="BJ53" s="103">
        <f>IF($X53&gt;0,INDEX('CostModel Coef'!T$13:T$16,$X53),"")</f>
        <v>0</v>
      </c>
      <c r="BK53" s="103">
        <f>IF($X53&gt;0,INDEX('CostModel Coef'!U$13:U$16,$X53),"")</f>
        <v>9.1999999999999998E-3</v>
      </c>
      <c r="BL53" s="103">
        <f>IF($X53&gt;0,INDEX('CostModel Coef'!V$13:V$16,$X53),"")</f>
        <v>-8.8000000000000005E-3</v>
      </c>
      <c r="BM53" s="103">
        <f>IF($X53&gt;0,INDEX('CostModel Coef'!W$13:W$16,$X53),"")</f>
        <v>0</v>
      </c>
      <c r="BN53" s="103">
        <f>IF($X53&gt;0,INDEX('CostModel Coef'!X$13:X$16,$X53),"")</f>
        <v>0</v>
      </c>
      <c r="BO53" s="103"/>
      <c r="BP53" s="119">
        <v>2000</v>
      </c>
      <c r="BQ53" s="103"/>
      <c r="BR53" s="103"/>
      <c r="BS53" s="119" t="str">
        <f t="shared" si="8"/>
        <v>WRR0347_CFLscw-A(28w)</v>
      </c>
      <c r="BT53" s="174">
        <f t="shared" si="0"/>
        <v>97</v>
      </c>
      <c r="BU53" s="113">
        <f t="shared" si="10"/>
        <v>1.3252000000000002</v>
      </c>
      <c r="BV53" s="108">
        <f t="shared" si="11"/>
        <v>3.7882000000000002</v>
      </c>
      <c r="BW53" s="108">
        <f t="shared" si="12"/>
        <v>2.0982000000000003</v>
      </c>
      <c r="BX53" s="108">
        <f t="shared" si="13"/>
        <v>0.93820000000000037</v>
      </c>
      <c r="BY53" s="108">
        <f t="shared" si="14"/>
        <v>0.93820000000000037</v>
      </c>
      <c r="BZ53" s="108"/>
      <c r="CA53" s="119" t="str">
        <f t="shared" si="15"/>
        <v>WRR0407_CFLscw-A(28w)</v>
      </c>
      <c r="CB53" s="174">
        <f t="shared" si="6"/>
        <v>114</v>
      </c>
      <c r="CC53" s="113">
        <f t="shared" si="16"/>
        <v>1.3320000000000003</v>
      </c>
      <c r="CD53" s="108">
        <f t="shared" si="17"/>
        <v>3.7950000000000004</v>
      </c>
      <c r="CE53" s="108">
        <f t="shared" si="18"/>
        <v>2.1050000000000004</v>
      </c>
      <c r="CF53" s="108">
        <f t="shared" si="19"/>
        <v>0.94500000000000051</v>
      </c>
      <c r="CG53" s="108">
        <f t="shared" si="20"/>
        <v>0.94500000000000051</v>
      </c>
      <c r="CH53" s="103"/>
      <c r="CI53" s="119" t="str">
        <f t="shared" si="9"/>
        <v>WRR0347_CFLscw-A(28w)</v>
      </c>
      <c r="CJ53" s="174">
        <f t="shared" si="7"/>
        <v>97</v>
      </c>
      <c r="CK53" s="113">
        <f t="shared" si="21"/>
        <v>1.3252000000000002</v>
      </c>
      <c r="CL53" s="108">
        <f t="shared" si="22"/>
        <v>3.7882000000000002</v>
      </c>
      <c r="CM53" s="108">
        <f t="shared" si="23"/>
        <v>2.0982000000000003</v>
      </c>
      <c r="CN53" s="108">
        <f t="shared" si="24"/>
        <v>0.93820000000000037</v>
      </c>
      <c r="CO53" s="108">
        <f t="shared" si="25"/>
        <v>0.93820000000000037</v>
      </c>
    </row>
    <row r="54" spans="1:93">
      <c r="A54" s="103" t="s">
        <v>255</v>
      </c>
      <c r="B54" s="103" t="s">
        <v>174</v>
      </c>
      <c r="C54" s="103" t="s">
        <v>221</v>
      </c>
      <c r="D54" s="250" t="s">
        <v>153</v>
      </c>
      <c r="E54" s="250"/>
      <c r="F54" s="182">
        <v>9020</v>
      </c>
      <c r="G54" s="250" t="s">
        <v>175</v>
      </c>
      <c r="H54" s="250">
        <v>30</v>
      </c>
      <c r="I54" s="250"/>
      <c r="J54" s="250"/>
      <c r="K54" s="250"/>
      <c r="L54" s="250" t="s">
        <v>61</v>
      </c>
      <c r="M54" s="250">
        <v>30</v>
      </c>
      <c r="N54" s="250"/>
      <c r="O54" s="250"/>
      <c r="P54" s="250" t="s">
        <v>153</v>
      </c>
      <c r="Q54" s="250"/>
      <c r="R54" s="250"/>
      <c r="S54" s="250"/>
      <c r="T54" s="250" t="s">
        <v>155</v>
      </c>
      <c r="U54" s="103" t="s">
        <v>256</v>
      </c>
      <c r="V54" s="106" t="s">
        <v>157</v>
      </c>
      <c r="W54" s="103" t="s">
        <v>81</v>
      </c>
      <c r="X54" s="103">
        <f>IFERROR(MATCH(W54,'CostModel Coef'!$C$9:$C$12,0),0)</f>
        <v>1</v>
      </c>
      <c r="Y54" s="103"/>
      <c r="Z54" s="103">
        <f>IF($X54&gt;0,INDEX('CostModel Coef'!D$9:D$12,$X54),"")</f>
        <v>3.0430000000000001</v>
      </c>
      <c r="AA54" s="103">
        <f>IF($X54&gt;0,INDEX('CostModel Coef'!E$9:E$12,$X54),"")</f>
        <v>-0.14966150225589619</v>
      </c>
      <c r="AB54" s="103">
        <f>IF($X54&gt;0,INDEX('CostModel Coef'!F$9:F$12,$X54),"")</f>
        <v>0.52692151711335011</v>
      </c>
      <c r="AC54" s="103">
        <f>IF($X54&gt;0,INDEX('CostModel Coef'!G$9:G$12,$X54),"")</f>
        <v>1.8411</v>
      </c>
      <c r="AD54" s="103">
        <f>IF($X54&gt;0,INDEX('CostModel Coef'!H$9:H$12,$X54),"")</f>
        <v>-1.8050999999999999</v>
      </c>
      <c r="AE54" s="103">
        <f>IF($X54&gt;0,INDEX('CostModel Coef'!J$9:J$12,$X54),"")</f>
        <v>-1.1288</v>
      </c>
      <c r="AF54" s="103">
        <f>IF($X54&gt;0,INDEX('CostModel Coef'!K$9:K$12,$X54),"")</f>
        <v>-1.845</v>
      </c>
      <c r="AG54" s="103">
        <f>IF($X54&gt;0,INDEX('CostModel Coef'!L$9:L$12,$X54),"")</f>
        <v>6.7507000000000001</v>
      </c>
      <c r="AH54" s="103">
        <f>IF($X54&gt;0,INDEX('CostModel Coef'!M$9:M$12,$X54),"")</f>
        <v>5.8051000000000004</v>
      </c>
      <c r="AI54" s="103">
        <f>IF($X54&gt;0,INDEX('CostModel Coef'!N$9:N$12,$X54),"")</f>
        <v>6.1600000000000002E-2</v>
      </c>
      <c r="AJ54" s="103">
        <f>IF($X54&gt;0,INDEX('CostModel Coef'!Q$9:Q$12,$X54),"")</f>
        <v>6.6500000000000004E-2</v>
      </c>
      <c r="AK54" s="103">
        <f>IF($X54&gt;0,INDEX('CostModel Coef'!T$9:T$12,$X54),"")</f>
        <v>9.35E-2</v>
      </c>
      <c r="AL54" s="103"/>
      <c r="AM54" s="108">
        <f t="shared" si="1"/>
        <v>6.4344920148574545</v>
      </c>
      <c r="AN54" s="108">
        <f t="shared" si="2"/>
        <v>8.2794920148574533</v>
      </c>
      <c r="AO54" s="108">
        <f t="shared" si="3"/>
        <v>6.4743920148574539</v>
      </c>
      <c r="AP54" s="108">
        <f t="shared" si="4"/>
        <v>6.4743920148574539</v>
      </c>
      <c r="AQ54" s="108">
        <f t="shared" si="5"/>
        <v>5.3455920148574538</v>
      </c>
      <c r="AR54" s="108"/>
      <c r="AS54" s="108"/>
      <c r="AT54" s="103">
        <f>IF($X54&gt;0,INDEX('CostModel Coef'!D$13:D$16,$X54),"")</f>
        <v>2.1320000000000001</v>
      </c>
      <c r="AU54" s="103">
        <f>IF($X54&gt;0,INDEX('CostModel Coef'!E$13:E$16,$X54),"")</f>
        <v>0.23699999999999999</v>
      </c>
      <c r="AV54" s="103">
        <f>IF($X54&gt;0,INDEX('CostModel Coef'!F$13:F$16,$X54),"")</f>
        <v>0.59899999999999998</v>
      </c>
      <c r="AW54" s="103">
        <f>IF($X54&gt;0,INDEX('CostModel Coef'!G$13:G$16,$X54),"")</f>
        <v>0</v>
      </c>
      <c r="AX54" s="103">
        <f>IF($X54&gt;0,INDEX('CostModel Coef'!H$13:H$16,$X54),"")</f>
        <v>-1.69</v>
      </c>
      <c r="AY54" s="103">
        <f>IF($X54&gt;0,INDEX('CostModel Coef'!I$13:I$16,$X54),"")</f>
        <v>-1.1599999999999999</v>
      </c>
      <c r="AZ54" s="103">
        <f>IF($X54&gt;0,INDEX('CostModel Coef'!J$13:J$16,$X54),"")</f>
        <v>0</v>
      </c>
      <c r="BA54" s="103">
        <f>IF($X54&gt;0,INDEX('CostModel Coef'!K$13:K$16,$X54),"")</f>
        <v>-2.4630000000000001</v>
      </c>
      <c r="BB54" s="103">
        <f>IF($X54&gt;0,INDEX('CostModel Coef'!L$13:L$16,$X54),"")</f>
        <v>0.46179999999999999</v>
      </c>
      <c r="BC54" s="103">
        <f>IF($X54&gt;0,INDEX('CostModel Coef'!M$13:M$16,$X54),"")</f>
        <v>0</v>
      </c>
      <c r="BD54" s="103">
        <f>IF($X54&gt;0,INDEX('CostModel Coef'!N$13:N$16,$X54),"")</f>
        <v>0.19869999999999999</v>
      </c>
      <c r="BE54" s="103">
        <f>IF($X54&gt;0,INDEX('CostModel Coef'!O$13:O$16,$X54),"")</f>
        <v>0.6</v>
      </c>
      <c r="BF54" s="103">
        <f>IF($X54&gt;0,INDEX('CostModel Coef'!P$13:P$16,$X54),"")</f>
        <v>15</v>
      </c>
      <c r="BG54" s="103">
        <f>IF($X54&gt;0,INDEX('CostModel Coef'!Q$13:Q$16,$X54),"")</f>
        <v>0</v>
      </c>
      <c r="BH54" s="103">
        <f>IF($X54&gt;0,INDEX('CostModel Coef'!R$13:R$16,$X54),"")</f>
        <v>3</v>
      </c>
      <c r="BI54" s="103">
        <f>IF($X54&gt;0,INDEX('CostModel Coef'!S$13:S$16,$X54),"")</f>
        <v>150</v>
      </c>
      <c r="BJ54" s="103">
        <f>IF($X54&gt;0,INDEX('CostModel Coef'!T$13:T$16,$X54),"")</f>
        <v>0</v>
      </c>
      <c r="BK54" s="103">
        <f>IF($X54&gt;0,INDEX('CostModel Coef'!U$13:U$16,$X54),"")</f>
        <v>9.1999999999999998E-3</v>
      </c>
      <c r="BL54" s="103">
        <f>IF($X54&gt;0,INDEX('CostModel Coef'!V$13:V$16,$X54),"")</f>
        <v>-8.8000000000000005E-3</v>
      </c>
      <c r="BM54" s="103">
        <f>IF($X54&gt;0,INDEX('CostModel Coef'!W$13:W$16,$X54),"")</f>
        <v>0</v>
      </c>
      <c r="BN54" s="103">
        <f>IF($X54&gt;0,INDEX('CostModel Coef'!X$13:X$16,$X54),"")</f>
        <v>0</v>
      </c>
      <c r="BO54" s="103"/>
      <c r="BP54" s="119">
        <v>2000</v>
      </c>
      <c r="BQ54" s="103"/>
      <c r="BR54" s="103"/>
      <c r="BS54" s="119" t="str">
        <f t="shared" si="8"/>
        <v>WRR0347_CFLscw-A(30w)</v>
      </c>
      <c r="BT54" s="174">
        <f t="shared" si="0"/>
        <v>104</v>
      </c>
      <c r="BU54" s="113">
        <f t="shared" si="10"/>
        <v>1.3279999999999998</v>
      </c>
      <c r="BV54" s="108">
        <f t="shared" si="11"/>
        <v>3.7909999999999999</v>
      </c>
      <c r="BW54" s="108">
        <f t="shared" si="12"/>
        <v>2.101</v>
      </c>
      <c r="BX54" s="108">
        <f t="shared" si="13"/>
        <v>0.94100000000000006</v>
      </c>
      <c r="BY54" s="108">
        <f t="shared" si="14"/>
        <v>0.94100000000000006</v>
      </c>
      <c r="BZ54" s="108"/>
      <c r="CA54" s="119" t="str">
        <f t="shared" si="15"/>
        <v>WRR0407_CFLscw-A(30w)</v>
      </c>
      <c r="CB54" s="174">
        <f t="shared" si="6"/>
        <v>122</v>
      </c>
      <c r="CC54" s="113">
        <f t="shared" si="16"/>
        <v>1.3351999999999999</v>
      </c>
      <c r="CD54" s="108">
        <f t="shared" si="17"/>
        <v>3.7982</v>
      </c>
      <c r="CE54" s="108">
        <f t="shared" si="18"/>
        <v>2.1082000000000001</v>
      </c>
      <c r="CF54" s="108">
        <f t="shared" si="19"/>
        <v>0.94820000000000015</v>
      </c>
      <c r="CG54" s="108">
        <f t="shared" si="20"/>
        <v>0.94820000000000015</v>
      </c>
      <c r="CH54" s="103"/>
      <c r="CI54" s="119" t="str">
        <f t="shared" si="9"/>
        <v>WRR0347_CFLscw-A(30w)</v>
      </c>
      <c r="CJ54" s="174">
        <f t="shared" si="7"/>
        <v>104</v>
      </c>
      <c r="CK54" s="113">
        <f t="shared" si="21"/>
        <v>1.3279999999999998</v>
      </c>
      <c r="CL54" s="108">
        <f t="shared" si="22"/>
        <v>3.7909999999999999</v>
      </c>
      <c r="CM54" s="108">
        <f t="shared" si="23"/>
        <v>2.101</v>
      </c>
      <c r="CN54" s="108">
        <f t="shared" si="24"/>
        <v>0.94100000000000006</v>
      </c>
      <c r="CO54" s="108">
        <f t="shared" si="25"/>
        <v>0.94100000000000006</v>
      </c>
    </row>
    <row r="55" spans="1:93">
      <c r="A55" s="103" t="s">
        <v>257</v>
      </c>
      <c r="B55" s="103" t="s">
        <v>174</v>
      </c>
      <c r="C55" s="103" t="s">
        <v>221</v>
      </c>
      <c r="D55" s="250" t="s">
        <v>153</v>
      </c>
      <c r="E55" s="250"/>
      <c r="F55" s="182">
        <v>9020</v>
      </c>
      <c r="G55" s="250" t="s">
        <v>175</v>
      </c>
      <c r="H55" s="250">
        <v>32</v>
      </c>
      <c r="I55" s="250"/>
      <c r="J55" s="250"/>
      <c r="K55" s="250"/>
      <c r="L55" s="250" t="s">
        <v>61</v>
      </c>
      <c r="M55" s="250">
        <v>32</v>
      </c>
      <c r="N55" s="250"/>
      <c r="O55" s="250"/>
      <c r="P55" s="250" t="s">
        <v>153</v>
      </c>
      <c r="Q55" s="250"/>
      <c r="R55" s="250"/>
      <c r="S55" s="250"/>
      <c r="T55" s="250" t="s">
        <v>155</v>
      </c>
      <c r="U55" s="103" t="s">
        <v>258</v>
      </c>
      <c r="V55" s="106" t="s">
        <v>157</v>
      </c>
      <c r="W55" s="103" t="s">
        <v>81</v>
      </c>
      <c r="X55" s="103">
        <f>IFERROR(MATCH(W55,'CostModel Coef'!$C$9:$C$12,0),0)</f>
        <v>1</v>
      </c>
      <c r="Y55" s="103"/>
      <c r="Z55" s="103">
        <f>IF($X55&gt;0,INDEX('CostModel Coef'!D$9:D$12,$X55),"")</f>
        <v>3.0430000000000001</v>
      </c>
      <c r="AA55" s="103">
        <f>IF($X55&gt;0,INDEX('CostModel Coef'!E$9:E$12,$X55),"")</f>
        <v>-0.14966150225589619</v>
      </c>
      <c r="AB55" s="103">
        <f>IF($X55&gt;0,INDEX('CostModel Coef'!F$9:F$12,$X55),"")</f>
        <v>0.52692151711335011</v>
      </c>
      <c r="AC55" s="103">
        <f>IF($X55&gt;0,INDEX('CostModel Coef'!G$9:G$12,$X55),"")</f>
        <v>1.8411</v>
      </c>
      <c r="AD55" s="103">
        <f>IF($X55&gt;0,INDEX('CostModel Coef'!H$9:H$12,$X55),"")</f>
        <v>-1.8050999999999999</v>
      </c>
      <c r="AE55" s="103">
        <f>IF($X55&gt;0,INDEX('CostModel Coef'!J$9:J$12,$X55),"")</f>
        <v>-1.1288</v>
      </c>
      <c r="AF55" s="103">
        <f>IF($X55&gt;0,INDEX('CostModel Coef'!K$9:K$12,$X55),"")</f>
        <v>-1.845</v>
      </c>
      <c r="AG55" s="103">
        <f>IF($X55&gt;0,INDEX('CostModel Coef'!L$9:L$12,$X55),"")</f>
        <v>6.7507000000000001</v>
      </c>
      <c r="AH55" s="103">
        <f>IF($X55&gt;0,INDEX('CostModel Coef'!M$9:M$12,$X55),"")</f>
        <v>5.8051000000000004</v>
      </c>
      <c r="AI55" s="103">
        <f>IF($X55&gt;0,INDEX('CostModel Coef'!N$9:N$12,$X55),"")</f>
        <v>6.1600000000000002E-2</v>
      </c>
      <c r="AJ55" s="103">
        <f>IF($X55&gt;0,INDEX('CostModel Coef'!Q$9:Q$12,$X55),"")</f>
        <v>6.6500000000000004E-2</v>
      </c>
      <c r="AK55" s="103">
        <f>IF($X55&gt;0,INDEX('CostModel Coef'!T$9:T$12,$X55),"")</f>
        <v>9.35E-2</v>
      </c>
      <c r="AL55" s="103"/>
      <c r="AM55" s="108">
        <f t="shared" si="1"/>
        <v>6.7544920148574539</v>
      </c>
      <c r="AN55" s="108">
        <f t="shared" si="2"/>
        <v>8.5994920148574536</v>
      </c>
      <c r="AO55" s="108">
        <f t="shared" si="3"/>
        <v>6.7943920148574541</v>
      </c>
      <c r="AP55" s="108">
        <f t="shared" si="4"/>
        <v>6.7943920148574541</v>
      </c>
      <c r="AQ55" s="108">
        <f t="shared" si="5"/>
        <v>5.6655920148574541</v>
      </c>
      <c r="AR55" s="108"/>
      <c r="AS55" s="108"/>
      <c r="AT55" s="103">
        <f>IF($X55&gt;0,INDEX('CostModel Coef'!D$13:D$16,$X55),"")</f>
        <v>2.1320000000000001</v>
      </c>
      <c r="AU55" s="103">
        <f>IF($X55&gt;0,INDEX('CostModel Coef'!E$13:E$16,$X55),"")</f>
        <v>0.23699999999999999</v>
      </c>
      <c r="AV55" s="103">
        <f>IF($X55&gt;0,INDEX('CostModel Coef'!F$13:F$16,$X55),"")</f>
        <v>0.59899999999999998</v>
      </c>
      <c r="AW55" s="103">
        <f>IF($X55&gt;0,INDEX('CostModel Coef'!G$13:G$16,$X55),"")</f>
        <v>0</v>
      </c>
      <c r="AX55" s="103">
        <f>IF($X55&gt;0,INDEX('CostModel Coef'!H$13:H$16,$X55),"")</f>
        <v>-1.69</v>
      </c>
      <c r="AY55" s="103">
        <f>IF($X55&gt;0,INDEX('CostModel Coef'!I$13:I$16,$X55),"")</f>
        <v>-1.1599999999999999</v>
      </c>
      <c r="AZ55" s="103">
        <f>IF($X55&gt;0,INDEX('CostModel Coef'!J$13:J$16,$X55),"")</f>
        <v>0</v>
      </c>
      <c r="BA55" s="103">
        <f>IF($X55&gt;0,INDEX('CostModel Coef'!K$13:K$16,$X55),"")</f>
        <v>-2.4630000000000001</v>
      </c>
      <c r="BB55" s="103">
        <f>IF($X55&gt;0,INDEX('CostModel Coef'!L$13:L$16,$X55),"")</f>
        <v>0.46179999999999999</v>
      </c>
      <c r="BC55" s="103">
        <f>IF($X55&gt;0,INDEX('CostModel Coef'!M$13:M$16,$X55),"")</f>
        <v>0</v>
      </c>
      <c r="BD55" s="103">
        <f>IF($X55&gt;0,INDEX('CostModel Coef'!N$13:N$16,$X55),"")</f>
        <v>0.19869999999999999</v>
      </c>
      <c r="BE55" s="103">
        <f>IF($X55&gt;0,INDEX('CostModel Coef'!O$13:O$16,$X55),"")</f>
        <v>0.6</v>
      </c>
      <c r="BF55" s="103">
        <f>IF($X55&gt;0,INDEX('CostModel Coef'!P$13:P$16,$X55),"")</f>
        <v>15</v>
      </c>
      <c r="BG55" s="103">
        <f>IF($X55&gt;0,INDEX('CostModel Coef'!Q$13:Q$16,$X55),"")</f>
        <v>0</v>
      </c>
      <c r="BH55" s="103">
        <f>IF($X55&gt;0,INDEX('CostModel Coef'!R$13:R$16,$X55),"")</f>
        <v>3</v>
      </c>
      <c r="BI55" s="103">
        <f>IF($X55&gt;0,INDEX('CostModel Coef'!S$13:S$16,$X55),"")</f>
        <v>150</v>
      </c>
      <c r="BJ55" s="103">
        <f>IF($X55&gt;0,INDEX('CostModel Coef'!T$13:T$16,$X55),"")</f>
        <v>0</v>
      </c>
      <c r="BK55" s="103">
        <f>IF($X55&gt;0,INDEX('CostModel Coef'!U$13:U$16,$X55),"")</f>
        <v>9.1999999999999998E-3</v>
      </c>
      <c r="BL55" s="103">
        <f>IF($X55&gt;0,INDEX('CostModel Coef'!V$13:V$16,$X55),"")</f>
        <v>-8.8000000000000005E-3</v>
      </c>
      <c r="BM55" s="103">
        <f>IF($X55&gt;0,INDEX('CostModel Coef'!W$13:W$16,$X55),"")</f>
        <v>0</v>
      </c>
      <c r="BN55" s="103">
        <f>IF($X55&gt;0,INDEX('CostModel Coef'!X$13:X$16,$X55),"")</f>
        <v>0</v>
      </c>
      <c r="BO55" s="103"/>
      <c r="BP55" s="119">
        <v>2000</v>
      </c>
      <c r="BQ55" s="103"/>
      <c r="BR55" s="103"/>
      <c r="BS55" s="119" t="str">
        <f t="shared" si="8"/>
        <v>WRR0347_CFLscw-A(32w)</v>
      </c>
      <c r="BT55" s="174">
        <f t="shared" si="0"/>
        <v>111</v>
      </c>
      <c r="BU55" s="113">
        <f t="shared" si="10"/>
        <v>1.3307999999999995</v>
      </c>
      <c r="BV55" s="108">
        <f t="shared" si="11"/>
        <v>3.7937999999999996</v>
      </c>
      <c r="BW55" s="108">
        <f t="shared" si="12"/>
        <v>2.1037999999999997</v>
      </c>
      <c r="BX55" s="108">
        <f t="shared" si="13"/>
        <v>0.94379999999999975</v>
      </c>
      <c r="BY55" s="108">
        <f t="shared" si="14"/>
        <v>0.94379999999999975</v>
      </c>
      <c r="BZ55" s="108"/>
      <c r="CA55" s="119" t="str">
        <f t="shared" si="15"/>
        <v>WRR0407_CFLscw-A(32w)</v>
      </c>
      <c r="CB55" s="174">
        <f t="shared" si="6"/>
        <v>130</v>
      </c>
      <c r="CC55" s="113">
        <f t="shared" si="16"/>
        <v>1.3384</v>
      </c>
      <c r="CD55" s="108">
        <f t="shared" si="17"/>
        <v>3.8014000000000001</v>
      </c>
      <c r="CE55" s="108">
        <f t="shared" si="18"/>
        <v>2.1114000000000002</v>
      </c>
      <c r="CF55" s="108">
        <f t="shared" si="19"/>
        <v>0.95140000000000025</v>
      </c>
      <c r="CG55" s="108">
        <f t="shared" si="20"/>
        <v>0.95140000000000025</v>
      </c>
      <c r="CH55" s="103"/>
      <c r="CI55" s="119" t="str">
        <f t="shared" si="9"/>
        <v>WRR0347_CFLscw-A(32w)</v>
      </c>
      <c r="CJ55" s="174">
        <f t="shared" si="7"/>
        <v>111</v>
      </c>
      <c r="CK55" s="113">
        <f t="shared" si="21"/>
        <v>1.3307999999999995</v>
      </c>
      <c r="CL55" s="108">
        <f t="shared" si="22"/>
        <v>3.7937999999999996</v>
      </c>
      <c r="CM55" s="108">
        <f t="shared" si="23"/>
        <v>2.1037999999999997</v>
      </c>
      <c r="CN55" s="108">
        <f t="shared" si="24"/>
        <v>0.94379999999999975</v>
      </c>
      <c r="CO55" s="108">
        <f t="shared" si="25"/>
        <v>0.94379999999999975</v>
      </c>
    </row>
    <row r="56" spans="1:93">
      <c r="A56" s="103" t="s">
        <v>259</v>
      </c>
      <c r="B56" s="103" t="s">
        <v>174</v>
      </c>
      <c r="C56" s="103" t="s">
        <v>221</v>
      </c>
      <c r="D56" s="250" t="s">
        <v>153</v>
      </c>
      <c r="E56" s="250"/>
      <c r="F56" s="182">
        <v>9020</v>
      </c>
      <c r="G56" s="250" t="s">
        <v>175</v>
      </c>
      <c r="H56" s="250">
        <v>40</v>
      </c>
      <c r="I56" s="250"/>
      <c r="J56" s="250"/>
      <c r="K56" s="250"/>
      <c r="L56" s="250" t="s">
        <v>61</v>
      </c>
      <c r="M56" s="250">
        <v>40</v>
      </c>
      <c r="N56" s="250"/>
      <c r="O56" s="250"/>
      <c r="P56" s="250" t="s">
        <v>153</v>
      </c>
      <c r="Q56" s="250"/>
      <c r="R56" s="250"/>
      <c r="S56" s="250"/>
      <c r="T56" s="250" t="s">
        <v>155</v>
      </c>
      <c r="U56" s="103" t="s">
        <v>260</v>
      </c>
      <c r="V56" s="106" t="s">
        <v>157</v>
      </c>
      <c r="W56" s="103" t="s">
        <v>81</v>
      </c>
      <c r="X56" s="103">
        <f>IFERROR(MATCH(W56,'CostModel Coef'!$C$9:$C$12,0),0)</f>
        <v>1</v>
      </c>
      <c r="Y56" s="103"/>
      <c r="Z56" s="103">
        <f>IF($X56&gt;0,INDEX('CostModel Coef'!D$9:D$12,$X56),"")</f>
        <v>3.0430000000000001</v>
      </c>
      <c r="AA56" s="103">
        <f>IF($X56&gt;0,INDEX('CostModel Coef'!E$9:E$12,$X56),"")</f>
        <v>-0.14966150225589619</v>
      </c>
      <c r="AB56" s="103">
        <f>IF($X56&gt;0,INDEX('CostModel Coef'!F$9:F$12,$X56),"")</f>
        <v>0.52692151711335011</v>
      </c>
      <c r="AC56" s="103">
        <f>IF($X56&gt;0,INDEX('CostModel Coef'!G$9:G$12,$X56),"")</f>
        <v>1.8411</v>
      </c>
      <c r="AD56" s="103">
        <f>IF($X56&gt;0,INDEX('CostModel Coef'!H$9:H$12,$X56),"")</f>
        <v>-1.8050999999999999</v>
      </c>
      <c r="AE56" s="103">
        <f>IF($X56&gt;0,INDEX('CostModel Coef'!J$9:J$12,$X56),"")</f>
        <v>-1.1288</v>
      </c>
      <c r="AF56" s="103">
        <f>IF($X56&gt;0,INDEX('CostModel Coef'!K$9:K$12,$X56),"")</f>
        <v>-1.845</v>
      </c>
      <c r="AG56" s="103">
        <f>IF($X56&gt;0,INDEX('CostModel Coef'!L$9:L$12,$X56),"")</f>
        <v>6.7507000000000001</v>
      </c>
      <c r="AH56" s="103">
        <f>IF($X56&gt;0,INDEX('CostModel Coef'!M$9:M$12,$X56),"")</f>
        <v>5.8051000000000004</v>
      </c>
      <c r="AI56" s="103">
        <f>IF($X56&gt;0,INDEX('CostModel Coef'!N$9:N$12,$X56),"")</f>
        <v>6.1600000000000002E-2</v>
      </c>
      <c r="AJ56" s="103">
        <f>IF($X56&gt;0,INDEX('CostModel Coef'!Q$9:Q$12,$X56),"")</f>
        <v>6.6500000000000004E-2</v>
      </c>
      <c r="AK56" s="103">
        <f>IF($X56&gt;0,INDEX('CostModel Coef'!T$9:T$12,$X56),"")</f>
        <v>9.35E-2</v>
      </c>
      <c r="AL56" s="103"/>
      <c r="AM56" s="108">
        <f t="shared" si="1"/>
        <v>8.0344920148574559</v>
      </c>
      <c r="AN56" s="108">
        <f t="shared" si="2"/>
        <v>9.8794920148574548</v>
      </c>
      <c r="AO56" s="108">
        <f t="shared" si="3"/>
        <v>8.0743920148574553</v>
      </c>
      <c r="AP56" s="108">
        <f t="shared" si="4"/>
        <v>8.0743920148574553</v>
      </c>
      <c r="AQ56" s="108">
        <f t="shared" si="5"/>
        <v>6.9455920148574553</v>
      </c>
      <c r="AR56" s="108"/>
      <c r="AS56" s="108"/>
      <c r="AT56" s="103">
        <f>IF($X56&gt;0,INDEX('CostModel Coef'!D$13:D$16,$X56),"")</f>
        <v>2.1320000000000001</v>
      </c>
      <c r="AU56" s="103">
        <f>IF($X56&gt;0,INDEX('CostModel Coef'!E$13:E$16,$X56),"")</f>
        <v>0.23699999999999999</v>
      </c>
      <c r="AV56" s="103">
        <f>IF($X56&gt;0,INDEX('CostModel Coef'!F$13:F$16,$X56),"")</f>
        <v>0.59899999999999998</v>
      </c>
      <c r="AW56" s="103">
        <f>IF($X56&gt;0,INDEX('CostModel Coef'!G$13:G$16,$X56),"")</f>
        <v>0</v>
      </c>
      <c r="AX56" s="103">
        <f>IF($X56&gt;0,INDEX('CostModel Coef'!H$13:H$16,$X56),"")</f>
        <v>-1.69</v>
      </c>
      <c r="AY56" s="103">
        <f>IF($X56&gt;0,INDEX('CostModel Coef'!I$13:I$16,$X56),"")</f>
        <v>-1.1599999999999999</v>
      </c>
      <c r="AZ56" s="103">
        <f>IF($X56&gt;0,INDEX('CostModel Coef'!J$13:J$16,$X56),"")</f>
        <v>0</v>
      </c>
      <c r="BA56" s="103">
        <f>IF($X56&gt;0,INDEX('CostModel Coef'!K$13:K$16,$X56),"")</f>
        <v>-2.4630000000000001</v>
      </c>
      <c r="BB56" s="103">
        <f>IF($X56&gt;0,INDEX('CostModel Coef'!L$13:L$16,$X56),"")</f>
        <v>0.46179999999999999</v>
      </c>
      <c r="BC56" s="103">
        <f>IF($X56&gt;0,INDEX('CostModel Coef'!M$13:M$16,$X56),"")</f>
        <v>0</v>
      </c>
      <c r="BD56" s="103">
        <f>IF($X56&gt;0,INDEX('CostModel Coef'!N$13:N$16,$X56),"")</f>
        <v>0.19869999999999999</v>
      </c>
      <c r="BE56" s="103">
        <f>IF($X56&gt;0,INDEX('CostModel Coef'!O$13:O$16,$X56),"")</f>
        <v>0.6</v>
      </c>
      <c r="BF56" s="103">
        <f>IF($X56&gt;0,INDEX('CostModel Coef'!P$13:P$16,$X56),"")</f>
        <v>15</v>
      </c>
      <c r="BG56" s="103">
        <f>IF($X56&gt;0,INDEX('CostModel Coef'!Q$13:Q$16,$X56),"")</f>
        <v>0</v>
      </c>
      <c r="BH56" s="103">
        <f>IF($X56&gt;0,INDEX('CostModel Coef'!R$13:R$16,$X56),"")</f>
        <v>3</v>
      </c>
      <c r="BI56" s="103">
        <f>IF($X56&gt;0,INDEX('CostModel Coef'!S$13:S$16,$X56),"")</f>
        <v>150</v>
      </c>
      <c r="BJ56" s="103">
        <f>IF($X56&gt;0,INDEX('CostModel Coef'!T$13:T$16,$X56),"")</f>
        <v>0</v>
      </c>
      <c r="BK56" s="103">
        <f>IF($X56&gt;0,INDEX('CostModel Coef'!U$13:U$16,$X56),"")</f>
        <v>9.1999999999999998E-3</v>
      </c>
      <c r="BL56" s="103">
        <f>IF($X56&gt;0,INDEX('CostModel Coef'!V$13:V$16,$X56),"")</f>
        <v>-8.8000000000000005E-3</v>
      </c>
      <c r="BM56" s="103">
        <f>IF($X56&gt;0,INDEX('CostModel Coef'!W$13:W$16,$X56),"")</f>
        <v>0</v>
      </c>
      <c r="BN56" s="103">
        <f>IF($X56&gt;0,INDEX('CostModel Coef'!X$13:X$16,$X56),"")</f>
        <v>0</v>
      </c>
      <c r="BO56" s="103"/>
      <c r="BP56" s="119">
        <v>2000</v>
      </c>
      <c r="BQ56" s="103"/>
      <c r="BR56" s="103"/>
      <c r="BS56" s="119" t="str">
        <f t="shared" si="8"/>
        <v>WRR0347_CFLscw-A(40w)</v>
      </c>
      <c r="BT56" s="174">
        <f t="shared" si="0"/>
        <v>139</v>
      </c>
      <c r="BU56" s="113">
        <f t="shared" si="10"/>
        <v>1.3419999999999996</v>
      </c>
      <c r="BV56" s="108">
        <f t="shared" si="11"/>
        <v>3.8049999999999997</v>
      </c>
      <c r="BW56" s="108">
        <f t="shared" si="12"/>
        <v>2.1149999999999998</v>
      </c>
      <c r="BX56" s="108">
        <f t="shared" si="13"/>
        <v>0.95499999999999985</v>
      </c>
      <c r="BY56" s="108">
        <f t="shared" si="14"/>
        <v>0.95499999999999985</v>
      </c>
      <c r="BZ56" s="108"/>
      <c r="CA56" s="119" t="str">
        <f t="shared" si="15"/>
        <v>WRR0407_CFLscw-A(40w)</v>
      </c>
      <c r="CB56" s="174">
        <f t="shared" si="6"/>
        <v>163</v>
      </c>
      <c r="CC56" s="113" t="str">
        <f t="shared" si="16"/>
        <v/>
      </c>
      <c r="CD56" s="108" t="str">
        <f t="shared" si="17"/>
        <v/>
      </c>
      <c r="CE56" s="108" t="str">
        <f t="shared" si="18"/>
        <v/>
      </c>
      <c r="CF56" s="108" t="str">
        <f t="shared" si="19"/>
        <v/>
      </c>
      <c r="CG56" s="108" t="str">
        <f t="shared" si="20"/>
        <v/>
      </c>
      <c r="CH56" s="103"/>
      <c r="CI56" s="119" t="str">
        <f t="shared" si="9"/>
        <v>WRR0347_CFLscw-A(40w)</v>
      </c>
      <c r="CJ56" s="174">
        <f t="shared" si="7"/>
        <v>139</v>
      </c>
      <c r="CK56" s="113">
        <f t="shared" si="21"/>
        <v>1.3419999999999996</v>
      </c>
      <c r="CL56" s="108">
        <f t="shared" si="22"/>
        <v>3.8049999999999997</v>
      </c>
      <c r="CM56" s="108">
        <f t="shared" si="23"/>
        <v>2.1149999999999998</v>
      </c>
      <c r="CN56" s="108">
        <f t="shared" si="24"/>
        <v>0.95499999999999985</v>
      </c>
      <c r="CO56" s="108">
        <f t="shared" si="25"/>
        <v>0.95499999999999985</v>
      </c>
    </row>
    <row r="57" spans="1:93">
      <c r="A57" s="103" t="s">
        <v>261</v>
      </c>
      <c r="B57" s="103" t="s">
        <v>174</v>
      </c>
      <c r="C57" s="103" t="s">
        <v>221</v>
      </c>
      <c r="D57" s="250" t="s">
        <v>153</v>
      </c>
      <c r="E57" s="250"/>
      <c r="F57" s="182">
        <v>9020</v>
      </c>
      <c r="G57" s="250" t="s">
        <v>175</v>
      </c>
      <c r="H57" s="250">
        <v>42</v>
      </c>
      <c r="I57" s="250"/>
      <c r="J57" s="250"/>
      <c r="K57" s="250"/>
      <c r="L57" s="250" t="s">
        <v>61</v>
      </c>
      <c r="M57" s="250">
        <v>42</v>
      </c>
      <c r="N57" s="250"/>
      <c r="O57" s="250"/>
      <c r="P57" s="250" t="s">
        <v>153</v>
      </c>
      <c r="Q57" s="250"/>
      <c r="R57" s="250"/>
      <c r="S57" s="250"/>
      <c r="T57" s="250" t="s">
        <v>155</v>
      </c>
      <c r="U57" s="103" t="s">
        <v>262</v>
      </c>
      <c r="V57" s="106" t="s">
        <v>157</v>
      </c>
      <c r="W57" s="103" t="s">
        <v>81</v>
      </c>
      <c r="X57" s="103">
        <f>IFERROR(MATCH(W57,'CostModel Coef'!$C$9:$C$12,0),0)</f>
        <v>1</v>
      </c>
      <c r="Y57" s="103"/>
      <c r="Z57" s="103">
        <f>IF($X57&gt;0,INDEX('CostModel Coef'!D$9:D$12,$X57),"")</f>
        <v>3.0430000000000001</v>
      </c>
      <c r="AA57" s="103">
        <f>IF($X57&gt;0,INDEX('CostModel Coef'!E$9:E$12,$X57),"")</f>
        <v>-0.14966150225589619</v>
      </c>
      <c r="AB57" s="103">
        <f>IF($X57&gt;0,INDEX('CostModel Coef'!F$9:F$12,$X57),"")</f>
        <v>0.52692151711335011</v>
      </c>
      <c r="AC57" s="103">
        <f>IF($X57&gt;0,INDEX('CostModel Coef'!G$9:G$12,$X57),"")</f>
        <v>1.8411</v>
      </c>
      <c r="AD57" s="103">
        <f>IF($X57&gt;0,INDEX('CostModel Coef'!H$9:H$12,$X57),"")</f>
        <v>-1.8050999999999999</v>
      </c>
      <c r="AE57" s="103">
        <f>IF($X57&gt;0,INDEX('CostModel Coef'!J$9:J$12,$X57),"")</f>
        <v>-1.1288</v>
      </c>
      <c r="AF57" s="103">
        <f>IF($X57&gt;0,INDEX('CostModel Coef'!K$9:K$12,$X57),"")</f>
        <v>-1.845</v>
      </c>
      <c r="AG57" s="103">
        <f>IF($X57&gt;0,INDEX('CostModel Coef'!L$9:L$12,$X57),"")</f>
        <v>6.7507000000000001</v>
      </c>
      <c r="AH57" s="103">
        <f>IF($X57&gt;0,INDEX('CostModel Coef'!M$9:M$12,$X57),"")</f>
        <v>5.8051000000000004</v>
      </c>
      <c r="AI57" s="103">
        <f>IF($X57&gt;0,INDEX('CostModel Coef'!N$9:N$12,$X57),"")</f>
        <v>6.1600000000000002E-2</v>
      </c>
      <c r="AJ57" s="103">
        <f>IF($X57&gt;0,INDEX('CostModel Coef'!Q$9:Q$12,$X57),"")</f>
        <v>6.6500000000000004E-2</v>
      </c>
      <c r="AK57" s="103">
        <f>IF($X57&gt;0,INDEX('CostModel Coef'!T$9:T$12,$X57),"")</f>
        <v>9.35E-2</v>
      </c>
      <c r="AL57" s="103"/>
      <c r="AM57" s="108">
        <f t="shared" si="1"/>
        <v>8.3544920148574544</v>
      </c>
      <c r="AN57" s="108">
        <f t="shared" si="2"/>
        <v>10.199492014857453</v>
      </c>
      <c r="AO57" s="108">
        <f t="shared" si="3"/>
        <v>8.3943920148574538</v>
      </c>
      <c r="AP57" s="108">
        <f t="shared" si="4"/>
        <v>8.3943920148574538</v>
      </c>
      <c r="AQ57" s="108">
        <f t="shared" si="5"/>
        <v>7.2655920148574538</v>
      </c>
      <c r="AR57" s="108"/>
      <c r="AS57" s="108"/>
      <c r="AT57" s="103">
        <f>IF($X57&gt;0,INDEX('CostModel Coef'!D$13:D$16,$X57),"")</f>
        <v>2.1320000000000001</v>
      </c>
      <c r="AU57" s="103">
        <f>IF($X57&gt;0,INDEX('CostModel Coef'!E$13:E$16,$X57),"")</f>
        <v>0.23699999999999999</v>
      </c>
      <c r="AV57" s="103">
        <f>IF($X57&gt;0,INDEX('CostModel Coef'!F$13:F$16,$X57),"")</f>
        <v>0.59899999999999998</v>
      </c>
      <c r="AW57" s="103">
        <f>IF($X57&gt;0,INDEX('CostModel Coef'!G$13:G$16,$X57),"")</f>
        <v>0</v>
      </c>
      <c r="AX57" s="103">
        <f>IF($X57&gt;0,INDEX('CostModel Coef'!H$13:H$16,$X57),"")</f>
        <v>-1.69</v>
      </c>
      <c r="AY57" s="103">
        <f>IF($X57&gt;0,INDEX('CostModel Coef'!I$13:I$16,$X57),"")</f>
        <v>-1.1599999999999999</v>
      </c>
      <c r="AZ57" s="103">
        <f>IF($X57&gt;0,INDEX('CostModel Coef'!J$13:J$16,$X57),"")</f>
        <v>0</v>
      </c>
      <c r="BA57" s="103">
        <f>IF($X57&gt;0,INDEX('CostModel Coef'!K$13:K$16,$X57),"")</f>
        <v>-2.4630000000000001</v>
      </c>
      <c r="BB57" s="103">
        <f>IF($X57&gt;0,INDEX('CostModel Coef'!L$13:L$16,$X57),"")</f>
        <v>0.46179999999999999</v>
      </c>
      <c r="BC57" s="103">
        <f>IF($X57&gt;0,INDEX('CostModel Coef'!M$13:M$16,$X57),"")</f>
        <v>0</v>
      </c>
      <c r="BD57" s="103">
        <f>IF($X57&gt;0,INDEX('CostModel Coef'!N$13:N$16,$X57),"")</f>
        <v>0.19869999999999999</v>
      </c>
      <c r="BE57" s="103">
        <f>IF($X57&gt;0,INDEX('CostModel Coef'!O$13:O$16,$X57),"")</f>
        <v>0.6</v>
      </c>
      <c r="BF57" s="103">
        <f>IF($X57&gt;0,INDEX('CostModel Coef'!P$13:P$16,$X57),"")</f>
        <v>15</v>
      </c>
      <c r="BG57" s="103">
        <f>IF($X57&gt;0,INDEX('CostModel Coef'!Q$13:Q$16,$X57),"")</f>
        <v>0</v>
      </c>
      <c r="BH57" s="103">
        <f>IF($X57&gt;0,INDEX('CostModel Coef'!R$13:R$16,$X57),"")</f>
        <v>3</v>
      </c>
      <c r="BI57" s="103">
        <f>IF($X57&gt;0,INDEX('CostModel Coef'!S$13:S$16,$X57),"")</f>
        <v>150</v>
      </c>
      <c r="BJ57" s="103">
        <f>IF($X57&gt;0,INDEX('CostModel Coef'!T$13:T$16,$X57),"")</f>
        <v>0</v>
      </c>
      <c r="BK57" s="103">
        <f>IF($X57&gt;0,INDEX('CostModel Coef'!U$13:U$16,$X57),"")</f>
        <v>9.1999999999999998E-3</v>
      </c>
      <c r="BL57" s="103">
        <f>IF($X57&gt;0,INDEX('CostModel Coef'!V$13:V$16,$X57),"")</f>
        <v>-8.8000000000000005E-3</v>
      </c>
      <c r="BM57" s="103">
        <f>IF($X57&gt;0,INDEX('CostModel Coef'!W$13:W$16,$X57),"")</f>
        <v>0</v>
      </c>
      <c r="BN57" s="103">
        <f>IF($X57&gt;0,INDEX('CostModel Coef'!X$13:X$16,$X57),"")</f>
        <v>0</v>
      </c>
      <c r="BO57" s="103"/>
      <c r="BP57" s="119">
        <v>2000</v>
      </c>
      <c r="BQ57" s="103"/>
      <c r="BR57" s="103"/>
      <c r="BS57" s="119" t="str">
        <f t="shared" si="8"/>
        <v>WRR0347_CFLscw-A(42w)</v>
      </c>
      <c r="BT57" s="174">
        <f t="shared" si="0"/>
        <v>146</v>
      </c>
      <c r="BU57" s="113">
        <f t="shared" si="10"/>
        <v>1.3447999999999998</v>
      </c>
      <c r="BV57" s="108">
        <f t="shared" si="11"/>
        <v>3.8077999999999999</v>
      </c>
      <c r="BW57" s="108">
        <f t="shared" si="12"/>
        <v>2.1177999999999999</v>
      </c>
      <c r="BX57" s="108">
        <f t="shared" si="13"/>
        <v>0.95779999999999998</v>
      </c>
      <c r="BY57" s="108">
        <f t="shared" si="14"/>
        <v>0.95779999999999998</v>
      </c>
      <c r="BZ57" s="108"/>
      <c r="CA57" s="119" t="str">
        <f t="shared" si="15"/>
        <v>WRR0407_CFLscw-A(42w)</v>
      </c>
      <c r="CB57" s="174">
        <f t="shared" si="6"/>
        <v>171</v>
      </c>
      <c r="CC57" s="113" t="str">
        <f t="shared" si="16"/>
        <v/>
      </c>
      <c r="CD57" s="108" t="str">
        <f t="shared" si="17"/>
        <v/>
      </c>
      <c r="CE57" s="108" t="str">
        <f t="shared" si="18"/>
        <v/>
      </c>
      <c r="CF57" s="108" t="str">
        <f t="shared" si="19"/>
        <v/>
      </c>
      <c r="CG57" s="108" t="str">
        <f t="shared" si="20"/>
        <v/>
      </c>
      <c r="CH57" s="103"/>
      <c r="CI57" s="119" t="str">
        <f t="shared" si="9"/>
        <v>WRR0347_CFLscw-A(42w)</v>
      </c>
      <c r="CJ57" s="174">
        <f t="shared" si="7"/>
        <v>146</v>
      </c>
      <c r="CK57" s="113">
        <f t="shared" si="21"/>
        <v>1.3447999999999998</v>
      </c>
      <c r="CL57" s="108">
        <f t="shared" si="22"/>
        <v>3.8077999999999999</v>
      </c>
      <c r="CM57" s="108">
        <f t="shared" si="23"/>
        <v>2.1177999999999999</v>
      </c>
      <c r="CN57" s="108">
        <f t="shared" si="24"/>
        <v>0.95779999999999998</v>
      </c>
      <c r="CO57" s="108">
        <f t="shared" si="25"/>
        <v>0.95779999999999998</v>
      </c>
    </row>
    <row r="58" spans="1:93">
      <c r="A58" s="103" t="s">
        <v>263</v>
      </c>
      <c r="B58" s="103" t="s">
        <v>174</v>
      </c>
      <c r="C58" s="103" t="s">
        <v>221</v>
      </c>
      <c r="D58" s="250" t="s">
        <v>153</v>
      </c>
      <c r="E58" s="250"/>
      <c r="F58" s="182">
        <v>9020</v>
      </c>
      <c r="G58" s="250" t="s">
        <v>175</v>
      </c>
      <c r="H58" s="250">
        <v>45</v>
      </c>
      <c r="I58" s="250"/>
      <c r="J58" s="250"/>
      <c r="K58" s="250"/>
      <c r="L58" s="250" t="s">
        <v>61</v>
      </c>
      <c r="M58" s="250">
        <v>45</v>
      </c>
      <c r="N58" s="250"/>
      <c r="O58" s="250"/>
      <c r="P58" s="250" t="s">
        <v>153</v>
      </c>
      <c r="Q58" s="250"/>
      <c r="R58" s="250"/>
      <c r="S58" s="250"/>
      <c r="T58" s="250" t="s">
        <v>155</v>
      </c>
      <c r="U58" s="103" t="s">
        <v>264</v>
      </c>
      <c r="V58" s="106" t="s">
        <v>157</v>
      </c>
      <c r="W58" s="103" t="s">
        <v>81</v>
      </c>
      <c r="X58" s="103">
        <f>IFERROR(MATCH(W58,'CostModel Coef'!$C$9:$C$12,0),0)</f>
        <v>1</v>
      </c>
      <c r="Y58" s="103"/>
      <c r="Z58" s="103">
        <f>IF($X58&gt;0,INDEX('CostModel Coef'!D$9:D$12,$X58),"")</f>
        <v>3.0430000000000001</v>
      </c>
      <c r="AA58" s="103">
        <f>IF($X58&gt;0,INDEX('CostModel Coef'!E$9:E$12,$X58),"")</f>
        <v>-0.14966150225589619</v>
      </c>
      <c r="AB58" s="103">
        <f>IF($X58&gt;0,INDEX('CostModel Coef'!F$9:F$12,$X58),"")</f>
        <v>0.52692151711335011</v>
      </c>
      <c r="AC58" s="103">
        <f>IF($X58&gt;0,INDEX('CostModel Coef'!G$9:G$12,$X58),"")</f>
        <v>1.8411</v>
      </c>
      <c r="AD58" s="103">
        <f>IF($X58&gt;0,INDEX('CostModel Coef'!H$9:H$12,$X58),"")</f>
        <v>-1.8050999999999999</v>
      </c>
      <c r="AE58" s="103">
        <f>IF($X58&gt;0,INDEX('CostModel Coef'!J$9:J$12,$X58),"")</f>
        <v>-1.1288</v>
      </c>
      <c r="AF58" s="103">
        <f>IF($X58&gt;0,INDEX('CostModel Coef'!K$9:K$12,$X58),"")</f>
        <v>-1.845</v>
      </c>
      <c r="AG58" s="103">
        <f>IF($X58&gt;0,INDEX('CostModel Coef'!L$9:L$12,$X58),"")</f>
        <v>6.7507000000000001</v>
      </c>
      <c r="AH58" s="103">
        <f>IF($X58&gt;0,INDEX('CostModel Coef'!M$9:M$12,$X58),"")</f>
        <v>5.8051000000000004</v>
      </c>
      <c r="AI58" s="103">
        <f>IF($X58&gt;0,INDEX('CostModel Coef'!N$9:N$12,$X58),"")</f>
        <v>6.1600000000000002E-2</v>
      </c>
      <c r="AJ58" s="103">
        <f>IF($X58&gt;0,INDEX('CostModel Coef'!Q$9:Q$12,$X58),"")</f>
        <v>6.6500000000000004E-2</v>
      </c>
      <c r="AK58" s="103">
        <f>IF($X58&gt;0,INDEX('CostModel Coef'!T$9:T$12,$X58),"")</f>
        <v>9.35E-2</v>
      </c>
      <c r="AL58" s="103"/>
      <c r="AM58" s="108">
        <f t="shared" si="1"/>
        <v>8.8344920148574548</v>
      </c>
      <c r="AN58" s="108">
        <f t="shared" si="2"/>
        <v>10.679492014857455</v>
      </c>
      <c r="AO58" s="108">
        <f t="shared" si="3"/>
        <v>8.8743920148574542</v>
      </c>
      <c r="AP58" s="108">
        <f t="shared" si="4"/>
        <v>8.8743920148574542</v>
      </c>
      <c r="AQ58" s="108">
        <f t="shared" si="5"/>
        <v>7.7455920148574542</v>
      </c>
      <c r="AR58" s="108"/>
      <c r="AS58" s="108"/>
      <c r="AT58" s="103">
        <f>IF($X58&gt;0,INDEX('CostModel Coef'!D$13:D$16,$X58),"")</f>
        <v>2.1320000000000001</v>
      </c>
      <c r="AU58" s="103">
        <f>IF($X58&gt;0,INDEX('CostModel Coef'!E$13:E$16,$X58),"")</f>
        <v>0.23699999999999999</v>
      </c>
      <c r="AV58" s="103">
        <f>IF($X58&gt;0,INDEX('CostModel Coef'!F$13:F$16,$X58),"")</f>
        <v>0.59899999999999998</v>
      </c>
      <c r="AW58" s="103">
        <f>IF($X58&gt;0,INDEX('CostModel Coef'!G$13:G$16,$X58),"")</f>
        <v>0</v>
      </c>
      <c r="AX58" s="103">
        <f>IF($X58&gt;0,INDEX('CostModel Coef'!H$13:H$16,$X58),"")</f>
        <v>-1.69</v>
      </c>
      <c r="AY58" s="103">
        <f>IF($X58&gt;0,INDEX('CostModel Coef'!I$13:I$16,$X58),"")</f>
        <v>-1.1599999999999999</v>
      </c>
      <c r="AZ58" s="103">
        <f>IF($X58&gt;0,INDEX('CostModel Coef'!J$13:J$16,$X58),"")</f>
        <v>0</v>
      </c>
      <c r="BA58" s="103">
        <f>IF($X58&gt;0,INDEX('CostModel Coef'!K$13:K$16,$X58),"")</f>
        <v>-2.4630000000000001</v>
      </c>
      <c r="BB58" s="103">
        <f>IF($X58&gt;0,INDEX('CostModel Coef'!L$13:L$16,$X58),"")</f>
        <v>0.46179999999999999</v>
      </c>
      <c r="BC58" s="103">
        <f>IF($X58&gt;0,INDEX('CostModel Coef'!M$13:M$16,$X58),"")</f>
        <v>0</v>
      </c>
      <c r="BD58" s="103">
        <f>IF($X58&gt;0,INDEX('CostModel Coef'!N$13:N$16,$X58),"")</f>
        <v>0.19869999999999999</v>
      </c>
      <c r="BE58" s="103">
        <f>IF($X58&gt;0,INDEX('CostModel Coef'!O$13:O$16,$X58),"")</f>
        <v>0.6</v>
      </c>
      <c r="BF58" s="103">
        <f>IF($X58&gt;0,INDEX('CostModel Coef'!P$13:P$16,$X58),"")</f>
        <v>15</v>
      </c>
      <c r="BG58" s="103">
        <f>IF($X58&gt;0,INDEX('CostModel Coef'!Q$13:Q$16,$X58),"")</f>
        <v>0</v>
      </c>
      <c r="BH58" s="103">
        <f>IF($X58&gt;0,INDEX('CostModel Coef'!R$13:R$16,$X58),"")</f>
        <v>3</v>
      </c>
      <c r="BI58" s="103">
        <f>IF($X58&gt;0,INDEX('CostModel Coef'!S$13:S$16,$X58),"")</f>
        <v>150</v>
      </c>
      <c r="BJ58" s="103">
        <f>IF($X58&gt;0,INDEX('CostModel Coef'!T$13:T$16,$X58),"")</f>
        <v>0</v>
      </c>
      <c r="BK58" s="103">
        <f>IF($X58&gt;0,INDEX('CostModel Coef'!U$13:U$16,$X58),"")</f>
        <v>9.1999999999999998E-3</v>
      </c>
      <c r="BL58" s="103">
        <f>IF($X58&gt;0,INDEX('CostModel Coef'!V$13:V$16,$X58),"")</f>
        <v>-8.8000000000000005E-3</v>
      </c>
      <c r="BM58" s="103">
        <f>IF($X58&gt;0,INDEX('CostModel Coef'!W$13:W$16,$X58),"")</f>
        <v>0</v>
      </c>
      <c r="BN58" s="103">
        <f>IF($X58&gt;0,INDEX('CostModel Coef'!X$13:X$16,$X58),"")</f>
        <v>0</v>
      </c>
      <c r="BO58" s="103"/>
      <c r="BP58" s="119">
        <v>2000</v>
      </c>
      <c r="BQ58" s="103"/>
      <c r="BR58" s="103"/>
      <c r="BS58" s="119" t="str">
        <f t="shared" si="8"/>
        <v>WRR0347_CFLscw-A(45w)</v>
      </c>
      <c r="BT58" s="174">
        <f t="shared" si="0"/>
        <v>156</v>
      </c>
      <c r="BU58" s="113" t="str">
        <f t="shared" si="10"/>
        <v>OOS</v>
      </c>
      <c r="BV58" s="108" t="str">
        <f t="shared" si="11"/>
        <v>OOS</v>
      </c>
      <c r="BW58" s="108" t="str">
        <f t="shared" si="12"/>
        <v>OOS</v>
      </c>
      <c r="BX58" s="108" t="str">
        <f t="shared" si="13"/>
        <v>OOS</v>
      </c>
      <c r="BY58" s="108" t="str">
        <f t="shared" si="14"/>
        <v>OOS</v>
      </c>
      <c r="BZ58" s="108"/>
      <c r="CA58" s="119" t="str">
        <f t="shared" si="15"/>
        <v>WRR0407_CFLscw-A(45w)</v>
      </c>
      <c r="CB58" s="174">
        <f t="shared" si="6"/>
        <v>183</v>
      </c>
      <c r="CC58" s="113" t="str">
        <f t="shared" si="16"/>
        <v/>
      </c>
      <c r="CD58" s="108" t="str">
        <f t="shared" si="17"/>
        <v/>
      </c>
      <c r="CE58" s="108" t="str">
        <f t="shared" si="18"/>
        <v/>
      </c>
      <c r="CF58" s="108" t="str">
        <f t="shared" si="19"/>
        <v/>
      </c>
      <c r="CG58" s="108" t="str">
        <f t="shared" si="20"/>
        <v/>
      </c>
      <c r="CH58" s="103"/>
      <c r="CI58" s="119" t="str">
        <f t="shared" si="9"/>
        <v>WRR0347_CFLscw-A(45w)</v>
      </c>
      <c r="CJ58" s="174">
        <f t="shared" si="7"/>
        <v>156</v>
      </c>
      <c r="CK58" s="113" t="str">
        <f t="shared" si="21"/>
        <v/>
      </c>
      <c r="CL58" s="108" t="str">
        <f t="shared" si="22"/>
        <v/>
      </c>
      <c r="CM58" s="108" t="str">
        <f t="shared" si="23"/>
        <v/>
      </c>
      <c r="CN58" s="108" t="str">
        <f t="shared" si="24"/>
        <v/>
      </c>
      <c r="CO58" s="108" t="str">
        <f t="shared" si="25"/>
        <v/>
      </c>
    </row>
    <row r="59" spans="1:93">
      <c r="A59" s="103" t="s">
        <v>265</v>
      </c>
      <c r="B59" s="103" t="s">
        <v>174</v>
      </c>
      <c r="C59" s="103" t="s">
        <v>221</v>
      </c>
      <c r="D59" s="250" t="s">
        <v>153</v>
      </c>
      <c r="E59" s="250"/>
      <c r="F59" s="182">
        <v>9020</v>
      </c>
      <c r="G59" s="250" t="s">
        <v>175</v>
      </c>
      <c r="H59" s="250">
        <v>55</v>
      </c>
      <c r="I59" s="250"/>
      <c r="J59" s="250"/>
      <c r="K59" s="250"/>
      <c r="L59" s="250" t="s">
        <v>61</v>
      </c>
      <c r="M59" s="250">
        <v>55</v>
      </c>
      <c r="N59" s="250"/>
      <c r="O59" s="250"/>
      <c r="P59" s="250" t="s">
        <v>153</v>
      </c>
      <c r="Q59" s="250"/>
      <c r="R59" s="250"/>
      <c r="S59" s="250"/>
      <c r="T59" s="250" t="s">
        <v>155</v>
      </c>
      <c r="U59" s="103" t="s">
        <v>266</v>
      </c>
      <c r="V59" s="106" t="s">
        <v>157</v>
      </c>
      <c r="W59" s="103" t="s">
        <v>81</v>
      </c>
      <c r="X59" s="103">
        <f>IFERROR(MATCH(W59,'CostModel Coef'!$C$9:$C$12,0),0)</f>
        <v>1</v>
      </c>
      <c r="Y59" s="103"/>
      <c r="Z59" s="103">
        <f>IF($X59&gt;0,INDEX('CostModel Coef'!D$9:D$12,$X59),"")</f>
        <v>3.0430000000000001</v>
      </c>
      <c r="AA59" s="103">
        <f>IF($X59&gt;0,INDEX('CostModel Coef'!E$9:E$12,$X59),"")</f>
        <v>-0.14966150225589619</v>
      </c>
      <c r="AB59" s="103">
        <f>IF($X59&gt;0,INDEX('CostModel Coef'!F$9:F$12,$X59),"")</f>
        <v>0.52692151711335011</v>
      </c>
      <c r="AC59" s="103">
        <f>IF($X59&gt;0,INDEX('CostModel Coef'!G$9:G$12,$X59),"")</f>
        <v>1.8411</v>
      </c>
      <c r="AD59" s="103">
        <f>IF($X59&gt;0,INDEX('CostModel Coef'!H$9:H$12,$X59),"")</f>
        <v>-1.8050999999999999</v>
      </c>
      <c r="AE59" s="103">
        <f>IF($X59&gt;0,INDEX('CostModel Coef'!J$9:J$12,$X59),"")</f>
        <v>-1.1288</v>
      </c>
      <c r="AF59" s="103">
        <f>IF($X59&gt;0,INDEX('CostModel Coef'!K$9:K$12,$X59),"")</f>
        <v>-1.845</v>
      </c>
      <c r="AG59" s="103">
        <f>IF($X59&gt;0,INDEX('CostModel Coef'!L$9:L$12,$X59),"")</f>
        <v>6.7507000000000001</v>
      </c>
      <c r="AH59" s="103">
        <f>IF($X59&gt;0,INDEX('CostModel Coef'!M$9:M$12,$X59),"")</f>
        <v>5.8051000000000004</v>
      </c>
      <c r="AI59" s="103">
        <f>IF($X59&gt;0,INDEX('CostModel Coef'!N$9:N$12,$X59),"")</f>
        <v>6.1600000000000002E-2</v>
      </c>
      <c r="AJ59" s="103">
        <f>IF($X59&gt;0,INDEX('CostModel Coef'!Q$9:Q$12,$X59),"")</f>
        <v>6.6500000000000004E-2</v>
      </c>
      <c r="AK59" s="103">
        <f>IF($X59&gt;0,INDEX('CostModel Coef'!T$9:T$12,$X59),"")</f>
        <v>9.35E-2</v>
      </c>
      <c r="AL59" s="103"/>
      <c r="AM59" s="108">
        <f t="shared" si="1"/>
        <v>10.434492014857454</v>
      </c>
      <c r="AN59" s="108">
        <f t="shared" si="2"/>
        <v>12.279492014857453</v>
      </c>
      <c r="AO59" s="108">
        <f t="shared" si="3"/>
        <v>10.474392014857454</v>
      </c>
      <c r="AP59" s="108">
        <f t="shared" si="4"/>
        <v>10.474392014857454</v>
      </c>
      <c r="AQ59" s="108">
        <f t="shared" si="5"/>
        <v>9.3455920148574538</v>
      </c>
      <c r="AR59" s="108"/>
      <c r="AS59" s="108"/>
      <c r="AT59" s="103">
        <f>IF($X59&gt;0,INDEX('CostModel Coef'!D$13:D$16,$X59),"")</f>
        <v>2.1320000000000001</v>
      </c>
      <c r="AU59" s="103">
        <f>IF($X59&gt;0,INDEX('CostModel Coef'!E$13:E$16,$X59),"")</f>
        <v>0.23699999999999999</v>
      </c>
      <c r="AV59" s="103">
        <f>IF($X59&gt;0,INDEX('CostModel Coef'!F$13:F$16,$X59),"")</f>
        <v>0.59899999999999998</v>
      </c>
      <c r="AW59" s="103">
        <f>IF($X59&gt;0,INDEX('CostModel Coef'!G$13:G$16,$X59),"")</f>
        <v>0</v>
      </c>
      <c r="AX59" s="103">
        <f>IF($X59&gt;0,INDEX('CostModel Coef'!H$13:H$16,$X59),"")</f>
        <v>-1.69</v>
      </c>
      <c r="AY59" s="103">
        <f>IF($X59&gt;0,INDEX('CostModel Coef'!I$13:I$16,$X59),"")</f>
        <v>-1.1599999999999999</v>
      </c>
      <c r="AZ59" s="103">
        <f>IF($X59&gt;0,INDEX('CostModel Coef'!J$13:J$16,$X59),"")</f>
        <v>0</v>
      </c>
      <c r="BA59" s="103">
        <f>IF($X59&gt;0,INDEX('CostModel Coef'!K$13:K$16,$X59),"")</f>
        <v>-2.4630000000000001</v>
      </c>
      <c r="BB59" s="103">
        <f>IF($X59&gt;0,INDEX('CostModel Coef'!L$13:L$16,$X59),"")</f>
        <v>0.46179999999999999</v>
      </c>
      <c r="BC59" s="103">
        <f>IF($X59&gt;0,INDEX('CostModel Coef'!M$13:M$16,$X59),"")</f>
        <v>0</v>
      </c>
      <c r="BD59" s="103">
        <f>IF($X59&gt;0,INDEX('CostModel Coef'!N$13:N$16,$X59),"")</f>
        <v>0.19869999999999999</v>
      </c>
      <c r="BE59" s="103">
        <f>IF($X59&gt;0,INDEX('CostModel Coef'!O$13:O$16,$X59),"")</f>
        <v>0.6</v>
      </c>
      <c r="BF59" s="103">
        <f>IF($X59&gt;0,INDEX('CostModel Coef'!P$13:P$16,$X59),"")</f>
        <v>15</v>
      </c>
      <c r="BG59" s="103">
        <f>IF($X59&gt;0,INDEX('CostModel Coef'!Q$13:Q$16,$X59),"")</f>
        <v>0</v>
      </c>
      <c r="BH59" s="103">
        <f>IF($X59&gt;0,INDEX('CostModel Coef'!R$13:R$16,$X59),"")</f>
        <v>3</v>
      </c>
      <c r="BI59" s="103">
        <f>IF($X59&gt;0,INDEX('CostModel Coef'!S$13:S$16,$X59),"")</f>
        <v>150</v>
      </c>
      <c r="BJ59" s="103">
        <f>IF($X59&gt;0,INDEX('CostModel Coef'!T$13:T$16,$X59),"")</f>
        <v>0</v>
      </c>
      <c r="BK59" s="103">
        <f>IF($X59&gt;0,INDEX('CostModel Coef'!U$13:U$16,$X59),"")</f>
        <v>9.1999999999999998E-3</v>
      </c>
      <c r="BL59" s="103">
        <f>IF($X59&gt;0,INDEX('CostModel Coef'!V$13:V$16,$X59),"")</f>
        <v>-8.8000000000000005E-3</v>
      </c>
      <c r="BM59" s="103">
        <f>IF($X59&gt;0,INDEX('CostModel Coef'!W$13:W$16,$X59),"")</f>
        <v>0</v>
      </c>
      <c r="BN59" s="103">
        <f>IF($X59&gt;0,INDEX('CostModel Coef'!X$13:X$16,$X59),"")</f>
        <v>0</v>
      </c>
      <c r="BO59" s="103"/>
      <c r="BP59" s="119">
        <v>2000</v>
      </c>
      <c r="BQ59" s="103"/>
      <c r="BR59" s="103"/>
      <c r="BS59" s="119" t="str">
        <f t="shared" si="8"/>
        <v>WRR0347_CFLscw-A(55w)</v>
      </c>
      <c r="BT59" s="174">
        <f t="shared" si="0"/>
        <v>191</v>
      </c>
      <c r="BU59" s="113" t="str">
        <f t="shared" si="10"/>
        <v>OOS</v>
      </c>
      <c r="BV59" s="108" t="str">
        <f t="shared" si="11"/>
        <v>OOS</v>
      </c>
      <c r="BW59" s="108" t="str">
        <f t="shared" si="12"/>
        <v>OOS</v>
      </c>
      <c r="BX59" s="108" t="str">
        <f t="shared" si="13"/>
        <v>OOS</v>
      </c>
      <c r="BY59" s="108" t="str">
        <f t="shared" si="14"/>
        <v>OOS</v>
      </c>
      <c r="BZ59" s="108"/>
      <c r="CA59" s="119" t="str">
        <f t="shared" si="15"/>
        <v>WRR0407_CFLscw-A(55w)</v>
      </c>
      <c r="CB59" s="174">
        <f t="shared" si="6"/>
        <v>224</v>
      </c>
      <c r="CC59" s="113" t="str">
        <f t="shared" si="16"/>
        <v/>
      </c>
      <c r="CD59" s="108" t="str">
        <f t="shared" si="17"/>
        <v/>
      </c>
      <c r="CE59" s="108" t="str">
        <f t="shared" si="18"/>
        <v/>
      </c>
      <c r="CF59" s="108" t="str">
        <f t="shared" si="19"/>
        <v/>
      </c>
      <c r="CG59" s="108" t="str">
        <f t="shared" si="20"/>
        <v/>
      </c>
      <c r="CH59" s="103"/>
      <c r="CI59" s="119" t="str">
        <f t="shared" si="9"/>
        <v>WRR0347_CFLscw-A(55w)</v>
      </c>
      <c r="CJ59" s="174">
        <f t="shared" si="7"/>
        <v>191</v>
      </c>
      <c r="CK59" s="113" t="str">
        <f t="shared" si="21"/>
        <v/>
      </c>
      <c r="CL59" s="108" t="str">
        <f t="shared" si="22"/>
        <v/>
      </c>
      <c r="CM59" s="108" t="str">
        <f t="shared" si="23"/>
        <v/>
      </c>
      <c r="CN59" s="108" t="str">
        <f t="shared" si="24"/>
        <v/>
      </c>
      <c r="CO59" s="108" t="str">
        <f t="shared" si="25"/>
        <v/>
      </c>
    </row>
    <row r="60" spans="1:93">
      <c r="A60" s="103" t="s">
        <v>267</v>
      </c>
      <c r="B60" s="103" t="s">
        <v>174</v>
      </c>
      <c r="C60" s="103" t="s">
        <v>221</v>
      </c>
      <c r="D60" s="250" t="s">
        <v>153</v>
      </c>
      <c r="E60" s="250"/>
      <c r="F60" s="182">
        <v>9020</v>
      </c>
      <c r="G60" s="250" t="s">
        <v>175</v>
      </c>
      <c r="H60" s="250">
        <v>7</v>
      </c>
      <c r="I60" s="250"/>
      <c r="J60" s="250"/>
      <c r="K60" s="250"/>
      <c r="L60" s="250" t="s">
        <v>61</v>
      </c>
      <c r="M60" s="250">
        <v>7</v>
      </c>
      <c r="N60" s="250"/>
      <c r="O60" s="250"/>
      <c r="P60" s="250" t="s">
        <v>153</v>
      </c>
      <c r="Q60" s="250"/>
      <c r="R60" s="250"/>
      <c r="S60" s="250"/>
      <c r="T60" s="250" t="s">
        <v>155</v>
      </c>
      <c r="U60" s="103" t="s">
        <v>268</v>
      </c>
      <c r="V60" s="106" t="s">
        <v>157</v>
      </c>
      <c r="W60" s="103" t="s">
        <v>81</v>
      </c>
      <c r="X60" s="103">
        <f>IFERROR(MATCH(W60,'CostModel Coef'!$C$9:$C$12,0),0)</f>
        <v>1</v>
      </c>
      <c r="Y60" s="103"/>
      <c r="Z60" s="103">
        <f>IF($X60&gt;0,INDEX('CostModel Coef'!D$9:D$12,$X60),"")</f>
        <v>3.0430000000000001</v>
      </c>
      <c r="AA60" s="103">
        <f>IF($X60&gt;0,INDEX('CostModel Coef'!E$9:E$12,$X60),"")</f>
        <v>-0.14966150225589619</v>
      </c>
      <c r="AB60" s="103">
        <f>IF($X60&gt;0,INDEX('CostModel Coef'!F$9:F$12,$X60),"")</f>
        <v>0.52692151711335011</v>
      </c>
      <c r="AC60" s="103">
        <f>IF($X60&gt;0,INDEX('CostModel Coef'!G$9:G$12,$X60),"")</f>
        <v>1.8411</v>
      </c>
      <c r="AD60" s="103">
        <f>IF($X60&gt;0,INDEX('CostModel Coef'!H$9:H$12,$X60),"")</f>
        <v>-1.8050999999999999</v>
      </c>
      <c r="AE60" s="103">
        <f>IF($X60&gt;0,INDEX('CostModel Coef'!J$9:J$12,$X60),"")</f>
        <v>-1.1288</v>
      </c>
      <c r="AF60" s="103">
        <f>IF($X60&gt;0,INDEX('CostModel Coef'!K$9:K$12,$X60),"")</f>
        <v>-1.845</v>
      </c>
      <c r="AG60" s="103">
        <f>IF($X60&gt;0,INDEX('CostModel Coef'!L$9:L$12,$X60),"")</f>
        <v>6.7507000000000001</v>
      </c>
      <c r="AH60" s="103">
        <f>IF($X60&gt;0,INDEX('CostModel Coef'!M$9:M$12,$X60),"")</f>
        <v>5.8051000000000004</v>
      </c>
      <c r="AI60" s="103">
        <f>IF($X60&gt;0,INDEX('CostModel Coef'!N$9:N$12,$X60),"")</f>
        <v>6.1600000000000002E-2</v>
      </c>
      <c r="AJ60" s="103">
        <f>IF($X60&gt;0,INDEX('CostModel Coef'!Q$9:Q$12,$X60),"")</f>
        <v>6.6500000000000004E-2</v>
      </c>
      <c r="AK60" s="103">
        <f>IF($X60&gt;0,INDEX('CostModel Coef'!T$9:T$12,$X60),"")</f>
        <v>9.35E-2</v>
      </c>
      <c r="AL60" s="103"/>
      <c r="AM60" s="108">
        <f t="shared" si="1"/>
        <v>4.4374920148574537</v>
      </c>
      <c r="AN60" s="108">
        <f t="shared" si="2"/>
        <v>6.2824920148574535</v>
      </c>
      <c r="AO60" s="108">
        <f t="shared" si="3"/>
        <v>4.477392014857454</v>
      </c>
      <c r="AP60" s="108">
        <f t="shared" si="4"/>
        <v>4.477392014857454</v>
      </c>
      <c r="AQ60" s="108">
        <f t="shared" si="5"/>
        <v>3.3485920148574535</v>
      </c>
      <c r="AR60" s="108"/>
      <c r="AS60" s="108"/>
      <c r="AT60" s="103">
        <f>IF($X60&gt;0,INDEX('CostModel Coef'!D$13:D$16,$X60),"")</f>
        <v>2.1320000000000001</v>
      </c>
      <c r="AU60" s="103">
        <f>IF($X60&gt;0,INDEX('CostModel Coef'!E$13:E$16,$X60),"")</f>
        <v>0.23699999999999999</v>
      </c>
      <c r="AV60" s="103">
        <f>IF($X60&gt;0,INDEX('CostModel Coef'!F$13:F$16,$X60),"")</f>
        <v>0.59899999999999998</v>
      </c>
      <c r="AW60" s="103">
        <f>IF($X60&gt;0,INDEX('CostModel Coef'!G$13:G$16,$X60),"")</f>
        <v>0</v>
      </c>
      <c r="AX60" s="103">
        <f>IF($X60&gt;0,INDEX('CostModel Coef'!H$13:H$16,$X60),"")</f>
        <v>-1.69</v>
      </c>
      <c r="AY60" s="103">
        <f>IF($X60&gt;0,INDEX('CostModel Coef'!I$13:I$16,$X60),"")</f>
        <v>-1.1599999999999999</v>
      </c>
      <c r="AZ60" s="103">
        <f>IF($X60&gt;0,INDEX('CostModel Coef'!J$13:J$16,$X60),"")</f>
        <v>0</v>
      </c>
      <c r="BA60" s="103">
        <f>IF($X60&gt;0,INDEX('CostModel Coef'!K$13:K$16,$X60),"")</f>
        <v>-2.4630000000000001</v>
      </c>
      <c r="BB60" s="103">
        <f>IF($X60&gt;0,INDEX('CostModel Coef'!L$13:L$16,$X60),"")</f>
        <v>0.46179999999999999</v>
      </c>
      <c r="BC60" s="103">
        <f>IF($X60&gt;0,INDEX('CostModel Coef'!M$13:M$16,$X60),"")</f>
        <v>0</v>
      </c>
      <c r="BD60" s="103">
        <f>IF($X60&gt;0,INDEX('CostModel Coef'!N$13:N$16,$X60),"")</f>
        <v>0.19869999999999999</v>
      </c>
      <c r="BE60" s="103">
        <f>IF($X60&gt;0,INDEX('CostModel Coef'!O$13:O$16,$X60),"")</f>
        <v>0.6</v>
      </c>
      <c r="BF60" s="103">
        <f>IF($X60&gt;0,INDEX('CostModel Coef'!P$13:P$16,$X60),"")</f>
        <v>15</v>
      </c>
      <c r="BG60" s="103">
        <f>IF($X60&gt;0,INDEX('CostModel Coef'!Q$13:Q$16,$X60),"")</f>
        <v>0</v>
      </c>
      <c r="BH60" s="103">
        <f>IF($X60&gt;0,INDEX('CostModel Coef'!R$13:R$16,$X60),"")</f>
        <v>3</v>
      </c>
      <c r="BI60" s="103">
        <f>IF($X60&gt;0,INDEX('CostModel Coef'!S$13:S$16,$X60),"")</f>
        <v>150</v>
      </c>
      <c r="BJ60" s="103">
        <f>IF($X60&gt;0,INDEX('CostModel Coef'!T$13:T$16,$X60),"")</f>
        <v>0</v>
      </c>
      <c r="BK60" s="103">
        <f>IF($X60&gt;0,INDEX('CostModel Coef'!U$13:U$16,$X60),"")</f>
        <v>9.1999999999999998E-3</v>
      </c>
      <c r="BL60" s="103">
        <f>IF($X60&gt;0,INDEX('CostModel Coef'!V$13:V$16,$X60),"")</f>
        <v>-8.8000000000000005E-3</v>
      </c>
      <c r="BM60" s="103">
        <f>IF($X60&gt;0,INDEX('CostModel Coef'!W$13:W$16,$X60),"")</f>
        <v>0</v>
      </c>
      <c r="BN60" s="103">
        <f>IF($X60&gt;0,INDEX('CostModel Coef'!X$13:X$16,$X60),"")</f>
        <v>0</v>
      </c>
      <c r="BO60" s="103"/>
      <c r="BP60" s="119">
        <v>2000</v>
      </c>
      <c r="BQ60" s="103"/>
      <c r="BR60" s="103"/>
      <c r="BS60" s="119" t="str">
        <f t="shared" si="8"/>
        <v>WRR0347_CFLscw-A(7w)</v>
      </c>
      <c r="BT60" s="174">
        <f t="shared" si="0"/>
        <v>24</v>
      </c>
      <c r="BU60" s="113">
        <f t="shared" si="10"/>
        <v>0.90240000000000009</v>
      </c>
      <c r="BV60" s="108">
        <f t="shared" si="11"/>
        <v>3.3654000000000002</v>
      </c>
      <c r="BW60" s="108">
        <f t="shared" si="12"/>
        <v>1.6754000000000002</v>
      </c>
      <c r="BX60" s="108">
        <f t="shared" si="13"/>
        <v>0.5154000000000003</v>
      </c>
      <c r="BY60" s="108">
        <f t="shared" si="14"/>
        <v>0.5154000000000003</v>
      </c>
      <c r="BZ60" s="108"/>
      <c r="CA60" s="119" t="str">
        <f t="shared" si="15"/>
        <v>WRR0407_CFLscw-A(7w)</v>
      </c>
      <c r="CB60" s="174">
        <f t="shared" si="6"/>
        <v>28</v>
      </c>
      <c r="CC60" s="113">
        <f t="shared" si="16"/>
        <v>0.90240000000000009</v>
      </c>
      <c r="CD60" s="108">
        <f t="shared" si="17"/>
        <v>3.3654000000000002</v>
      </c>
      <c r="CE60" s="108">
        <f t="shared" si="18"/>
        <v>1.6754000000000002</v>
      </c>
      <c r="CF60" s="108">
        <f t="shared" si="19"/>
        <v>0.5154000000000003</v>
      </c>
      <c r="CG60" s="108">
        <f t="shared" si="20"/>
        <v>0.5154000000000003</v>
      </c>
      <c r="CH60" s="103"/>
      <c r="CI60" s="119" t="str">
        <f t="shared" si="9"/>
        <v>WRR0347_CFLscw-A(7w)</v>
      </c>
      <c r="CJ60" s="174">
        <f t="shared" si="7"/>
        <v>24</v>
      </c>
      <c r="CK60" s="113">
        <f t="shared" si="21"/>
        <v>0.90240000000000009</v>
      </c>
      <c r="CL60" s="108">
        <f t="shared" si="22"/>
        <v>3.3654000000000002</v>
      </c>
      <c r="CM60" s="108">
        <f t="shared" si="23"/>
        <v>1.6754000000000002</v>
      </c>
      <c r="CN60" s="108">
        <f t="shared" si="24"/>
        <v>0.5154000000000003</v>
      </c>
      <c r="CO60" s="108">
        <f t="shared" si="25"/>
        <v>0.5154000000000003</v>
      </c>
    </row>
    <row r="61" spans="1:93">
      <c r="A61" s="103" t="s">
        <v>269</v>
      </c>
      <c r="B61" s="103" t="s">
        <v>174</v>
      </c>
      <c r="C61" s="103" t="s">
        <v>221</v>
      </c>
      <c r="D61" s="250" t="s">
        <v>153</v>
      </c>
      <c r="E61" s="250"/>
      <c r="F61" s="182">
        <v>9020</v>
      </c>
      <c r="G61" s="250" t="s">
        <v>175</v>
      </c>
      <c r="H61" s="250">
        <v>8</v>
      </c>
      <c r="I61" s="250"/>
      <c r="J61" s="250"/>
      <c r="K61" s="250"/>
      <c r="L61" s="250" t="s">
        <v>61</v>
      </c>
      <c r="M61" s="250">
        <v>8</v>
      </c>
      <c r="N61" s="250"/>
      <c r="O61" s="250"/>
      <c r="P61" s="250" t="s">
        <v>153</v>
      </c>
      <c r="Q61" s="250"/>
      <c r="R61" s="250"/>
      <c r="S61" s="250"/>
      <c r="T61" s="250" t="s">
        <v>155</v>
      </c>
      <c r="U61" s="103" t="s">
        <v>270</v>
      </c>
      <c r="V61" s="106" t="s">
        <v>157</v>
      </c>
      <c r="W61" s="103" t="s">
        <v>81</v>
      </c>
      <c r="X61" s="103">
        <f>IFERROR(MATCH(W61,'CostModel Coef'!$C$9:$C$12,0),0)</f>
        <v>1</v>
      </c>
      <c r="Y61" s="103"/>
      <c r="Z61" s="103">
        <f>IF($X61&gt;0,INDEX('CostModel Coef'!D$9:D$12,$X61),"")</f>
        <v>3.0430000000000001</v>
      </c>
      <c r="AA61" s="103">
        <f>IF($X61&gt;0,INDEX('CostModel Coef'!E$9:E$12,$X61),"")</f>
        <v>-0.14966150225589619</v>
      </c>
      <c r="AB61" s="103">
        <f>IF($X61&gt;0,INDEX('CostModel Coef'!F$9:F$12,$X61),"")</f>
        <v>0.52692151711335011</v>
      </c>
      <c r="AC61" s="103">
        <f>IF($X61&gt;0,INDEX('CostModel Coef'!G$9:G$12,$X61),"")</f>
        <v>1.8411</v>
      </c>
      <c r="AD61" s="103">
        <f>IF($X61&gt;0,INDEX('CostModel Coef'!H$9:H$12,$X61),"")</f>
        <v>-1.8050999999999999</v>
      </c>
      <c r="AE61" s="103">
        <f>IF($X61&gt;0,INDEX('CostModel Coef'!J$9:J$12,$X61),"")</f>
        <v>-1.1288</v>
      </c>
      <c r="AF61" s="103">
        <f>IF($X61&gt;0,INDEX('CostModel Coef'!K$9:K$12,$X61),"")</f>
        <v>-1.845</v>
      </c>
      <c r="AG61" s="103">
        <f>IF($X61&gt;0,INDEX('CostModel Coef'!L$9:L$12,$X61),"")</f>
        <v>6.7507000000000001</v>
      </c>
      <c r="AH61" s="103">
        <f>IF($X61&gt;0,INDEX('CostModel Coef'!M$9:M$12,$X61),"")</f>
        <v>5.8051000000000004</v>
      </c>
      <c r="AI61" s="103">
        <f>IF($X61&gt;0,INDEX('CostModel Coef'!N$9:N$12,$X61),"")</f>
        <v>6.1600000000000002E-2</v>
      </c>
      <c r="AJ61" s="103">
        <f>IF($X61&gt;0,INDEX('CostModel Coef'!Q$9:Q$12,$X61),"")</f>
        <v>6.6500000000000004E-2</v>
      </c>
      <c r="AK61" s="103">
        <f>IF($X61&gt;0,INDEX('CostModel Coef'!T$9:T$12,$X61),"")</f>
        <v>9.35E-2</v>
      </c>
      <c r="AL61" s="103"/>
      <c r="AM61" s="108">
        <f t="shared" si="1"/>
        <v>4.5039920148574542</v>
      </c>
      <c r="AN61" s="108">
        <f t="shared" si="2"/>
        <v>6.3489920148574539</v>
      </c>
      <c r="AO61" s="108">
        <f t="shared" si="3"/>
        <v>4.5438920148574535</v>
      </c>
      <c r="AP61" s="108">
        <f t="shared" si="4"/>
        <v>4.5438920148574535</v>
      </c>
      <c r="AQ61" s="108">
        <f t="shared" si="5"/>
        <v>3.415092014857454</v>
      </c>
      <c r="AR61" s="108"/>
      <c r="AS61" s="108"/>
      <c r="AT61" s="103">
        <f>IF($X61&gt;0,INDEX('CostModel Coef'!D$13:D$16,$X61),"")</f>
        <v>2.1320000000000001</v>
      </c>
      <c r="AU61" s="103">
        <f>IF($X61&gt;0,INDEX('CostModel Coef'!E$13:E$16,$X61),"")</f>
        <v>0.23699999999999999</v>
      </c>
      <c r="AV61" s="103">
        <f>IF($X61&gt;0,INDEX('CostModel Coef'!F$13:F$16,$X61),"")</f>
        <v>0.59899999999999998</v>
      </c>
      <c r="AW61" s="103">
        <f>IF($X61&gt;0,INDEX('CostModel Coef'!G$13:G$16,$X61),"")</f>
        <v>0</v>
      </c>
      <c r="AX61" s="103">
        <f>IF($X61&gt;0,INDEX('CostModel Coef'!H$13:H$16,$X61),"")</f>
        <v>-1.69</v>
      </c>
      <c r="AY61" s="103">
        <f>IF($X61&gt;0,INDEX('CostModel Coef'!I$13:I$16,$X61),"")</f>
        <v>-1.1599999999999999</v>
      </c>
      <c r="AZ61" s="103">
        <f>IF($X61&gt;0,INDEX('CostModel Coef'!J$13:J$16,$X61),"")</f>
        <v>0</v>
      </c>
      <c r="BA61" s="103">
        <f>IF($X61&gt;0,INDEX('CostModel Coef'!K$13:K$16,$X61),"")</f>
        <v>-2.4630000000000001</v>
      </c>
      <c r="BB61" s="103">
        <f>IF($X61&gt;0,INDEX('CostModel Coef'!L$13:L$16,$X61),"")</f>
        <v>0.46179999999999999</v>
      </c>
      <c r="BC61" s="103">
        <f>IF($X61&gt;0,INDEX('CostModel Coef'!M$13:M$16,$X61),"")</f>
        <v>0</v>
      </c>
      <c r="BD61" s="103">
        <f>IF($X61&gt;0,INDEX('CostModel Coef'!N$13:N$16,$X61),"")</f>
        <v>0.19869999999999999</v>
      </c>
      <c r="BE61" s="103">
        <f>IF($X61&gt;0,INDEX('CostModel Coef'!O$13:O$16,$X61),"")</f>
        <v>0.6</v>
      </c>
      <c r="BF61" s="103">
        <f>IF($X61&gt;0,INDEX('CostModel Coef'!P$13:P$16,$X61),"")</f>
        <v>15</v>
      </c>
      <c r="BG61" s="103">
        <f>IF($X61&gt;0,INDEX('CostModel Coef'!Q$13:Q$16,$X61),"")</f>
        <v>0</v>
      </c>
      <c r="BH61" s="103">
        <f>IF($X61&gt;0,INDEX('CostModel Coef'!R$13:R$16,$X61),"")</f>
        <v>3</v>
      </c>
      <c r="BI61" s="103">
        <f>IF($X61&gt;0,INDEX('CostModel Coef'!S$13:S$16,$X61),"")</f>
        <v>150</v>
      </c>
      <c r="BJ61" s="103">
        <f>IF($X61&gt;0,INDEX('CostModel Coef'!T$13:T$16,$X61),"")</f>
        <v>0</v>
      </c>
      <c r="BK61" s="103">
        <f>IF($X61&gt;0,INDEX('CostModel Coef'!U$13:U$16,$X61),"")</f>
        <v>9.1999999999999998E-3</v>
      </c>
      <c r="BL61" s="103">
        <f>IF($X61&gt;0,INDEX('CostModel Coef'!V$13:V$16,$X61),"")</f>
        <v>-8.8000000000000005E-3</v>
      </c>
      <c r="BM61" s="103">
        <f>IF($X61&gt;0,INDEX('CostModel Coef'!W$13:W$16,$X61),"")</f>
        <v>0</v>
      </c>
      <c r="BN61" s="103">
        <f>IF($X61&gt;0,INDEX('CostModel Coef'!X$13:X$16,$X61),"")</f>
        <v>0</v>
      </c>
      <c r="BO61" s="103"/>
      <c r="BP61" s="119">
        <v>2000</v>
      </c>
      <c r="BQ61" s="103"/>
      <c r="BR61" s="103"/>
      <c r="BS61" s="119" t="str">
        <f t="shared" si="8"/>
        <v>WRR0347_CFLscw-A(8w)</v>
      </c>
      <c r="BT61" s="174">
        <f t="shared" si="0"/>
        <v>28</v>
      </c>
      <c r="BU61" s="113">
        <f t="shared" si="10"/>
        <v>0.90240000000000009</v>
      </c>
      <c r="BV61" s="108">
        <f t="shared" si="11"/>
        <v>3.3654000000000002</v>
      </c>
      <c r="BW61" s="108">
        <f t="shared" si="12"/>
        <v>1.6754000000000002</v>
      </c>
      <c r="BX61" s="108">
        <f t="shared" si="13"/>
        <v>0.5154000000000003</v>
      </c>
      <c r="BY61" s="108">
        <f t="shared" si="14"/>
        <v>0.5154000000000003</v>
      </c>
      <c r="BZ61" s="108"/>
      <c r="CA61" s="119" t="str">
        <f t="shared" si="15"/>
        <v>WRR0407_CFLscw-A(8w)</v>
      </c>
      <c r="CB61" s="174">
        <f t="shared" si="6"/>
        <v>33</v>
      </c>
      <c r="CC61" s="113">
        <f t="shared" si="16"/>
        <v>0.93000000000000016</v>
      </c>
      <c r="CD61" s="108">
        <f t="shared" si="17"/>
        <v>3.3930000000000002</v>
      </c>
      <c r="CE61" s="108">
        <f t="shared" si="18"/>
        <v>1.7030000000000003</v>
      </c>
      <c r="CF61" s="108">
        <f t="shared" si="19"/>
        <v>0.54300000000000037</v>
      </c>
      <c r="CG61" s="108">
        <f t="shared" si="20"/>
        <v>0.54300000000000037</v>
      </c>
      <c r="CH61" s="103"/>
      <c r="CI61" s="119" t="str">
        <f t="shared" si="9"/>
        <v>WRR0347_CFLscw-A(8w)</v>
      </c>
      <c r="CJ61" s="174">
        <f t="shared" si="7"/>
        <v>28</v>
      </c>
      <c r="CK61" s="113">
        <f t="shared" si="21"/>
        <v>0.90240000000000009</v>
      </c>
      <c r="CL61" s="108">
        <f t="shared" si="22"/>
        <v>3.3654000000000002</v>
      </c>
      <c r="CM61" s="108">
        <f t="shared" si="23"/>
        <v>1.6754000000000002</v>
      </c>
      <c r="CN61" s="108">
        <f t="shared" si="24"/>
        <v>0.5154000000000003</v>
      </c>
      <c r="CO61" s="108">
        <f t="shared" si="25"/>
        <v>0.5154000000000003</v>
      </c>
    </row>
    <row r="62" spans="1:93">
      <c r="A62" s="103" t="s">
        <v>271</v>
      </c>
      <c r="B62" s="103" t="s">
        <v>174</v>
      </c>
      <c r="C62" s="103" t="s">
        <v>221</v>
      </c>
      <c r="D62" s="250" t="s">
        <v>153</v>
      </c>
      <c r="E62" s="250"/>
      <c r="F62" s="182">
        <v>9020</v>
      </c>
      <c r="G62" s="250" t="s">
        <v>175</v>
      </c>
      <c r="H62" s="250">
        <v>9</v>
      </c>
      <c r="I62" s="250"/>
      <c r="J62" s="250"/>
      <c r="K62" s="250"/>
      <c r="L62" s="250" t="s">
        <v>61</v>
      </c>
      <c r="M62" s="250">
        <v>9</v>
      </c>
      <c r="N62" s="250"/>
      <c r="O62" s="250"/>
      <c r="P62" s="250" t="s">
        <v>153</v>
      </c>
      <c r="Q62" s="250"/>
      <c r="R62" s="250"/>
      <c r="S62" s="250"/>
      <c r="T62" s="250" t="s">
        <v>155</v>
      </c>
      <c r="U62" s="103" t="s">
        <v>272</v>
      </c>
      <c r="V62" s="106" t="s">
        <v>157</v>
      </c>
      <c r="W62" s="103" t="s">
        <v>81</v>
      </c>
      <c r="X62" s="103">
        <f>IFERROR(MATCH(W62,'CostModel Coef'!$C$9:$C$12,0),0)</f>
        <v>1</v>
      </c>
      <c r="Y62" s="103"/>
      <c r="Z62" s="103">
        <f>IF($X62&gt;0,INDEX('CostModel Coef'!D$9:D$12,$X62),"")</f>
        <v>3.0430000000000001</v>
      </c>
      <c r="AA62" s="103">
        <f>IF($X62&gt;0,INDEX('CostModel Coef'!E$9:E$12,$X62),"")</f>
        <v>-0.14966150225589619</v>
      </c>
      <c r="AB62" s="103">
        <f>IF($X62&gt;0,INDEX('CostModel Coef'!F$9:F$12,$X62),"")</f>
        <v>0.52692151711335011</v>
      </c>
      <c r="AC62" s="103">
        <f>IF($X62&gt;0,INDEX('CostModel Coef'!G$9:G$12,$X62),"")</f>
        <v>1.8411</v>
      </c>
      <c r="AD62" s="103">
        <f>IF($X62&gt;0,INDEX('CostModel Coef'!H$9:H$12,$X62),"")</f>
        <v>-1.8050999999999999</v>
      </c>
      <c r="AE62" s="103">
        <f>IF($X62&gt;0,INDEX('CostModel Coef'!J$9:J$12,$X62),"")</f>
        <v>-1.1288</v>
      </c>
      <c r="AF62" s="103">
        <f>IF($X62&gt;0,INDEX('CostModel Coef'!K$9:K$12,$X62),"")</f>
        <v>-1.845</v>
      </c>
      <c r="AG62" s="103">
        <f>IF($X62&gt;0,INDEX('CostModel Coef'!L$9:L$12,$X62),"")</f>
        <v>6.7507000000000001</v>
      </c>
      <c r="AH62" s="103">
        <f>IF($X62&gt;0,INDEX('CostModel Coef'!M$9:M$12,$X62),"")</f>
        <v>5.8051000000000004</v>
      </c>
      <c r="AI62" s="103">
        <f>IF($X62&gt;0,INDEX('CostModel Coef'!N$9:N$12,$X62),"")</f>
        <v>6.1600000000000002E-2</v>
      </c>
      <c r="AJ62" s="103">
        <f>IF($X62&gt;0,INDEX('CostModel Coef'!Q$9:Q$12,$X62),"")</f>
        <v>6.6500000000000004E-2</v>
      </c>
      <c r="AK62" s="103">
        <f>IF($X62&gt;0,INDEX('CostModel Coef'!T$9:T$12,$X62),"")</f>
        <v>9.35E-2</v>
      </c>
      <c r="AL62" s="103"/>
      <c r="AM62" s="108">
        <f t="shared" si="1"/>
        <v>4.5704920148574546</v>
      </c>
      <c r="AN62" s="108">
        <f t="shared" si="2"/>
        <v>6.4154920148574544</v>
      </c>
      <c r="AO62" s="108">
        <f t="shared" si="3"/>
        <v>4.6103920148574549</v>
      </c>
      <c r="AP62" s="108">
        <f t="shared" si="4"/>
        <v>4.6103920148574549</v>
      </c>
      <c r="AQ62" s="108">
        <f t="shared" si="5"/>
        <v>3.4815920148574544</v>
      </c>
      <c r="AR62" s="108"/>
      <c r="AS62" s="108"/>
      <c r="AT62" s="103">
        <f>IF($X62&gt;0,INDEX('CostModel Coef'!D$13:D$16,$X62),"")</f>
        <v>2.1320000000000001</v>
      </c>
      <c r="AU62" s="103">
        <f>IF($X62&gt;0,INDEX('CostModel Coef'!E$13:E$16,$X62),"")</f>
        <v>0.23699999999999999</v>
      </c>
      <c r="AV62" s="103">
        <f>IF($X62&gt;0,INDEX('CostModel Coef'!F$13:F$16,$X62),"")</f>
        <v>0.59899999999999998</v>
      </c>
      <c r="AW62" s="103">
        <f>IF($X62&gt;0,INDEX('CostModel Coef'!G$13:G$16,$X62),"")</f>
        <v>0</v>
      </c>
      <c r="AX62" s="103">
        <f>IF($X62&gt;0,INDEX('CostModel Coef'!H$13:H$16,$X62),"")</f>
        <v>-1.69</v>
      </c>
      <c r="AY62" s="103">
        <f>IF($X62&gt;0,INDEX('CostModel Coef'!I$13:I$16,$X62),"")</f>
        <v>-1.1599999999999999</v>
      </c>
      <c r="AZ62" s="103">
        <f>IF($X62&gt;0,INDEX('CostModel Coef'!J$13:J$16,$X62),"")</f>
        <v>0</v>
      </c>
      <c r="BA62" s="103">
        <f>IF($X62&gt;0,INDEX('CostModel Coef'!K$13:K$16,$X62),"")</f>
        <v>-2.4630000000000001</v>
      </c>
      <c r="BB62" s="103">
        <f>IF($X62&gt;0,INDEX('CostModel Coef'!L$13:L$16,$X62),"")</f>
        <v>0.46179999999999999</v>
      </c>
      <c r="BC62" s="103">
        <f>IF($X62&gt;0,INDEX('CostModel Coef'!M$13:M$16,$X62),"")</f>
        <v>0</v>
      </c>
      <c r="BD62" s="103">
        <f>IF($X62&gt;0,INDEX('CostModel Coef'!N$13:N$16,$X62),"")</f>
        <v>0.19869999999999999</v>
      </c>
      <c r="BE62" s="103">
        <f>IF($X62&gt;0,INDEX('CostModel Coef'!O$13:O$16,$X62),"")</f>
        <v>0.6</v>
      </c>
      <c r="BF62" s="103">
        <f>IF($X62&gt;0,INDEX('CostModel Coef'!P$13:P$16,$X62),"")</f>
        <v>15</v>
      </c>
      <c r="BG62" s="103">
        <f>IF($X62&gt;0,INDEX('CostModel Coef'!Q$13:Q$16,$X62),"")</f>
        <v>0</v>
      </c>
      <c r="BH62" s="103">
        <f>IF($X62&gt;0,INDEX('CostModel Coef'!R$13:R$16,$X62),"")</f>
        <v>3</v>
      </c>
      <c r="BI62" s="103">
        <f>IF($X62&gt;0,INDEX('CostModel Coef'!S$13:S$16,$X62),"")</f>
        <v>150</v>
      </c>
      <c r="BJ62" s="103">
        <f>IF($X62&gt;0,INDEX('CostModel Coef'!T$13:T$16,$X62),"")</f>
        <v>0</v>
      </c>
      <c r="BK62" s="103">
        <f>IF($X62&gt;0,INDEX('CostModel Coef'!U$13:U$16,$X62),"")</f>
        <v>9.1999999999999998E-3</v>
      </c>
      <c r="BL62" s="103">
        <f>IF($X62&gt;0,INDEX('CostModel Coef'!V$13:V$16,$X62),"")</f>
        <v>-8.8000000000000005E-3</v>
      </c>
      <c r="BM62" s="103">
        <f>IF($X62&gt;0,INDEX('CostModel Coef'!W$13:W$16,$X62),"")</f>
        <v>0</v>
      </c>
      <c r="BN62" s="103">
        <f>IF($X62&gt;0,INDEX('CostModel Coef'!X$13:X$16,$X62),"")</f>
        <v>0</v>
      </c>
      <c r="BO62" s="103"/>
      <c r="BP62" s="119">
        <v>2000</v>
      </c>
      <c r="BQ62" s="103"/>
      <c r="BR62" s="103"/>
      <c r="BS62" s="119" t="str">
        <f t="shared" si="8"/>
        <v>WRR0347_CFLscw-A(9w)</v>
      </c>
      <c r="BT62" s="174">
        <f t="shared" si="0"/>
        <v>31</v>
      </c>
      <c r="BU62" s="113">
        <f t="shared" si="10"/>
        <v>0.91159999999999997</v>
      </c>
      <c r="BV62" s="108">
        <f t="shared" si="11"/>
        <v>3.3746</v>
      </c>
      <c r="BW62" s="108">
        <f t="shared" si="12"/>
        <v>1.6846000000000001</v>
      </c>
      <c r="BX62" s="108">
        <f t="shared" si="13"/>
        <v>0.52460000000000018</v>
      </c>
      <c r="BY62" s="108">
        <f t="shared" si="14"/>
        <v>0.52460000000000018</v>
      </c>
      <c r="BZ62" s="108"/>
      <c r="CA62" s="119" t="str">
        <f t="shared" si="15"/>
        <v>WRR0407_CFLscw-A(9w)</v>
      </c>
      <c r="CB62" s="174">
        <f t="shared" si="6"/>
        <v>37</v>
      </c>
      <c r="CC62" s="113">
        <f t="shared" si="16"/>
        <v>0.9668000000000001</v>
      </c>
      <c r="CD62" s="108">
        <f t="shared" si="17"/>
        <v>3.4298000000000002</v>
      </c>
      <c r="CE62" s="108">
        <f t="shared" si="18"/>
        <v>1.7398000000000002</v>
      </c>
      <c r="CF62" s="108">
        <f t="shared" si="19"/>
        <v>0.57980000000000032</v>
      </c>
      <c r="CG62" s="108">
        <f t="shared" si="20"/>
        <v>0.57980000000000032</v>
      </c>
      <c r="CH62" s="103"/>
      <c r="CI62" s="119" t="str">
        <f t="shared" si="9"/>
        <v>WRR0347_CFLscw-A(9w)</v>
      </c>
      <c r="CJ62" s="174">
        <f t="shared" si="7"/>
        <v>31</v>
      </c>
      <c r="CK62" s="113">
        <f t="shared" si="21"/>
        <v>0.91159999999999997</v>
      </c>
      <c r="CL62" s="108">
        <f t="shared" si="22"/>
        <v>3.3746</v>
      </c>
      <c r="CM62" s="108">
        <f t="shared" si="23"/>
        <v>1.6846000000000001</v>
      </c>
      <c r="CN62" s="108">
        <f t="shared" si="24"/>
        <v>0.52460000000000018</v>
      </c>
      <c r="CO62" s="108">
        <f t="shared" si="25"/>
        <v>0.52460000000000018</v>
      </c>
    </row>
    <row r="63" spans="1:93">
      <c r="A63" s="103" t="s">
        <v>273</v>
      </c>
      <c r="B63" s="103" t="s">
        <v>174</v>
      </c>
      <c r="C63" s="103" t="s">
        <v>274</v>
      </c>
      <c r="D63" s="250" t="s">
        <v>153</v>
      </c>
      <c r="E63" s="250"/>
      <c r="F63" s="182">
        <v>8440</v>
      </c>
      <c r="G63" s="250" t="s">
        <v>175</v>
      </c>
      <c r="H63" s="250">
        <v>10</v>
      </c>
      <c r="I63" s="250"/>
      <c r="J63" s="250"/>
      <c r="K63" s="250"/>
      <c r="L63" s="250" t="s">
        <v>61</v>
      </c>
      <c r="M63" s="250">
        <v>10</v>
      </c>
      <c r="N63" s="250"/>
      <c r="O63" s="250"/>
      <c r="P63" s="250" t="s">
        <v>153</v>
      </c>
      <c r="Q63" s="250"/>
      <c r="R63" s="250"/>
      <c r="S63" s="250"/>
      <c r="T63" s="250" t="s">
        <v>155</v>
      </c>
      <c r="U63" s="103" t="s">
        <v>275</v>
      </c>
      <c r="V63" s="106" t="s">
        <v>157</v>
      </c>
      <c r="W63" s="103" t="s">
        <v>84</v>
      </c>
      <c r="X63" s="103">
        <f>IFERROR(MATCH(W63,'CostModel Coef'!$C$9:$C$12,0),0)</f>
        <v>4</v>
      </c>
      <c r="Y63" s="103"/>
      <c r="Z63" s="103">
        <f>IF($X63&gt;0,INDEX('CostModel Coef'!D$9:D$12,$X63),"")</f>
        <v>4.92</v>
      </c>
      <c r="AA63" s="103">
        <f>IF($X63&gt;0,INDEX('CostModel Coef'!E$9:E$12,$X63),"")</f>
        <v>0.40973260011515322</v>
      </c>
      <c r="AB63" s="103">
        <f>IF($X63&gt;0,INDEX('CostModel Coef'!F$9:F$12,$X63),"")</f>
        <v>0</v>
      </c>
      <c r="AC63" s="103">
        <f>IF($X63&gt;0,INDEX('CostModel Coef'!G$9:G$12,$X63),"")</f>
        <v>0</v>
      </c>
      <c r="AD63" s="103">
        <f>IF($X63&gt;0,INDEX('CostModel Coef'!H$9:H$12,$X63),"")</f>
        <v>-2.0082</v>
      </c>
      <c r="AE63" s="103">
        <f>IF($X63&gt;0,INDEX('CostModel Coef'!J$9:J$12,$X63),"")</f>
        <v>-0.86070000000000002</v>
      </c>
      <c r="AF63" s="103">
        <f>IF($X63&gt;0,INDEX('CostModel Coef'!K$9:K$12,$X63),"")</f>
        <v>-0.11899999999999999</v>
      </c>
      <c r="AG63" s="103">
        <f>IF($X63&gt;0,INDEX('CostModel Coef'!L$9:L$12,$X63),"")</f>
        <v>0</v>
      </c>
      <c r="AH63" s="103">
        <f>IF($X63&gt;0,INDEX('CostModel Coef'!M$9:M$12,$X63),"")</f>
        <v>0</v>
      </c>
      <c r="AI63" s="103">
        <f>IF($X63&gt;0,INDEX('CostModel Coef'!N$9:N$12,$X63),"")</f>
        <v>7.6799999999999993E-2</v>
      </c>
      <c r="AJ63" s="103">
        <f>IF($X63&gt;0,INDEX('CostModel Coef'!Q$9:Q$12,$X63),"")</f>
        <v>0.20599999999999999</v>
      </c>
      <c r="AK63" s="103">
        <f>IF($X63&gt;0,INDEX('CostModel Coef'!T$9:T$12,$X63),"")</f>
        <v>0</v>
      </c>
      <c r="AL63" s="103"/>
      <c r="AM63" s="108">
        <f t="shared" si="1"/>
        <v>7.9189246001151528</v>
      </c>
      <c r="AN63" s="108">
        <f t="shared" si="2"/>
        <v>8.0379246001151525</v>
      </c>
      <c r="AO63" s="108">
        <f t="shared" si="3"/>
        <v>6.0297246001151521</v>
      </c>
      <c r="AP63" s="108">
        <f t="shared" si="4"/>
        <v>6.0297246001151521</v>
      </c>
      <c r="AQ63" s="108">
        <f t="shared" si="5"/>
        <v>5.1690246001151525</v>
      </c>
      <c r="AR63" s="108"/>
      <c r="AS63" s="108"/>
      <c r="AT63" s="103">
        <f>IF($X63&gt;0,INDEX('CostModel Coef'!D$13:D$16,$X63),"")</f>
        <v>3.7429999999999999</v>
      </c>
      <c r="AU63" s="103">
        <f>IF($X63&gt;0,INDEX('CostModel Coef'!E$13:E$16,$X63),"")</f>
        <v>0.25</v>
      </c>
      <c r="AV63" s="103">
        <f>IF($X63&gt;0,INDEX('CostModel Coef'!F$13:F$16,$X63),"")</f>
        <v>0</v>
      </c>
      <c r="AW63" s="103">
        <f>IF($X63&gt;0,INDEX('CostModel Coef'!G$13:G$16,$X63),"")</f>
        <v>0</v>
      </c>
      <c r="AX63" s="103">
        <f>IF($X63&gt;0,INDEX('CostModel Coef'!H$13:H$16,$X63),"")</f>
        <v>-2.56</v>
      </c>
      <c r="AY63" s="103">
        <f>IF($X63&gt;0,INDEX('CostModel Coef'!I$13:I$16,$X63),"")</f>
        <v>0</v>
      </c>
      <c r="AZ63" s="103">
        <f>IF($X63&gt;0,INDEX('CostModel Coef'!J$13:J$16,$X63),"")</f>
        <v>0</v>
      </c>
      <c r="BA63" s="103">
        <f>IF($X63&gt;0,INDEX('CostModel Coef'!K$13:K$16,$X63),"")</f>
        <v>-2.4540000000000002</v>
      </c>
      <c r="BB63" s="103">
        <f>IF($X63&gt;0,INDEX('CostModel Coef'!L$13:L$16,$X63),"")</f>
        <v>0</v>
      </c>
      <c r="BC63" s="103">
        <f>IF($X63&gt;0,INDEX('CostModel Coef'!M$13:M$16,$X63),"")</f>
        <v>0</v>
      </c>
      <c r="BD63" s="103">
        <f>IF($X63&gt;0,INDEX('CostModel Coef'!N$13:N$16,$X63),"")</f>
        <v>0.25744499999999998</v>
      </c>
      <c r="BE63" s="103">
        <f>IF($X63&gt;0,INDEX('CostModel Coef'!O$13:O$16,$X63),"")</f>
        <v>1.095</v>
      </c>
      <c r="BF63" s="103">
        <f>IF($X63&gt;0,INDEX('CostModel Coef'!P$13:P$16,$X63),"")</f>
        <v>5</v>
      </c>
      <c r="BG63" s="103">
        <f>IF($X63&gt;0,INDEX('CostModel Coef'!Q$13:Q$16,$X63),"")</f>
        <v>-4.9910000000000004E-4</v>
      </c>
      <c r="BH63" s="103">
        <f>IF($X63&gt;0,INDEX('CostModel Coef'!R$13:R$16,$X63),"")</f>
        <v>3</v>
      </c>
      <c r="BI63" s="103">
        <f>IF($X63&gt;0,INDEX('CostModel Coef'!S$13:S$16,$X63),"")</f>
        <v>150</v>
      </c>
      <c r="BJ63" s="103">
        <f>IF($X63&gt;0,INDEX('CostModel Coef'!T$13:T$16,$X63),"")</f>
        <v>0</v>
      </c>
      <c r="BK63" s="103">
        <f>IF($X63&gt;0,INDEX('CostModel Coef'!U$13:U$16,$X63),"")</f>
        <v>0</v>
      </c>
      <c r="BL63" s="103">
        <f>IF($X63&gt;0,INDEX('CostModel Coef'!V$13:V$16,$X63),"")</f>
        <v>0</v>
      </c>
      <c r="BM63" s="103">
        <f>IF($X63&gt;0,INDEX('CostModel Coef'!W$13:W$16,$X63),"")</f>
        <v>0</v>
      </c>
      <c r="BN63" s="103">
        <f>IF($X63&gt;0,INDEX('CostModel Coef'!X$13:X$16,$X63),"")</f>
        <v>0</v>
      </c>
      <c r="BO63" s="103"/>
      <c r="BP63" s="119">
        <v>2000</v>
      </c>
      <c r="BQ63" s="103"/>
      <c r="BR63" s="103"/>
      <c r="BS63" s="119" t="str">
        <f t="shared" si="8"/>
        <v>WRR0347_CFLscw-Candle(10w)</v>
      </c>
      <c r="BT63" s="174">
        <f t="shared" si="0"/>
        <v>35</v>
      </c>
      <c r="BU63" s="113">
        <f t="shared" si="10"/>
        <v>2.0364214999999999</v>
      </c>
      <c r="BV63" s="108">
        <f t="shared" si="11"/>
        <v>4.4904215000000001</v>
      </c>
      <c r="BW63" s="108">
        <f t="shared" si="12"/>
        <v>1.9304215</v>
      </c>
      <c r="BX63" s="108">
        <f t="shared" si="13"/>
        <v>1.9304215</v>
      </c>
      <c r="BY63" s="108">
        <f t="shared" si="14"/>
        <v>1.9304215</v>
      </c>
      <c r="BZ63" s="108"/>
      <c r="CA63" s="119" t="str">
        <f t="shared" si="15"/>
        <v/>
      </c>
      <c r="CB63" s="174">
        <f t="shared" si="6"/>
        <v>-1</v>
      </c>
      <c r="CC63" s="113" t="str">
        <f t="shared" si="16"/>
        <v/>
      </c>
      <c r="CD63" s="108" t="str">
        <f t="shared" si="17"/>
        <v/>
      </c>
      <c r="CE63" s="108" t="str">
        <f t="shared" si="18"/>
        <v/>
      </c>
      <c r="CF63" s="108" t="str">
        <f t="shared" si="19"/>
        <v/>
      </c>
      <c r="CG63" s="108" t="str">
        <f t="shared" si="20"/>
        <v/>
      </c>
      <c r="CH63" s="103"/>
      <c r="CI63" s="119" t="str">
        <f t="shared" si="9"/>
        <v>WRR0347_CFLscw-Candle(10w)</v>
      </c>
      <c r="CJ63" s="174">
        <f t="shared" si="7"/>
        <v>35</v>
      </c>
      <c r="CK63" s="113">
        <f t="shared" si="21"/>
        <v>2.0364214999999999</v>
      </c>
      <c r="CL63" s="108">
        <f t="shared" si="22"/>
        <v>4.4904215000000001</v>
      </c>
      <c r="CM63" s="108">
        <f t="shared" si="23"/>
        <v>1.9304215</v>
      </c>
      <c r="CN63" s="108">
        <f t="shared" si="24"/>
        <v>1.9304215</v>
      </c>
      <c r="CO63" s="108">
        <f t="shared" si="25"/>
        <v>1.9304215</v>
      </c>
    </row>
    <row r="64" spans="1:93">
      <c r="A64" s="103" t="s">
        <v>276</v>
      </c>
      <c r="B64" s="103" t="s">
        <v>174</v>
      </c>
      <c r="C64" s="103" t="s">
        <v>274</v>
      </c>
      <c r="D64" s="250" t="s">
        <v>153</v>
      </c>
      <c r="E64" s="250"/>
      <c r="F64" s="182">
        <v>8440</v>
      </c>
      <c r="G64" s="250" t="s">
        <v>175</v>
      </c>
      <c r="H64" s="250">
        <v>11</v>
      </c>
      <c r="I64" s="250"/>
      <c r="J64" s="250"/>
      <c r="K64" s="250"/>
      <c r="L64" s="250" t="s">
        <v>61</v>
      </c>
      <c r="M64" s="250">
        <v>11</v>
      </c>
      <c r="N64" s="250"/>
      <c r="O64" s="250"/>
      <c r="P64" s="250" t="s">
        <v>153</v>
      </c>
      <c r="Q64" s="250"/>
      <c r="R64" s="250"/>
      <c r="S64" s="250"/>
      <c r="T64" s="250" t="s">
        <v>155</v>
      </c>
      <c r="U64" s="103" t="s">
        <v>277</v>
      </c>
      <c r="V64" s="106" t="s">
        <v>157</v>
      </c>
      <c r="W64" s="103" t="s">
        <v>84</v>
      </c>
      <c r="X64" s="103">
        <f>IFERROR(MATCH(W64,'CostModel Coef'!$C$9:$C$12,0),0)</f>
        <v>4</v>
      </c>
      <c r="Y64" s="103"/>
      <c r="Z64" s="103">
        <f>IF($X64&gt;0,INDEX('CostModel Coef'!D$9:D$12,$X64),"")</f>
        <v>4.92</v>
      </c>
      <c r="AA64" s="103">
        <f>IF($X64&gt;0,INDEX('CostModel Coef'!E$9:E$12,$X64),"")</f>
        <v>0.40973260011515322</v>
      </c>
      <c r="AB64" s="103">
        <f>IF($X64&gt;0,INDEX('CostModel Coef'!F$9:F$12,$X64),"")</f>
        <v>0</v>
      </c>
      <c r="AC64" s="103">
        <f>IF($X64&gt;0,INDEX('CostModel Coef'!G$9:G$12,$X64),"")</f>
        <v>0</v>
      </c>
      <c r="AD64" s="103">
        <f>IF($X64&gt;0,INDEX('CostModel Coef'!H$9:H$12,$X64),"")</f>
        <v>-2.0082</v>
      </c>
      <c r="AE64" s="103">
        <f>IF($X64&gt;0,INDEX('CostModel Coef'!J$9:J$12,$X64),"")</f>
        <v>-0.86070000000000002</v>
      </c>
      <c r="AF64" s="103">
        <f>IF($X64&gt;0,INDEX('CostModel Coef'!K$9:K$12,$X64),"")</f>
        <v>-0.11899999999999999</v>
      </c>
      <c r="AG64" s="103">
        <f>IF($X64&gt;0,INDEX('CostModel Coef'!L$9:L$12,$X64),"")</f>
        <v>0</v>
      </c>
      <c r="AH64" s="103">
        <f>IF($X64&gt;0,INDEX('CostModel Coef'!M$9:M$12,$X64),"")</f>
        <v>0</v>
      </c>
      <c r="AI64" s="103">
        <f>IF($X64&gt;0,INDEX('CostModel Coef'!N$9:N$12,$X64),"")</f>
        <v>7.6799999999999993E-2</v>
      </c>
      <c r="AJ64" s="103">
        <f>IF($X64&gt;0,INDEX('CostModel Coef'!Q$9:Q$12,$X64),"")</f>
        <v>0.20599999999999999</v>
      </c>
      <c r="AK64" s="103">
        <f>IF($X64&gt;0,INDEX('CostModel Coef'!T$9:T$12,$X64),"")</f>
        <v>0</v>
      </c>
      <c r="AL64" s="103"/>
      <c r="AM64" s="108">
        <f t="shared" si="1"/>
        <v>8.124924600115154</v>
      </c>
      <c r="AN64" s="108">
        <f t="shared" si="2"/>
        <v>8.2439246001151538</v>
      </c>
      <c r="AO64" s="108">
        <f t="shared" si="3"/>
        <v>6.2357246001151534</v>
      </c>
      <c r="AP64" s="108">
        <f t="shared" si="4"/>
        <v>6.2357246001151534</v>
      </c>
      <c r="AQ64" s="108">
        <f t="shared" si="5"/>
        <v>5.3750246001151538</v>
      </c>
      <c r="AR64" s="108"/>
      <c r="AS64" s="108"/>
      <c r="AT64" s="103">
        <f>IF($X64&gt;0,INDEX('CostModel Coef'!D$13:D$16,$X64),"")</f>
        <v>3.7429999999999999</v>
      </c>
      <c r="AU64" s="103">
        <f>IF($X64&gt;0,INDEX('CostModel Coef'!E$13:E$16,$X64),"")</f>
        <v>0.25</v>
      </c>
      <c r="AV64" s="103">
        <f>IF($X64&gt;0,INDEX('CostModel Coef'!F$13:F$16,$X64),"")</f>
        <v>0</v>
      </c>
      <c r="AW64" s="103">
        <f>IF($X64&gt;0,INDEX('CostModel Coef'!G$13:G$16,$X64),"")</f>
        <v>0</v>
      </c>
      <c r="AX64" s="103">
        <f>IF($X64&gt;0,INDEX('CostModel Coef'!H$13:H$16,$X64),"")</f>
        <v>-2.56</v>
      </c>
      <c r="AY64" s="103">
        <f>IF($X64&gt;0,INDEX('CostModel Coef'!I$13:I$16,$X64),"")</f>
        <v>0</v>
      </c>
      <c r="AZ64" s="103">
        <f>IF($X64&gt;0,INDEX('CostModel Coef'!J$13:J$16,$X64),"")</f>
        <v>0</v>
      </c>
      <c r="BA64" s="103">
        <f>IF($X64&gt;0,INDEX('CostModel Coef'!K$13:K$16,$X64),"")</f>
        <v>-2.4540000000000002</v>
      </c>
      <c r="BB64" s="103">
        <f>IF($X64&gt;0,INDEX('CostModel Coef'!L$13:L$16,$X64),"")</f>
        <v>0</v>
      </c>
      <c r="BC64" s="103">
        <f>IF($X64&gt;0,INDEX('CostModel Coef'!M$13:M$16,$X64),"")</f>
        <v>0</v>
      </c>
      <c r="BD64" s="103">
        <f>IF($X64&gt;0,INDEX('CostModel Coef'!N$13:N$16,$X64),"")</f>
        <v>0.25744499999999998</v>
      </c>
      <c r="BE64" s="103">
        <f>IF($X64&gt;0,INDEX('CostModel Coef'!O$13:O$16,$X64),"")</f>
        <v>1.095</v>
      </c>
      <c r="BF64" s="103">
        <f>IF($X64&gt;0,INDEX('CostModel Coef'!P$13:P$16,$X64),"")</f>
        <v>5</v>
      </c>
      <c r="BG64" s="103">
        <f>IF($X64&gt;0,INDEX('CostModel Coef'!Q$13:Q$16,$X64),"")</f>
        <v>-4.9910000000000004E-4</v>
      </c>
      <c r="BH64" s="103">
        <f>IF($X64&gt;0,INDEX('CostModel Coef'!R$13:R$16,$X64),"")</f>
        <v>3</v>
      </c>
      <c r="BI64" s="103">
        <f>IF($X64&gt;0,INDEX('CostModel Coef'!S$13:S$16,$X64),"")</f>
        <v>150</v>
      </c>
      <c r="BJ64" s="103">
        <f>IF($X64&gt;0,INDEX('CostModel Coef'!T$13:T$16,$X64),"")</f>
        <v>0</v>
      </c>
      <c r="BK64" s="103">
        <f>IF($X64&gt;0,INDEX('CostModel Coef'!U$13:U$16,$X64),"")</f>
        <v>0</v>
      </c>
      <c r="BL64" s="103">
        <f>IF($X64&gt;0,INDEX('CostModel Coef'!V$13:V$16,$X64),"")</f>
        <v>0</v>
      </c>
      <c r="BM64" s="103">
        <f>IF($X64&gt;0,INDEX('CostModel Coef'!W$13:W$16,$X64),"")</f>
        <v>0</v>
      </c>
      <c r="BN64" s="103">
        <f>IF($X64&gt;0,INDEX('CostModel Coef'!X$13:X$16,$X64),"")</f>
        <v>0</v>
      </c>
      <c r="BO64" s="103"/>
      <c r="BP64" s="119">
        <v>2000</v>
      </c>
      <c r="BQ64" s="103"/>
      <c r="BR64" s="103"/>
      <c r="BS64" s="119" t="str">
        <f t="shared" si="8"/>
        <v>WRR0347_CFLscw-Candle(11w)</v>
      </c>
      <c r="BT64" s="174">
        <f t="shared" si="0"/>
        <v>38</v>
      </c>
      <c r="BU64" s="113">
        <f t="shared" si="10"/>
        <v>2.0349241999999994</v>
      </c>
      <c r="BV64" s="108">
        <f t="shared" si="11"/>
        <v>4.4889241999999996</v>
      </c>
      <c r="BW64" s="108">
        <f t="shared" si="12"/>
        <v>1.9289241999999995</v>
      </c>
      <c r="BX64" s="108">
        <f t="shared" si="13"/>
        <v>1.9289241999999995</v>
      </c>
      <c r="BY64" s="108">
        <f t="shared" si="14"/>
        <v>1.9289241999999995</v>
      </c>
      <c r="BZ64" s="108"/>
      <c r="CA64" s="119" t="str">
        <f t="shared" si="15"/>
        <v/>
      </c>
      <c r="CB64" s="174">
        <f t="shared" si="6"/>
        <v>-1</v>
      </c>
      <c r="CC64" s="113" t="str">
        <f t="shared" si="16"/>
        <v/>
      </c>
      <c r="CD64" s="108" t="str">
        <f t="shared" si="17"/>
        <v/>
      </c>
      <c r="CE64" s="108" t="str">
        <f t="shared" si="18"/>
        <v/>
      </c>
      <c r="CF64" s="108" t="str">
        <f t="shared" si="19"/>
        <v/>
      </c>
      <c r="CG64" s="108" t="str">
        <f t="shared" si="20"/>
        <v/>
      </c>
      <c r="CH64" s="103"/>
      <c r="CI64" s="119" t="str">
        <f t="shared" si="9"/>
        <v>WRR0347_CFLscw-Candle(11w)</v>
      </c>
      <c r="CJ64" s="174">
        <f t="shared" si="7"/>
        <v>38</v>
      </c>
      <c r="CK64" s="113">
        <f t="shared" si="21"/>
        <v>2.0349241999999994</v>
      </c>
      <c r="CL64" s="108">
        <f t="shared" si="22"/>
        <v>4.4889241999999996</v>
      </c>
      <c r="CM64" s="108">
        <f t="shared" si="23"/>
        <v>1.9289241999999995</v>
      </c>
      <c r="CN64" s="108">
        <f t="shared" si="24"/>
        <v>1.9289241999999995</v>
      </c>
      <c r="CO64" s="108">
        <f t="shared" si="25"/>
        <v>1.9289241999999995</v>
      </c>
    </row>
    <row r="65" spans="1:93">
      <c r="A65" s="103" t="s">
        <v>278</v>
      </c>
      <c r="B65" s="103" t="s">
        <v>174</v>
      </c>
      <c r="C65" s="103" t="s">
        <v>274</v>
      </c>
      <c r="D65" s="250" t="s">
        <v>153</v>
      </c>
      <c r="E65" s="250"/>
      <c r="F65" s="182">
        <v>8440</v>
      </c>
      <c r="G65" s="250" t="s">
        <v>175</v>
      </c>
      <c r="H65" s="250">
        <v>12</v>
      </c>
      <c r="I65" s="250"/>
      <c r="J65" s="250"/>
      <c r="K65" s="250"/>
      <c r="L65" s="250" t="s">
        <v>61</v>
      </c>
      <c r="M65" s="250">
        <v>12</v>
      </c>
      <c r="N65" s="250"/>
      <c r="O65" s="250"/>
      <c r="P65" s="250" t="s">
        <v>153</v>
      </c>
      <c r="Q65" s="250"/>
      <c r="R65" s="250"/>
      <c r="S65" s="250"/>
      <c r="T65" s="250" t="s">
        <v>155</v>
      </c>
      <c r="U65" s="103" t="s">
        <v>279</v>
      </c>
      <c r="V65" s="106" t="s">
        <v>157</v>
      </c>
      <c r="W65" s="103" t="s">
        <v>84</v>
      </c>
      <c r="X65" s="103">
        <f>IFERROR(MATCH(W65,'CostModel Coef'!$C$9:$C$12,0),0)</f>
        <v>4</v>
      </c>
      <c r="Y65" s="103"/>
      <c r="Z65" s="103">
        <f>IF($X65&gt;0,INDEX('CostModel Coef'!D$9:D$12,$X65),"")</f>
        <v>4.92</v>
      </c>
      <c r="AA65" s="103">
        <f>IF($X65&gt;0,INDEX('CostModel Coef'!E$9:E$12,$X65),"")</f>
        <v>0.40973260011515322</v>
      </c>
      <c r="AB65" s="103">
        <f>IF($X65&gt;0,INDEX('CostModel Coef'!F$9:F$12,$X65),"")</f>
        <v>0</v>
      </c>
      <c r="AC65" s="103">
        <f>IF($X65&gt;0,INDEX('CostModel Coef'!G$9:G$12,$X65),"")</f>
        <v>0</v>
      </c>
      <c r="AD65" s="103">
        <f>IF($X65&gt;0,INDEX('CostModel Coef'!H$9:H$12,$X65),"")</f>
        <v>-2.0082</v>
      </c>
      <c r="AE65" s="103">
        <f>IF($X65&gt;0,INDEX('CostModel Coef'!J$9:J$12,$X65),"")</f>
        <v>-0.86070000000000002</v>
      </c>
      <c r="AF65" s="103">
        <f>IF($X65&gt;0,INDEX('CostModel Coef'!K$9:K$12,$X65),"")</f>
        <v>-0.11899999999999999</v>
      </c>
      <c r="AG65" s="103">
        <f>IF($X65&gt;0,INDEX('CostModel Coef'!L$9:L$12,$X65),"")</f>
        <v>0</v>
      </c>
      <c r="AH65" s="103">
        <f>IF($X65&gt;0,INDEX('CostModel Coef'!M$9:M$12,$X65),"")</f>
        <v>0</v>
      </c>
      <c r="AI65" s="103">
        <f>IF($X65&gt;0,INDEX('CostModel Coef'!N$9:N$12,$X65),"")</f>
        <v>7.6799999999999993E-2</v>
      </c>
      <c r="AJ65" s="103">
        <f>IF($X65&gt;0,INDEX('CostModel Coef'!Q$9:Q$12,$X65),"")</f>
        <v>0.20599999999999999</v>
      </c>
      <c r="AK65" s="103">
        <f>IF($X65&gt;0,INDEX('CostModel Coef'!T$9:T$12,$X65),"")</f>
        <v>0</v>
      </c>
      <c r="AL65" s="103"/>
      <c r="AM65" s="108">
        <f t="shared" si="1"/>
        <v>8.3309246001151536</v>
      </c>
      <c r="AN65" s="108">
        <f t="shared" si="2"/>
        <v>8.4499246001151533</v>
      </c>
      <c r="AO65" s="108">
        <f t="shared" si="3"/>
        <v>6.4417246001151529</v>
      </c>
      <c r="AP65" s="108">
        <f t="shared" si="4"/>
        <v>6.4417246001151529</v>
      </c>
      <c r="AQ65" s="108">
        <f t="shared" si="5"/>
        <v>5.5810246001151533</v>
      </c>
      <c r="AR65" s="108"/>
      <c r="AS65" s="108"/>
      <c r="AT65" s="103">
        <f>IF($X65&gt;0,INDEX('CostModel Coef'!D$13:D$16,$X65),"")</f>
        <v>3.7429999999999999</v>
      </c>
      <c r="AU65" s="103">
        <f>IF($X65&gt;0,INDEX('CostModel Coef'!E$13:E$16,$X65),"")</f>
        <v>0.25</v>
      </c>
      <c r="AV65" s="103">
        <f>IF($X65&gt;0,INDEX('CostModel Coef'!F$13:F$16,$X65),"")</f>
        <v>0</v>
      </c>
      <c r="AW65" s="103">
        <f>IF($X65&gt;0,INDEX('CostModel Coef'!G$13:G$16,$X65),"")</f>
        <v>0</v>
      </c>
      <c r="AX65" s="103">
        <f>IF($X65&gt;0,INDEX('CostModel Coef'!H$13:H$16,$X65),"")</f>
        <v>-2.56</v>
      </c>
      <c r="AY65" s="103">
        <f>IF($X65&gt;0,INDEX('CostModel Coef'!I$13:I$16,$X65),"")</f>
        <v>0</v>
      </c>
      <c r="AZ65" s="103">
        <f>IF($X65&gt;0,INDEX('CostModel Coef'!J$13:J$16,$X65),"")</f>
        <v>0</v>
      </c>
      <c r="BA65" s="103">
        <f>IF($X65&gt;0,INDEX('CostModel Coef'!K$13:K$16,$X65),"")</f>
        <v>-2.4540000000000002</v>
      </c>
      <c r="BB65" s="103">
        <f>IF($X65&gt;0,INDEX('CostModel Coef'!L$13:L$16,$X65),"")</f>
        <v>0</v>
      </c>
      <c r="BC65" s="103">
        <f>IF($X65&gt;0,INDEX('CostModel Coef'!M$13:M$16,$X65),"")</f>
        <v>0</v>
      </c>
      <c r="BD65" s="103">
        <f>IF($X65&gt;0,INDEX('CostModel Coef'!N$13:N$16,$X65),"")</f>
        <v>0.25744499999999998</v>
      </c>
      <c r="BE65" s="103">
        <f>IF($X65&gt;0,INDEX('CostModel Coef'!O$13:O$16,$X65),"")</f>
        <v>1.095</v>
      </c>
      <c r="BF65" s="103">
        <f>IF($X65&gt;0,INDEX('CostModel Coef'!P$13:P$16,$X65),"")</f>
        <v>5</v>
      </c>
      <c r="BG65" s="103">
        <f>IF($X65&gt;0,INDEX('CostModel Coef'!Q$13:Q$16,$X65),"")</f>
        <v>-4.9910000000000004E-4</v>
      </c>
      <c r="BH65" s="103">
        <f>IF($X65&gt;0,INDEX('CostModel Coef'!R$13:R$16,$X65),"")</f>
        <v>3</v>
      </c>
      <c r="BI65" s="103">
        <f>IF($X65&gt;0,INDEX('CostModel Coef'!S$13:S$16,$X65),"")</f>
        <v>150</v>
      </c>
      <c r="BJ65" s="103">
        <f>IF($X65&gt;0,INDEX('CostModel Coef'!T$13:T$16,$X65),"")</f>
        <v>0</v>
      </c>
      <c r="BK65" s="103">
        <f>IF($X65&gt;0,INDEX('CostModel Coef'!U$13:U$16,$X65),"")</f>
        <v>0</v>
      </c>
      <c r="BL65" s="103">
        <f>IF($X65&gt;0,INDEX('CostModel Coef'!V$13:V$16,$X65),"")</f>
        <v>0</v>
      </c>
      <c r="BM65" s="103">
        <f>IF($X65&gt;0,INDEX('CostModel Coef'!W$13:W$16,$X65),"")</f>
        <v>0</v>
      </c>
      <c r="BN65" s="103">
        <f>IF($X65&gt;0,INDEX('CostModel Coef'!X$13:X$16,$X65),"")</f>
        <v>0</v>
      </c>
      <c r="BO65" s="103"/>
      <c r="BP65" s="119">
        <v>2000</v>
      </c>
      <c r="BQ65" s="103"/>
      <c r="BR65" s="103"/>
      <c r="BS65" s="119" t="str">
        <f t="shared" si="8"/>
        <v>WRR0347_CFLscw-Candle(12w)</v>
      </c>
      <c r="BT65" s="174">
        <f t="shared" si="0"/>
        <v>42</v>
      </c>
      <c r="BU65" s="113">
        <f t="shared" si="10"/>
        <v>2.0329278</v>
      </c>
      <c r="BV65" s="108">
        <f t="shared" si="11"/>
        <v>4.4869278000000001</v>
      </c>
      <c r="BW65" s="108">
        <f t="shared" si="12"/>
        <v>1.9269278000000001</v>
      </c>
      <c r="BX65" s="108">
        <f t="shared" si="13"/>
        <v>1.9269278000000001</v>
      </c>
      <c r="BY65" s="108">
        <f t="shared" si="14"/>
        <v>1.9269278000000001</v>
      </c>
      <c r="BZ65" s="108"/>
      <c r="CA65" s="119" t="str">
        <f t="shared" si="15"/>
        <v/>
      </c>
      <c r="CB65" s="174">
        <f t="shared" si="6"/>
        <v>-1</v>
      </c>
      <c r="CC65" s="113" t="str">
        <f t="shared" si="16"/>
        <v/>
      </c>
      <c r="CD65" s="108" t="str">
        <f t="shared" si="17"/>
        <v/>
      </c>
      <c r="CE65" s="108" t="str">
        <f t="shared" si="18"/>
        <v/>
      </c>
      <c r="CF65" s="108" t="str">
        <f t="shared" si="19"/>
        <v/>
      </c>
      <c r="CG65" s="108" t="str">
        <f t="shared" si="20"/>
        <v/>
      </c>
      <c r="CH65" s="103"/>
      <c r="CI65" s="119" t="str">
        <f t="shared" si="9"/>
        <v>WRR0347_CFLscw-Candle(12w)</v>
      </c>
      <c r="CJ65" s="174">
        <f t="shared" si="7"/>
        <v>42</v>
      </c>
      <c r="CK65" s="113">
        <f t="shared" si="21"/>
        <v>2.0329278</v>
      </c>
      <c r="CL65" s="108">
        <f t="shared" si="22"/>
        <v>4.4869278000000001</v>
      </c>
      <c r="CM65" s="108">
        <f t="shared" si="23"/>
        <v>1.9269278000000001</v>
      </c>
      <c r="CN65" s="108">
        <f t="shared" si="24"/>
        <v>1.9269278000000001</v>
      </c>
      <c r="CO65" s="108">
        <f t="shared" si="25"/>
        <v>1.9269278000000001</v>
      </c>
    </row>
    <row r="66" spans="1:93">
      <c r="A66" s="103" t="s">
        <v>280</v>
      </c>
      <c r="B66" s="103" t="s">
        <v>174</v>
      </c>
      <c r="C66" s="103" t="s">
        <v>274</v>
      </c>
      <c r="D66" s="250" t="s">
        <v>153</v>
      </c>
      <c r="E66" s="250"/>
      <c r="F66" s="182">
        <v>8440</v>
      </c>
      <c r="G66" s="250" t="s">
        <v>175</v>
      </c>
      <c r="H66" s="250">
        <v>13</v>
      </c>
      <c r="I66" s="250"/>
      <c r="J66" s="250"/>
      <c r="K66" s="250"/>
      <c r="L66" s="250" t="s">
        <v>61</v>
      </c>
      <c r="M66" s="250">
        <v>13</v>
      </c>
      <c r="N66" s="250"/>
      <c r="O66" s="250"/>
      <c r="P66" s="250" t="s">
        <v>153</v>
      </c>
      <c r="Q66" s="250"/>
      <c r="R66" s="250"/>
      <c r="S66" s="250"/>
      <c r="T66" s="250" t="s">
        <v>155</v>
      </c>
      <c r="U66" s="103" t="s">
        <v>281</v>
      </c>
      <c r="V66" s="106" t="s">
        <v>157</v>
      </c>
      <c r="W66" s="103" t="s">
        <v>84</v>
      </c>
      <c r="X66" s="103">
        <f>IFERROR(MATCH(W66,'CostModel Coef'!$C$9:$C$12,0),0)</f>
        <v>4</v>
      </c>
      <c r="Y66" s="103"/>
      <c r="Z66" s="103">
        <f>IF($X66&gt;0,INDEX('CostModel Coef'!D$9:D$12,$X66),"")</f>
        <v>4.92</v>
      </c>
      <c r="AA66" s="103">
        <f>IF($X66&gt;0,INDEX('CostModel Coef'!E$9:E$12,$X66),"")</f>
        <v>0.40973260011515322</v>
      </c>
      <c r="AB66" s="103">
        <f>IF($X66&gt;0,INDEX('CostModel Coef'!F$9:F$12,$X66),"")</f>
        <v>0</v>
      </c>
      <c r="AC66" s="103">
        <f>IF($X66&gt;0,INDEX('CostModel Coef'!G$9:G$12,$X66),"")</f>
        <v>0</v>
      </c>
      <c r="AD66" s="103">
        <f>IF($X66&gt;0,INDEX('CostModel Coef'!H$9:H$12,$X66),"")</f>
        <v>-2.0082</v>
      </c>
      <c r="AE66" s="103">
        <f>IF($X66&gt;0,INDEX('CostModel Coef'!J$9:J$12,$X66),"")</f>
        <v>-0.86070000000000002</v>
      </c>
      <c r="AF66" s="103">
        <f>IF($X66&gt;0,INDEX('CostModel Coef'!K$9:K$12,$X66),"")</f>
        <v>-0.11899999999999999</v>
      </c>
      <c r="AG66" s="103">
        <f>IF($X66&gt;0,INDEX('CostModel Coef'!L$9:L$12,$X66),"")</f>
        <v>0</v>
      </c>
      <c r="AH66" s="103">
        <f>IF($X66&gt;0,INDEX('CostModel Coef'!M$9:M$12,$X66),"")</f>
        <v>0</v>
      </c>
      <c r="AI66" s="103">
        <f>IF($X66&gt;0,INDEX('CostModel Coef'!N$9:N$12,$X66),"")</f>
        <v>7.6799999999999993E-2</v>
      </c>
      <c r="AJ66" s="103">
        <f>IF($X66&gt;0,INDEX('CostModel Coef'!Q$9:Q$12,$X66),"")</f>
        <v>0.20599999999999999</v>
      </c>
      <c r="AK66" s="103">
        <f>IF($X66&gt;0,INDEX('CostModel Coef'!T$9:T$12,$X66),"")</f>
        <v>0</v>
      </c>
      <c r="AL66" s="103"/>
      <c r="AM66" s="108">
        <f t="shared" si="1"/>
        <v>8.5369246001151531</v>
      </c>
      <c r="AN66" s="108">
        <f t="shared" si="2"/>
        <v>8.6559246001151529</v>
      </c>
      <c r="AO66" s="108">
        <f t="shared" si="3"/>
        <v>6.6477246001151524</v>
      </c>
      <c r="AP66" s="108">
        <f t="shared" si="4"/>
        <v>6.6477246001151524</v>
      </c>
      <c r="AQ66" s="108">
        <f t="shared" si="5"/>
        <v>5.7870246001151529</v>
      </c>
      <c r="AR66" s="108"/>
      <c r="AS66" s="108"/>
      <c r="AT66" s="103">
        <f>IF($X66&gt;0,INDEX('CostModel Coef'!D$13:D$16,$X66),"")</f>
        <v>3.7429999999999999</v>
      </c>
      <c r="AU66" s="103">
        <f>IF($X66&gt;0,INDEX('CostModel Coef'!E$13:E$16,$X66),"")</f>
        <v>0.25</v>
      </c>
      <c r="AV66" s="103">
        <f>IF($X66&gt;0,INDEX('CostModel Coef'!F$13:F$16,$X66),"")</f>
        <v>0</v>
      </c>
      <c r="AW66" s="103">
        <f>IF($X66&gt;0,INDEX('CostModel Coef'!G$13:G$16,$X66),"")</f>
        <v>0</v>
      </c>
      <c r="AX66" s="103">
        <f>IF($X66&gt;0,INDEX('CostModel Coef'!H$13:H$16,$X66),"")</f>
        <v>-2.56</v>
      </c>
      <c r="AY66" s="103">
        <f>IF($X66&gt;0,INDEX('CostModel Coef'!I$13:I$16,$X66),"")</f>
        <v>0</v>
      </c>
      <c r="AZ66" s="103">
        <f>IF($X66&gt;0,INDEX('CostModel Coef'!J$13:J$16,$X66),"")</f>
        <v>0</v>
      </c>
      <c r="BA66" s="103">
        <f>IF($X66&gt;0,INDEX('CostModel Coef'!K$13:K$16,$X66),"")</f>
        <v>-2.4540000000000002</v>
      </c>
      <c r="BB66" s="103">
        <f>IF($X66&gt;0,INDEX('CostModel Coef'!L$13:L$16,$X66),"")</f>
        <v>0</v>
      </c>
      <c r="BC66" s="103">
        <f>IF($X66&gt;0,INDEX('CostModel Coef'!M$13:M$16,$X66),"")</f>
        <v>0</v>
      </c>
      <c r="BD66" s="103">
        <f>IF($X66&gt;0,INDEX('CostModel Coef'!N$13:N$16,$X66),"")</f>
        <v>0.25744499999999998</v>
      </c>
      <c r="BE66" s="103">
        <f>IF($X66&gt;0,INDEX('CostModel Coef'!O$13:O$16,$X66),"")</f>
        <v>1.095</v>
      </c>
      <c r="BF66" s="103">
        <f>IF($X66&gt;0,INDEX('CostModel Coef'!P$13:P$16,$X66),"")</f>
        <v>5</v>
      </c>
      <c r="BG66" s="103">
        <f>IF($X66&gt;0,INDEX('CostModel Coef'!Q$13:Q$16,$X66),"")</f>
        <v>-4.9910000000000004E-4</v>
      </c>
      <c r="BH66" s="103">
        <f>IF($X66&gt;0,INDEX('CostModel Coef'!R$13:R$16,$X66),"")</f>
        <v>3</v>
      </c>
      <c r="BI66" s="103">
        <f>IF($X66&gt;0,INDEX('CostModel Coef'!S$13:S$16,$X66),"")</f>
        <v>150</v>
      </c>
      <c r="BJ66" s="103">
        <f>IF($X66&gt;0,INDEX('CostModel Coef'!T$13:T$16,$X66),"")</f>
        <v>0</v>
      </c>
      <c r="BK66" s="103">
        <f>IF($X66&gt;0,INDEX('CostModel Coef'!U$13:U$16,$X66),"")</f>
        <v>0</v>
      </c>
      <c r="BL66" s="103">
        <f>IF($X66&gt;0,INDEX('CostModel Coef'!V$13:V$16,$X66),"")</f>
        <v>0</v>
      </c>
      <c r="BM66" s="103">
        <f>IF($X66&gt;0,INDEX('CostModel Coef'!W$13:W$16,$X66),"")</f>
        <v>0</v>
      </c>
      <c r="BN66" s="103">
        <f>IF($X66&gt;0,INDEX('CostModel Coef'!X$13:X$16,$X66),"")</f>
        <v>0</v>
      </c>
      <c r="BO66" s="103"/>
      <c r="BP66" s="119">
        <v>2000</v>
      </c>
      <c r="BQ66" s="103"/>
      <c r="BR66" s="103"/>
      <c r="BS66" s="119" t="str">
        <f t="shared" si="8"/>
        <v>WRR0347_CFLscw-Candle(13w)</v>
      </c>
      <c r="BT66" s="174">
        <f t="shared" si="0"/>
        <v>45</v>
      </c>
      <c r="BU66" s="113">
        <f t="shared" si="10"/>
        <v>2.0314304999999995</v>
      </c>
      <c r="BV66" s="108">
        <f t="shared" si="11"/>
        <v>4.4854304999999997</v>
      </c>
      <c r="BW66" s="108">
        <f t="shared" si="12"/>
        <v>1.9254304999999996</v>
      </c>
      <c r="BX66" s="108">
        <f t="shared" si="13"/>
        <v>1.9254304999999996</v>
      </c>
      <c r="BY66" s="108">
        <f t="shared" si="14"/>
        <v>1.9254304999999996</v>
      </c>
      <c r="BZ66" s="108"/>
      <c r="CA66" s="119" t="str">
        <f t="shared" si="15"/>
        <v/>
      </c>
      <c r="CB66" s="174">
        <f t="shared" si="6"/>
        <v>-1</v>
      </c>
      <c r="CC66" s="113" t="str">
        <f t="shared" si="16"/>
        <v/>
      </c>
      <c r="CD66" s="108" t="str">
        <f t="shared" si="17"/>
        <v/>
      </c>
      <c r="CE66" s="108" t="str">
        <f t="shared" si="18"/>
        <v/>
      </c>
      <c r="CF66" s="108" t="str">
        <f t="shared" si="19"/>
        <v/>
      </c>
      <c r="CG66" s="108" t="str">
        <f t="shared" si="20"/>
        <v/>
      </c>
      <c r="CH66" s="103"/>
      <c r="CI66" s="119" t="str">
        <f t="shared" si="9"/>
        <v>WRR0347_CFLscw-Candle(13w)</v>
      </c>
      <c r="CJ66" s="174">
        <f t="shared" si="7"/>
        <v>45</v>
      </c>
      <c r="CK66" s="113">
        <f t="shared" si="21"/>
        <v>2.0314304999999995</v>
      </c>
      <c r="CL66" s="108">
        <f t="shared" si="22"/>
        <v>4.4854304999999997</v>
      </c>
      <c r="CM66" s="108">
        <f t="shared" si="23"/>
        <v>1.9254304999999996</v>
      </c>
      <c r="CN66" s="108">
        <f t="shared" si="24"/>
        <v>1.9254304999999996</v>
      </c>
      <c r="CO66" s="108">
        <f t="shared" si="25"/>
        <v>1.9254304999999996</v>
      </c>
    </row>
    <row r="67" spans="1:93">
      <c r="A67" s="103" t="s">
        <v>282</v>
      </c>
      <c r="B67" s="103" t="s">
        <v>174</v>
      </c>
      <c r="C67" s="103" t="s">
        <v>274</v>
      </c>
      <c r="D67" s="250" t="s">
        <v>153</v>
      </c>
      <c r="E67" s="250"/>
      <c r="F67" s="182">
        <v>8440</v>
      </c>
      <c r="G67" s="250" t="s">
        <v>175</v>
      </c>
      <c r="H67" s="250">
        <v>14</v>
      </c>
      <c r="I67" s="250"/>
      <c r="J67" s="250"/>
      <c r="K67" s="250"/>
      <c r="L67" s="250" t="s">
        <v>61</v>
      </c>
      <c r="M67" s="250">
        <v>14</v>
      </c>
      <c r="N67" s="250"/>
      <c r="O67" s="250"/>
      <c r="P67" s="250" t="s">
        <v>153</v>
      </c>
      <c r="Q67" s="250"/>
      <c r="R67" s="250"/>
      <c r="S67" s="250"/>
      <c r="T67" s="250" t="s">
        <v>155</v>
      </c>
      <c r="U67" s="103" t="s">
        <v>283</v>
      </c>
      <c r="V67" s="106" t="s">
        <v>157</v>
      </c>
      <c r="W67" s="103" t="s">
        <v>84</v>
      </c>
      <c r="X67" s="103">
        <f>IFERROR(MATCH(W67,'CostModel Coef'!$C$9:$C$12,0),0)</f>
        <v>4</v>
      </c>
      <c r="Y67" s="103"/>
      <c r="Z67" s="103">
        <f>IF($X67&gt;0,INDEX('CostModel Coef'!D$9:D$12,$X67),"")</f>
        <v>4.92</v>
      </c>
      <c r="AA67" s="103">
        <f>IF($X67&gt;0,INDEX('CostModel Coef'!E$9:E$12,$X67),"")</f>
        <v>0.40973260011515322</v>
      </c>
      <c r="AB67" s="103">
        <f>IF($X67&gt;0,INDEX('CostModel Coef'!F$9:F$12,$X67),"")</f>
        <v>0</v>
      </c>
      <c r="AC67" s="103">
        <f>IF($X67&gt;0,INDEX('CostModel Coef'!G$9:G$12,$X67),"")</f>
        <v>0</v>
      </c>
      <c r="AD67" s="103">
        <f>IF($X67&gt;0,INDEX('CostModel Coef'!H$9:H$12,$X67),"")</f>
        <v>-2.0082</v>
      </c>
      <c r="AE67" s="103">
        <f>IF($X67&gt;0,INDEX('CostModel Coef'!J$9:J$12,$X67),"")</f>
        <v>-0.86070000000000002</v>
      </c>
      <c r="AF67" s="103">
        <f>IF($X67&gt;0,INDEX('CostModel Coef'!K$9:K$12,$X67),"")</f>
        <v>-0.11899999999999999</v>
      </c>
      <c r="AG67" s="103">
        <f>IF($X67&gt;0,INDEX('CostModel Coef'!L$9:L$12,$X67),"")</f>
        <v>0</v>
      </c>
      <c r="AH67" s="103">
        <f>IF($X67&gt;0,INDEX('CostModel Coef'!M$9:M$12,$X67),"")</f>
        <v>0</v>
      </c>
      <c r="AI67" s="103">
        <f>IF($X67&gt;0,INDEX('CostModel Coef'!N$9:N$12,$X67),"")</f>
        <v>7.6799999999999993E-2</v>
      </c>
      <c r="AJ67" s="103">
        <f>IF($X67&gt;0,INDEX('CostModel Coef'!Q$9:Q$12,$X67),"")</f>
        <v>0.20599999999999999</v>
      </c>
      <c r="AK67" s="103">
        <f>IF($X67&gt;0,INDEX('CostModel Coef'!T$9:T$12,$X67),"")</f>
        <v>0</v>
      </c>
      <c r="AL67" s="103"/>
      <c r="AM67" s="108">
        <f t="shared" si="1"/>
        <v>8.7429246001151526</v>
      </c>
      <c r="AN67" s="108">
        <f t="shared" si="2"/>
        <v>8.8619246001151524</v>
      </c>
      <c r="AO67" s="108">
        <f t="shared" si="3"/>
        <v>6.8537246001151519</v>
      </c>
      <c r="AP67" s="108">
        <f t="shared" si="4"/>
        <v>6.8537246001151519</v>
      </c>
      <c r="AQ67" s="108">
        <f t="shared" si="5"/>
        <v>5.9930246001151524</v>
      </c>
      <c r="AR67" s="108"/>
      <c r="AS67" s="108"/>
      <c r="AT67" s="103">
        <f>IF($X67&gt;0,INDEX('CostModel Coef'!D$13:D$16,$X67),"")</f>
        <v>3.7429999999999999</v>
      </c>
      <c r="AU67" s="103">
        <f>IF($X67&gt;0,INDEX('CostModel Coef'!E$13:E$16,$X67),"")</f>
        <v>0.25</v>
      </c>
      <c r="AV67" s="103">
        <f>IF($X67&gt;0,INDEX('CostModel Coef'!F$13:F$16,$X67),"")</f>
        <v>0</v>
      </c>
      <c r="AW67" s="103">
        <f>IF($X67&gt;0,INDEX('CostModel Coef'!G$13:G$16,$X67),"")</f>
        <v>0</v>
      </c>
      <c r="AX67" s="103">
        <f>IF($X67&gt;0,INDEX('CostModel Coef'!H$13:H$16,$X67),"")</f>
        <v>-2.56</v>
      </c>
      <c r="AY67" s="103">
        <f>IF($X67&gt;0,INDEX('CostModel Coef'!I$13:I$16,$X67),"")</f>
        <v>0</v>
      </c>
      <c r="AZ67" s="103">
        <f>IF($X67&gt;0,INDEX('CostModel Coef'!J$13:J$16,$X67),"")</f>
        <v>0</v>
      </c>
      <c r="BA67" s="103">
        <f>IF($X67&gt;0,INDEX('CostModel Coef'!K$13:K$16,$X67),"")</f>
        <v>-2.4540000000000002</v>
      </c>
      <c r="BB67" s="103">
        <f>IF($X67&gt;0,INDEX('CostModel Coef'!L$13:L$16,$X67),"")</f>
        <v>0</v>
      </c>
      <c r="BC67" s="103">
        <f>IF($X67&gt;0,INDEX('CostModel Coef'!M$13:M$16,$X67),"")</f>
        <v>0</v>
      </c>
      <c r="BD67" s="103">
        <f>IF($X67&gt;0,INDEX('CostModel Coef'!N$13:N$16,$X67),"")</f>
        <v>0.25744499999999998</v>
      </c>
      <c r="BE67" s="103">
        <f>IF($X67&gt;0,INDEX('CostModel Coef'!O$13:O$16,$X67),"")</f>
        <v>1.095</v>
      </c>
      <c r="BF67" s="103">
        <f>IF($X67&gt;0,INDEX('CostModel Coef'!P$13:P$16,$X67),"")</f>
        <v>5</v>
      </c>
      <c r="BG67" s="103">
        <f>IF($X67&gt;0,INDEX('CostModel Coef'!Q$13:Q$16,$X67),"")</f>
        <v>-4.9910000000000004E-4</v>
      </c>
      <c r="BH67" s="103">
        <f>IF($X67&gt;0,INDEX('CostModel Coef'!R$13:R$16,$X67),"")</f>
        <v>3</v>
      </c>
      <c r="BI67" s="103">
        <f>IF($X67&gt;0,INDEX('CostModel Coef'!S$13:S$16,$X67),"")</f>
        <v>150</v>
      </c>
      <c r="BJ67" s="103">
        <f>IF($X67&gt;0,INDEX('CostModel Coef'!T$13:T$16,$X67),"")</f>
        <v>0</v>
      </c>
      <c r="BK67" s="103">
        <f>IF($X67&gt;0,INDEX('CostModel Coef'!U$13:U$16,$X67),"")</f>
        <v>0</v>
      </c>
      <c r="BL67" s="103">
        <f>IF($X67&gt;0,INDEX('CostModel Coef'!V$13:V$16,$X67),"")</f>
        <v>0</v>
      </c>
      <c r="BM67" s="103">
        <f>IF($X67&gt;0,INDEX('CostModel Coef'!W$13:W$16,$X67),"")</f>
        <v>0</v>
      </c>
      <c r="BN67" s="103">
        <f>IF($X67&gt;0,INDEX('CostModel Coef'!X$13:X$16,$X67),"")</f>
        <v>0</v>
      </c>
      <c r="BO67" s="103"/>
      <c r="BP67" s="119">
        <v>2000</v>
      </c>
      <c r="BQ67" s="103"/>
      <c r="BR67" s="103"/>
      <c r="BS67" s="119" t="str">
        <f t="shared" si="8"/>
        <v>WRR0347_CFLscw-Candle(14w)</v>
      </c>
      <c r="BT67" s="174">
        <f t="shared" si="0"/>
        <v>49</v>
      </c>
      <c r="BU67" s="113">
        <f t="shared" si="10"/>
        <v>2.0294340999999991</v>
      </c>
      <c r="BV67" s="108">
        <f t="shared" si="11"/>
        <v>4.4834340999999993</v>
      </c>
      <c r="BW67" s="108">
        <f t="shared" si="12"/>
        <v>1.9234340999999993</v>
      </c>
      <c r="BX67" s="108">
        <f t="shared" si="13"/>
        <v>1.9234340999999993</v>
      </c>
      <c r="BY67" s="108">
        <f t="shared" si="14"/>
        <v>1.9234340999999993</v>
      </c>
      <c r="BZ67" s="108"/>
      <c r="CA67" s="119" t="str">
        <f t="shared" si="15"/>
        <v/>
      </c>
      <c r="CB67" s="174">
        <f t="shared" si="6"/>
        <v>-1</v>
      </c>
      <c r="CC67" s="113" t="str">
        <f t="shared" si="16"/>
        <v/>
      </c>
      <c r="CD67" s="108" t="str">
        <f t="shared" si="17"/>
        <v/>
      </c>
      <c r="CE67" s="108" t="str">
        <f t="shared" si="18"/>
        <v/>
      </c>
      <c r="CF67" s="108" t="str">
        <f t="shared" si="19"/>
        <v/>
      </c>
      <c r="CG67" s="108" t="str">
        <f t="shared" si="20"/>
        <v/>
      </c>
      <c r="CH67" s="103"/>
      <c r="CI67" s="119" t="str">
        <f t="shared" si="9"/>
        <v>WRR0347_CFLscw-Candle(14w)</v>
      </c>
      <c r="CJ67" s="174">
        <f t="shared" si="7"/>
        <v>49</v>
      </c>
      <c r="CK67" s="113">
        <f t="shared" si="21"/>
        <v>2.0294340999999991</v>
      </c>
      <c r="CL67" s="108">
        <f t="shared" si="22"/>
        <v>4.4834340999999993</v>
      </c>
      <c r="CM67" s="108">
        <f t="shared" si="23"/>
        <v>1.9234340999999993</v>
      </c>
      <c r="CN67" s="108">
        <f t="shared" si="24"/>
        <v>1.9234340999999993</v>
      </c>
      <c r="CO67" s="108">
        <f t="shared" si="25"/>
        <v>1.9234340999999993</v>
      </c>
    </row>
    <row r="68" spans="1:93">
      <c r="A68" s="103" t="s">
        <v>284</v>
      </c>
      <c r="B68" s="103" t="s">
        <v>174</v>
      </c>
      <c r="C68" s="103" t="s">
        <v>274</v>
      </c>
      <c r="D68" s="250" t="s">
        <v>153</v>
      </c>
      <c r="E68" s="250"/>
      <c r="F68" s="182">
        <v>8440</v>
      </c>
      <c r="G68" s="250" t="s">
        <v>175</v>
      </c>
      <c r="H68" s="250">
        <v>15</v>
      </c>
      <c r="I68" s="250"/>
      <c r="J68" s="250"/>
      <c r="K68" s="250"/>
      <c r="L68" s="250" t="s">
        <v>61</v>
      </c>
      <c r="M68" s="250">
        <v>15</v>
      </c>
      <c r="N68" s="250"/>
      <c r="O68" s="250"/>
      <c r="P68" s="250" t="s">
        <v>153</v>
      </c>
      <c r="Q68" s="250"/>
      <c r="R68" s="250"/>
      <c r="S68" s="250"/>
      <c r="T68" s="250" t="s">
        <v>155</v>
      </c>
      <c r="U68" s="103" t="s">
        <v>285</v>
      </c>
      <c r="V68" s="106" t="s">
        <v>157</v>
      </c>
      <c r="W68" s="103" t="s">
        <v>84</v>
      </c>
      <c r="X68" s="103">
        <f>IFERROR(MATCH(W68,'CostModel Coef'!$C$9:$C$12,0),0)</f>
        <v>4</v>
      </c>
      <c r="Y68" s="103"/>
      <c r="Z68" s="103">
        <f>IF($X68&gt;0,INDEX('CostModel Coef'!D$9:D$12,$X68),"")</f>
        <v>4.92</v>
      </c>
      <c r="AA68" s="103">
        <f>IF($X68&gt;0,INDEX('CostModel Coef'!E$9:E$12,$X68),"")</f>
        <v>0.40973260011515322</v>
      </c>
      <c r="AB68" s="103">
        <f>IF($X68&gt;0,INDEX('CostModel Coef'!F$9:F$12,$X68),"")</f>
        <v>0</v>
      </c>
      <c r="AC68" s="103">
        <f>IF($X68&gt;0,INDEX('CostModel Coef'!G$9:G$12,$X68),"")</f>
        <v>0</v>
      </c>
      <c r="AD68" s="103">
        <f>IF($X68&gt;0,INDEX('CostModel Coef'!H$9:H$12,$X68),"")</f>
        <v>-2.0082</v>
      </c>
      <c r="AE68" s="103">
        <f>IF($X68&gt;0,INDEX('CostModel Coef'!J$9:J$12,$X68),"")</f>
        <v>-0.86070000000000002</v>
      </c>
      <c r="AF68" s="103">
        <f>IF($X68&gt;0,INDEX('CostModel Coef'!K$9:K$12,$X68),"")</f>
        <v>-0.11899999999999999</v>
      </c>
      <c r="AG68" s="103">
        <f>IF($X68&gt;0,INDEX('CostModel Coef'!L$9:L$12,$X68),"")</f>
        <v>0</v>
      </c>
      <c r="AH68" s="103">
        <f>IF($X68&gt;0,INDEX('CostModel Coef'!M$9:M$12,$X68),"")</f>
        <v>0</v>
      </c>
      <c r="AI68" s="103">
        <f>IF($X68&gt;0,INDEX('CostModel Coef'!N$9:N$12,$X68),"")</f>
        <v>7.6799999999999993E-2</v>
      </c>
      <c r="AJ68" s="103">
        <f>IF($X68&gt;0,INDEX('CostModel Coef'!Q$9:Q$12,$X68),"")</f>
        <v>0.20599999999999999</v>
      </c>
      <c r="AK68" s="103">
        <f>IF($X68&gt;0,INDEX('CostModel Coef'!T$9:T$12,$X68),"")</f>
        <v>0</v>
      </c>
      <c r="AL68" s="103"/>
      <c r="AM68" s="108">
        <f t="shared" si="1"/>
        <v>8.9489246001151521</v>
      </c>
      <c r="AN68" s="108">
        <f t="shared" si="2"/>
        <v>9.0679246001151519</v>
      </c>
      <c r="AO68" s="108">
        <f t="shared" si="3"/>
        <v>7.0597246001151515</v>
      </c>
      <c r="AP68" s="108">
        <f t="shared" si="4"/>
        <v>7.0597246001151515</v>
      </c>
      <c r="AQ68" s="108">
        <f t="shared" si="5"/>
        <v>6.1990246001151519</v>
      </c>
      <c r="AR68" s="108"/>
      <c r="AS68" s="108"/>
      <c r="AT68" s="103">
        <f>IF($X68&gt;0,INDEX('CostModel Coef'!D$13:D$16,$X68),"")</f>
        <v>3.7429999999999999</v>
      </c>
      <c r="AU68" s="103">
        <f>IF($X68&gt;0,INDEX('CostModel Coef'!E$13:E$16,$X68),"")</f>
        <v>0.25</v>
      </c>
      <c r="AV68" s="103">
        <f>IF($X68&gt;0,INDEX('CostModel Coef'!F$13:F$16,$X68),"")</f>
        <v>0</v>
      </c>
      <c r="AW68" s="103">
        <f>IF($X68&gt;0,INDEX('CostModel Coef'!G$13:G$16,$X68),"")</f>
        <v>0</v>
      </c>
      <c r="AX68" s="103">
        <f>IF($X68&gt;0,INDEX('CostModel Coef'!H$13:H$16,$X68),"")</f>
        <v>-2.56</v>
      </c>
      <c r="AY68" s="103">
        <f>IF($X68&gt;0,INDEX('CostModel Coef'!I$13:I$16,$X68),"")</f>
        <v>0</v>
      </c>
      <c r="AZ68" s="103">
        <f>IF($X68&gt;0,INDEX('CostModel Coef'!J$13:J$16,$X68),"")</f>
        <v>0</v>
      </c>
      <c r="BA68" s="103">
        <f>IF($X68&gt;0,INDEX('CostModel Coef'!K$13:K$16,$X68),"")</f>
        <v>-2.4540000000000002</v>
      </c>
      <c r="BB68" s="103">
        <f>IF($X68&gt;0,INDEX('CostModel Coef'!L$13:L$16,$X68),"")</f>
        <v>0</v>
      </c>
      <c r="BC68" s="103">
        <f>IF($X68&gt;0,INDEX('CostModel Coef'!M$13:M$16,$X68),"")</f>
        <v>0</v>
      </c>
      <c r="BD68" s="103">
        <f>IF($X68&gt;0,INDEX('CostModel Coef'!N$13:N$16,$X68),"")</f>
        <v>0.25744499999999998</v>
      </c>
      <c r="BE68" s="103">
        <f>IF($X68&gt;0,INDEX('CostModel Coef'!O$13:O$16,$X68),"")</f>
        <v>1.095</v>
      </c>
      <c r="BF68" s="103">
        <f>IF($X68&gt;0,INDEX('CostModel Coef'!P$13:P$16,$X68),"")</f>
        <v>5</v>
      </c>
      <c r="BG68" s="103">
        <f>IF($X68&gt;0,INDEX('CostModel Coef'!Q$13:Q$16,$X68),"")</f>
        <v>-4.9910000000000004E-4</v>
      </c>
      <c r="BH68" s="103">
        <f>IF($X68&gt;0,INDEX('CostModel Coef'!R$13:R$16,$X68),"")</f>
        <v>3</v>
      </c>
      <c r="BI68" s="103">
        <f>IF($X68&gt;0,INDEX('CostModel Coef'!S$13:S$16,$X68),"")</f>
        <v>150</v>
      </c>
      <c r="BJ68" s="103">
        <f>IF($X68&gt;0,INDEX('CostModel Coef'!T$13:T$16,$X68),"")</f>
        <v>0</v>
      </c>
      <c r="BK68" s="103">
        <f>IF($X68&gt;0,INDEX('CostModel Coef'!U$13:U$16,$X68),"")</f>
        <v>0</v>
      </c>
      <c r="BL68" s="103">
        <f>IF($X68&gt;0,INDEX('CostModel Coef'!V$13:V$16,$X68),"")</f>
        <v>0</v>
      </c>
      <c r="BM68" s="103">
        <f>IF($X68&gt;0,INDEX('CostModel Coef'!W$13:W$16,$X68),"")</f>
        <v>0</v>
      </c>
      <c r="BN68" s="103">
        <f>IF($X68&gt;0,INDEX('CostModel Coef'!X$13:X$16,$X68),"")</f>
        <v>0</v>
      </c>
      <c r="BO68" s="103"/>
      <c r="BP68" s="119">
        <v>2000</v>
      </c>
      <c r="BQ68" s="103"/>
      <c r="BR68" s="103"/>
      <c r="BS68" s="119" t="str">
        <f t="shared" si="8"/>
        <v>WRR0347_CFLscw-Candle(15w)</v>
      </c>
      <c r="BT68" s="174">
        <f t="shared" si="0"/>
        <v>52</v>
      </c>
      <c r="BU68" s="113">
        <f t="shared" si="10"/>
        <v>2.0279367999999995</v>
      </c>
      <c r="BV68" s="108">
        <f t="shared" si="11"/>
        <v>4.4819367999999997</v>
      </c>
      <c r="BW68" s="108">
        <f t="shared" si="12"/>
        <v>1.9219367999999997</v>
      </c>
      <c r="BX68" s="108">
        <f t="shared" si="13"/>
        <v>1.9219367999999997</v>
      </c>
      <c r="BY68" s="108">
        <f t="shared" si="14"/>
        <v>1.9219367999999997</v>
      </c>
      <c r="BZ68" s="108"/>
      <c r="CA68" s="119" t="str">
        <f t="shared" si="15"/>
        <v/>
      </c>
      <c r="CB68" s="174">
        <f t="shared" si="6"/>
        <v>-1</v>
      </c>
      <c r="CC68" s="113" t="str">
        <f t="shared" si="16"/>
        <v/>
      </c>
      <c r="CD68" s="108" t="str">
        <f t="shared" si="17"/>
        <v/>
      </c>
      <c r="CE68" s="108" t="str">
        <f t="shared" si="18"/>
        <v/>
      </c>
      <c r="CF68" s="108" t="str">
        <f t="shared" si="19"/>
        <v/>
      </c>
      <c r="CG68" s="108" t="str">
        <f t="shared" si="20"/>
        <v/>
      </c>
      <c r="CH68" s="103"/>
      <c r="CI68" s="119" t="str">
        <f t="shared" si="9"/>
        <v>WRR0347_CFLscw-Candle(15w)</v>
      </c>
      <c r="CJ68" s="174">
        <f t="shared" si="7"/>
        <v>52</v>
      </c>
      <c r="CK68" s="113">
        <f t="shared" si="21"/>
        <v>2.0279367999999995</v>
      </c>
      <c r="CL68" s="108">
        <f t="shared" si="22"/>
        <v>4.4819367999999997</v>
      </c>
      <c r="CM68" s="108">
        <f t="shared" si="23"/>
        <v>1.9219367999999997</v>
      </c>
      <c r="CN68" s="108">
        <f t="shared" si="24"/>
        <v>1.9219367999999997</v>
      </c>
      <c r="CO68" s="108">
        <f t="shared" si="25"/>
        <v>1.9219367999999997</v>
      </c>
    </row>
    <row r="69" spans="1:93">
      <c r="A69" s="103" t="s">
        <v>286</v>
      </c>
      <c r="B69" s="103" t="s">
        <v>174</v>
      </c>
      <c r="C69" s="103" t="s">
        <v>274</v>
      </c>
      <c r="D69" s="250" t="s">
        <v>153</v>
      </c>
      <c r="E69" s="250"/>
      <c r="F69" s="182">
        <v>8440</v>
      </c>
      <c r="G69" s="250" t="s">
        <v>175</v>
      </c>
      <c r="H69" s="250">
        <v>16</v>
      </c>
      <c r="I69" s="250"/>
      <c r="J69" s="250"/>
      <c r="K69" s="250"/>
      <c r="L69" s="250" t="s">
        <v>61</v>
      </c>
      <c r="M69" s="250">
        <v>16</v>
      </c>
      <c r="N69" s="250"/>
      <c r="O69" s="250"/>
      <c r="P69" s="250" t="s">
        <v>153</v>
      </c>
      <c r="Q69" s="250"/>
      <c r="R69" s="250"/>
      <c r="S69" s="250"/>
      <c r="T69" s="250" t="s">
        <v>155</v>
      </c>
      <c r="U69" s="103" t="s">
        <v>287</v>
      </c>
      <c r="V69" s="106" t="s">
        <v>157</v>
      </c>
      <c r="W69" s="103" t="s">
        <v>158</v>
      </c>
      <c r="X69" s="103">
        <f>IFERROR(MATCH(W69,'CostModel Coef'!$C$9:$C$12,0),0)</f>
        <v>0</v>
      </c>
      <c r="Y69" s="103"/>
      <c r="Z69" s="103" t="str">
        <f>IF($X69&gt;0,INDEX('CostModel Coef'!D$9:D$12,$X69),"")</f>
        <v/>
      </c>
      <c r="AA69" s="103" t="str">
        <f>IF($X69&gt;0,INDEX('CostModel Coef'!E$9:E$12,$X69),"")</f>
        <v/>
      </c>
      <c r="AB69" s="103" t="str">
        <f>IF($X69&gt;0,INDEX('CostModel Coef'!F$9:F$12,$X69),"")</f>
        <v/>
      </c>
      <c r="AC69" s="103" t="str">
        <f>IF($X69&gt;0,INDEX('CostModel Coef'!G$9:G$12,$X69),"")</f>
        <v/>
      </c>
      <c r="AD69" s="103" t="str">
        <f>IF($X69&gt;0,INDEX('CostModel Coef'!H$9:H$12,$X69),"")</f>
        <v/>
      </c>
      <c r="AE69" s="103" t="str">
        <f>IF($X69&gt;0,INDEX('CostModel Coef'!J$9:J$12,$X69),"")</f>
        <v/>
      </c>
      <c r="AF69" s="103" t="str">
        <f>IF($X69&gt;0,INDEX('CostModel Coef'!K$9:K$12,$X69),"")</f>
        <v/>
      </c>
      <c r="AG69" s="103" t="str">
        <f>IF($X69&gt;0,INDEX('CostModel Coef'!L$9:L$12,$X69),"")</f>
        <v/>
      </c>
      <c r="AH69" s="103" t="str">
        <f>IF($X69&gt;0,INDEX('CostModel Coef'!M$9:M$12,$X69),"")</f>
        <v/>
      </c>
      <c r="AI69" s="103" t="str">
        <f>IF($X69&gt;0,INDEX('CostModel Coef'!N$9:N$12,$X69),"")</f>
        <v/>
      </c>
      <c r="AJ69" s="103" t="str">
        <f>IF($X69&gt;0,INDEX('CostModel Coef'!Q$9:Q$12,$X69),"")</f>
        <v/>
      </c>
      <c r="AK69" s="103" t="str">
        <f>IF($X69&gt;0,INDEX('CostModel Coef'!T$9:T$12,$X69),"")</f>
        <v/>
      </c>
      <c r="AL69" s="103"/>
      <c r="AM69" s="108" t="str">
        <f t="shared" si="1"/>
        <v/>
      </c>
      <c r="AN69" s="108" t="str">
        <f t="shared" si="2"/>
        <v/>
      </c>
      <c r="AO69" s="108" t="str">
        <f t="shared" si="3"/>
        <v/>
      </c>
      <c r="AP69" s="108" t="str">
        <f t="shared" si="4"/>
        <v/>
      </c>
      <c r="AQ69" s="108" t="str">
        <f t="shared" si="5"/>
        <v/>
      </c>
      <c r="AR69" s="108"/>
      <c r="AS69" s="108"/>
      <c r="AT69" s="103" t="str">
        <f>IF($X69&gt;0,INDEX('CostModel Coef'!D$13:D$16,$X69),"")</f>
        <v/>
      </c>
      <c r="AU69" s="103" t="str">
        <f>IF($X69&gt;0,INDEX('CostModel Coef'!E$13:E$16,$X69),"")</f>
        <v/>
      </c>
      <c r="AV69" s="103" t="str">
        <f>IF($X69&gt;0,INDEX('CostModel Coef'!F$13:F$16,$X69),"")</f>
        <v/>
      </c>
      <c r="AW69" s="103" t="str">
        <f>IF($X69&gt;0,INDEX('CostModel Coef'!G$13:G$16,$X69),"")</f>
        <v/>
      </c>
      <c r="AX69" s="103" t="str">
        <f>IF($X69&gt;0,INDEX('CostModel Coef'!H$13:H$16,$X69),"")</f>
        <v/>
      </c>
      <c r="AY69" s="103" t="str">
        <f>IF($X69&gt;0,INDEX('CostModel Coef'!I$13:I$16,$X69),"")</f>
        <v/>
      </c>
      <c r="AZ69" s="103" t="str">
        <f>IF($X69&gt;0,INDEX('CostModel Coef'!J$13:J$16,$X69),"")</f>
        <v/>
      </c>
      <c r="BA69" s="103" t="str">
        <f>IF($X69&gt;0,INDEX('CostModel Coef'!K$13:K$16,$X69),"")</f>
        <v/>
      </c>
      <c r="BB69" s="103" t="str">
        <f>IF($X69&gt;0,INDEX('CostModel Coef'!L$13:L$16,$X69),"")</f>
        <v/>
      </c>
      <c r="BC69" s="103" t="str">
        <f>IF($X69&gt;0,INDEX('CostModel Coef'!M$13:M$16,$X69),"")</f>
        <v/>
      </c>
      <c r="BD69" s="103" t="str">
        <f>IF($X69&gt;0,INDEX('CostModel Coef'!N$13:N$16,$X69),"")</f>
        <v/>
      </c>
      <c r="BE69" s="103" t="str">
        <f>IF($X69&gt;0,INDEX('CostModel Coef'!O$13:O$16,$X69),"")</f>
        <v/>
      </c>
      <c r="BF69" s="103" t="str">
        <f>IF($X69&gt;0,INDEX('CostModel Coef'!P$13:P$16,$X69),"")</f>
        <v/>
      </c>
      <c r="BG69" s="103" t="str">
        <f>IF($X69&gt;0,INDEX('CostModel Coef'!Q$13:Q$16,$X69),"")</f>
        <v/>
      </c>
      <c r="BH69" s="103" t="str">
        <f>IF($X69&gt;0,INDEX('CostModel Coef'!R$13:R$16,$X69),"")</f>
        <v/>
      </c>
      <c r="BI69" s="103" t="str">
        <f>IF($X69&gt;0,INDEX('CostModel Coef'!S$13:S$16,$X69),"")</f>
        <v/>
      </c>
      <c r="BJ69" s="103" t="str">
        <f>IF($X69&gt;0,INDEX('CostModel Coef'!T$13:T$16,$X69),"")</f>
        <v/>
      </c>
      <c r="BK69" s="103" t="str">
        <f>IF($X69&gt;0,INDEX('CostModel Coef'!U$13:U$16,$X69),"")</f>
        <v/>
      </c>
      <c r="BL69" s="103" t="str">
        <f>IF($X69&gt;0,INDEX('CostModel Coef'!V$13:V$16,$X69),"")</f>
        <v/>
      </c>
      <c r="BM69" s="103" t="str">
        <f>IF($X69&gt;0,INDEX('CostModel Coef'!W$13:W$16,$X69),"")</f>
        <v/>
      </c>
      <c r="BN69" s="103" t="str">
        <f>IF($X69&gt;0,INDEX('CostModel Coef'!X$13:X$16,$X69),"")</f>
        <v/>
      </c>
      <c r="BO69" s="103"/>
      <c r="BP69" s="119">
        <v>2000</v>
      </c>
      <c r="BQ69" s="103"/>
      <c r="BR69" s="103"/>
      <c r="BS69" s="119" t="str">
        <f t="shared" si="8"/>
        <v/>
      </c>
      <c r="BT69" s="174">
        <f t="shared" si="0"/>
        <v>-1</v>
      </c>
      <c r="BU69" s="113" t="str">
        <f t="shared" si="10"/>
        <v>OOS</v>
      </c>
      <c r="BV69" s="108" t="str">
        <f t="shared" si="11"/>
        <v>OOS</v>
      </c>
      <c r="BW69" s="108" t="str">
        <f t="shared" si="12"/>
        <v>OOS</v>
      </c>
      <c r="BX69" s="108" t="str">
        <f t="shared" si="13"/>
        <v>OOS</v>
      </c>
      <c r="BY69" s="108" t="str">
        <f t="shared" si="14"/>
        <v>OOS</v>
      </c>
      <c r="BZ69" s="108"/>
      <c r="CA69" s="119" t="str">
        <f t="shared" si="15"/>
        <v/>
      </c>
      <c r="CB69" s="174">
        <f t="shared" si="6"/>
        <v>-1</v>
      </c>
      <c r="CC69" s="113" t="str">
        <f t="shared" si="16"/>
        <v/>
      </c>
      <c r="CD69" s="108" t="str">
        <f t="shared" si="17"/>
        <v/>
      </c>
      <c r="CE69" s="108" t="str">
        <f t="shared" si="18"/>
        <v/>
      </c>
      <c r="CF69" s="108" t="str">
        <f t="shared" si="19"/>
        <v/>
      </c>
      <c r="CG69" s="108" t="str">
        <f t="shared" si="20"/>
        <v/>
      </c>
      <c r="CH69" s="103"/>
      <c r="CI69" s="119" t="str">
        <f t="shared" si="9"/>
        <v/>
      </c>
      <c r="CJ69" s="174">
        <f t="shared" si="7"/>
        <v>-1</v>
      </c>
      <c r="CK69" s="113" t="str">
        <f t="shared" si="21"/>
        <v/>
      </c>
      <c r="CL69" s="108" t="str">
        <f t="shared" si="22"/>
        <v/>
      </c>
      <c r="CM69" s="108" t="str">
        <f t="shared" si="23"/>
        <v/>
      </c>
      <c r="CN69" s="108" t="str">
        <f t="shared" si="24"/>
        <v/>
      </c>
      <c r="CO69" s="108" t="str">
        <f t="shared" si="25"/>
        <v/>
      </c>
    </row>
    <row r="70" spans="1:93">
      <c r="A70" s="103" t="s">
        <v>288</v>
      </c>
      <c r="B70" s="103" t="s">
        <v>174</v>
      </c>
      <c r="C70" s="103" t="s">
        <v>274</v>
      </c>
      <c r="D70" s="250" t="s">
        <v>153</v>
      </c>
      <c r="E70" s="250"/>
      <c r="F70" s="182">
        <v>8440</v>
      </c>
      <c r="G70" s="250" t="s">
        <v>175</v>
      </c>
      <c r="H70" s="250">
        <v>18</v>
      </c>
      <c r="I70" s="250"/>
      <c r="J70" s="250"/>
      <c r="K70" s="250"/>
      <c r="L70" s="250" t="s">
        <v>61</v>
      </c>
      <c r="M70" s="250">
        <v>18</v>
      </c>
      <c r="N70" s="250"/>
      <c r="O70" s="250"/>
      <c r="P70" s="250" t="s">
        <v>153</v>
      </c>
      <c r="Q70" s="250"/>
      <c r="R70" s="250"/>
      <c r="S70" s="250"/>
      <c r="T70" s="250" t="s">
        <v>155</v>
      </c>
      <c r="U70" s="103" t="s">
        <v>289</v>
      </c>
      <c r="V70" s="106" t="s">
        <v>157</v>
      </c>
      <c r="W70" s="103" t="s">
        <v>158</v>
      </c>
      <c r="X70" s="103">
        <f>IFERROR(MATCH(W70,'CostModel Coef'!$C$9:$C$12,0),0)</f>
        <v>0</v>
      </c>
      <c r="Y70" s="103"/>
      <c r="Z70" s="103" t="str">
        <f>IF($X70&gt;0,INDEX('CostModel Coef'!D$9:D$12,$X70),"")</f>
        <v/>
      </c>
      <c r="AA70" s="103" t="str">
        <f>IF($X70&gt;0,INDEX('CostModel Coef'!E$9:E$12,$X70),"")</f>
        <v/>
      </c>
      <c r="AB70" s="103" t="str">
        <f>IF($X70&gt;0,INDEX('CostModel Coef'!F$9:F$12,$X70),"")</f>
        <v/>
      </c>
      <c r="AC70" s="103" t="str">
        <f>IF($X70&gt;0,INDEX('CostModel Coef'!G$9:G$12,$X70),"")</f>
        <v/>
      </c>
      <c r="AD70" s="103" t="str">
        <f>IF($X70&gt;0,INDEX('CostModel Coef'!H$9:H$12,$X70),"")</f>
        <v/>
      </c>
      <c r="AE70" s="103" t="str">
        <f>IF($X70&gt;0,INDEX('CostModel Coef'!J$9:J$12,$X70),"")</f>
        <v/>
      </c>
      <c r="AF70" s="103" t="str">
        <f>IF($X70&gt;0,INDEX('CostModel Coef'!K$9:K$12,$X70),"")</f>
        <v/>
      </c>
      <c r="AG70" s="103" t="str">
        <f>IF($X70&gt;0,INDEX('CostModel Coef'!L$9:L$12,$X70),"")</f>
        <v/>
      </c>
      <c r="AH70" s="103" t="str">
        <f>IF($X70&gt;0,INDEX('CostModel Coef'!M$9:M$12,$X70),"")</f>
        <v/>
      </c>
      <c r="AI70" s="103" t="str">
        <f>IF($X70&gt;0,INDEX('CostModel Coef'!N$9:N$12,$X70),"")</f>
        <v/>
      </c>
      <c r="AJ70" s="103" t="str">
        <f>IF($X70&gt;0,INDEX('CostModel Coef'!Q$9:Q$12,$X70),"")</f>
        <v/>
      </c>
      <c r="AK70" s="103" t="str">
        <f>IF($X70&gt;0,INDEX('CostModel Coef'!T$9:T$12,$X70),"")</f>
        <v/>
      </c>
      <c r="AL70" s="103"/>
      <c r="AM70" s="108" t="str">
        <f t="shared" si="1"/>
        <v/>
      </c>
      <c r="AN70" s="108" t="str">
        <f t="shared" si="2"/>
        <v/>
      </c>
      <c r="AO70" s="108" t="str">
        <f t="shared" si="3"/>
        <v/>
      </c>
      <c r="AP70" s="108" t="str">
        <f t="shared" si="4"/>
        <v/>
      </c>
      <c r="AQ70" s="108" t="str">
        <f t="shared" si="5"/>
        <v/>
      </c>
      <c r="AR70" s="108"/>
      <c r="AS70" s="108"/>
      <c r="AT70" s="103" t="str">
        <f>IF($X70&gt;0,INDEX('CostModel Coef'!D$13:D$16,$X70),"")</f>
        <v/>
      </c>
      <c r="AU70" s="103" t="str">
        <f>IF($X70&gt;0,INDEX('CostModel Coef'!E$13:E$16,$X70),"")</f>
        <v/>
      </c>
      <c r="AV70" s="103" t="str">
        <f>IF($X70&gt;0,INDEX('CostModel Coef'!F$13:F$16,$X70),"")</f>
        <v/>
      </c>
      <c r="AW70" s="103" t="str">
        <f>IF($X70&gt;0,INDEX('CostModel Coef'!G$13:G$16,$X70),"")</f>
        <v/>
      </c>
      <c r="AX70" s="103" t="str">
        <f>IF($X70&gt;0,INDEX('CostModel Coef'!H$13:H$16,$X70),"")</f>
        <v/>
      </c>
      <c r="AY70" s="103" t="str">
        <f>IF($X70&gt;0,INDEX('CostModel Coef'!I$13:I$16,$X70),"")</f>
        <v/>
      </c>
      <c r="AZ70" s="103" t="str">
        <f>IF($X70&gt;0,INDEX('CostModel Coef'!J$13:J$16,$X70),"")</f>
        <v/>
      </c>
      <c r="BA70" s="103" t="str">
        <f>IF($X70&gt;0,INDEX('CostModel Coef'!K$13:K$16,$X70),"")</f>
        <v/>
      </c>
      <c r="BB70" s="103" t="str">
        <f>IF($X70&gt;0,INDEX('CostModel Coef'!L$13:L$16,$X70),"")</f>
        <v/>
      </c>
      <c r="BC70" s="103" t="str">
        <f>IF($X70&gt;0,INDEX('CostModel Coef'!M$13:M$16,$X70),"")</f>
        <v/>
      </c>
      <c r="BD70" s="103" t="str">
        <f>IF($X70&gt;0,INDEX('CostModel Coef'!N$13:N$16,$X70),"")</f>
        <v/>
      </c>
      <c r="BE70" s="103" t="str">
        <f>IF($X70&gt;0,INDEX('CostModel Coef'!O$13:O$16,$X70),"")</f>
        <v/>
      </c>
      <c r="BF70" s="103" t="str">
        <f>IF($X70&gt;0,INDEX('CostModel Coef'!P$13:P$16,$X70),"")</f>
        <v/>
      </c>
      <c r="BG70" s="103" t="str">
        <f>IF($X70&gt;0,INDEX('CostModel Coef'!Q$13:Q$16,$X70),"")</f>
        <v/>
      </c>
      <c r="BH70" s="103" t="str">
        <f>IF($X70&gt;0,INDEX('CostModel Coef'!R$13:R$16,$X70),"")</f>
        <v/>
      </c>
      <c r="BI70" s="103" t="str">
        <f>IF($X70&gt;0,INDEX('CostModel Coef'!S$13:S$16,$X70),"")</f>
        <v/>
      </c>
      <c r="BJ70" s="103" t="str">
        <f>IF($X70&gt;0,INDEX('CostModel Coef'!T$13:T$16,$X70),"")</f>
        <v/>
      </c>
      <c r="BK70" s="103" t="str">
        <f>IF($X70&gt;0,INDEX('CostModel Coef'!U$13:U$16,$X70),"")</f>
        <v/>
      </c>
      <c r="BL70" s="103" t="str">
        <f>IF($X70&gt;0,INDEX('CostModel Coef'!V$13:V$16,$X70),"")</f>
        <v/>
      </c>
      <c r="BM70" s="103" t="str">
        <f>IF($X70&gt;0,INDEX('CostModel Coef'!W$13:W$16,$X70),"")</f>
        <v/>
      </c>
      <c r="BN70" s="103" t="str">
        <f>IF($X70&gt;0,INDEX('CostModel Coef'!X$13:X$16,$X70),"")</f>
        <v/>
      </c>
      <c r="BO70" s="103"/>
      <c r="BP70" s="119">
        <v>2000</v>
      </c>
      <c r="BQ70" s="103"/>
      <c r="BR70" s="103"/>
      <c r="BS70" s="119" t="str">
        <f t="shared" si="8"/>
        <v/>
      </c>
      <c r="BT70" s="174">
        <f t="shared" si="0"/>
        <v>-1</v>
      </c>
      <c r="BU70" s="113" t="str">
        <f t="shared" si="10"/>
        <v>OOS</v>
      </c>
      <c r="BV70" s="108" t="str">
        <f t="shared" si="11"/>
        <v>OOS</v>
      </c>
      <c r="BW70" s="108" t="str">
        <f t="shared" si="12"/>
        <v>OOS</v>
      </c>
      <c r="BX70" s="108" t="str">
        <f t="shared" si="13"/>
        <v>OOS</v>
      </c>
      <c r="BY70" s="108" t="str">
        <f t="shared" si="14"/>
        <v>OOS</v>
      </c>
      <c r="BZ70" s="108"/>
      <c r="CA70" s="119" t="str">
        <f t="shared" si="15"/>
        <v/>
      </c>
      <c r="CB70" s="174">
        <f t="shared" si="6"/>
        <v>-1</v>
      </c>
      <c r="CC70" s="113" t="str">
        <f t="shared" si="16"/>
        <v/>
      </c>
      <c r="CD70" s="108" t="str">
        <f t="shared" si="17"/>
        <v/>
      </c>
      <c r="CE70" s="108" t="str">
        <f t="shared" si="18"/>
        <v/>
      </c>
      <c r="CF70" s="108" t="str">
        <f t="shared" si="19"/>
        <v/>
      </c>
      <c r="CG70" s="108" t="str">
        <f t="shared" si="20"/>
        <v/>
      </c>
      <c r="CH70" s="103"/>
      <c r="CI70" s="119" t="str">
        <f t="shared" si="9"/>
        <v/>
      </c>
      <c r="CJ70" s="174">
        <f t="shared" si="7"/>
        <v>-1</v>
      </c>
      <c r="CK70" s="113" t="str">
        <f t="shared" si="21"/>
        <v/>
      </c>
      <c r="CL70" s="108" t="str">
        <f t="shared" si="22"/>
        <v/>
      </c>
      <c r="CM70" s="108" t="str">
        <f t="shared" si="23"/>
        <v/>
      </c>
      <c r="CN70" s="108" t="str">
        <f t="shared" si="24"/>
        <v/>
      </c>
      <c r="CO70" s="108" t="str">
        <f t="shared" si="25"/>
        <v/>
      </c>
    </row>
    <row r="71" spans="1:93">
      <c r="A71" s="103" t="s">
        <v>290</v>
      </c>
      <c r="B71" s="103" t="s">
        <v>174</v>
      </c>
      <c r="C71" s="103" t="s">
        <v>274</v>
      </c>
      <c r="D71" s="250" t="s">
        <v>153</v>
      </c>
      <c r="E71" s="250"/>
      <c r="F71" s="182">
        <v>8440</v>
      </c>
      <c r="G71" s="250" t="s">
        <v>175</v>
      </c>
      <c r="H71" s="250">
        <v>19</v>
      </c>
      <c r="I71" s="250"/>
      <c r="J71" s="250"/>
      <c r="K71" s="250"/>
      <c r="L71" s="250" t="s">
        <v>61</v>
      </c>
      <c r="M71" s="250">
        <v>19</v>
      </c>
      <c r="N71" s="250"/>
      <c r="O71" s="250"/>
      <c r="P71" s="250" t="s">
        <v>153</v>
      </c>
      <c r="Q71" s="250"/>
      <c r="R71" s="250"/>
      <c r="S71" s="250"/>
      <c r="T71" s="250" t="s">
        <v>155</v>
      </c>
      <c r="U71" s="103" t="s">
        <v>291</v>
      </c>
      <c r="V71" s="106" t="s">
        <v>157</v>
      </c>
      <c r="W71" s="103" t="s">
        <v>158</v>
      </c>
      <c r="X71" s="103">
        <f>IFERROR(MATCH(W71,'CostModel Coef'!$C$9:$C$12,0),0)</f>
        <v>0</v>
      </c>
      <c r="Y71" s="103"/>
      <c r="Z71" s="103" t="str">
        <f>IF($X71&gt;0,INDEX('CostModel Coef'!D$9:D$12,$X71),"")</f>
        <v/>
      </c>
      <c r="AA71" s="103" t="str">
        <f>IF($X71&gt;0,INDEX('CostModel Coef'!E$9:E$12,$X71),"")</f>
        <v/>
      </c>
      <c r="AB71" s="103" t="str">
        <f>IF($X71&gt;0,INDEX('CostModel Coef'!F$9:F$12,$X71),"")</f>
        <v/>
      </c>
      <c r="AC71" s="103" t="str">
        <f>IF($X71&gt;0,INDEX('CostModel Coef'!G$9:G$12,$X71),"")</f>
        <v/>
      </c>
      <c r="AD71" s="103" t="str">
        <f>IF($X71&gt;0,INDEX('CostModel Coef'!H$9:H$12,$X71),"")</f>
        <v/>
      </c>
      <c r="AE71" s="103" t="str">
        <f>IF($X71&gt;0,INDEX('CostModel Coef'!J$9:J$12,$X71),"")</f>
        <v/>
      </c>
      <c r="AF71" s="103" t="str">
        <f>IF($X71&gt;0,INDEX('CostModel Coef'!K$9:K$12,$X71),"")</f>
        <v/>
      </c>
      <c r="AG71" s="103" t="str">
        <f>IF($X71&gt;0,INDEX('CostModel Coef'!L$9:L$12,$X71),"")</f>
        <v/>
      </c>
      <c r="AH71" s="103" t="str">
        <f>IF($X71&gt;0,INDEX('CostModel Coef'!M$9:M$12,$X71),"")</f>
        <v/>
      </c>
      <c r="AI71" s="103" t="str">
        <f>IF($X71&gt;0,INDEX('CostModel Coef'!N$9:N$12,$X71),"")</f>
        <v/>
      </c>
      <c r="AJ71" s="103" t="str">
        <f>IF($X71&gt;0,INDEX('CostModel Coef'!Q$9:Q$12,$X71),"")</f>
        <v/>
      </c>
      <c r="AK71" s="103" t="str">
        <f>IF($X71&gt;0,INDEX('CostModel Coef'!T$9:T$12,$X71),"")</f>
        <v/>
      </c>
      <c r="AL71" s="103"/>
      <c r="AM71" s="108" t="str">
        <f t="shared" si="1"/>
        <v/>
      </c>
      <c r="AN71" s="108" t="str">
        <f t="shared" si="2"/>
        <v/>
      </c>
      <c r="AO71" s="108" t="str">
        <f t="shared" si="3"/>
        <v/>
      </c>
      <c r="AP71" s="108" t="str">
        <f t="shared" si="4"/>
        <v/>
      </c>
      <c r="AQ71" s="108" t="str">
        <f t="shared" si="5"/>
        <v/>
      </c>
      <c r="AR71" s="108"/>
      <c r="AS71" s="108"/>
      <c r="AT71" s="103" t="str">
        <f>IF($X71&gt;0,INDEX('CostModel Coef'!D$13:D$16,$X71),"")</f>
        <v/>
      </c>
      <c r="AU71" s="103" t="str">
        <f>IF($X71&gt;0,INDEX('CostModel Coef'!E$13:E$16,$X71),"")</f>
        <v/>
      </c>
      <c r="AV71" s="103" t="str">
        <f>IF($X71&gt;0,INDEX('CostModel Coef'!F$13:F$16,$X71),"")</f>
        <v/>
      </c>
      <c r="AW71" s="103" t="str">
        <f>IF($X71&gt;0,INDEX('CostModel Coef'!G$13:G$16,$X71),"")</f>
        <v/>
      </c>
      <c r="AX71" s="103" t="str">
        <f>IF($X71&gt;0,INDEX('CostModel Coef'!H$13:H$16,$X71),"")</f>
        <v/>
      </c>
      <c r="AY71" s="103" t="str">
        <f>IF($X71&gt;0,INDEX('CostModel Coef'!I$13:I$16,$X71),"")</f>
        <v/>
      </c>
      <c r="AZ71" s="103" t="str">
        <f>IF($X71&gt;0,INDEX('CostModel Coef'!J$13:J$16,$X71),"")</f>
        <v/>
      </c>
      <c r="BA71" s="103" t="str">
        <f>IF($X71&gt;0,INDEX('CostModel Coef'!K$13:K$16,$X71),"")</f>
        <v/>
      </c>
      <c r="BB71" s="103" t="str">
        <f>IF($X71&gt;0,INDEX('CostModel Coef'!L$13:L$16,$X71),"")</f>
        <v/>
      </c>
      <c r="BC71" s="103" t="str">
        <f>IF($X71&gt;0,INDEX('CostModel Coef'!M$13:M$16,$X71),"")</f>
        <v/>
      </c>
      <c r="BD71" s="103" t="str">
        <f>IF($X71&gt;0,INDEX('CostModel Coef'!N$13:N$16,$X71),"")</f>
        <v/>
      </c>
      <c r="BE71" s="103" t="str">
        <f>IF($X71&gt;0,INDEX('CostModel Coef'!O$13:O$16,$X71),"")</f>
        <v/>
      </c>
      <c r="BF71" s="103" t="str">
        <f>IF($X71&gt;0,INDEX('CostModel Coef'!P$13:P$16,$X71),"")</f>
        <v/>
      </c>
      <c r="BG71" s="103" t="str">
        <f>IF($X71&gt;0,INDEX('CostModel Coef'!Q$13:Q$16,$X71),"")</f>
        <v/>
      </c>
      <c r="BH71" s="103" t="str">
        <f>IF($X71&gt;0,INDEX('CostModel Coef'!R$13:R$16,$X71),"")</f>
        <v/>
      </c>
      <c r="BI71" s="103" t="str">
        <f>IF($X71&gt;0,INDEX('CostModel Coef'!S$13:S$16,$X71),"")</f>
        <v/>
      </c>
      <c r="BJ71" s="103" t="str">
        <f>IF($X71&gt;0,INDEX('CostModel Coef'!T$13:T$16,$X71),"")</f>
        <v/>
      </c>
      <c r="BK71" s="103" t="str">
        <f>IF($X71&gt;0,INDEX('CostModel Coef'!U$13:U$16,$X71),"")</f>
        <v/>
      </c>
      <c r="BL71" s="103" t="str">
        <f>IF($X71&gt;0,INDEX('CostModel Coef'!V$13:V$16,$X71),"")</f>
        <v/>
      </c>
      <c r="BM71" s="103" t="str">
        <f>IF($X71&gt;0,INDEX('CostModel Coef'!W$13:W$16,$X71),"")</f>
        <v/>
      </c>
      <c r="BN71" s="103" t="str">
        <f>IF($X71&gt;0,INDEX('CostModel Coef'!X$13:X$16,$X71),"")</f>
        <v/>
      </c>
      <c r="BO71" s="103"/>
      <c r="BP71" s="119">
        <v>2000</v>
      </c>
      <c r="BQ71" s="103"/>
      <c r="BR71" s="103"/>
      <c r="BS71" s="119" t="str">
        <f t="shared" si="8"/>
        <v/>
      </c>
      <c r="BT71" s="174">
        <f t="shared" si="0"/>
        <v>-1</v>
      </c>
      <c r="BU71" s="113" t="str">
        <f t="shared" si="10"/>
        <v>OOS</v>
      </c>
      <c r="BV71" s="108" t="str">
        <f t="shared" si="11"/>
        <v>OOS</v>
      </c>
      <c r="BW71" s="108" t="str">
        <f t="shared" si="12"/>
        <v>OOS</v>
      </c>
      <c r="BX71" s="108" t="str">
        <f t="shared" si="13"/>
        <v>OOS</v>
      </c>
      <c r="BY71" s="108" t="str">
        <f t="shared" si="14"/>
        <v>OOS</v>
      </c>
      <c r="BZ71" s="108"/>
      <c r="CA71" s="119" t="str">
        <f t="shared" si="15"/>
        <v/>
      </c>
      <c r="CB71" s="174">
        <f t="shared" si="6"/>
        <v>-1</v>
      </c>
      <c r="CC71" s="113" t="str">
        <f t="shared" si="16"/>
        <v/>
      </c>
      <c r="CD71" s="108" t="str">
        <f t="shared" si="17"/>
        <v/>
      </c>
      <c r="CE71" s="108" t="str">
        <f t="shared" si="18"/>
        <v/>
      </c>
      <c r="CF71" s="108" t="str">
        <f t="shared" si="19"/>
        <v/>
      </c>
      <c r="CG71" s="108" t="str">
        <f t="shared" si="20"/>
        <v/>
      </c>
      <c r="CH71" s="103"/>
      <c r="CI71" s="119" t="str">
        <f t="shared" si="9"/>
        <v/>
      </c>
      <c r="CJ71" s="174">
        <f t="shared" si="7"/>
        <v>-1</v>
      </c>
      <c r="CK71" s="113" t="str">
        <f t="shared" si="21"/>
        <v/>
      </c>
      <c r="CL71" s="108" t="str">
        <f t="shared" si="22"/>
        <v/>
      </c>
      <c r="CM71" s="108" t="str">
        <f t="shared" si="23"/>
        <v/>
      </c>
      <c r="CN71" s="108" t="str">
        <f t="shared" si="24"/>
        <v/>
      </c>
      <c r="CO71" s="108" t="str">
        <f t="shared" si="25"/>
        <v/>
      </c>
    </row>
    <row r="72" spans="1:93">
      <c r="A72" s="103" t="s">
        <v>292</v>
      </c>
      <c r="B72" s="103" t="s">
        <v>174</v>
      </c>
      <c r="C72" s="103" t="s">
        <v>274</v>
      </c>
      <c r="D72" s="250" t="s">
        <v>153</v>
      </c>
      <c r="E72" s="250"/>
      <c r="F72" s="182">
        <v>8440</v>
      </c>
      <c r="G72" s="250" t="s">
        <v>175</v>
      </c>
      <c r="H72" s="250">
        <v>20</v>
      </c>
      <c r="I72" s="250"/>
      <c r="J72" s="250"/>
      <c r="K72" s="250"/>
      <c r="L72" s="250" t="s">
        <v>61</v>
      </c>
      <c r="M72" s="250">
        <v>20</v>
      </c>
      <c r="N72" s="250"/>
      <c r="O72" s="250"/>
      <c r="P72" s="250" t="s">
        <v>153</v>
      </c>
      <c r="Q72" s="250"/>
      <c r="R72" s="250"/>
      <c r="S72" s="250"/>
      <c r="T72" s="250" t="s">
        <v>155</v>
      </c>
      <c r="U72" s="103" t="s">
        <v>293</v>
      </c>
      <c r="V72" s="106" t="s">
        <v>157</v>
      </c>
      <c r="W72" s="103" t="s">
        <v>158</v>
      </c>
      <c r="X72" s="103">
        <f>IFERROR(MATCH(W72,'CostModel Coef'!$C$9:$C$12,0),0)</f>
        <v>0</v>
      </c>
      <c r="Y72" s="103"/>
      <c r="Z72" s="103" t="str">
        <f>IF($X72&gt;0,INDEX('CostModel Coef'!D$9:D$12,$X72),"")</f>
        <v/>
      </c>
      <c r="AA72" s="103" t="str">
        <f>IF($X72&gt;0,INDEX('CostModel Coef'!E$9:E$12,$X72),"")</f>
        <v/>
      </c>
      <c r="AB72" s="103" t="str">
        <f>IF($X72&gt;0,INDEX('CostModel Coef'!F$9:F$12,$X72),"")</f>
        <v/>
      </c>
      <c r="AC72" s="103" t="str">
        <f>IF($X72&gt;0,INDEX('CostModel Coef'!G$9:G$12,$X72),"")</f>
        <v/>
      </c>
      <c r="AD72" s="103" t="str">
        <f>IF($X72&gt;0,INDEX('CostModel Coef'!H$9:H$12,$X72),"")</f>
        <v/>
      </c>
      <c r="AE72" s="103" t="str">
        <f>IF($X72&gt;0,INDEX('CostModel Coef'!J$9:J$12,$X72),"")</f>
        <v/>
      </c>
      <c r="AF72" s="103" t="str">
        <f>IF($X72&gt;0,INDEX('CostModel Coef'!K$9:K$12,$X72),"")</f>
        <v/>
      </c>
      <c r="AG72" s="103" t="str">
        <f>IF($X72&gt;0,INDEX('CostModel Coef'!L$9:L$12,$X72),"")</f>
        <v/>
      </c>
      <c r="AH72" s="103" t="str">
        <f>IF($X72&gt;0,INDEX('CostModel Coef'!M$9:M$12,$X72),"")</f>
        <v/>
      </c>
      <c r="AI72" s="103" t="str">
        <f>IF($X72&gt;0,INDEX('CostModel Coef'!N$9:N$12,$X72),"")</f>
        <v/>
      </c>
      <c r="AJ72" s="103" t="str">
        <f>IF($X72&gt;0,INDEX('CostModel Coef'!Q$9:Q$12,$X72),"")</f>
        <v/>
      </c>
      <c r="AK72" s="103" t="str">
        <f>IF($X72&gt;0,INDEX('CostModel Coef'!T$9:T$12,$X72),"")</f>
        <v/>
      </c>
      <c r="AL72" s="103"/>
      <c r="AM72" s="108" t="str">
        <f t="shared" si="1"/>
        <v/>
      </c>
      <c r="AN72" s="108" t="str">
        <f t="shared" si="2"/>
        <v/>
      </c>
      <c r="AO72" s="108" t="str">
        <f t="shared" si="3"/>
        <v/>
      </c>
      <c r="AP72" s="108" t="str">
        <f t="shared" si="4"/>
        <v/>
      </c>
      <c r="AQ72" s="108" t="str">
        <f t="shared" si="5"/>
        <v/>
      </c>
      <c r="AR72" s="108"/>
      <c r="AS72" s="108"/>
      <c r="AT72" s="103" t="str">
        <f>IF($X72&gt;0,INDEX('CostModel Coef'!D$13:D$16,$X72),"")</f>
        <v/>
      </c>
      <c r="AU72" s="103" t="str">
        <f>IF($X72&gt;0,INDEX('CostModel Coef'!E$13:E$16,$X72),"")</f>
        <v/>
      </c>
      <c r="AV72" s="103" t="str">
        <f>IF($X72&gt;0,INDEX('CostModel Coef'!F$13:F$16,$X72),"")</f>
        <v/>
      </c>
      <c r="AW72" s="103" t="str">
        <f>IF($X72&gt;0,INDEX('CostModel Coef'!G$13:G$16,$X72),"")</f>
        <v/>
      </c>
      <c r="AX72" s="103" t="str">
        <f>IF($X72&gt;0,INDEX('CostModel Coef'!H$13:H$16,$X72),"")</f>
        <v/>
      </c>
      <c r="AY72" s="103" t="str">
        <f>IF($X72&gt;0,INDEX('CostModel Coef'!I$13:I$16,$X72),"")</f>
        <v/>
      </c>
      <c r="AZ72" s="103" t="str">
        <f>IF($X72&gt;0,INDEX('CostModel Coef'!J$13:J$16,$X72),"")</f>
        <v/>
      </c>
      <c r="BA72" s="103" t="str">
        <f>IF($X72&gt;0,INDEX('CostModel Coef'!K$13:K$16,$X72),"")</f>
        <v/>
      </c>
      <c r="BB72" s="103" t="str">
        <f>IF($X72&gt;0,INDEX('CostModel Coef'!L$13:L$16,$X72),"")</f>
        <v/>
      </c>
      <c r="BC72" s="103" t="str">
        <f>IF($X72&gt;0,INDEX('CostModel Coef'!M$13:M$16,$X72),"")</f>
        <v/>
      </c>
      <c r="BD72" s="103" t="str">
        <f>IF($X72&gt;0,INDEX('CostModel Coef'!N$13:N$16,$X72),"")</f>
        <v/>
      </c>
      <c r="BE72" s="103" t="str">
        <f>IF($X72&gt;0,INDEX('CostModel Coef'!O$13:O$16,$X72),"")</f>
        <v/>
      </c>
      <c r="BF72" s="103" t="str">
        <f>IF($X72&gt;0,INDEX('CostModel Coef'!P$13:P$16,$X72),"")</f>
        <v/>
      </c>
      <c r="BG72" s="103" t="str">
        <f>IF($X72&gt;0,INDEX('CostModel Coef'!Q$13:Q$16,$X72),"")</f>
        <v/>
      </c>
      <c r="BH72" s="103" t="str">
        <f>IF($X72&gt;0,INDEX('CostModel Coef'!R$13:R$16,$X72),"")</f>
        <v/>
      </c>
      <c r="BI72" s="103" t="str">
        <f>IF($X72&gt;0,INDEX('CostModel Coef'!S$13:S$16,$X72),"")</f>
        <v/>
      </c>
      <c r="BJ72" s="103" t="str">
        <f>IF($X72&gt;0,INDEX('CostModel Coef'!T$13:T$16,$X72),"")</f>
        <v/>
      </c>
      <c r="BK72" s="103" t="str">
        <f>IF($X72&gt;0,INDEX('CostModel Coef'!U$13:U$16,$X72),"")</f>
        <v/>
      </c>
      <c r="BL72" s="103" t="str">
        <f>IF($X72&gt;0,INDEX('CostModel Coef'!V$13:V$16,$X72),"")</f>
        <v/>
      </c>
      <c r="BM72" s="103" t="str">
        <f>IF($X72&gt;0,INDEX('CostModel Coef'!W$13:W$16,$X72),"")</f>
        <v/>
      </c>
      <c r="BN72" s="103" t="str">
        <f>IF($X72&gt;0,INDEX('CostModel Coef'!X$13:X$16,$X72),"")</f>
        <v/>
      </c>
      <c r="BO72" s="103"/>
      <c r="BP72" s="119">
        <v>2000</v>
      </c>
      <c r="BQ72" s="103"/>
      <c r="BR72" s="103"/>
      <c r="BS72" s="119" t="str">
        <f t="shared" si="8"/>
        <v/>
      </c>
      <c r="BT72" s="174">
        <f t="shared" ref="BT72:BT135" si="26">IF(X72=2,ROUND(M72*$BX$4,0),IF(OR(X72=1,X72=3,X72=4),ROUND(M72*$BX$5,0),-1))</f>
        <v>-1</v>
      </c>
      <c r="BU72" s="113" t="str">
        <f t="shared" si="10"/>
        <v>OOS</v>
      </c>
      <c r="BV72" s="108" t="str">
        <f t="shared" si="11"/>
        <v>OOS</v>
      </c>
      <c r="BW72" s="108" t="str">
        <f t="shared" si="12"/>
        <v>OOS</v>
      </c>
      <c r="BX72" s="108" t="str">
        <f t="shared" si="13"/>
        <v>OOS</v>
      </c>
      <c r="BY72" s="108" t="str">
        <f t="shared" si="14"/>
        <v>OOS</v>
      </c>
      <c r="BZ72" s="108"/>
      <c r="CA72" s="119" t="str">
        <f t="shared" si="15"/>
        <v/>
      </c>
      <c r="CB72" s="174">
        <f t="shared" si="6"/>
        <v>-1</v>
      </c>
      <c r="CC72" s="113" t="str">
        <f t="shared" si="16"/>
        <v/>
      </c>
      <c r="CD72" s="108" t="str">
        <f t="shared" si="17"/>
        <v/>
      </c>
      <c r="CE72" s="108" t="str">
        <f t="shared" si="18"/>
        <v/>
      </c>
      <c r="CF72" s="108" t="str">
        <f t="shared" si="19"/>
        <v/>
      </c>
      <c r="CG72" s="108" t="str">
        <f t="shared" si="20"/>
        <v/>
      </c>
      <c r="CH72" s="103"/>
      <c r="CI72" s="119" t="str">
        <f t="shared" si="9"/>
        <v/>
      </c>
      <c r="CJ72" s="174">
        <f t="shared" si="7"/>
        <v>-1</v>
      </c>
      <c r="CK72" s="113" t="str">
        <f t="shared" si="21"/>
        <v/>
      </c>
      <c r="CL72" s="108" t="str">
        <f t="shared" si="22"/>
        <v/>
      </c>
      <c r="CM72" s="108" t="str">
        <f t="shared" si="23"/>
        <v/>
      </c>
      <c r="CN72" s="108" t="str">
        <f t="shared" si="24"/>
        <v/>
      </c>
      <c r="CO72" s="108" t="str">
        <f t="shared" si="25"/>
        <v/>
      </c>
    </row>
    <row r="73" spans="1:93">
      <c r="A73" s="103" t="s">
        <v>294</v>
      </c>
      <c r="B73" s="103" t="s">
        <v>174</v>
      </c>
      <c r="C73" s="103" t="s">
        <v>274</v>
      </c>
      <c r="D73" s="250" t="s">
        <v>153</v>
      </c>
      <c r="E73" s="250"/>
      <c r="F73" s="182">
        <v>8440</v>
      </c>
      <c r="G73" s="250" t="s">
        <v>175</v>
      </c>
      <c r="H73" s="250">
        <v>22</v>
      </c>
      <c r="I73" s="250"/>
      <c r="J73" s="250"/>
      <c r="K73" s="250"/>
      <c r="L73" s="250" t="s">
        <v>61</v>
      </c>
      <c r="M73" s="250">
        <v>22</v>
      </c>
      <c r="N73" s="250"/>
      <c r="O73" s="250"/>
      <c r="P73" s="250" t="s">
        <v>153</v>
      </c>
      <c r="Q73" s="250"/>
      <c r="R73" s="250"/>
      <c r="S73" s="250"/>
      <c r="T73" s="250" t="s">
        <v>155</v>
      </c>
      <c r="U73" s="103" t="s">
        <v>295</v>
      </c>
      <c r="V73" s="106" t="s">
        <v>157</v>
      </c>
      <c r="W73" s="103" t="s">
        <v>158</v>
      </c>
      <c r="X73" s="103">
        <f>IFERROR(MATCH(W73,'CostModel Coef'!$C$9:$C$12,0),0)</f>
        <v>0</v>
      </c>
      <c r="Y73" s="103"/>
      <c r="Z73" s="103" t="str">
        <f>IF($X73&gt;0,INDEX('CostModel Coef'!D$9:D$12,$X73),"")</f>
        <v/>
      </c>
      <c r="AA73" s="103" t="str">
        <f>IF($X73&gt;0,INDEX('CostModel Coef'!E$9:E$12,$X73),"")</f>
        <v/>
      </c>
      <c r="AB73" s="103" t="str">
        <f>IF($X73&gt;0,INDEX('CostModel Coef'!F$9:F$12,$X73),"")</f>
        <v/>
      </c>
      <c r="AC73" s="103" t="str">
        <f>IF($X73&gt;0,INDEX('CostModel Coef'!G$9:G$12,$X73),"")</f>
        <v/>
      </c>
      <c r="AD73" s="103" t="str">
        <f>IF($X73&gt;0,INDEX('CostModel Coef'!H$9:H$12,$X73),"")</f>
        <v/>
      </c>
      <c r="AE73" s="103" t="str">
        <f>IF($X73&gt;0,INDEX('CostModel Coef'!J$9:J$12,$X73),"")</f>
        <v/>
      </c>
      <c r="AF73" s="103" t="str">
        <f>IF($X73&gt;0,INDEX('CostModel Coef'!K$9:K$12,$X73),"")</f>
        <v/>
      </c>
      <c r="AG73" s="103" t="str">
        <f>IF($X73&gt;0,INDEX('CostModel Coef'!L$9:L$12,$X73),"")</f>
        <v/>
      </c>
      <c r="AH73" s="103" t="str">
        <f>IF($X73&gt;0,INDEX('CostModel Coef'!M$9:M$12,$X73),"")</f>
        <v/>
      </c>
      <c r="AI73" s="103" t="str">
        <f>IF($X73&gt;0,INDEX('CostModel Coef'!N$9:N$12,$X73),"")</f>
        <v/>
      </c>
      <c r="AJ73" s="103" t="str">
        <f>IF($X73&gt;0,INDEX('CostModel Coef'!Q$9:Q$12,$X73),"")</f>
        <v/>
      </c>
      <c r="AK73" s="103" t="str">
        <f>IF($X73&gt;0,INDEX('CostModel Coef'!T$9:T$12,$X73),"")</f>
        <v/>
      </c>
      <c r="AL73" s="103"/>
      <c r="AM73" s="108" t="str">
        <f t="shared" ref="AM73:AM136" si="27">IF($X73&gt;0,SUM(Z73,AA73,AB73,IF(C73="A",AC73,0),IF(Q73="Y",AG73,0),IF(OR(G73="Yes",G73="Cont"),AH73,0),F73/1000*AI73,H73*AJ73,IF(H73&gt;25,(H73-25)*AK73)+AF73),"")</f>
        <v/>
      </c>
      <c r="AN73" s="108" t="str">
        <f t="shared" ref="AN73:AN136" si="28">IF($X73&gt;0,SUM(Z73,AA73,AB73,IF(C73="A",AC73,0),IF(Q73="Y",AG73,0),IF(OR(G73="Yes",G73="Cont"),AH73,0),F73/1000*AI73,H73*AJ73,IF(H73&gt;25,(H73-25)*AK73)),"")</f>
        <v/>
      </c>
      <c r="AO73" s="108" t="str">
        <f t="shared" ref="AO73:AO136" si="29">IF($X73&gt;0,SUM(Z73,AA73,AB73,IF(C73="A",AC73,0),IF(Q73="Y",AG73,0),IF(OR(G73="Yes",G73="Cont"),AH73,0),F73/1000*AI73,H73*AJ73,IF(H73&gt;25,(H73-25)*AK73)+AD73),"")</f>
        <v/>
      </c>
      <c r="AP73" s="108" t="str">
        <f t="shared" ref="AP73:AP136" si="30">IF($X73&gt;0,SUM(Z73,AA73,AB73,IF(C73="A",AC73,0),IF(Q73="Y",AG73,0),IF(OR(G73="Yes",G73="Cont"),AH73,0),F73/1000*AI73,H73*AJ73,IF(H73&gt;25,(H73-25)*AK73)+AD73),"")</f>
        <v/>
      </c>
      <c r="AQ73" s="108" t="str">
        <f t="shared" ref="AQ73:AQ136" si="31">IF($X73&gt;0,SUM(Z73,AA73,AB73,IF(C73="A",AC73,0),IF(Q73="Y",AG73,0),IF(OR(G73="Yes",G73="Cont"),AH73,0),F73/1000*AI73,H73*AJ73,IF(H73&gt;25,(H73-25)*AK73)+AD73+AE73),"")</f>
        <v/>
      </c>
      <c r="AR73" s="108"/>
      <c r="AS73" s="108"/>
      <c r="AT73" s="103" t="str">
        <f>IF($X73&gt;0,INDEX('CostModel Coef'!D$13:D$16,$X73),"")</f>
        <v/>
      </c>
      <c r="AU73" s="103" t="str">
        <f>IF($X73&gt;0,INDEX('CostModel Coef'!E$13:E$16,$X73),"")</f>
        <v/>
      </c>
      <c r="AV73" s="103" t="str">
        <f>IF($X73&gt;0,INDEX('CostModel Coef'!F$13:F$16,$X73),"")</f>
        <v/>
      </c>
      <c r="AW73" s="103" t="str">
        <f>IF($X73&gt;0,INDEX('CostModel Coef'!G$13:G$16,$X73),"")</f>
        <v/>
      </c>
      <c r="AX73" s="103" t="str">
        <f>IF($X73&gt;0,INDEX('CostModel Coef'!H$13:H$16,$X73),"")</f>
        <v/>
      </c>
      <c r="AY73" s="103" t="str">
        <f>IF($X73&gt;0,INDEX('CostModel Coef'!I$13:I$16,$X73),"")</f>
        <v/>
      </c>
      <c r="AZ73" s="103" t="str">
        <f>IF($X73&gt;0,INDEX('CostModel Coef'!J$13:J$16,$X73),"")</f>
        <v/>
      </c>
      <c r="BA73" s="103" t="str">
        <f>IF($X73&gt;0,INDEX('CostModel Coef'!K$13:K$16,$X73),"")</f>
        <v/>
      </c>
      <c r="BB73" s="103" t="str">
        <f>IF($X73&gt;0,INDEX('CostModel Coef'!L$13:L$16,$X73),"")</f>
        <v/>
      </c>
      <c r="BC73" s="103" t="str">
        <f>IF($X73&gt;0,INDEX('CostModel Coef'!M$13:M$16,$X73),"")</f>
        <v/>
      </c>
      <c r="BD73" s="103" t="str">
        <f>IF($X73&gt;0,INDEX('CostModel Coef'!N$13:N$16,$X73),"")</f>
        <v/>
      </c>
      <c r="BE73" s="103" t="str">
        <f>IF($X73&gt;0,INDEX('CostModel Coef'!O$13:O$16,$X73),"")</f>
        <v/>
      </c>
      <c r="BF73" s="103" t="str">
        <f>IF($X73&gt;0,INDEX('CostModel Coef'!P$13:P$16,$X73),"")</f>
        <v/>
      </c>
      <c r="BG73" s="103" t="str">
        <f>IF($X73&gt;0,INDEX('CostModel Coef'!Q$13:Q$16,$X73),"")</f>
        <v/>
      </c>
      <c r="BH73" s="103" t="str">
        <f>IF($X73&gt;0,INDEX('CostModel Coef'!R$13:R$16,$X73),"")</f>
        <v/>
      </c>
      <c r="BI73" s="103" t="str">
        <f>IF($X73&gt;0,INDEX('CostModel Coef'!S$13:S$16,$X73),"")</f>
        <v/>
      </c>
      <c r="BJ73" s="103" t="str">
        <f>IF($X73&gt;0,INDEX('CostModel Coef'!T$13:T$16,$X73),"")</f>
        <v/>
      </c>
      <c r="BK73" s="103" t="str">
        <f>IF($X73&gt;0,INDEX('CostModel Coef'!U$13:U$16,$X73),"")</f>
        <v/>
      </c>
      <c r="BL73" s="103" t="str">
        <f>IF($X73&gt;0,INDEX('CostModel Coef'!V$13:V$16,$X73),"")</f>
        <v/>
      </c>
      <c r="BM73" s="103" t="str">
        <f>IF($X73&gt;0,INDEX('CostModel Coef'!W$13:W$16,$X73),"")</f>
        <v/>
      </c>
      <c r="BN73" s="103" t="str">
        <f>IF($X73&gt;0,INDEX('CostModel Coef'!X$13:X$16,$X73),"")</f>
        <v/>
      </c>
      <c r="BO73" s="103"/>
      <c r="BP73" s="119">
        <v>2000</v>
      </c>
      <c r="BQ73" s="103"/>
      <c r="BR73" s="103"/>
      <c r="BS73" s="119" t="str">
        <f t="shared" si="8"/>
        <v/>
      </c>
      <c r="BT73" s="174">
        <f t="shared" si="26"/>
        <v>-1</v>
      </c>
      <c r="BU73" s="113" t="str">
        <f t="shared" si="10"/>
        <v>OOS</v>
      </c>
      <c r="BV73" s="108" t="str">
        <f t="shared" si="11"/>
        <v>OOS</v>
      </c>
      <c r="BW73" s="108" t="str">
        <f t="shared" si="12"/>
        <v>OOS</v>
      </c>
      <c r="BX73" s="108" t="str">
        <f t="shared" si="13"/>
        <v>OOS</v>
      </c>
      <c r="BY73" s="108" t="str">
        <f t="shared" si="14"/>
        <v>OOS</v>
      </c>
      <c r="BZ73" s="108"/>
      <c r="CA73" s="119" t="str">
        <f t="shared" si="15"/>
        <v/>
      </c>
      <c r="CB73" s="174">
        <f t="shared" ref="CB73:CB136" si="32">IF(OR(X73=1,X73=2,X73=3),ROUND(M73*4.07,0),-1)</f>
        <v>-1</v>
      </c>
      <c r="CC73" s="113" t="str">
        <f t="shared" si="16"/>
        <v/>
      </c>
      <c r="CD73" s="108" t="str">
        <f t="shared" si="17"/>
        <v/>
      </c>
      <c r="CE73" s="108" t="str">
        <f t="shared" si="18"/>
        <v/>
      </c>
      <c r="CF73" s="108" t="str">
        <f t="shared" si="19"/>
        <v/>
      </c>
      <c r="CG73" s="108" t="str">
        <f t="shared" si="20"/>
        <v/>
      </c>
      <c r="CH73" s="103"/>
      <c r="CI73" s="119" t="str">
        <f t="shared" si="9"/>
        <v/>
      </c>
      <c r="CJ73" s="174">
        <f t="shared" ref="CJ73:CJ136" si="33">IF(OR(X73=1,X73=3,X73=4),ROUND(M73*3.47,0),-1)</f>
        <v>-1</v>
      </c>
      <c r="CK73" s="113" t="str">
        <f t="shared" si="21"/>
        <v/>
      </c>
      <c r="CL73" s="108" t="str">
        <f t="shared" si="22"/>
        <v/>
      </c>
      <c r="CM73" s="108" t="str">
        <f t="shared" si="23"/>
        <v/>
      </c>
      <c r="CN73" s="108" t="str">
        <f t="shared" si="24"/>
        <v/>
      </c>
      <c r="CO73" s="108" t="str">
        <f t="shared" si="25"/>
        <v/>
      </c>
    </row>
    <row r="74" spans="1:93">
      <c r="A74" s="103" t="s">
        <v>296</v>
      </c>
      <c r="B74" s="103" t="s">
        <v>174</v>
      </c>
      <c r="C74" s="103" t="s">
        <v>274</v>
      </c>
      <c r="D74" s="250" t="s">
        <v>153</v>
      </c>
      <c r="E74" s="250"/>
      <c r="F74" s="182">
        <v>8440</v>
      </c>
      <c r="G74" s="250" t="s">
        <v>175</v>
      </c>
      <c r="H74" s="250">
        <v>23</v>
      </c>
      <c r="I74" s="250"/>
      <c r="J74" s="250"/>
      <c r="K74" s="250"/>
      <c r="L74" s="250" t="s">
        <v>61</v>
      </c>
      <c r="M74" s="250">
        <v>23</v>
      </c>
      <c r="N74" s="250"/>
      <c r="O74" s="250"/>
      <c r="P74" s="250" t="s">
        <v>153</v>
      </c>
      <c r="Q74" s="250"/>
      <c r="R74" s="250"/>
      <c r="S74" s="250"/>
      <c r="T74" s="250" t="s">
        <v>155</v>
      </c>
      <c r="U74" s="103" t="s">
        <v>297</v>
      </c>
      <c r="V74" s="106" t="s">
        <v>157</v>
      </c>
      <c r="W74" s="103" t="s">
        <v>158</v>
      </c>
      <c r="X74" s="103">
        <f>IFERROR(MATCH(W74,'CostModel Coef'!$C$9:$C$12,0),0)</f>
        <v>0</v>
      </c>
      <c r="Y74" s="103"/>
      <c r="Z74" s="103" t="str">
        <f>IF($X74&gt;0,INDEX('CostModel Coef'!D$9:D$12,$X74),"")</f>
        <v/>
      </c>
      <c r="AA74" s="103" t="str">
        <f>IF($X74&gt;0,INDEX('CostModel Coef'!E$9:E$12,$X74),"")</f>
        <v/>
      </c>
      <c r="AB74" s="103" t="str">
        <f>IF($X74&gt;0,INDEX('CostModel Coef'!F$9:F$12,$X74),"")</f>
        <v/>
      </c>
      <c r="AC74" s="103" t="str">
        <f>IF($X74&gt;0,INDEX('CostModel Coef'!G$9:G$12,$X74),"")</f>
        <v/>
      </c>
      <c r="AD74" s="103" t="str">
        <f>IF($X74&gt;0,INDEX('CostModel Coef'!H$9:H$12,$X74),"")</f>
        <v/>
      </c>
      <c r="AE74" s="103" t="str">
        <f>IF($X74&gt;0,INDEX('CostModel Coef'!J$9:J$12,$X74),"")</f>
        <v/>
      </c>
      <c r="AF74" s="103" t="str">
        <f>IF($X74&gt;0,INDEX('CostModel Coef'!K$9:K$12,$X74),"")</f>
        <v/>
      </c>
      <c r="AG74" s="103" t="str">
        <f>IF($X74&gt;0,INDEX('CostModel Coef'!L$9:L$12,$X74),"")</f>
        <v/>
      </c>
      <c r="AH74" s="103" t="str">
        <f>IF($X74&gt;0,INDEX('CostModel Coef'!M$9:M$12,$X74),"")</f>
        <v/>
      </c>
      <c r="AI74" s="103" t="str">
        <f>IF($X74&gt;0,INDEX('CostModel Coef'!N$9:N$12,$X74),"")</f>
        <v/>
      </c>
      <c r="AJ74" s="103" t="str">
        <f>IF($X74&gt;0,INDEX('CostModel Coef'!Q$9:Q$12,$X74),"")</f>
        <v/>
      </c>
      <c r="AK74" s="103" t="str">
        <f>IF($X74&gt;0,INDEX('CostModel Coef'!T$9:T$12,$X74),"")</f>
        <v/>
      </c>
      <c r="AL74" s="103"/>
      <c r="AM74" s="108" t="str">
        <f t="shared" si="27"/>
        <v/>
      </c>
      <c r="AN74" s="108" t="str">
        <f t="shared" si="28"/>
        <v/>
      </c>
      <c r="AO74" s="108" t="str">
        <f t="shared" si="29"/>
        <v/>
      </c>
      <c r="AP74" s="108" t="str">
        <f t="shared" si="30"/>
        <v/>
      </c>
      <c r="AQ74" s="108" t="str">
        <f t="shared" si="31"/>
        <v/>
      </c>
      <c r="AR74" s="108"/>
      <c r="AS74" s="108"/>
      <c r="AT74" s="103" t="str">
        <f>IF($X74&gt;0,INDEX('CostModel Coef'!D$13:D$16,$X74),"")</f>
        <v/>
      </c>
      <c r="AU74" s="103" t="str">
        <f>IF($X74&gt;0,INDEX('CostModel Coef'!E$13:E$16,$X74),"")</f>
        <v/>
      </c>
      <c r="AV74" s="103" t="str">
        <f>IF($X74&gt;0,INDEX('CostModel Coef'!F$13:F$16,$X74),"")</f>
        <v/>
      </c>
      <c r="AW74" s="103" t="str">
        <f>IF($X74&gt;0,INDEX('CostModel Coef'!G$13:G$16,$X74),"")</f>
        <v/>
      </c>
      <c r="AX74" s="103" t="str">
        <f>IF($X74&gt;0,INDEX('CostModel Coef'!H$13:H$16,$X74),"")</f>
        <v/>
      </c>
      <c r="AY74" s="103" t="str">
        <f>IF($X74&gt;0,INDEX('CostModel Coef'!I$13:I$16,$X74),"")</f>
        <v/>
      </c>
      <c r="AZ74" s="103" t="str">
        <f>IF($X74&gt;0,INDEX('CostModel Coef'!J$13:J$16,$X74),"")</f>
        <v/>
      </c>
      <c r="BA74" s="103" t="str">
        <f>IF($X74&gt;0,INDEX('CostModel Coef'!K$13:K$16,$X74),"")</f>
        <v/>
      </c>
      <c r="BB74" s="103" t="str">
        <f>IF($X74&gt;0,INDEX('CostModel Coef'!L$13:L$16,$X74),"")</f>
        <v/>
      </c>
      <c r="BC74" s="103" t="str">
        <f>IF($X74&gt;0,INDEX('CostModel Coef'!M$13:M$16,$X74),"")</f>
        <v/>
      </c>
      <c r="BD74" s="103" t="str">
        <f>IF($X74&gt;0,INDEX('CostModel Coef'!N$13:N$16,$X74),"")</f>
        <v/>
      </c>
      <c r="BE74" s="103" t="str">
        <f>IF($X74&gt;0,INDEX('CostModel Coef'!O$13:O$16,$X74),"")</f>
        <v/>
      </c>
      <c r="BF74" s="103" t="str">
        <f>IF($X74&gt;0,INDEX('CostModel Coef'!P$13:P$16,$X74),"")</f>
        <v/>
      </c>
      <c r="BG74" s="103" t="str">
        <f>IF($X74&gt;0,INDEX('CostModel Coef'!Q$13:Q$16,$X74),"")</f>
        <v/>
      </c>
      <c r="BH74" s="103" t="str">
        <f>IF($X74&gt;0,INDEX('CostModel Coef'!R$13:R$16,$X74),"")</f>
        <v/>
      </c>
      <c r="BI74" s="103" t="str">
        <f>IF($X74&gt;0,INDEX('CostModel Coef'!S$13:S$16,$X74),"")</f>
        <v/>
      </c>
      <c r="BJ74" s="103" t="str">
        <f>IF($X74&gt;0,INDEX('CostModel Coef'!T$13:T$16,$X74),"")</f>
        <v/>
      </c>
      <c r="BK74" s="103" t="str">
        <f>IF($X74&gt;0,INDEX('CostModel Coef'!U$13:U$16,$X74),"")</f>
        <v/>
      </c>
      <c r="BL74" s="103" t="str">
        <f>IF($X74&gt;0,INDEX('CostModel Coef'!V$13:V$16,$X74),"")</f>
        <v/>
      </c>
      <c r="BM74" s="103" t="str">
        <f>IF($X74&gt;0,INDEX('CostModel Coef'!W$13:W$16,$X74),"")</f>
        <v/>
      </c>
      <c r="BN74" s="103" t="str">
        <f>IF($X74&gt;0,INDEX('CostModel Coef'!X$13:X$16,$X74),"")</f>
        <v/>
      </c>
      <c r="BO74" s="103"/>
      <c r="BP74" s="119">
        <v>2000</v>
      </c>
      <c r="BQ74" s="103"/>
      <c r="BR74" s="103"/>
      <c r="BS74" s="119" t="str">
        <f t="shared" si="8"/>
        <v/>
      </c>
      <c r="BT74" s="174">
        <f t="shared" si="26"/>
        <v>-1</v>
      </c>
      <c r="BU74" s="113" t="str">
        <f t="shared" si="10"/>
        <v>OOS</v>
      </c>
      <c r="BV74" s="108" t="str">
        <f t="shared" si="11"/>
        <v>OOS</v>
      </c>
      <c r="BW74" s="108" t="str">
        <f t="shared" si="12"/>
        <v>OOS</v>
      </c>
      <c r="BX74" s="108" t="str">
        <f t="shared" si="13"/>
        <v>OOS</v>
      </c>
      <c r="BY74" s="108" t="str">
        <f t="shared" si="14"/>
        <v>OOS</v>
      </c>
      <c r="BZ74" s="108"/>
      <c r="CA74" s="119" t="str">
        <f t="shared" si="15"/>
        <v/>
      </c>
      <c r="CB74" s="174">
        <f t="shared" si="32"/>
        <v>-1</v>
      </c>
      <c r="CC74" s="113" t="str">
        <f t="shared" si="16"/>
        <v/>
      </c>
      <c r="CD74" s="108" t="str">
        <f t="shared" si="17"/>
        <v/>
      </c>
      <c r="CE74" s="108" t="str">
        <f t="shared" si="18"/>
        <v/>
      </c>
      <c r="CF74" s="108" t="str">
        <f t="shared" si="19"/>
        <v/>
      </c>
      <c r="CG74" s="108" t="str">
        <f t="shared" si="20"/>
        <v/>
      </c>
      <c r="CH74" s="103"/>
      <c r="CI74" s="119" t="str">
        <f t="shared" si="9"/>
        <v/>
      </c>
      <c r="CJ74" s="174">
        <f t="shared" si="33"/>
        <v>-1</v>
      </c>
      <c r="CK74" s="113" t="str">
        <f t="shared" si="21"/>
        <v/>
      </c>
      <c r="CL74" s="108" t="str">
        <f t="shared" si="22"/>
        <v/>
      </c>
      <c r="CM74" s="108" t="str">
        <f t="shared" si="23"/>
        <v/>
      </c>
      <c r="CN74" s="108" t="str">
        <f t="shared" si="24"/>
        <v/>
      </c>
      <c r="CO74" s="108" t="str">
        <f t="shared" si="25"/>
        <v/>
      </c>
    </row>
    <row r="75" spans="1:93">
      <c r="A75" s="103" t="s">
        <v>298</v>
      </c>
      <c r="B75" s="103" t="s">
        <v>174</v>
      </c>
      <c r="C75" s="103" t="s">
        <v>274</v>
      </c>
      <c r="D75" s="250" t="s">
        <v>153</v>
      </c>
      <c r="E75" s="250"/>
      <c r="F75" s="182">
        <v>8440</v>
      </c>
      <c r="G75" s="250" t="s">
        <v>175</v>
      </c>
      <c r="H75" s="250">
        <v>24</v>
      </c>
      <c r="I75" s="250"/>
      <c r="J75" s="250"/>
      <c r="K75" s="250"/>
      <c r="L75" s="250" t="s">
        <v>61</v>
      </c>
      <c r="M75" s="250">
        <v>24</v>
      </c>
      <c r="N75" s="250"/>
      <c r="O75" s="250"/>
      <c r="P75" s="250" t="s">
        <v>153</v>
      </c>
      <c r="Q75" s="250"/>
      <c r="R75" s="250"/>
      <c r="S75" s="250"/>
      <c r="T75" s="250" t="s">
        <v>155</v>
      </c>
      <c r="U75" s="103" t="s">
        <v>299</v>
      </c>
      <c r="V75" s="106" t="s">
        <v>157</v>
      </c>
      <c r="W75" s="103" t="s">
        <v>158</v>
      </c>
      <c r="X75" s="103">
        <f>IFERROR(MATCH(W75,'CostModel Coef'!$C$9:$C$12,0),0)</f>
        <v>0</v>
      </c>
      <c r="Y75" s="103"/>
      <c r="Z75" s="103" t="str">
        <f>IF($X75&gt;0,INDEX('CostModel Coef'!D$9:D$12,$X75),"")</f>
        <v/>
      </c>
      <c r="AA75" s="103" t="str">
        <f>IF($X75&gt;0,INDEX('CostModel Coef'!E$9:E$12,$X75),"")</f>
        <v/>
      </c>
      <c r="AB75" s="103" t="str">
        <f>IF($X75&gt;0,INDEX('CostModel Coef'!F$9:F$12,$X75),"")</f>
        <v/>
      </c>
      <c r="AC75" s="103" t="str">
        <f>IF($X75&gt;0,INDEX('CostModel Coef'!G$9:G$12,$X75),"")</f>
        <v/>
      </c>
      <c r="AD75" s="103" t="str">
        <f>IF($X75&gt;0,INDEX('CostModel Coef'!H$9:H$12,$X75),"")</f>
        <v/>
      </c>
      <c r="AE75" s="103" t="str">
        <f>IF($X75&gt;0,INDEX('CostModel Coef'!J$9:J$12,$X75),"")</f>
        <v/>
      </c>
      <c r="AF75" s="103" t="str">
        <f>IF($X75&gt;0,INDEX('CostModel Coef'!K$9:K$12,$X75),"")</f>
        <v/>
      </c>
      <c r="AG75" s="103" t="str">
        <f>IF($X75&gt;0,INDEX('CostModel Coef'!L$9:L$12,$X75),"")</f>
        <v/>
      </c>
      <c r="AH75" s="103" t="str">
        <f>IF($X75&gt;0,INDEX('CostModel Coef'!M$9:M$12,$X75),"")</f>
        <v/>
      </c>
      <c r="AI75" s="103" t="str">
        <f>IF($X75&gt;0,INDEX('CostModel Coef'!N$9:N$12,$X75),"")</f>
        <v/>
      </c>
      <c r="AJ75" s="103" t="str">
        <f>IF($X75&gt;0,INDEX('CostModel Coef'!Q$9:Q$12,$X75),"")</f>
        <v/>
      </c>
      <c r="AK75" s="103" t="str">
        <f>IF($X75&gt;0,INDEX('CostModel Coef'!T$9:T$12,$X75),"")</f>
        <v/>
      </c>
      <c r="AL75" s="103"/>
      <c r="AM75" s="108" t="str">
        <f t="shared" si="27"/>
        <v/>
      </c>
      <c r="AN75" s="108" t="str">
        <f t="shared" si="28"/>
        <v/>
      </c>
      <c r="AO75" s="108" t="str">
        <f t="shared" si="29"/>
        <v/>
      </c>
      <c r="AP75" s="108" t="str">
        <f t="shared" si="30"/>
        <v/>
      </c>
      <c r="AQ75" s="108" t="str">
        <f t="shared" si="31"/>
        <v/>
      </c>
      <c r="AR75" s="108"/>
      <c r="AS75" s="108"/>
      <c r="AT75" s="103" t="str">
        <f>IF($X75&gt;0,INDEX('CostModel Coef'!D$13:D$16,$X75),"")</f>
        <v/>
      </c>
      <c r="AU75" s="103" t="str">
        <f>IF($X75&gt;0,INDEX('CostModel Coef'!E$13:E$16,$X75),"")</f>
        <v/>
      </c>
      <c r="AV75" s="103" t="str">
        <f>IF($X75&gt;0,INDEX('CostModel Coef'!F$13:F$16,$X75),"")</f>
        <v/>
      </c>
      <c r="AW75" s="103" t="str">
        <f>IF($X75&gt;0,INDEX('CostModel Coef'!G$13:G$16,$X75),"")</f>
        <v/>
      </c>
      <c r="AX75" s="103" t="str">
        <f>IF($X75&gt;0,INDEX('CostModel Coef'!H$13:H$16,$X75),"")</f>
        <v/>
      </c>
      <c r="AY75" s="103" t="str">
        <f>IF($X75&gt;0,INDEX('CostModel Coef'!I$13:I$16,$X75),"")</f>
        <v/>
      </c>
      <c r="AZ75" s="103" t="str">
        <f>IF($X75&gt;0,INDEX('CostModel Coef'!J$13:J$16,$X75),"")</f>
        <v/>
      </c>
      <c r="BA75" s="103" t="str">
        <f>IF($X75&gt;0,INDEX('CostModel Coef'!K$13:K$16,$X75),"")</f>
        <v/>
      </c>
      <c r="BB75" s="103" t="str">
        <f>IF($X75&gt;0,INDEX('CostModel Coef'!L$13:L$16,$X75),"")</f>
        <v/>
      </c>
      <c r="BC75" s="103" t="str">
        <f>IF($X75&gt;0,INDEX('CostModel Coef'!M$13:M$16,$X75),"")</f>
        <v/>
      </c>
      <c r="BD75" s="103" t="str">
        <f>IF($X75&gt;0,INDEX('CostModel Coef'!N$13:N$16,$X75),"")</f>
        <v/>
      </c>
      <c r="BE75" s="103" t="str">
        <f>IF($X75&gt;0,INDEX('CostModel Coef'!O$13:O$16,$X75),"")</f>
        <v/>
      </c>
      <c r="BF75" s="103" t="str">
        <f>IF($X75&gt;0,INDEX('CostModel Coef'!P$13:P$16,$X75),"")</f>
        <v/>
      </c>
      <c r="BG75" s="103" t="str">
        <f>IF($X75&gt;0,INDEX('CostModel Coef'!Q$13:Q$16,$X75),"")</f>
        <v/>
      </c>
      <c r="BH75" s="103" t="str">
        <f>IF($X75&gt;0,INDEX('CostModel Coef'!R$13:R$16,$X75),"")</f>
        <v/>
      </c>
      <c r="BI75" s="103" t="str">
        <f>IF($X75&gt;0,INDEX('CostModel Coef'!S$13:S$16,$X75),"")</f>
        <v/>
      </c>
      <c r="BJ75" s="103" t="str">
        <f>IF($X75&gt;0,INDEX('CostModel Coef'!T$13:T$16,$X75),"")</f>
        <v/>
      </c>
      <c r="BK75" s="103" t="str">
        <f>IF($X75&gt;0,INDEX('CostModel Coef'!U$13:U$16,$X75),"")</f>
        <v/>
      </c>
      <c r="BL75" s="103" t="str">
        <f>IF($X75&gt;0,INDEX('CostModel Coef'!V$13:V$16,$X75),"")</f>
        <v/>
      </c>
      <c r="BM75" s="103" t="str">
        <f>IF($X75&gt;0,INDEX('CostModel Coef'!W$13:W$16,$X75),"")</f>
        <v/>
      </c>
      <c r="BN75" s="103" t="str">
        <f>IF($X75&gt;0,INDEX('CostModel Coef'!X$13:X$16,$X75),"")</f>
        <v/>
      </c>
      <c r="BO75" s="103"/>
      <c r="BP75" s="119">
        <v>2000</v>
      </c>
      <c r="BQ75" s="103"/>
      <c r="BR75" s="103"/>
      <c r="BS75" s="119" t="str">
        <f t="shared" si="8"/>
        <v/>
      </c>
      <c r="BT75" s="174">
        <f t="shared" si="26"/>
        <v>-1</v>
      </c>
      <c r="BU75" s="113" t="str">
        <f t="shared" si="10"/>
        <v>OOS</v>
      </c>
      <c r="BV75" s="108" t="str">
        <f t="shared" si="11"/>
        <v>OOS</v>
      </c>
      <c r="BW75" s="108" t="str">
        <f t="shared" si="12"/>
        <v>OOS</v>
      </c>
      <c r="BX75" s="108" t="str">
        <f t="shared" si="13"/>
        <v>OOS</v>
      </c>
      <c r="BY75" s="108" t="str">
        <f t="shared" si="14"/>
        <v>OOS</v>
      </c>
      <c r="BZ75" s="108"/>
      <c r="CA75" s="119" t="str">
        <f t="shared" si="15"/>
        <v/>
      </c>
      <c r="CB75" s="174">
        <f t="shared" si="32"/>
        <v>-1</v>
      </c>
      <c r="CC75" s="113" t="str">
        <f t="shared" si="16"/>
        <v/>
      </c>
      <c r="CD75" s="108" t="str">
        <f t="shared" si="17"/>
        <v/>
      </c>
      <c r="CE75" s="108" t="str">
        <f t="shared" si="18"/>
        <v/>
      </c>
      <c r="CF75" s="108" t="str">
        <f t="shared" si="19"/>
        <v/>
      </c>
      <c r="CG75" s="108" t="str">
        <f t="shared" si="20"/>
        <v/>
      </c>
      <c r="CH75" s="103"/>
      <c r="CI75" s="119" t="str">
        <f t="shared" si="9"/>
        <v/>
      </c>
      <c r="CJ75" s="174">
        <f t="shared" si="33"/>
        <v>-1</v>
      </c>
      <c r="CK75" s="113" t="str">
        <f t="shared" si="21"/>
        <v/>
      </c>
      <c r="CL75" s="108" t="str">
        <f t="shared" si="22"/>
        <v/>
      </c>
      <c r="CM75" s="108" t="str">
        <f t="shared" si="23"/>
        <v/>
      </c>
      <c r="CN75" s="108" t="str">
        <f t="shared" si="24"/>
        <v/>
      </c>
      <c r="CO75" s="108" t="str">
        <f t="shared" si="25"/>
        <v/>
      </c>
    </row>
    <row r="76" spans="1:93">
      <c r="A76" s="103" t="s">
        <v>300</v>
      </c>
      <c r="B76" s="103" t="s">
        <v>174</v>
      </c>
      <c r="C76" s="103" t="s">
        <v>274</v>
      </c>
      <c r="D76" s="250" t="s">
        <v>153</v>
      </c>
      <c r="E76" s="250"/>
      <c r="F76" s="182">
        <v>8440</v>
      </c>
      <c r="G76" s="250" t="s">
        <v>175</v>
      </c>
      <c r="H76" s="250">
        <v>25</v>
      </c>
      <c r="I76" s="250"/>
      <c r="J76" s="250"/>
      <c r="K76" s="250"/>
      <c r="L76" s="250" t="s">
        <v>61</v>
      </c>
      <c r="M76" s="250">
        <v>25</v>
      </c>
      <c r="N76" s="250"/>
      <c r="O76" s="250"/>
      <c r="P76" s="250" t="s">
        <v>153</v>
      </c>
      <c r="Q76" s="250"/>
      <c r="R76" s="250"/>
      <c r="S76" s="250"/>
      <c r="T76" s="250" t="s">
        <v>155</v>
      </c>
      <c r="U76" s="103" t="s">
        <v>301</v>
      </c>
      <c r="V76" s="106" t="s">
        <v>157</v>
      </c>
      <c r="W76" s="103" t="s">
        <v>158</v>
      </c>
      <c r="X76" s="103">
        <f>IFERROR(MATCH(W76,'CostModel Coef'!$C$9:$C$12,0),0)</f>
        <v>0</v>
      </c>
      <c r="Y76" s="103"/>
      <c r="Z76" s="103" t="str">
        <f>IF($X76&gt;0,INDEX('CostModel Coef'!D$9:D$12,$X76),"")</f>
        <v/>
      </c>
      <c r="AA76" s="103" t="str">
        <f>IF($X76&gt;0,INDEX('CostModel Coef'!E$9:E$12,$X76),"")</f>
        <v/>
      </c>
      <c r="AB76" s="103" t="str">
        <f>IF($X76&gt;0,INDEX('CostModel Coef'!F$9:F$12,$X76),"")</f>
        <v/>
      </c>
      <c r="AC76" s="103" t="str">
        <f>IF($X76&gt;0,INDEX('CostModel Coef'!G$9:G$12,$X76),"")</f>
        <v/>
      </c>
      <c r="AD76" s="103" t="str">
        <f>IF($X76&gt;0,INDEX('CostModel Coef'!H$9:H$12,$X76),"")</f>
        <v/>
      </c>
      <c r="AE76" s="103" t="str">
        <f>IF($X76&gt;0,INDEX('CostModel Coef'!J$9:J$12,$X76),"")</f>
        <v/>
      </c>
      <c r="AF76" s="103" t="str">
        <f>IF($X76&gt;0,INDEX('CostModel Coef'!K$9:K$12,$X76),"")</f>
        <v/>
      </c>
      <c r="AG76" s="103" t="str">
        <f>IF($X76&gt;0,INDEX('CostModel Coef'!L$9:L$12,$X76),"")</f>
        <v/>
      </c>
      <c r="AH76" s="103" t="str">
        <f>IF($X76&gt;0,INDEX('CostModel Coef'!M$9:M$12,$X76),"")</f>
        <v/>
      </c>
      <c r="AI76" s="103" t="str">
        <f>IF($X76&gt;0,INDEX('CostModel Coef'!N$9:N$12,$X76),"")</f>
        <v/>
      </c>
      <c r="AJ76" s="103" t="str">
        <f>IF($X76&gt;0,INDEX('CostModel Coef'!Q$9:Q$12,$X76),"")</f>
        <v/>
      </c>
      <c r="AK76" s="103" t="str">
        <f>IF($X76&gt;0,INDEX('CostModel Coef'!T$9:T$12,$X76),"")</f>
        <v/>
      </c>
      <c r="AL76" s="103"/>
      <c r="AM76" s="108" t="str">
        <f t="shared" si="27"/>
        <v/>
      </c>
      <c r="AN76" s="108" t="str">
        <f t="shared" si="28"/>
        <v/>
      </c>
      <c r="AO76" s="108" t="str">
        <f t="shared" si="29"/>
        <v/>
      </c>
      <c r="AP76" s="108" t="str">
        <f t="shared" si="30"/>
        <v/>
      </c>
      <c r="AQ76" s="108" t="str">
        <f t="shared" si="31"/>
        <v/>
      </c>
      <c r="AR76" s="108"/>
      <c r="AS76" s="108"/>
      <c r="AT76" s="103" t="str">
        <f>IF($X76&gt;0,INDEX('CostModel Coef'!D$13:D$16,$X76),"")</f>
        <v/>
      </c>
      <c r="AU76" s="103" t="str">
        <f>IF($X76&gt;0,INDEX('CostModel Coef'!E$13:E$16,$X76),"")</f>
        <v/>
      </c>
      <c r="AV76" s="103" t="str">
        <f>IF($X76&gt;0,INDEX('CostModel Coef'!F$13:F$16,$X76),"")</f>
        <v/>
      </c>
      <c r="AW76" s="103" t="str">
        <f>IF($X76&gt;0,INDEX('CostModel Coef'!G$13:G$16,$X76),"")</f>
        <v/>
      </c>
      <c r="AX76" s="103" t="str">
        <f>IF($X76&gt;0,INDEX('CostModel Coef'!H$13:H$16,$X76),"")</f>
        <v/>
      </c>
      <c r="AY76" s="103" t="str">
        <f>IF($X76&gt;0,INDEX('CostModel Coef'!I$13:I$16,$X76),"")</f>
        <v/>
      </c>
      <c r="AZ76" s="103" t="str">
        <f>IF($X76&gt;0,INDEX('CostModel Coef'!J$13:J$16,$X76),"")</f>
        <v/>
      </c>
      <c r="BA76" s="103" t="str">
        <f>IF($X76&gt;0,INDEX('CostModel Coef'!K$13:K$16,$X76),"")</f>
        <v/>
      </c>
      <c r="BB76" s="103" t="str">
        <f>IF($X76&gt;0,INDEX('CostModel Coef'!L$13:L$16,$X76),"")</f>
        <v/>
      </c>
      <c r="BC76" s="103" t="str">
        <f>IF($X76&gt;0,INDEX('CostModel Coef'!M$13:M$16,$X76),"")</f>
        <v/>
      </c>
      <c r="BD76" s="103" t="str">
        <f>IF($X76&gt;0,INDEX('CostModel Coef'!N$13:N$16,$X76),"")</f>
        <v/>
      </c>
      <c r="BE76" s="103" t="str">
        <f>IF($X76&gt;0,INDEX('CostModel Coef'!O$13:O$16,$X76),"")</f>
        <v/>
      </c>
      <c r="BF76" s="103" t="str">
        <f>IF($X76&gt;0,INDEX('CostModel Coef'!P$13:P$16,$X76),"")</f>
        <v/>
      </c>
      <c r="BG76" s="103" t="str">
        <f>IF($X76&gt;0,INDEX('CostModel Coef'!Q$13:Q$16,$X76),"")</f>
        <v/>
      </c>
      <c r="BH76" s="103" t="str">
        <f>IF($X76&gt;0,INDEX('CostModel Coef'!R$13:R$16,$X76),"")</f>
        <v/>
      </c>
      <c r="BI76" s="103" t="str">
        <f>IF($X76&gt;0,INDEX('CostModel Coef'!S$13:S$16,$X76),"")</f>
        <v/>
      </c>
      <c r="BJ76" s="103" t="str">
        <f>IF($X76&gt;0,INDEX('CostModel Coef'!T$13:T$16,$X76),"")</f>
        <v/>
      </c>
      <c r="BK76" s="103" t="str">
        <f>IF($X76&gt;0,INDEX('CostModel Coef'!U$13:U$16,$X76),"")</f>
        <v/>
      </c>
      <c r="BL76" s="103" t="str">
        <f>IF($X76&gt;0,INDEX('CostModel Coef'!V$13:V$16,$X76),"")</f>
        <v/>
      </c>
      <c r="BM76" s="103" t="str">
        <f>IF($X76&gt;0,INDEX('CostModel Coef'!W$13:W$16,$X76),"")</f>
        <v/>
      </c>
      <c r="BN76" s="103" t="str">
        <f>IF($X76&gt;0,INDEX('CostModel Coef'!X$13:X$16,$X76),"")</f>
        <v/>
      </c>
      <c r="BO76" s="103"/>
      <c r="BP76" s="119">
        <v>2000</v>
      </c>
      <c r="BQ76" s="103"/>
      <c r="BR76" s="103"/>
      <c r="BS76" s="119" t="str">
        <f t="shared" si="8"/>
        <v/>
      </c>
      <c r="BT76" s="174">
        <f t="shared" si="26"/>
        <v>-1</v>
      </c>
      <c r="BU76" s="113" t="str">
        <f t="shared" si="10"/>
        <v>OOS</v>
      </c>
      <c r="BV76" s="108" t="str">
        <f t="shared" si="11"/>
        <v>OOS</v>
      </c>
      <c r="BW76" s="108" t="str">
        <f t="shared" si="12"/>
        <v>OOS</v>
      </c>
      <c r="BX76" s="108" t="str">
        <f t="shared" si="13"/>
        <v>OOS</v>
      </c>
      <c r="BY76" s="108" t="str">
        <f t="shared" si="14"/>
        <v>OOS</v>
      </c>
      <c r="BZ76" s="108"/>
      <c r="CA76" s="119" t="str">
        <f t="shared" si="15"/>
        <v/>
      </c>
      <c r="CB76" s="174">
        <f t="shared" si="32"/>
        <v>-1</v>
      </c>
      <c r="CC76" s="113" t="str">
        <f t="shared" si="16"/>
        <v/>
      </c>
      <c r="CD76" s="108" t="str">
        <f t="shared" si="17"/>
        <v/>
      </c>
      <c r="CE76" s="108" t="str">
        <f t="shared" si="18"/>
        <v/>
      </c>
      <c r="CF76" s="108" t="str">
        <f t="shared" si="19"/>
        <v/>
      </c>
      <c r="CG76" s="108" t="str">
        <f t="shared" si="20"/>
        <v/>
      </c>
      <c r="CH76" s="103"/>
      <c r="CI76" s="119" t="str">
        <f t="shared" si="9"/>
        <v/>
      </c>
      <c r="CJ76" s="174">
        <f t="shared" si="33"/>
        <v>-1</v>
      </c>
      <c r="CK76" s="113" t="str">
        <f t="shared" si="21"/>
        <v/>
      </c>
      <c r="CL76" s="108" t="str">
        <f t="shared" si="22"/>
        <v/>
      </c>
      <c r="CM76" s="108" t="str">
        <f t="shared" si="23"/>
        <v/>
      </c>
      <c r="CN76" s="108" t="str">
        <f t="shared" si="24"/>
        <v/>
      </c>
      <c r="CO76" s="108" t="str">
        <f t="shared" si="25"/>
        <v/>
      </c>
    </row>
    <row r="77" spans="1:93">
      <c r="A77" s="103" t="s">
        <v>302</v>
      </c>
      <c r="B77" s="103" t="s">
        <v>174</v>
      </c>
      <c r="C77" s="103" t="s">
        <v>274</v>
      </c>
      <c r="D77" s="250" t="s">
        <v>153</v>
      </c>
      <c r="E77" s="250"/>
      <c r="F77" s="182">
        <v>8440</v>
      </c>
      <c r="G77" s="250" t="s">
        <v>175</v>
      </c>
      <c r="H77" s="250">
        <v>26</v>
      </c>
      <c r="I77" s="250"/>
      <c r="J77" s="250"/>
      <c r="K77" s="250"/>
      <c r="L77" s="250" t="s">
        <v>61</v>
      </c>
      <c r="M77" s="250">
        <v>26</v>
      </c>
      <c r="N77" s="250"/>
      <c r="O77" s="250"/>
      <c r="P77" s="250" t="s">
        <v>153</v>
      </c>
      <c r="Q77" s="250"/>
      <c r="R77" s="250"/>
      <c r="S77" s="250"/>
      <c r="T77" s="250" t="s">
        <v>155</v>
      </c>
      <c r="U77" s="103" t="s">
        <v>303</v>
      </c>
      <c r="V77" s="106" t="s">
        <v>157</v>
      </c>
      <c r="W77" s="103" t="s">
        <v>158</v>
      </c>
      <c r="X77" s="103">
        <f>IFERROR(MATCH(W77,'CostModel Coef'!$C$9:$C$12,0),0)</f>
        <v>0</v>
      </c>
      <c r="Y77" s="103"/>
      <c r="Z77" s="103" t="str">
        <f>IF($X77&gt;0,INDEX('CostModel Coef'!D$9:D$12,$X77),"")</f>
        <v/>
      </c>
      <c r="AA77" s="103" t="str">
        <f>IF($X77&gt;0,INDEX('CostModel Coef'!E$9:E$12,$X77),"")</f>
        <v/>
      </c>
      <c r="AB77" s="103" t="str">
        <f>IF($X77&gt;0,INDEX('CostModel Coef'!F$9:F$12,$X77),"")</f>
        <v/>
      </c>
      <c r="AC77" s="103" t="str">
        <f>IF($X77&gt;0,INDEX('CostModel Coef'!G$9:G$12,$X77),"")</f>
        <v/>
      </c>
      <c r="AD77" s="103" t="str">
        <f>IF($X77&gt;0,INDEX('CostModel Coef'!H$9:H$12,$X77),"")</f>
        <v/>
      </c>
      <c r="AE77" s="103" t="str">
        <f>IF($X77&gt;0,INDEX('CostModel Coef'!J$9:J$12,$X77),"")</f>
        <v/>
      </c>
      <c r="AF77" s="103" t="str">
        <f>IF($X77&gt;0,INDEX('CostModel Coef'!K$9:K$12,$X77),"")</f>
        <v/>
      </c>
      <c r="AG77" s="103" t="str">
        <f>IF($X77&gt;0,INDEX('CostModel Coef'!L$9:L$12,$X77),"")</f>
        <v/>
      </c>
      <c r="AH77" s="103" t="str">
        <f>IF($X77&gt;0,INDEX('CostModel Coef'!M$9:M$12,$X77),"")</f>
        <v/>
      </c>
      <c r="AI77" s="103" t="str">
        <f>IF($X77&gt;0,INDEX('CostModel Coef'!N$9:N$12,$X77),"")</f>
        <v/>
      </c>
      <c r="AJ77" s="103" t="str">
        <f>IF($X77&gt;0,INDEX('CostModel Coef'!Q$9:Q$12,$X77),"")</f>
        <v/>
      </c>
      <c r="AK77" s="103" t="str">
        <f>IF($X77&gt;0,INDEX('CostModel Coef'!T$9:T$12,$X77),"")</f>
        <v/>
      </c>
      <c r="AL77" s="103"/>
      <c r="AM77" s="108" t="str">
        <f t="shared" si="27"/>
        <v/>
      </c>
      <c r="AN77" s="108" t="str">
        <f t="shared" si="28"/>
        <v/>
      </c>
      <c r="AO77" s="108" t="str">
        <f t="shared" si="29"/>
        <v/>
      </c>
      <c r="AP77" s="108" t="str">
        <f t="shared" si="30"/>
        <v/>
      </c>
      <c r="AQ77" s="108" t="str">
        <f t="shared" si="31"/>
        <v/>
      </c>
      <c r="AR77" s="108"/>
      <c r="AS77" s="108"/>
      <c r="AT77" s="103" t="str">
        <f>IF($X77&gt;0,INDEX('CostModel Coef'!D$13:D$16,$X77),"")</f>
        <v/>
      </c>
      <c r="AU77" s="103" t="str">
        <f>IF($X77&gt;0,INDEX('CostModel Coef'!E$13:E$16,$X77),"")</f>
        <v/>
      </c>
      <c r="AV77" s="103" t="str">
        <f>IF($X77&gt;0,INDEX('CostModel Coef'!F$13:F$16,$X77),"")</f>
        <v/>
      </c>
      <c r="AW77" s="103" t="str">
        <f>IF($X77&gt;0,INDEX('CostModel Coef'!G$13:G$16,$X77),"")</f>
        <v/>
      </c>
      <c r="AX77" s="103" t="str">
        <f>IF($X77&gt;0,INDEX('CostModel Coef'!H$13:H$16,$X77),"")</f>
        <v/>
      </c>
      <c r="AY77" s="103" t="str">
        <f>IF($X77&gt;0,INDEX('CostModel Coef'!I$13:I$16,$X77),"")</f>
        <v/>
      </c>
      <c r="AZ77" s="103" t="str">
        <f>IF($X77&gt;0,INDEX('CostModel Coef'!J$13:J$16,$X77),"")</f>
        <v/>
      </c>
      <c r="BA77" s="103" t="str">
        <f>IF($X77&gt;0,INDEX('CostModel Coef'!K$13:K$16,$X77),"")</f>
        <v/>
      </c>
      <c r="BB77" s="103" t="str">
        <f>IF($X77&gt;0,INDEX('CostModel Coef'!L$13:L$16,$X77),"")</f>
        <v/>
      </c>
      <c r="BC77" s="103" t="str">
        <f>IF($X77&gt;0,INDEX('CostModel Coef'!M$13:M$16,$X77),"")</f>
        <v/>
      </c>
      <c r="BD77" s="103" t="str">
        <f>IF($X77&gt;0,INDEX('CostModel Coef'!N$13:N$16,$X77),"")</f>
        <v/>
      </c>
      <c r="BE77" s="103" t="str">
        <f>IF($X77&gt;0,INDEX('CostModel Coef'!O$13:O$16,$X77),"")</f>
        <v/>
      </c>
      <c r="BF77" s="103" t="str">
        <f>IF($X77&gt;0,INDEX('CostModel Coef'!P$13:P$16,$X77),"")</f>
        <v/>
      </c>
      <c r="BG77" s="103" t="str">
        <f>IF($X77&gt;0,INDEX('CostModel Coef'!Q$13:Q$16,$X77),"")</f>
        <v/>
      </c>
      <c r="BH77" s="103" t="str">
        <f>IF($X77&gt;0,INDEX('CostModel Coef'!R$13:R$16,$X77),"")</f>
        <v/>
      </c>
      <c r="BI77" s="103" t="str">
        <f>IF($X77&gt;0,INDEX('CostModel Coef'!S$13:S$16,$X77),"")</f>
        <v/>
      </c>
      <c r="BJ77" s="103" t="str">
        <f>IF($X77&gt;0,INDEX('CostModel Coef'!T$13:T$16,$X77),"")</f>
        <v/>
      </c>
      <c r="BK77" s="103" t="str">
        <f>IF($X77&gt;0,INDEX('CostModel Coef'!U$13:U$16,$X77),"")</f>
        <v/>
      </c>
      <c r="BL77" s="103" t="str">
        <f>IF($X77&gt;0,INDEX('CostModel Coef'!V$13:V$16,$X77),"")</f>
        <v/>
      </c>
      <c r="BM77" s="103" t="str">
        <f>IF($X77&gt;0,INDEX('CostModel Coef'!W$13:W$16,$X77),"")</f>
        <v/>
      </c>
      <c r="BN77" s="103" t="str">
        <f>IF($X77&gt;0,INDEX('CostModel Coef'!X$13:X$16,$X77),"")</f>
        <v/>
      </c>
      <c r="BO77" s="103"/>
      <c r="BP77" s="119">
        <v>2000</v>
      </c>
      <c r="BQ77" s="103"/>
      <c r="BR77" s="103"/>
      <c r="BS77" s="119" t="str">
        <f t="shared" si="8"/>
        <v/>
      </c>
      <c r="BT77" s="174">
        <f t="shared" si="26"/>
        <v>-1</v>
      </c>
      <c r="BU77" s="113" t="str">
        <f t="shared" si="10"/>
        <v>OOS</v>
      </c>
      <c r="BV77" s="108" t="str">
        <f t="shared" si="11"/>
        <v>OOS</v>
      </c>
      <c r="BW77" s="108" t="str">
        <f t="shared" si="12"/>
        <v>OOS</v>
      </c>
      <c r="BX77" s="108" t="str">
        <f t="shared" si="13"/>
        <v>OOS</v>
      </c>
      <c r="BY77" s="108" t="str">
        <f t="shared" si="14"/>
        <v>OOS</v>
      </c>
      <c r="BZ77" s="108"/>
      <c r="CA77" s="119" t="str">
        <f t="shared" si="15"/>
        <v/>
      </c>
      <c r="CB77" s="174">
        <f t="shared" si="32"/>
        <v>-1</v>
      </c>
      <c r="CC77" s="113" t="str">
        <f t="shared" si="16"/>
        <v/>
      </c>
      <c r="CD77" s="108" t="str">
        <f t="shared" si="17"/>
        <v/>
      </c>
      <c r="CE77" s="108" t="str">
        <f t="shared" si="18"/>
        <v/>
      </c>
      <c r="CF77" s="108" t="str">
        <f t="shared" si="19"/>
        <v/>
      </c>
      <c r="CG77" s="108" t="str">
        <f t="shared" si="20"/>
        <v/>
      </c>
      <c r="CH77" s="103"/>
      <c r="CI77" s="119" t="str">
        <f t="shared" si="9"/>
        <v/>
      </c>
      <c r="CJ77" s="174">
        <f t="shared" si="33"/>
        <v>-1</v>
      </c>
      <c r="CK77" s="113" t="str">
        <f t="shared" si="21"/>
        <v/>
      </c>
      <c r="CL77" s="108" t="str">
        <f t="shared" si="22"/>
        <v/>
      </c>
      <c r="CM77" s="108" t="str">
        <f t="shared" si="23"/>
        <v/>
      </c>
      <c r="CN77" s="108" t="str">
        <f t="shared" si="24"/>
        <v/>
      </c>
      <c r="CO77" s="108" t="str">
        <f t="shared" si="25"/>
        <v/>
      </c>
    </row>
    <row r="78" spans="1:93">
      <c r="A78" s="103" t="s">
        <v>304</v>
      </c>
      <c r="B78" s="103" t="s">
        <v>174</v>
      </c>
      <c r="C78" s="103" t="s">
        <v>274</v>
      </c>
      <c r="D78" s="250" t="s">
        <v>153</v>
      </c>
      <c r="E78" s="250"/>
      <c r="F78" s="182">
        <v>8440</v>
      </c>
      <c r="G78" s="250" t="s">
        <v>175</v>
      </c>
      <c r="H78" s="250">
        <v>27</v>
      </c>
      <c r="I78" s="250"/>
      <c r="J78" s="250"/>
      <c r="K78" s="250"/>
      <c r="L78" s="250" t="s">
        <v>61</v>
      </c>
      <c r="M78" s="250">
        <v>27</v>
      </c>
      <c r="N78" s="250"/>
      <c r="O78" s="250"/>
      <c r="P78" s="250" t="s">
        <v>153</v>
      </c>
      <c r="Q78" s="250"/>
      <c r="R78" s="250"/>
      <c r="S78" s="250"/>
      <c r="T78" s="250" t="s">
        <v>155</v>
      </c>
      <c r="U78" s="103" t="s">
        <v>305</v>
      </c>
      <c r="V78" s="106" t="s">
        <v>157</v>
      </c>
      <c r="W78" s="103" t="s">
        <v>158</v>
      </c>
      <c r="X78" s="103">
        <f>IFERROR(MATCH(W78,'CostModel Coef'!$C$9:$C$12,0),0)</f>
        <v>0</v>
      </c>
      <c r="Y78" s="103"/>
      <c r="Z78" s="103" t="str">
        <f>IF($X78&gt;0,INDEX('CostModel Coef'!D$9:D$12,$X78),"")</f>
        <v/>
      </c>
      <c r="AA78" s="103" t="str">
        <f>IF($X78&gt;0,INDEX('CostModel Coef'!E$9:E$12,$X78),"")</f>
        <v/>
      </c>
      <c r="AB78" s="103" t="str">
        <f>IF($X78&gt;0,INDEX('CostModel Coef'!F$9:F$12,$X78),"")</f>
        <v/>
      </c>
      <c r="AC78" s="103" t="str">
        <f>IF($X78&gt;0,INDEX('CostModel Coef'!G$9:G$12,$X78),"")</f>
        <v/>
      </c>
      <c r="AD78" s="103" t="str">
        <f>IF($X78&gt;0,INDEX('CostModel Coef'!H$9:H$12,$X78),"")</f>
        <v/>
      </c>
      <c r="AE78" s="103" t="str">
        <f>IF($X78&gt;0,INDEX('CostModel Coef'!J$9:J$12,$X78),"")</f>
        <v/>
      </c>
      <c r="AF78" s="103" t="str">
        <f>IF($X78&gt;0,INDEX('CostModel Coef'!K$9:K$12,$X78),"")</f>
        <v/>
      </c>
      <c r="AG78" s="103" t="str">
        <f>IF($X78&gt;0,INDEX('CostModel Coef'!L$9:L$12,$X78),"")</f>
        <v/>
      </c>
      <c r="AH78" s="103" t="str">
        <f>IF($X78&gt;0,INDEX('CostModel Coef'!M$9:M$12,$X78),"")</f>
        <v/>
      </c>
      <c r="AI78" s="103" t="str">
        <f>IF($X78&gt;0,INDEX('CostModel Coef'!N$9:N$12,$X78),"")</f>
        <v/>
      </c>
      <c r="AJ78" s="103" t="str">
        <f>IF($X78&gt;0,INDEX('CostModel Coef'!Q$9:Q$12,$X78),"")</f>
        <v/>
      </c>
      <c r="AK78" s="103" t="str">
        <f>IF($X78&gt;0,INDEX('CostModel Coef'!T$9:T$12,$X78),"")</f>
        <v/>
      </c>
      <c r="AL78" s="103"/>
      <c r="AM78" s="108" t="str">
        <f t="shared" si="27"/>
        <v/>
      </c>
      <c r="AN78" s="108" t="str">
        <f t="shared" si="28"/>
        <v/>
      </c>
      <c r="AO78" s="108" t="str">
        <f t="shared" si="29"/>
        <v/>
      </c>
      <c r="AP78" s="108" t="str">
        <f t="shared" si="30"/>
        <v/>
      </c>
      <c r="AQ78" s="108" t="str">
        <f t="shared" si="31"/>
        <v/>
      </c>
      <c r="AR78" s="108"/>
      <c r="AS78" s="108"/>
      <c r="AT78" s="103" t="str">
        <f>IF($X78&gt;0,INDEX('CostModel Coef'!D$13:D$16,$X78),"")</f>
        <v/>
      </c>
      <c r="AU78" s="103" t="str">
        <f>IF($X78&gt;0,INDEX('CostModel Coef'!E$13:E$16,$X78),"")</f>
        <v/>
      </c>
      <c r="AV78" s="103" t="str">
        <f>IF($X78&gt;0,INDEX('CostModel Coef'!F$13:F$16,$X78),"")</f>
        <v/>
      </c>
      <c r="AW78" s="103" t="str">
        <f>IF($X78&gt;0,INDEX('CostModel Coef'!G$13:G$16,$X78),"")</f>
        <v/>
      </c>
      <c r="AX78" s="103" t="str">
        <f>IF($X78&gt;0,INDEX('CostModel Coef'!H$13:H$16,$X78),"")</f>
        <v/>
      </c>
      <c r="AY78" s="103" t="str">
        <f>IF($X78&gt;0,INDEX('CostModel Coef'!I$13:I$16,$X78),"")</f>
        <v/>
      </c>
      <c r="AZ78" s="103" t="str">
        <f>IF($X78&gt;0,INDEX('CostModel Coef'!J$13:J$16,$X78),"")</f>
        <v/>
      </c>
      <c r="BA78" s="103" t="str">
        <f>IF($X78&gt;0,INDEX('CostModel Coef'!K$13:K$16,$X78),"")</f>
        <v/>
      </c>
      <c r="BB78" s="103" t="str">
        <f>IF($X78&gt;0,INDEX('CostModel Coef'!L$13:L$16,$X78),"")</f>
        <v/>
      </c>
      <c r="BC78" s="103" t="str">
        <f>IF($X78&gt;0,INDEX('CostModel Coef'!M$13:M$16,$X78),"")</f>
        <v/>
      </c>
      <c r="BD78" s="103" t="str">
        <f>IF($X78&gt;0,INDEX('CostModel Coef'!N$13:N$16,$X78),"")</f>
        <v/>
      </c>
      <c r="BE78" s="103" t="str">
        <f>IF($X78&gt;0,INDEX('CostModel Coef'!O$13:O$16,$X78),"")</f>
        <v/>
      </c>
      <c r="BF78" s="103" t="str">
        <f>IF($X78&gt;0,INDEX('CostModel Coef'!P$13:P$16,$X78),"")</f>
        <v/>
      </c>
      <c r="BG78" s="103" t="str">
        <f>IF($X78&gt;0,INDEX('CostModel Coef'!Q$13:Q$16,$X78),"")</f>
        <v/>
      </c>
      <c r="BH78" s="103" t="str">
        <f>IF($X78&gt;0,INDEX('CostModel Coef'!R$13:R$16,$X78),"")</f>
        <v/>
      </c>
      <c r="BI78" s="103" t="str">
        <f>IF($X78&gt;0,INDEX('CostModel Coef'!S$13:S$16,$X78),"")</f>
        <v/>
      </c>
      <c r="BJ78" s="103" t="str">
        <f>IF($X78&gt;0,INDEX('CostModel Coef'!T$13:T$16,$X78),"")</f>
        <v/>
      </c>
      <c r="BK78" s="103" t="str">
        <f>IF($X78&gt;0,INDEX('CostModel Coef'!U$13:U$16,$X78),"")</f>
        <v/>
      </c>
      <c r="BL78" s="103" t="str">
        <f>IF($X78&gt;0,INDEX('CostModel Coef'!V$13:V$16,$X78),"")</f>
        <v/>
      </c>
      <c r="BM78" s="103" t="str">
        <f>IF($X78&gt;0,INDEX('CostModel Coef'!W$13:W$16,$X78),"")</f>
        <v/>
      </c>
      <c r="BN78" s="103" t="str">
        <f>IF($X78&gt;0,INDEX('CostModel Coef'!X$13:X$16,$X78),"")</f>
        <v/>
      </c>
      <c r="BO78" s="103"/>
      <c r="BP78" s="119">
        <v>2000</v>
      </c>
      <c r="BQ78" s="103"/>
      <c r="BR78" s="103"/>
      <c r="BS78" s="119" t="str">
        <f t="shared" si="8"/>
        <v/>
      </c>
      <c r="BT78" s="174">
        <f t="shared" si="26"/>
        <v>-1</v>
      </c>
      <c r="BU78" s="113" t="str">
        <f t="shared" si="10"/>
        <v>OOS</v>
      </c>
      <c r="BV78" s="108" t="str">
        <f t="shared" si="11"/>
        <v>OOS</v>
      </c>
      <c r="BW78" s="108" t="str">
        <f t="shared" si="12"/>
        <v>OOS</v>
      </c>
      <c r="BX78" s="108" t="str">
        <f t="shared" si="13"/>
        <v>OOS</v>
      </c>
      <c r="BY78" s="108" t="str">
        <f t="shared" si="14"/>
        <v>OOS</v>
      </c>
      <c r="BZ78" s="108"/>
      <c r="CA78" s="119" t="str">
        <f t="shared" si="15"/>
        <v/>
      </c>
      <c r="CB78" s="174">
        <f t="shared" si="32"/>
        <v>-1</v>
      </c>
      <c r="CC78" s="113" t="str">
        <f t="shared" si="16"/>
        <v/>
      </c>
      <c r="CD78" s="108" t="str">
        <f t="shared" si="17"/>
        <v/>
      </c>
      <c r="CE78" s="108" t="str">
        <f t="shared" si="18"/>
        <v/>
      </c>
      <c r="CF78" s="108" t="str">
        <f t="shared" si="19"/>
        <v/>
      </c>
      <c r="CG78" s="108" t="str">
        <f t="shared" si="20"/>
        <v/>
      </c>
      <c r="CH78" s="103"/>
      <c r="CI78" s="119" t="str">
        <f t="shared" si="9"/>
        <v/>
      </c>
      <c r="CJ78" s="174">
        <f t="shared" si="33"/>
        <v>-1</v>
      </c>
      <c r="CK78" s="113" t="str">
        <f t="shared" si="21"/>
        <v/>
      </c>
      <c r="CL78" s="108" t="str">
        <f t="shared" si="22"/>
        <v/>
      </c>
      <c r="CM78" s="108" t="str">
        <f t="shared" si="23"/>
        <v/>
      </c>
      <c r="CN78" s="108" t="str">
        <f t="shared" si="24"/>
        <v/>
      </c>
      <c r="CO78" s="108" t="str">
        <f t="shared" si="25"/>
        <v/>
      </c>
    </row>
    <row r="79" spans="1:93">
      <c r="A79" s="103" t="s">
        <v>306</v>
      </c>
      <c r="B79" s="103" t="s">
        <v>174</v>
      </c>
      <c r="C79" s="103" t="s">
        <v>274</v>
      </c>
      <c r="D79" s="250" t="s">
        <v>153</v>
      </c>
      <c r="E79" s="250"/>
      <c r="F79" s="182">
        <v>8440</v>
      </c>
      <c r="G79" s="250" t="s">
        <v>175</v>
      </c>
      <c r="H79" s="250">
        <v>28</v>
      </c>
      <c r="I79" s="250"/>
      <c r="J79" s="250"/>
      <c r="K79" s="250"/>
      <c r="L79" s="250" t="s">
        <v>61</v>
      </c>
      <c r="M79" s="250">
        <v>28</v>
      </c>
      <c r="N79" s="250"/>
      <c r="O79" s="250"/>
      <c r="P79" s="250" t="s">
        <v>153</v>
      </c>
      <c r="Q79" s="250"/>
      <c r="R79" s="250"/>
      <c r="S79" s="250"/>
      <c r="T79" s="250" t="s">
        <v>155</v>
      </c>
      <c r="U79" s="103" t="s">
        <v>307</v>
      </c>
      <c r="V79" s="106" t="s">
        <v>157</v>
      </c>
      <c r="W79" s="103" t="s">
        <v>158</v>
      </c>
      <c r="X79" s="103">
        <f>IFERROR(MATCH(W79,'CostModel Coef'!$C$9:$C$12,0),0)</f>
        <v>0</v>
      </c>
      <c r="Y79" s="103"/>
      <c r="Z79" s="103" t="str">
        <f>IF($X79&gt;0,INDEX('CostModel Coef'!D$9:D$12,$X79),"")</f>
        <v/>
      </c>
      <c r="AA79" s="103" t="str">
        <f>IF($X79&gt;0,INDEX('CostModel Coef'!E$9:E$12,$X79),"")</f>
        <v/>
      </c>
      <c r="AB79" s="103" t="str">
        <f>IF($X79&gt;0,INDEX('CostModel Coef'!F$9:F$12,$X79),"")</f>
        <v/>
      </c>
      <c r="AC79" s="103" t="str">
        <f>IF($X79&gt;0,INDEX('CostModel Coef'!G$9:G$12,$X79),"")</f>
        <v/>
      </c>
      <c r="AD79" s="103" t="str">
        <f>IF($X79&gt;0,INDEX('CostModel Coef'!H$9:H$12,$X79),"")</f>
        <v/>
      </c>
      <c r="AE79" s="103" t="str">
        <f>IF($X79&gt;0,INDEX('CostModel Coef'!J$9:J$12,$X79),"")</f>
        <v/>
      </c>
      <c r="AF79" s="103" t="str">
        <f>IF($X79&gt;0,INDEX('CostModel Coef'!K$9:K$12,$X79),"")</f>
        <v/>
      </c>
      <c r="AG79" s="103" t="str">
        <f>IF($X79&gt;0,INDEX('CostModel Coef'!L$9:L$12,$X79),"")</f>
        <v/>
      </c>
      <c r="AH79" s="103" t="str">
        <f>IF($X79&gt;0,INDEX('CostModel Coef'!M$9:M$12,$X79),"")</f>
        <v/>
      </c>
      <c r="AI79" s="103" t="str">
        <f>IF($X79&gt;0,INDEX('CostModel Coef'!N$9:N$12,$X79),"")</f>
        <v/>
      </c>
      <c r="AJ79" s="103" t="str">
        <f>IF($X79&gt;0,INDEX('CostModel Coef'!Q$9:Q$12,$X79),"")</f>
        <v/>
      </c>
      <c r="AK79" s="103" t="str">
        <f>IF($X79&gt;0,INDEX('CostModel Coef'!T$9:T$12,$X79),"")</f>
        <v/>
      </c>
      <c r="AL79" s="103"/>
      <c r="AM79" s="108" t="str">
        <f t="shared" si="27"/>
        <v/>
      </c>
      <c r="AN79" s="108" t="str">
        <f t="shared" si="28"/>
        <v/>
      </c>
      <c r="AO79" s="108" t="str">
        <f t="shared" si="29"/>
        <v/>
      </c>
      <c r="AP79" s="108" t="str">
        <f t="shared" si="30"/>
        <v/>
      </c>
      <c r="AQ79" s="108" t="str">
        <f t="shared" si="31"/>
        <v/>
      </c>
      <c r="AR79" s="108"/>
      <c r="AS79" s="108"/>
      <c r="AT79" s="103" t="str">
        <f>IF($X79&gt;0,INDEX('CostModel Coef'!D$13:D$16,$X79),"")</f>
        <v/>
      </c>
      <c r="AU79" s="103" t="str">
        <f>IF($X79&gt;0,INDEX('CostModel Coef'!E$13:E$16,$X79),"")</f>
        <v/>
      </c>
      <c r="AV79" s="103" t="str">
        <f>IF($X79&gt;0,INDEX('CostModel Coef'!F$13:F$16,$X79),"")</f>
        <v/>
      </c>
      <c r="AW79" s="103" t="str">
        <f>IF($X79&gt;0,INDEX('CostModel Coef'!G$13:G$16,$X79),"")</f>
        <v/>
      </c>
      <c r="AX79" s="103" t="str">
        <f>IF($X79&gt;0,INDEX('CostModel Coef'!H$13:H$16,$X79),"")</f>
        <v/>
      </c>
      <c r="AY79" s="103" t="str">
        <f>IF($X79&gt;0,INDEX('CostModel Coef'!I$13:I$16,$X79),"")</f>
        <v/>
      </c>
      <c r="AZ79" s="103" t="str">
        <f>IF($X79&gt;0,INDEX('CostModel Coef'!J$13:J$16,$X79),"")</f>
        <v/>
      </c>
      <c r="BA79" s="103" t="str">
        <f>IF($X79&gt;0,INDEX('CostModel Coef'!K$13:K$16,$X79),"")</f>
        <v/>
      </c>
      <c r="BB79" s="103" t="str">
        <f>IF($X79&gt;0,INDEX('CostModel Coef'!L$13:L$16,$X79),"")</f>
        <v/>
      </c>
      <c r="BC79" s="103" t="str">
        <f>IF($X79&gt;0,INDEX('CostModel Coef'!M$13:M$16,$X79),"")</f>
        <v/>
      </c>
      <c r="BD79" s="103" t="str">
        <f>IF($X79&gt;0,INDEX('CostModel Coef'!N$13:N$16,$X79),"")</f>
        <v/>
      </c>
      <c r="BE79" s="103" t="str">
        <f>IF($X79&gt;0,INDEX('CostModel Coef'!O$13:O$16,$X79),"")</f>
        <v/>
      </c>
      <c r="BF79" s="103" t="str">
        <f>IF($X79&gt;0,INDEX('CostModel Coef'!P$13:P$16,$X79),"")</f>
        <v/>
      </c>
      <c r="BG79" s="103" t="str">
        <f>IF($X79&gt;0,INDEX('CostModel Coef'!Q$13:Q$16,$X79),"")</f>
        <v/>
      </c>
      <c r="BH79" s="103" t="str">
        <f>IF($X79&gt;0,INDEX('CostModel Coef'!R$13:R$16,$X79),"")</f>
        <v/>
      </c>
      <c r="BI79" s="103" t="str">
        <f>IF($X79&gt;0,INDEX('CostModel Coef'!S$13:S$16,$X79),"")</f>
        <v/>
      </c>
      <c r="BJ79" s="103" t="str">
        <f>IF($X79&gt;0,INDEX('CostModel Coef'!T$13:T$16,$X79),"")</f>
        <v/>
      </c>
      <c r="BK79" s="103" t="str">
        <f>IF($X79&gt;0,INDEX('CostModel Coef'!U$13:U$16,$X79),"")</f>
        <v/>
      </c>
      <c r="BL79" s="103" t="str">
        <f>IF($X79&gt;0,INDEX('CostModel Coef'!V$13:V$16,$X79),"")</f>
        <v/>
      </c>
      <c r="BM79" s="103" t="str">
        <f>IF($X79&gt;0,INDEX('CostModel Coef'!W$13:W$16,$X79),"")</f>
        <v/>
      </c>
      <c r="BN79" s="103" t="str">
        <f>IF($X79&gt;0,INDEX('CostModel Coef'!X$13:X$16,$X79),"")</f>
        <v/>
      </c>
      <c r="BO79" s="103"/>
      <c r="BP79" s="119">
        <v>2000</v>
      </c>
      <c r="BQ79" s="103"/>
      <c r="BR79" s="103"/>
      <c r="BS79" s="119" t="str">
        <f t="shared" ref="BS79:BS142" si="34">IF(BT79&gt;0,IF(X79=2,$BW$4,$BW$5)&amp;"_"&amp;$A79,"")</f>
        <v/>
      </c>
      <c r="BT79" s="174">
        <f t="shared" si="26"/>
        <v>-1</v>
      </c>
      <c r="BU79" s="113" t="str">
        <f t="shared" si="10"/>
        <v>OOS</v>
      </c>
      <c r="BV79" s="108" t="str">
        <f t="shared" si="11"/>
        <v>OOS</v>
      </c>
      <c r="BW79" s="108" t="str">
        <f t="shared" si="12"/>
        <v>OOS</v>
      </c>
      <c r="BX79" s="108" t="str">
        <f t="shared" si="13"/>
        <v>OOS</v>
      </c>
      <c r="BY79" s="108" t="str">
        <f t="shared" si="14"/>
        <v>OOS</v>
      </c>
      <c r="BZ79" s="108"/>
      <c r="CA79" s="119" t="str">
        <f t="shared" si="15"/>
        <v/>
      </c>
      <c r="CB79" s="174">
        <f t="shared" si="32"/>
        <v>-1</v>
      </c>
      <c r="CC79" s="113" t="str">
        <f t="shared" si="16"/>
        <v/>
      </c>
      <c r="CD79" s="108" t="str">
        <f t="shared" si="17"/>
        <v/>
      </c>
      <c r="CE79" s="108" t="str">
        <f t="shared" si="18"/>
        <v/>
      </c>
      <c r="CF79" s="108" t="str">
        <f t="shared" si="19"/>
        <v/>
      </c>
      <c r="CG79" s="108" t="str">
        <f t="shared" si="20"/>
        <v/>
      </c>
      <c r="CH79" s="103"/>
      <c r="CI79" s="119" t="str">
        <f t="shared" ref="CI79:CI142" si="35">IF(CJ79&gt;0,BW$5&amp;"_"&amp;$A79,"")</f>
        <v/>
      </c>
      <c r="CJ79" s="174">
        <f t="shared" si="33"/>
        <v>-1</v>
      </c>
      <c r="CK79" s="113" t="str">
        <f t="shared" si="21"/>
        <v/>
      </c>
      <c r="CL79" s="108" t="str">
        <f t="shared" si="22"/>
        <v/>
      </c>
      <c r="CM79" s="108" t="str">
        <f t="shared" si="23"/>
        <v/>
      </c>
      <c r="CN79" s="108" t="str">
        <f t="shared" si="24"/>
        <v/>
      </c>
      <c r="CO79" s="108" t="str">
        <f t="shared" si="25"/>
        <v/>
      </c>
    </row>
    <row r="80" spans="1:93">
      <c r="A80" s="103" t="s">
        <v>308</v>
      </c>
      <c r="B80" s="103" t="s">
        <v>174</v>
      </c>
      <c r="C80" s="103" t="s">
        <v>274</v>
      </c>
      <c r="D80" s="250" t="s">
        <v>153</v>
      </c>
      <c r="E80" s="250"/>
      <c r="F80" s="182">
        <v>8440</v>
      </c>
      <c r="G80" s="250" t="s">
        <v>175</v>
      </c>
      <c r="H80" s="250">
        <v>30</v>
      </c>
      <c r="I80" s="250"/>
      <c r="J80" s="250"/>
      <c r="K80" s="250"/>
      <c r="L80" s="250" t="s">
        <v>61</v>
      </c>
      <c r="M80" s="250">
        <v>30</v>
      </c>
      <c r="N80" s="250"/>
      <c r="O80" s="250"/>
      <c r="P80" s="250" t="s">
        <v>153</v>
      </c>
      <c r="Q80" s="250"/>
      <c r="R80" s="250"/>
      <c r="S80" s="250"/>
      <c r="T80" s="250" t="s">
        <v>155</v>
      </c>
      <c r="U80" s="103" t="s">
        <v>309</v>
      </c>
      <c r="V80" s="106" t="s">
        <v>157</v>
      </c>
      <c r="W80" s="103" t="s">
        <v>158</v>
      </c>
      <c r="X80" s="103">
        <f>IFERROR(MATCH(W80,'CostModel Coef'!$C$9:$C$12,0),0)</f>
        <v>0</v>
      </c>
      <c r="Y80" s="103"/>
      <c r="Z80" s="103" t="str">
        <f>IF($X80&gt;0,INDEX('CostModel Coef'!D$9:D$12,$X80),"")</f>
        <v/>
      </c>
      <c r="AA80" s="103" t="str">
        <f>IF($X80&gt;0,INDEX('CostModel Coef'!E$9:E$12,$X80),"")</f>
        <v/>
      </c>
      <c r="AB80" s="103" t="str">
        <f>IF($X80&gt;0,INDEX('CostModel Coef'!F$9:F$12,$X80),"")</f>
        <v/>
      </c>
      <c r="AC80" s="103" t="str">
        <f>IF($X80&gt;0,INDEX('CostModel Coef'!G$9:G$12,$X80),"")</f>
        <v/>
      </c>
      <c r="AD80" s="103" t="str">
        <f>IF($X80&gt;0,INDEX('CostModel Coef'!H$9:H$12,$X80),"")</f>
        <v/>
      </c>
      <c r="AE80" s="103" t="str">
        <f>IF($X80&gt;0,INDEX('CostModel Coef'!J$9:J$12,$X80),"")</f>
        <v/>
      </c>
      <c r="AF80" s="103" t="str">
        <f>IF($X80&gt;0,INDEX('CostModel Coef'!K$9:K$12,$X80),"")</f>
        <v/>
      </c>
      <c r="AG80" s="103" t="str">
        <f>IF($X80&gt;0,INDEX('CostModel Coef'!L$9:L$12,$X80),"")</f>
        <v/>
      </c>
      <c r="AH80" s="103" t="str">
        <f>IF($X80&gt;0,INDEX('CostModel Coef'!M$9:M$12,$X80),"")</f>
        <v/>
      </c>
      <c r="AI80" s="103" t="str">
        <f>IF($X80&gt;0,INDEX('CostModel Coef'!N$9:N$12,$X80),"")</f>
        <v/>
      </c>
      <c r="AJ80" s="103" t="str">
        <f>IF($X80&gt;0,INDEX('CostModel Coef'!Q$9:Q$12,$X80),"")</f>
        <v/>
      </c>
      <c r="AK80" s="103" t="str">
        <f>IF($X80&gt;0,INDEX('CostModel Coef'!T$9:T$12,$X80),"")</f>
        <v/>
      </c>
      <c r="AL80" s="103"/>
      <c r="AM80" s="108" t="str">
        <f t="shared" si="27"/>
        <v/>
      </c>
      <c r="AN80" s="108" t="str">
        <f t="shared" si="28"/>
        <v/>
      </c>
      <c r="AO80" s="108" t="str">
        <f t="shared" si="29"/>
        <v/>
      </c>
      <c r="AP80" s="108" t="str">
        <f t="shared" si="30"/>
        <v/>
      </c>
      <c r="AQ80" s="108" t="str">
        <f t="shared" si="31"/>
        <v/>
      </c>
      <c r="AR80" s="108"/>
      <c r="AS80" s="108"/>
      <c r="AT80" s="103" t="str">
        <f>IF($X80&gt;0,INDEX('CostModel Coef'!D$13:D$16,$X80),"")</f>
        <v/>
      </c>
      <c r="AU80" s="103" t="str">
        <f>IF($X80&gt;0,INDEX('CostModel Coef'!E$13:E$16,$X80),"")</f>
        <v/>
      </c>
      <c r="AV80" s="103" t="str">
        <f>IF($X80&gt;0,INDEX('CostModel Coef'!F$13:F$16,$X80),"")</f>
        <v/>
      </c>
      <c r="AW80" s="103" t="str">
        <f>IF($X80&gt;0,INDEX('CostModel Coef'!G$13:G$16,$X80),"")</f>
        <v/>
      </c>
      <c r="AX80" s="103" t="str">
        <f>IF($X80&gt;0,INDEX('CostModel Coef'!H$13:H$16,$X80),"")</f>
        <v/>
      </c>
      <c r="AY80" s="103" t="str">
        <f>IF($X80&gt;0,INDEX('CostModel Coef'!I$13:I$16,$X80),"")</f>
        <v/>
      </c>
      <c r="AZ80" s="103" t="str">
        <f>IF($X80&gt;0,INDEX('CostModel Coef'!J$13:J$16,$X80),"")</f>
        <v/>
      </c>
      <c r="BA80" s="103" t="str">
        <f>IF($X80&gt;0,INDEX('CostModel Coef'!K$13:K$16,$X80),"")</f>
        <v/>
      </c>
      <c r="BB80" s="103" t="str">
        <f>IF($X80&gt;0,INDEX('CostModel Coef'!L$13:L$16,$X80),"")</f>
        <v/>
      </c>
      <c r="BC80" s="103" t="str">
        <f>IF($X80&gt;0,INDEX('CostModel Coef'!M$13:M$16,$X80),"")</f>
        <v/>
      </c>
      <c r="BD80" s="103" t="str">
        <f>IF($X80&gt;0,INDEX('CostModel Coef'!N$13:N$16,$X80),"")</f>
        <v/>
      </c>
      <c r="BE80" s="103" t="str">
        <f>IF($X80&gt;0,INDEX('CostModel Coef'!O$13:O$16,$X80),"")</f>
        <v/>
      </c>
      <c r="BF80" s="103" t="str">
        <f>IF($X80&gt;0,INDEX('CostModel Coef'!P$13:P$16,$X80),"")</f>
        <v/>
      </c>
      <c r="BG80" s="103" t="str">
        <f>IF($X80&gt;0,INDEX('CostModel Coef'!Q$13:Q$16,$X80),"")</f>
        <v/>
      </c>
      <c r="BH80" s="103" t="str">
        <f>IF($X80&gt;0,INDEX('CostModel Coef'!R$13:R$16,$X80),"")</f>
        <v/>
      </c>
      <c r="BI80" s="103" t="str">
        <f>IF($X80&gt;0,INDEX('CostModel Coef'!S$13:S$16,$X80),"")</f>
        <v/>
      </c>
      <c r="BJ80" s="103" t="str">
        <f>IF($X80&gt;0,INDEX('CostModel Coef'!T$13:T$16,$X80),"")</f>
        <v/>
      </c>
      <c r="BK80" s="103" t="str">
        <f>IF($X80&gt;0,INDEX('CostModel Coef'!U$13:U$16,$X80),"")</f>
        <v/>
      </c>
      <c r="BL80" s="103" t="str">
        <f>IF($X80&gt;0,INDEX('CostModel Coef'!V$13:V$16,$X80),"")</f>
        <v/>
      </c>
      <c r="BM80" s="103" t="str">
        <f>IF($X80&gt;0,INDEX('CostModel Coef'!W$13:W$16,$X80),"")</f>
        <v/>
      </c>
      <c r="BN80" s="103" t="str">
        <f>IF($X80&gt;0,INDEX('CostModel Coef'!X$13:X$16,$X80),"")</f>
        <v/>
      </c>
      <c r="BO80" s="103"/>
      <c r="BP80" s="119">
        <v>2000</v>
      </c>
      <c r="BQ80" s="103"/>
      <c r="BR80" s="103"/>
      <c r="BS80" s="119" t="str">
        <f t="shared" si="34"/>
        <v/>
      </c>
      <c r="BT80" s="174">
        <f t="shared" si="26"/>
        <v>-1</v>
      </c>
      <c r="BU80" s="113" t="str">
        <f t="shared" ref="BU80:BU143" si="36">IF(AND(BT80&gt;=BH80,BT80&lt;=BI80),SUM($AT80,$AU80,$AV80,IF($Q80="Y",$BB80,0),$BP80/1000*$BD80,BT80*$BG80,IF(BT80&gt;30,(BT80-30)*$BK80,0),IF(BT80&gt;75,(BT80-75)*$BL80,0),IF(BT80&lt;35,$BM80,0),$BA80),"OOS")</f>
        <v>OOS</v>
      </c>
      <c r="BV80" s="108" t="str">
        <f t="shared" ref="BV80:BV143" si="37">IF(AND(BT80&gt;=BH80,BT80&lt;=BI80),SUM($AT80,$AU80,$AV80,IF($Q80="Y",$BB80,0),$BP80/1000*$BD80,BT80*$BG80,IF(BT80&gt;30,(BT80-30)*$BK80,0),IF(BT80&gt;75,(BT80-75)*$BL80,0),IF(BT80&lt;35,$BM80,0)),"OOS")</f>
        <v>OOS</v>
      </c>
      <c r="BW80" s="108" t="str">
        <f t="shared" ref="BW80:BW143" si="38">IF(AND(BT80&gt;=BH80,BT80&lt;=BI80),SUM($AT80,$AU80,$AV80,IF($Q80="Y",$BB80,0),$BP80/1000*$BD80,BT80*$BG80,IF(BT80&gt;30,(BT80-30)*$BK80,0),IF(BT80&gt;75,(BT80-75)*$BL80,0),IF(BT80&lt;35,$BM80,0),$AX80),"OOS")</f>
        <v>OOS</v>
      </c>
      <c r="BX80" s="108" t="str">
        <f t="shared" ref="BX80:BX143" si="39">IF(AND(BT80&gt;=BH80,BT80&lt;=BI80),SUM($AT80,$AU80,$AV80,IF($Q80="Y",$BB80,0),$BP80/1000*$BD80,BT80*$BG80,IF(BT80&gt;30,(BT80-30)*$BK80,0),IF(BT80&gt;75,(BT80-75)*$BL80,0),IF(BT80&lt;35,$BM80,0),$AX80,$AY80),"OOS")</f>
        <v>OOS</v>
      </c>
      <c r="BY80" s="108" t="str">
        <f t="shared" ref="BY80:BY143" si="40">IF(AND(BT80&gt;=BH80,BT80&lt;=BI80),SUM($AT80,$AU80,$AV80,IF($Q80="Y",$BB80,0),$BP80/1000*$BD80,BT80*$BG80,IF(BT80&gt;30,(BT80-30)*$BK80,0),IF(BT80&gt;75,(BT80-75)*$BL80,0),IF(BT80&lt;35,$BM80,0),$AX80,$AY80),"OOS")</f>
        <v>OOS</v>
      </c>
      <c r="BZ80" s="108"/>
      <c r="CA80" s="119" t="str">
        <f t="shared" ref="CA80:CA143" si="41">IF(CB80&gt;0,CD$5&amp;"_"&amp;$A80,"")</f>
        <v/>
      </c>
      <c r="CB80" s="174">
        <f t="shared" si="32"/>
        <v>-1</v>
      </c>
      <c r="CC80" s="113" t="str">
        <f t="shared" ref="CC80:CC143" si="42">IF(AND(CB80&gt;=BH80,CB80&lt;=BI80),SUM($AT80,$AU80,$AV80,IF($Q80="Y",$BB80,0),$BP80/1000*$BD80,CB80*$BG80,IF(CB80&gt;30,(CB80-30)*$BK80,0),IF(CB80&gt;75,(CB80-75)*$BL80,0),IF(CB80&lt;35,$BM80,0),$BA80),"")</f>
        <v/>
      </c>
      <c r="CD80" s="108" t="str">
        <f t="shared" ref="CD80:CD143" si="43">IF(AND(CB80&gt;=BH80,CB80&lt;=BI80),SUM($AT80,$AU80,$AV80,IF($Q80="Y",$BB80,0),$BP80/1000*$BD80,CB80*$BG80,IF(CB80&gt;30,(CB80-30)*$BK80,0),IF(CB80&gt;75,(CB80-75)*$BL80,0),IF(CB80&lt;35,$BM80,0)),"")</f>
        <v/>
      </c>
      <c r="CE80" s="108" t="str">
        <f t="shared" ref="CE80:CE143" si="44">IF(AND(CB80&gt;=BH80,CB80&lt;=BI80),SUM($AT80,$AU80,$AV80,IF($Q80="Y",$BB80,0),$BP80/1000*$BD80,CB80*$BG80,IF(CB80&gt;30,(CB80-30)*$BK80,0),IF(CB80&gt;75,(CB80-75)*$BL80,0),IF(CB80&lt;35,$BM80,0),$AX80),"")</f>
        <v/>
      </c>
      <c r="CF80" s="108" t="str">
        <f t="shared" ref="CF80:CF143" si="45">IF(AND(CB80&gt;=BH80,CB80&lt;=BI80),SUM($AT80,$AU80,$AV80,IF($Q80="Y",$BB80,0),$BP80/1000*$BD80,CB80*$BG80,IF(CB80&gt;30,(CB80-30)*$BK80,0),IF(CB80&gt;75,(CB80-75)*$BL80,0),IF(CB80&lt;35,$BM80,0),$AX80,$AY80),"")</f>
        <v/>
      </c>
      <c r="CG80" s="108" t="str">
        <f t="shared" ref="CG80:CG143" si="46">IF(AND(CB80&gt;=BH80,CB80&lt;=BI80),SUM($AT80,$AU80,$AV80,IF($Q80="Y",$BB80,0),$BP80/1000*$BD80,CB80*$BG80,IF(CB80&gt;30,(CB80-30)*$BK80,0),IF(CB80&gt;75,(CB80-75)*$BL80,0),IF(CB80&lt;35,$BM80,0),$AX80,$AY80),"")</f>
        <v/>
      </c>
      <c r="CH80" s="103"/>
      <c r="CI80" s="119" t="str">
        <f t="shared" si="35"/>
        <v/>
      </c>
      <c r="CJ80" s="174">
        <f t="shared" si="33"/>
        <v>-1</v>
      </c>
      <c r="CK80" s="113" t="str">
        <f t="shared" ref="CK80:CK143" si="47">IF(AND(CJ80&gt;=BH80,CJ80&lt;=BI80),SUM($AT80,$AU80,$AV80,IF($Q80="Y",$BB80,0),$BP80/1000*$BD80,CJ80*$BG80,IF(CJ80&gt;30,(CJ80-30)*$BK80,0),IF(CJ80&gt;75,(CJ80-75)*$BL80,0),IF(CJ80&lt;35,$BM80,0),$BA80),"")</f>
        <v/>
      </c>
      <c r="CL80" s="108" t="str">
        <f t="shared" ref="CL80:CL143" si="48">IF(AND(CJ80&gt;=BH80,CJ80&lt;=BI80),SUM($AT80,$AU80,$AV80,IF($Q80="Y",$BB80,0),$BP80/1000*$BD80,CJ80*$BG80,IF(CJ80&gt;30,(CJ80-30)*$BK80,0),IF(CJ80&gt;75,(CJ80-75)*$BL80,0),IF(CJ80&lt;35,$BM80,0)),"")</f>
        <v/>
      </c>
      <c r="CM80" s="108" t="str">
        <f t="shared" ref="CM80:CM143" si="49">IF(AND(CJ80&gt;=BH80,CJ80&lt;=BI80),SUM($AT80,$AU80,$AV80,IF($Q80="Y",$BB80,0),$BP80/1000*$BD80,CJ80*$BG80,IF(CJ80&gt;30,(CJ80-30)*$BK80,0),IF(CJ80&gt;75,(CJ80-75)*$BL80,0),IF(CJ80&lt;35,$BM80,0),$AX80),"")</f>
        <v/>
      </c>
      <c r="CN80" s="108" t="str">
        <f t="shared" ref="CN80:CN143" si="50">IF(AND(CJ80&gt;=BH80,CJ80&lt;=BI80),SUM($AT80,$AU80,$AV80,IF($Q80="Y",$BB80,0),$BP80/1000*$BD80,CJ80*$BG80,IF(CJ80&gt;30,(CJ80-30)*$BK80,0),IF(CJ80&gt;75,(CJ80-75)*$BL80,0),IF(CJ80&lt;35,$BM80,0),$AX80,$AY80),"")</f>
        <v/>
      </c>
      <c r="CO80" s="108" t="str">
        <f t="shared" ref="CO80:CO143" si="51">IF(AND(CJ80&gt;=BH80,CJ80&lt;=BI80),SUM($AT80,$AU80,$AV80,IF($Q80="Y",$BB80,0),$BP80/1000*$BD80,CJ80*$BG80,IF(CJ80&gt;30,(CJ80-30)*$BK80,0),IF(CJ80&gt;75,(CJ80-75)*$BL80,0),IF(CJ80&lt;35,$BM80,0),$AX80,$AY80),"")</f>
        <v/>
      </c>
    </row>
    <row r="81" spans="1:93">
      <c r="A81" s="103" t="s">
        <v>310</v>
      </c>
      <c r="B81" s="103" t="s">
        <v>174</v>
      </c>
      <c r="C81" s="103" t="s">
        <v>274</v>
      </c>
      <c r="D81" s="250" t="s">
        <v>153</v>
      </c>
      <c r="E81" s="250"/>
      <c r="F81" s="182">
        <v>8440</v>
      </c>
      <c r="G81" s="250" t="s">
        <v>175</v>
      </c>
      <c r="H81" s="250">
        <v>32</v>
      </c>
      <c r="I81" s="250"/>
      <c r="J81" s="250"/>
      <c r="K81" s="250"/>
      <c r="L81" s="250" t="s">
        <v>61</v>
      </c>
      <c r="M81" s="250">
        <v>32</v>
      </c>
      <c r="N81" s="250"/>
      <c r="O81" s="250"/>
      <c r="P81" s="250" t="s">
        <v>153</v>
      </c>
      <c r="Q81" s="250"/>
      <c r="R81" s="250"/>
      <c r="S81" s="250"/>
      <c r="T81" s="250" t="s">
        <v>155</v>
      </c>
      <c r="U81" s="103" t="s">
        <v>311</v>
      </c>
      <c r="V81" s="106" t="s">
        <v>157</v>
      </c>
      <c r="W81" s="103" t="s">
        <v>158</v>
      </c>
      <c r="X81" s="103">
        <f>IFERROR(MATCH(W81,'CostModel Coef'!$C$9:$C$12,0),0)</f>
        <v>0</v>
      </c>
      <c r="Y81" s="103"/>
      <c r="Z81" s="103" t="str">
        <f>IF($X81&gt;0,INDEX('CostModel Coef'!D$9:D$12,$X81),"")</f>
        <v/>
      </c>
      <c r="AA81" s="103" t="str">
        <f>IF($X81&gt;0,INDEX('CostModel Coef'!E$9:E$12,$X81),"")</f>
        <v/>
      </c>
      <c r="AB81" s="103" t="str">
        <f>IF($X81&gt;0,INDEX('CostModel Coef'!F$9:F$12,$X81),"")</f>
        <v/>
      </c>
      <c r="AC81" s="103" t="str">
        <f>IF($X81&gt;0,INDEX('CostModel Coef'!G$9:G$12,$X81),"")</f>
        <v/>
      </c>
      <c r="AD81" s="103" t="str">
        <f>IF($X81&gt;0,INDEX('CostModel Coef'!H$9:H$12,$X81),"")</f>
        <v/>
      </c>
      <c r="AE81" s="103" t="str">
        <f>IF($X81&gt;0,INDEX('CostModel Coef'!J$9:J$12,$X81),"")</f>
        <v/>
      </c>
      <c r="AF81" s="103" t="str">
        <f>IF($X81&gt;0,INDEX('CostModel Coef'!K$9:K$12,$X81),"")</f>
        <v/>
      </c>
      <c r="AG81" s="103" t="str">
        <f>IF($X81&gt;0,INDEX('CostModel Coef'!L$9:L$12,$X81),"")</f>
        <v/>
      </c>
      <c r="AH81" s="103" t="str">
        <f>IF($X81&gt;0,INDEX('CostModel Coef'!M$9:M$12,$X81),"")</f>
        <v/>
      </c>
      <c r="AI81" s="103" t="str">
        <f>IF($X81&gt;0,INDEX('CostModel Coef'!N$9:N$12,$X81),"")</f>
        <v/>
      </c>
      <c r="AJ81" s="103" t="str">
        <f>IF($X81&gt;0,INDEX('CostModel Coef'!Q$9:Q$12,$X81),"")</f>
        <v/>
      </c>
      <c r="AK81" s="103" t="str">
        <f>IF($X81&gt;0,INDEX('CostModel Coef'!T$9:T$12,$X81),"")</f>
        <v/>
      </c>
      <c r="AL81" s="103"/>
      <c r="AM81" s="108" t="str">
        <f t="shared" si="27"/>
        <v/>
      </c>
      <c r="AN81" s="108" t="str">
        <f t="shared" si="28"/>
        <v/>
      </c>
      <c r="AO81" s="108" t="str">
        <f t="shared" si="29"/>
        <v/>
      </c>
      <c r="AP81" s="108" t="str">
        <f t="shared" si="30"/>
        <v/>
      </c>
      <c r="AQ81" s="108" t="str">
        <f t="shared" si="31"/>
        <v/>
      </c>
      <c r="AR81" s="108"/>
      <c r="AS81" s="108"/>
      <c r="AT81" s="103" t="str">
        <f>IF($X81&gt;0,INDEX('CostModel Coef'!D$13:D$16,$X81),"")</f>
        <v/>
      </c>
      <c r="AU81" s="103" t="str">
        <f>IF($X81&gt;0,INDEX('CostModel Coef'!E$13:E$16,$X81),"")</f>
        <v/>
      </c>
      <c r="AV81" s="103" t="str">
        <f>IF($X81&gt;0,INDEX('CostModel Coef'!F$13:F$16,$X81),"")</f>
        <v/>
      </c>
      <c r="AW81" s="103" t="str">
        <f>IF($X81&gt;0,INDEX('CostModel Coef'!G$13:G$16,$X81),"")</f>
        <v/>
      </c>
      <c r="AX81" s="103" t="str">
        <f>IF($X81&gt;0,INDEX('CostModel Coef'!H$13:H$16,$X81),"")</f>
        <v/>
      </c>
      <c r="AY81" s="103" t="str">
        <f>IF($X81&gt;0,INDEX('CostModel Coef'!I$13:I$16,$X81),"")</f>
        <v/>
      </c>
      <c r="AZ81" s="103" t="str">
        <f>IF($X81&gt;0,INDEX('CostModel Coef'!J$13:J$16,$X81),"")</f>
        <v/>
      </c>
      <c r="BA81" s="103" t="str">
        <f>IF($X81&gt;0,INDEX('CostModel Coef'!K$13:K$16,$X81),"")</f>
        <v/>
      </c>
      <c r="BB81" s="103" t="str">
        <f>IF($X81&gt;0,INDEX('CostModel Coef'!L$13:L$16,$X81),"")</f>
        <v/>
      </c>
      <c r="BC81" s="103" t="str">
        <f>IF($X81&gt;0,INDEX('CostModel Coef'!M$13:M$16,$X81),"")</f>
        <v/>
      </c>
      <c r="BD81" s="103" t="str">
        <f>IF($X81&gt;0,INDEX('CostModel Coef'!N$13:N$16,$X81),"")</f>
        <v/>
      </c>
      <c r="BE81" s="103" t="str">
        <f>IF($X81&gt;0,INDEX('CostModel Coef'!O$13:O$16,$X81),"")</f>
        <v/>
      </c>
      <c r="BF81" s="103" t="str">
        <f>IF($X81&gt;0,INDEX('CostModel Coef'!P$13:P$16,$X81),"")</f>
        <v/>
      </c>
      <c r="BG81" s="103" t="str">
        <f>IF($X81&gt;0,INDEX('CostModel Coef'!Q$13:Q$16,$X81),"")</f>
        <v/>
      </c>
      <c r="BH81" s="103" t="str">
        <f>IF($X81&gt;0,INDEX('CostModel Coef'!R$13:R$16,$X81),"")</f>
        <v/>
      </c>
      <c r="BI81" s="103" t="str">
        <f>IF($X81&gt;0,INDEX('CostModel Coef'!S$13:S$16,$X81),"")</f>
        <v/>
      </c>
      <c r="BJ81" s="103" t="str">
        <f>IF($X81&gt;0,INDEX('CostModel Coef'!T$13:T$16,$X81),"")</f>
        <v/>
      </c>
      <c r="BK81" s="103" t="str">
        <f>IF($X81&gt;0,INDEX('CostModel Coef'!U$13:U$16,$X81),"")</f>
        <v/>
      </c>
      <c r="BL81" s="103" t="str">
        <f>IF($X81&gt;0,INDEX('CostModel Coef'!V$13:V$16,$X81),"")</f>
        <v/>
      </c>
      <c r="BM81" s="103" t="str">
        <f>IF($X81&gt;0,INDEX('CostModel Coef'!W$13:W$16,$X81),"")</f>
        <v/>
      </c>
      <c r="BN81" s="103" t="str">
        <f>IF($X81&gt;0,INDEX('CostModel Coef'!X$13:X$16,$X81),"")</f>
        <v/>
      </c>
      <c r="BO81" s="103"/>
      <c r="BP81" s="119">
        <v>2000</v>
      </c>
      <c r="BQ81" s="103"/>
      <c r="BR81" s="103"/>
      <c r="BS81" s="119" t="str">
        <f t="shared" si="34"/>
        <v/>
      </c>
      <c r="BT81" s="174">
        <f t="shared" si="26"/>
        <v>-1</v>
      </c>
      <c r="BU81" s="113" t="str">
        <f t="shared" si="36"/>
        <v>OOS</v>
      </c>
      <c r="BV81" s="108" t="str">
        <f t="shared" si="37"/>
        <v>OOS</v>
      </c>
      <c r="BW81" s="108" t="str">
        <f t="shared" si="38"/>
        <v>OOS</v>
      </c>
      <c r="BX81" s="108" t="str">
        <f t="shared" si="39"/>
        <v>OOS</v>
      </c>
      <c r="BY81" s="108" t="str">
        <f t="shared" si="40"/>
        <v>OOS</v>
      </c>
      <c r="BZ81" s="108"/>
      <c r="CA81" s="119" t="str">
        <f t="shared" si="41"/>
        <v/>
      </c>
      <c r="CB81" s="174">
        <f t="shared" si="32"/>
        <v>-1</v>
      </c>
      <c r="CC81" s="113" t="str">
        <f t="shared" si="42"/>
        <v/>
      </c>
      <c r="CD81" s="108" t="str">
        <f t="shared" si="43"/>
        <v/>
      </c>
      <c r="CE81" s="108" t="str">
        <f t="shared" si="44"/>
        <v/>
      </c>
      <c r="CF81" s="108" t="str">
        <f t="shared" si="45"/>
        <v/>
      </c>
      <c r="CG81" s="108" t="str">
        <f t="shared" si="46"/>
        <v/>
      </c>
      <c r="CH81" s="103"/>
      <c r="CI81" s="119" t="str">
        <f t="shared" si="35"/>
        <v/>
      </c>
      <c r="CJ81" s="174">
        <f t="shared" si="33"/>
        <v>-1</v>
      </c>
      <c r="CK81" s="113" t="str">
        <f t="shared" si="47"/>
        <v/>
      </c>
      <c r="CL81" s="108" t="str">
        <f t="shared" si="48"/>
        <v/>
      </c>
      <c r="CM81" s="108" t="str">
        <f t="shared" si="49"/>
        <v/>
      </c>
      <c r="CN81" s="108" t="str">
        <f t="shared" si="50"/>
        <v/>
      </c>
      <c r="CO81" s="108" t="str">
        <f t="shared" si="51"/>
        <v/>
      </c>
    </row>
    <row r="82" spans="1:93">
      <c r="A82" s="103" t="s">
        <v>312</v>
      </c>
      <c r="B82" s="103" t="s">
        <v>174</v>
      </c>
      <c r="C82" s="103" t="s">
        <v>274</v>
      </c>
      <c r="D82" s="250" t="s">
        <v>153</v>
      </c>
      <c r="E82" s="250"/>
      <c r="F82" s="182">
        <v>8440</v>
      </c>
      <c r="G82" s="250" t="s">
        <v>175</v>
      </c>
      <c r="H82" s="250">
        <v>40</v>
      </c>
      <c r="I82" s="250"/>
      <c r="J82" s="250"/>
      <c r="K82" s="250"/>
      <c r="L82" s="250" t="s">
        <v>61</v>
      </c>
      <c r="M82" s="250">
        <v>40</v>
      </c>
      <c r="N82" s="250"/>
      <c r="O82" s="250"/>
      <c r="P82" s="250" t="s">
        <v>153</v>
      </c>
      <c r="Q82" s="250"/>
      <c r="R82" s="250"/>
      <c r="S82" s="250"/>
      <c r="T82" s="250" t="s">
        <v>155</v>
      </c>
      <c r="U82" s="103" t="s">
        <v>313</v>
      </c>
      <c r="V82" s="106" t="s">
        <v>157</v>
      </c>
      <c r="W82" s="103" t="s">
        <v>158</v>
      </c>
      <c r="X82" s="103">
        <f>IFERROR(MATCH(W82,'CostModel Coef'!$C$9:$C$12,0),0)</f>
        <v>0</v>
      </c>
      <c r="Y82" s="103"/>
      <c r="Z82" s="103" t="str">
        <f>IF($X82&gt;0,INDEX('CostModel Coef'!D$9:D$12,$X82),"")</f>
        <v/>
      </c>
      <c r="AA82" s="103" t="str">
        <f>IF($X82&gt;0,INDEX('CostModel Coef'!E$9:E$12,$X82),"")</f>
        <v/>
      </c>
      <c r="AB82" s="103" t="str">
        <f>IF($X82&gt;0,INDEX('CostModel Coef'!F$9:F$12,$X82),"")</f>
        <v/>
      </c>
      <c r="AC82" s="103" t="str">
        <f>IF($X82&gt;0,INDEX('CostModel Coef'!G$9:G$12,$X82),"")</f>
        <v/>
      </c>
      <c r="AD82" s="103" t="str">
        <f>IF($X82&gt;0,INDEX('CostModel Coef'!H$9:H$12,$X82),"")</f>
        <v/>
      </c>
      <c r="AE82" s="103" t="str">
        <f>IF($X82&gt;0,INDEX('CostModel Coef'!J$9:J$12,$X82),"")</f>
        <v/>
      </c>
      <c r="AF82" s="103" t="str">
        <f>IF($X82&gt;0,INDEX('CostModel Coef'!K$9:K$12,$X82),"")</f>
        <v/>
      </c>
      <c r="AG82" s="103" t="str">
        <f>IF($X82&gt;0,INDEX('CostModel Coef'!L$9:L$12,$X82),"")</f>
        <v/>
      </c>
      <c r="AH82" s="103" t="str">
        <f>IF($X82&gt;0,INDEX('CostModel Coef'!M$9:M$12,$X82),"")</f>
        <v/>
      </c>
      <c r="AI82" s="103" t="str">
        <f>IF($X82&gt;0,INDEX('CostModel Coef'!N$9:N$12,$X82),"")</f>
        <v/>
      </c>
      <c r="AJ82" s="103" t="str">
        <f>IF($X82&gt;0,INDEX('CostModel Coef'!Q$9:Q$12,$X82),"")</f>
        <v/>
      </c>
      <c r="AK82" s="103" t="str">
        <f>IF($X82&gt;0,INDEX('CostModel Coef'!T$9:T$12,$X82),"")</f>
        <v/>
      </c>
      <c r="AL82" s="103"/>
      <c r="AM82" s="108" t="str">
        <f t="shared" si="27"/>
        <v/>
      </c>
      <c r="AN82" s="108" t="str">
        <f t="shared" si="28"/>
        <v/>
      </c>
      <c r="AO82" s="108" t="str">
        <f t="shared" si="29"/>
        <v/>
      </c>
      <c r="AP82" s="108" t="str">
        <f t="shared" si="30"/>
        <v/>
      </c>
      <c r="AQ82" s="108" t="str">
        <f t="shared" si="31"/>
        <v/>
      </c>
      <c r="AR82" s="108"/>
      <c r="AS82" s="108"/>
      <c r="AT82" s="103" t="str">
        <f>IF($X82&gt;0,INDEX('CostModel Coef'!D$13:D$16,$X82),"")</f>
        <v/>
      </c>
      <c r="AU82" s="103" t="str">
        <f>IF($X82&gt;0,INDEX('CostModel Coef'!E$13:E$16,$X82),"")</f>
        <v/>
      </c>
      <c r="AV82" s="103" t="str">
        <f>IF($X82&gt;0,INDEX('CostModel Coef'!F$13:F$16,$X82),"")</f>
        <v/>
      </c>
      <c r="AW82" s="103" t="str">
        <f>IF($X82&gt;0,INDEX('CostModel Coef'!G$13:G$16,$X82),"")</f>
        <v/>
      </c>
      <c r="AX82" s="103" t="str">
        <f>IF($X82&gt;0,INDEX('CostModel Coef'!H$13:H$16,$X82),"")</f>
        <v/>
      </c>
      <c r="AY82" s="103" t="str">
        <f>IF($X82&gt;0,INDEX('CostModel Coef'!I$13:I$16,$X82),"")</f>
        <v/>
      </c>
      <c r="AZ82" s="103" t="str">
        <f>IF($X82&gt;0,INDEX('CostModel Coef'!J$13:J$16,$X82),"")</f>
        <v/>
      </c>
      <c r="BA82" s="103" t="str">
        <f>IF($X82&gt;0,INDEX('CostModel Coef'!K$13:K$16,$X82),"")</f>
        <v/>
      </c>
      <c r="BB82" s="103" t="str">
        <f>IF($X82&gt;0,INDEX('CostModel Coef'!L$13:L$16,$X82),"")</f>
        <v/>
      </c>
      <c r="BC82" s="103" t="str">
        <f>IF($X82&gt;0,INDEX('CostModel Coef'!M$13:M$16,$X82),"")</f>
        <v/>
      </c>
      <c r="BD82" s="103" t="str">
        <f>IF($X82&gt;0,INDEX('CostModel Coef'!N$13:N$16,$X82),"")</f>
        <v/>
      </c>
      <c r="BE82" s="103" t="str">
        <f>IF($X82&gt;0,INDEX('CostModel Coef'!O$13:O$16,$X82),"")</f>
        <v/>
      </c>
      <c r="BF82" s="103" t="str">
        <f>IF($X82&gt;0,INDEX('CostModel Coef'!P$13:P$16,$X82),"")</f>
        <v/>
      </c>
      <c r="BG82" s="103" t="str">
        <f>IF($X82&gt;0,INDEX('CostModel Coef'!Q$13:Q$16,$X82),"")</f>
        <v/>
      </c>
      <c r="BH82" s="103" t="str">
        <f>IF($X82&gt;0,INDEX('CostModel Coef'!R$13:R$16,$X82),"")</f>
        <v/>
      </c>
      <c r="BI82" s="103" t="str">
        <f>IF($X82&gt;0,INDEX('CostModel Coef'!S$13:S$16,$X82),"")</f>
        <v/>
      </c>
      <c r="BJ82" s="103" t="str">
        <f>IF($X82&gt;0,INDEX('CostModel Coef'!T$13:T$16,$X82),"")</f>
        <v/>
      </c>
      <c r="BK82" s="103" t="str">
        <f>IF($X82&gt;0,INDEX('CostModel Coef'!U$13:U$16,$X82),"")</f>
        <v/>
      </c>
      <c r="BL82" s="103" t="str">
        <f>IF($X82&gt;0,INDEX('CostModel Coef'!V$13:V$16,$X82),"")</f>
        <v/>
      </c>
      <c r="BM82" s="103" t="str">
        <f>IF($X82&gt;0,INDEX('CostModel Coef'!W$13:W$16,$X82),"")</f>
        <v/>
      </c>
      <c r="BN82" s="103" t="str">
        <f>IF($X82&gt;0,INDEX('CostModel Coef'!X$13:X$16,$X82),"")</f>
        <v/>
      </c>
      <c r="BO82" s="103"/>
      <c r="BP82" s="119">
        <v>2000</v>
      </c>
      <c r="BQ82" s="103"/>
      <c r="BR82" s="103"/>
      <c r="BS82" s="119" t="str">
        <f t="shared" si="34"/>
        <v/>
      </c>
      <c r="BT82" s="174">
        <f t="shared" si="26"/>
        <v>-1</v>
      </c>
      <c r="BU82" s="113" t="str">
        <f t="shared" si="36"/>
        <v>OOS</v>
      </c>
      <c r="BV82" s="108" t="str">
        <f t="shared" si="37"/>
        <v>OOS</v>
      </c>
      <c r="BW82" s="108" t="str">
        <f t="shared" si="38"/>
        <v>OOS</v>
      </c>
      <c r="BX82" s="108" t="str">
        <f t="shared" si="39"/>
        <v>OOS</v>
      </c>
      <c r="BY82" s="108" t="str">
        <f t="shared" si="40"/>
        <v>OOS</v>
      </c>
      <c r="BZ82" s="108"/>
      <c r="CA82" s="119" t="str">
        <f t="shared" si="41"/>
        <v/>
      </c>
      <c r="CB82" s="174">
        <f t="shared" si="32"/>
        <v>-1</v>
      </c>
      <c r="CC82" s="113" t="str">
        <f t="shared" si="42"/>
        <v/>
      </c>
      <c r="CD82" s="108" t="str">
        <f t="shared" si="43"/>
        <v/>
      </c>
      <c r="CE82" s="108" t="str">
        <f t="shared" si="44"/>
        <v/>
      </c>
      <c r="CF82" s="108" t="str">
        <f t="shared" si="45"/>
        <v/>
      </c>
      <c r="CG82" s="108" t="str">
        <f t="shared" si="46"/>
        <v/>
      </c>
      <c r="CH82" s="103"/>
      <c r="CI82" s="119" t="str">
        <f t="shared" si="35"/>
        <v/>
      </c>
      <c r="CJ82" s="174">
        <f t="shared" si="33"/>
        <v>-1</v>
      </c>
      <c r="CK82" s="113" t="str">
        <f t="shared" si="47"/>
        <v/>
      </c>
      <c r="CL82" s="108" t="str">
        <f t="shared" si="48"/>
        <v/>
      </c>
      <c r="CM82" s="108" t="str">
        <f t="shared" si="49"/>
        <v/>
      </c>
      <c r="CN82" s="108" t="str">
        <f t="shared" si="50"/>
        <v/>
      </c>
      <c r="CO82" s="108" t="str">
        <f t="shared" si="51"/>
        <v/>
      </c>
    </row>
    <row r="83" spans="1:93">
      <c r="A83" s="103" t="s">
        <v>314</v>
      </c>
      <c r="B83" s="103" t="s">
        <v>174</v>
      </c>
      <c r="C83" s="103" t="s">
        <v>274</v>
      </c>
      <c r="D83" s="250" t="s">
        <v>153</v>
      </c>
      <c r="E83" s="250"/>
      <c r="F83" s="182">
        <v>8440</v>
      </c>
      <c r="G83" s="250" t="s">
        <v>175</v>
      </c>
      <c r="H83" s="250">
        <v>42</v>
      </c>
      <c r="I83" s="250"/>
      <c r="J83" s="250"/>
      <c r="K83" s="250"/>
      <c r="L83" s="250" t="s">
        <v>61</v>
      </c>
      <c r="M83" s="250">
        <v>42</v>
      </c>
      <c r="N83" s="250"/>
      <c r="O83" s="250"/>
      <c r="P83" s="250" t="s">
        <v>153</v>
      </c>
      <c r="Q83" s="250"/>
      <c r="R83" s="250"/>
      <c r="S83" s="250"/>
      <c r="T83" s="250" t="s">
        <v>155</v>
      </c>
      <c r="U83" s="103" t="s">
        <v>315</v>
      </c>
      <c r="V83" s="106" t="s">
        <v>157</v>
      </c>
      <c r="W83" s="103" t="s">
        <v>158</v>
      </c>
      <c r="X83" s="103">
        <f>IFERROR(MATCH(W83,'CostModel Coef'!$C$9:$C$12,0),0)</f>
        <v>0</v>
      </c>
      <c r="Y83" s="103"/>
      <c r="Z83" s="103" t="str">
        <f>IF($X83&gt;0,INDEX('CostModel Coef'!D$9:D$12,$X83),"")</f>
        <v/>
      </c>
      <c r="AA83" s="103" t="str">
        <f>IF($X83&gt;0,INDEX('CostModel Coef'!E$9:E$12,$X83),"")</f>
        <v/>
      </c>
      <c r="AB83" s="103" t="str">
        <f>IF($X83&gt;0,INDEX('CostModel Coef'!F$9:F$12,$X83),"")</f>
        <v/>
      </c>
      <c r="AC83" s="103" t="str">
        <f>IF($X83&gt;0,INDEX('CostModel Coef'!G$9:G$12,$X83),"")</f>
        <v/>
      </c>
      <c r="AD83" s="103" t="str">
        <f>IF($X83&gt;0,INDEX('CostModel Coef'!H$9:H$12,$X83),"")</f>
        <v/>
      </c>
      <c r="AE83" s="103" t="str">
        <f>IF($X83&gt;0,INDEX('CostModel Coef'!J$9:J$12,$X83),"")</f>
        <v/>
      </c>
      <c r="AF83" s="103" t="str">
        <f>IF($X83&gt;0,INDEX('CostModel Coef'!K$9:K$12,$X83),"")</f>
        <v/>
      </c>
      <c r="AG83" s="103" t="str">
        <f>IF($X83&gt;0,INDEX('CostModel Coef'!L$9:L$12,$X83),"")</f>
        <v/>
      </c>
      <c r="AH83" s="103" t="str">
        <f>IF($X83&gt;0,INDEX('CostModel Coef'!M$9:M$12,$X83),"")</f>
        <v/>
      </c>
      <c r="AI83" s="103" t="str">
        <f>IF($X83&gt;0,INDEX('CostModel Coef'!N$9:N$12,$X83),"")</f>
        <v/>
      </c>
      <c r="AJ83" s="103" t="str">
        <f>IF($X83&gt;0,INDEX('CostModel Coef'!Q$9:Q$12,$X83),"")</f>
        <v/>
      </c>
      <c r="AK83" s="103" t="str">
        <f>IF($X83&gt;0,INDEX('CostModel Coef'!T$9:T$12,$X83),"")</f>
        <v/>
      </c>
      <c r="AL83" s="103"/>
      <c r="AM83" s="108" t="str">
        <f t="shared" si="27"/>
        <v/>
      </c>
      <c r="AN83" s="108" t="str">
        <f t="shared" si="28"/>
        <v/>
      </c>
      <c r="AO83" s="108" t="str">
        <f t="shared" si="29"/>
        <v/>
      </c>
      <c r="AP83" s="108" t="str">
        <f t="shared" si="30"/>
        <v/>
      </c>
      <c r="AQ83" s="108" t="str">
        <f t="shared" si="31"/>
        <v/>
      </c>
      <c r="AR83" s="108"/>
      <c r="AS83" s="108"/>
      <c r="AT83" s="103" t="str">
        <f>IF($X83&gt;0,INDEX('CostModel Coef'!D$13:D$16,$X83),"")</f>
        <v/>
      </c>
      <c r="AU83" s="103" t="str">
        <f>IF($X83&gt;0,INDEX('CostModel Coef'!E$13:E$16,$X83),"")</f>
        <v/>
      </c>
      <c r="AV83" s="103" t="str">
        <f>IF($X83&gt;0,INDEX('CostModel Coef'!F$13:F$16,$X83),"")</f>
        <v/>
      </c>
      <c r="AW83" s="103" t="str">
        <f>IF($X83&gt;0,INDEX('CostModel Coef'!G$13:G$16,$X83),"")</f>
        <v/>
      </c>
      <c r="AX83" s="103" t="str">
        <f>IF($X83&gt;0,INDEX('CostModel Coef'!H$13:H$16,$X83),"")</f>
        <v/>
      </c>
      <c r="AY83" s="103" t="str">
        <f>IF($X83&gt;0,INDEX('CostModel Coef'!I$13:I$16,$X83),"")</f>
        <v/>
      </c>
      <c r="AZ83" s="103" t="str">
        <f>IF($X83&gt;0,INDEX('CostModel Coef'!J$13:J$16,$X83),"")</f>
        <v/>
      </c>
      <c r="BA83" s="103" t="str">
        <f>IF($X83&gt;0,INDEX('CostModel Coef'!K$13:K$16,$X83),"")</f>
        <v/>
      </c>
      <c r="BB83" s="103" t="str">
        <f>IF($X83&gt;0,INDEX('CostModel Coef'!L$13:L$16,$X83),"")</f>
        <v/>
      </c>
      <c r="BC83" s="103" t="str">
        <f>IF($X83&gt;0,INDEX('CostModel Coef'!M$13:M$16,$X83),"")</f>
        <v/>
      </c>
      <c r="BD83" s="103" t="str">
        <f>IF($X83&gt;0,INDEX('CostModel Coef'!N$13:N$16,$X83),"")</f>
        <v/>
      </c>
      <c r="BE83" s="103" t="str">
        <f>IF($X83&gt;0,INDEX('CostModel Coef'!O$13:O$16,$X83),"")</f>
        <v/>
      </c>
      <c r="BF83" s="103" t="str">
        <f>IF($X83&gt;0,INDEX('CostModel Coef'!P$13:P$16,$X83),"")</f>
        <v/>
      </c>
      <c r="BG83" s="103" t="str">
        <f>IF($X83&gt;0,INDEX('CostModel Coef'!Q$13:Q$16,$X83),"")</f>
        <v/>
      </c>
      <c r="BH83" s="103" t="str">
        <f>IF($X83&gt;0,INDEX('CostModel Coef'!R$13:R$16,$X83),"")</f>
        <v/>
      </c>
      <c r="BI83" s="103" t="str">
        <f>IF($X83&gt;0,INDEX('CostModel Coef'!S$13:S$16,$X83),"")</f>
        <v/>
      </c>
      <c r="BJ83" s="103" t="str">
        <f>IF($X83&gt;0,INDEX('CostModel Coef'!T$13:T$16,$X83),"")</f>
        <v/>
      </c>
      <c r="BK83" s="103" t="str">
        <f>IF($X83&gt;0,INDEX('CostModel Coef'!U$13:U$16,$X83),"")</f>
        <v/>
      </c>
      <c r="BL83" s="103" t="str">
        <f>IF($X83&gt;0,INDEX('CostModel Coef'!V$13:V$16,$X83),"")</f>
        <v/>
      </c>
      <c r="BM83" s="103" t="str">
        <f>IF($X83&gt;0,INDEX('CostModel Coef'!W$13:W$16,$X83),"")</f>
        <v/>
      </c>
      <c r="BN83" s="103" t="str">
        <f>IF($X83&gt;0,INDEX('CostModel Coef'!X$13:X$16,$X83),"")</f>
        <v/>
      </c>
      <c r="BO83" s="103"/>
      <c r="BP83" s="119">
        <v>2000</v>
      </c>
      <c r="BQ83" s="103"/>
      <c r="BR83" s="103"/>
      <c r="BS83" s="119" t="str">
        <f t="shared" si="34"/>
        <v/>
      </c>
      <c r="BT83" s="174">
        <f t="shared" si="26"/>
        <v>-1</v>
      </c>
      <c r="BU83" s="113" t="str">
        <f t="shared" si="36"/>
        <v>OOS</v>
      </c>
      <c r="BV83" s="108" t="str">
        <f t="shared" si="37"/>
        <v>OOS</v>
      </c>
      <c r="BW83" s="108" t="str">
        <f t="shared" si="38"/>
        <v>OOS</v>
      </c>
      <c r="BX83" s="108" t="str">
        <f t="shared" si="39"/>
        <v>OOS</v>
      </c>
      <c r="BY83" s="108" t="str">
        <f t="shared" si="40"/>
        <v>OOS</v>
      </c>
      <c r="BZ83" s="108"/>
      <c r="CA83" s="119" t="str">
        <f t="shared" si="41"/>
        <v/>
      </c>
      <c r="CB83" s="174">
        <f t="shared" si="32"/>
        <v>-1</v>
      </c>
      <c r="CC83" s="113" t="str">
        <f t="shared" si="42"/>
        <v/>
      </c>
      <c r="CD83" s="108" t="str">
        <f t="shared" si="43"/>
        <v/>
      </c>
      <c r="CE83" s="108" t="str">
        <f t="shared" si="44"/>
        <v/>
      </c>
      <c r="CF83" s="108" t="str">
        <f t="shared" si="45"/>
        <v/>
      </c>
      <c r="CG83" s="108" t="str">
        <f t="shared" si="46"/>
        <v/>
      </c>
      <c r="CH83" s="103"/>
      <c r="CI83" s="119" t="str">
        <f t="shared" si="35"/>
        <v/>
      </c>
      <c r="CJ83" s="174">
        <f t="shared" si="33"/>
        <v>-1</v>
      </c>
      <c r="CK83" s="113" t="str">
        <f t="shared" si="47"/>
        <v/>
      </c>
      <c r="CL83" s="108" t="str">
        <f t="shared" si="48"/>
        <v/>
      </c>
      <c r="CM83" s="108" t="str">
        <f t="shared" si="49"/>
        <v/>
      </c>
      <c r="CN83" s="108" t="str">
        <f t="shared" si="50"/>
        <v/>
      </c>
      <c r="CO83" s="108" t="str">
        <f t="shared" si="51"/>
        <v/>
      </c>
    </row>
    <row r="84" spans="1:93">
      <c r="A84" s="103" t="s">
        <v>316</v>
      </c>
      <c r="B84" s="103" t="s">
        <v>174</v>
      </c>
      <c r="C84" s="103" t="s">
        <v>274</v>
      </c>
      <c r="D84" s="250" t="s">
        <v>153</v>
      </c>
      <c r="E84" s="250"/>
      <c r="F84" s="182">
        <v>8440</v>
      </c>
      <c r="G84" s="250" t="s">
        <v>175</v>
      </c>
      <c r="H84" s="250">
        <v>45</v>
      </c>
      <c r="I84" s="250"/>
      <c r="J84" s="250"/>
      <c r="K84" s="250"/>
      <c r="L84" s="250" t="s">
        <v>61</v>
      </c>
      <c r="M84" s="250">
        <v>45</v>
      </c>
      <c r="N84" s="250"/>
      <c r="O84" s="250"/>
      <c r="P84" s="250" t="s">
        <v>153</v>
      </c>
      <c r="Q84" s="250"/>
      <c r="R84" s="250"/>
      <c r="S84" s="250"/>
      <c r="T84" s="250" t="s">
        <v>155</v>
      </c>
      <c r="U84" s="103" t="s">
        <v>317</v>
      </c>
      <c r="V84" s="106" t="s">
        <v>157</v>
      </c>
      <c r="W84" s="103" t="s">
        <v>158</v>
      </c>
      <c r="X84" s="103">
        <f>IFERROR(MATCH(W84,'CostModel Coef'!$C$9:$C$12,0),0)</f>
        <v>0</v>
      </c>
      <c r="Y84" s="103"/>
      <c r="Z84" s="103" t="str">
        <f>IF($X84&gt;0,INDEX('CostModel Coef'!D$9:D$12,$X84),"")</f>
        <v/>
      </c>
      <c r="AA84" s="103" t="str">
        <f>IF($X84&gt;0,INDEX('CostModel Coef'!E$9:E$12,$X84),"")</f>
        <v/>
      </c>
      <c r="AB84" s="103" t="str">
        <f>IF($X84&gt;0,INDEX('CostModel Coef'!F$9:F$12,$X84),"")</f>
        <v/>
      </c>
      <c r="AC84" s="103" t="str">
        <f>IF($X84&gt;0,INDEX('CostModel Coef'!G$9:G$12,$X84),"")</f>
        <v/>
      </c>
      <c r="AD84" s="103" t="str">
        <f>IF($X84&gt;0,INDEX('CostModel Coef'!H$9:H$12,$X84),"")</f>
        <v/>
      </c>
      <c r="AE84" s="103" t="str">
        <f>IF($X84&gt;0,INDEX('CostModel Coef'!J$9:J$12,$X84),"")</f>
        <v/>
      </c>
      <c r="AF84" s="103" t="str">
        <f>IF($X84&gt;0,INDEX('CostModel Coef'!K$9:K$12,$X84),"")</f>
        <v/>
      </c>
      <c r="AG84" s="103" t="str">
        <f>IF($X84&gt;0,INDEX('CostModel Coef'!L$9:L$12,$X84),"")</f>
        <v/>
      </c>
      <c r="AH84" s="103" t="str">
        <f>IF($X84&gt;0,INDEX('CostModel Coef'!M$9:M$12,$X84),"")</f>
        <v/>
      </c>
      <c r="AI84" s="103" t="str">
        <f>IF($X84&gt;0,INDEX('CostModel Coef'!N$9:N$12,$X84),"")</f>
        <v/>
      </c>
      <c r="AJ84" s="103" t="str">
        <f>IF($X84&gt;0,INDEX('CostModel Coef'!Q$9:Q$12,$X84),"")</f>
        <v/>
      </c>
      <c r="AK84" s="103" t="str">
        <f>IF($X84&gt;0,INDEX('CostModel Coef'!T$9:T$12,$X84),"")</f>
        <v/>
      </c>
      <c r="AL84" s="103"/>
      <c r="AM84" s="108" t="str">
        <f t="shared" si="27"/>
        <v/>
      </c>
      <c r="AN84" s="108" t="str">
        <f t="shared" si="28"/>
        <v/>
      </c>
      <c r="AO84" s="108" t="str">
        <f t="shared" si="29"/>
        <v/>
      </c>
      <c r="AP84" s="108" t="str">
        <f t="shared" si="30"/>
        <v/>
      </c>
      <c r="AQ84" s="108" t="str">
        <f t="shared" si="31"/>
        <v/>
      </c>
      <c r="AR84" s="108"/>
      <c r="AS84" s="108"/>
      <c r="AT84" s="103" t="str">
        <f>IF($X84&gt;0,INDEX('CostModel Coef'!D$13:D$16,$X84),"")</f>
        <v/>
      </c>
      <c r="AU84" s="103" t="str">
        <f>IF($X84&gt;0,INDEX('CostModel Coef'!E$13:E$16,$X84),"")</f>
        <v/>
      </c>
      <c r="AV84" s="103" t="str">
        <f>IF($X84&gt;0,INDEX('CostModel Coef'!F$13:F$16,$X84),"")</f>
        <v/>
      </c>
      <c r="AW84" s="103" t="str">
        <f>IF($X84&gt;0,INDEX('CostModel Coef'!G$13:G$16,$X84),"")</f>
        <v/>
      </c>
      <c r="AX84" s="103" t="str">
        <f>IF($X84&gt;0,INDEX('CostModel Coef'!H$13:H$16,$X84),"")</f>
        <v/>
      </c>
      <c r="AY84" s="103" t="str">
        <f>IF($X84&gt;0,INDEX('CostModel Coef'!I$13:I$16,$X84),"")</f>
        <v/>
      </c>
      <c r="AZ84" s="103" t="str">
        <f>IF($X84&gt;0,INDEX('CostModel Coef'!J$13:J$16,$X84),"")</f>
        <v/>
      </c>
      <c r="BA84" s="103" t="str">
        <f>IF($X84&gt;0,INDEX('CostModel Coef'!K$13:K$16,$X84),"")</f>
        <v/>
      </c>
      <c r="BB84" s="103" t="str">
        <f>IF($X84&gt;0,INDEX('CostModel Coef'!L$13:L$16,$X84),"")</f>
        <v/>
      </c>
      <c r="BC84" s="103" t="str">
        <f>IF($X84&gt;0,INDEX('CostModel Coef'!M$13:M$16,$X84),"")</f>
        <v/>
      </c>
      <c r="BD84" s="103" t="str">
        <f>IF($X84&gt;0,INDEX('CostModel Coef'!N$13:N$16,$X84),"")</f>
        <v/>
      </c>
      <c r="BE84" s="103" t="str">
        <f>IF($X84&gt;0,INDEX('CostModel Coef'!O$13:O$16,$X84),"")</f>
        <v/>
      </c>
      <c r="BF84" s="103" t="str">
        <f>IF($X84&gt;0,INDEX('CostModel Coef'!P$13:P$16,$X84),"")</f>
        <v/>
      </c>
      <c r="BG84" s="103" t="str">
        <f>IF($X84&gt;0,INDEX('CostModel Coef'!Q$13:Q$16,$X84),"")</f>
        <v/>
      </c>
      <c r="BH84" s="103" t="str">
        <f>IF($X84&gt;0,INDEX('CostModel Coef'!R$13:R$16,$X84),"")</f>
        <v/>
      </c>
      <c r="BI84" s="103" t="str">
        <f>IF($X84&gt;0,INDEX('CostModel Coef'!S$13:S$16,$X84),"")</f>
        <v/>
      </c>
      <c r="BJ84" s="103" t="str">
        <f>IF($X84&gt;0,INDEX('CostModel Coef'!T$13:T$16,$X84),"")</f>
        <v/>
      </c>
      <c r="BK84" s="103" t="str">
        <f>IF($X84&gt;0,INDEX('CostModel Coef'!U$13:U$16,$X84),"")</f>
        <v/>
      </c>
      <c r="BL84" s="103" t="str">
        <f>IF($X84&gt;0,INDEX('CostModel Coef'!V$13:V$16,$X84),"")</f>
        <v/>
      </c>
      <c r="BM84" s="103" t="str">
        <f>IF($X84&gt;0,INDEX('CostModel Coef'!W$13:W$16,$X84),"")</f>
        <v/>
      </c>
      <c r="BN84" s="103" t="str">
        <f>IF($X84&gt;0,INDEX('CostModel Coef'!X$13:X$16,$X84),"")</f>
        <v/>
      </c>
      <c r="BO84" s="103"/>
      <c r="BP84" s="119">
        <v>2000</v>
      </c>
      <c r="BQ84" s="103"/>
      <c r="BR84" s="103"/>
      <c r="BS84" s="119" t="str">
        <f t="shared" si="34"/>
        <v/>
      </c>
      <c r="BT84" s="174">
        <f t="shared" si="26"/>
        <v>-1</v>
      </c>
      <c r="BU84" s="113" t="str">
        <f t="shared" si="36"/>
        <v>OOS</v>
      </c>
      <c r="BV84" s="108" t="str">
        <f t="shared" si="37"/>
        <v>OOS</v>
      </c>
      <c r="BW84" s="108" t="str">
        <f t="shared" si="38"/>
        <v>OOS</v>
      </c>
      <c r="BX84" s="108" t="str">
        <f t="shared" si="39"/>
        <v>OOS</v>
      </c>
      <c r="BY84" s="108" t="str">
        <f t="shared" si="40"/>
        <v>OOS</v>
      </c>
      <c r="BZ84" s="108"/>
      <c r="CA84" s="119" t="str">
        <f t="shared" si="41"/>
        <v/>
      </c>
      <c r="CB84" s="174">
        <f t="shared" si="32"/>
        <v>-1</v>
      </c>
      <c r="CC84" s="113" t="str">
        <f t="shared" si="42"/>
        <v/>
      </c>
      <c r="CD84" s="108" t="str">
        <f t="shared" si="43"/>
        <v/>
      </c>
      <c r="CE84" s="108" t="str">
        <f t="shared" si="44"/>
        <v/>
      </c>
      <c r="CF84" s="108" t="str">
        <f t="shared" si="45"/>
        <v/>
      </c>
      <c r="CG84" s="108" t="str">
        <f t="shared" si="46"/>
        <v/>
      </c>
      <c r="CH84" s="103"/>
      <c r="CI84" s="119" t="str">
        <f t="shared" si="35"/>
        <v/>
      </c>
      <c r="CJ84" s="174">
        <f t="shared" si="33"/>
        <v>-1</v>
      </c>
      <c r="CK84" s="113" t="str">
        <f t="shared" si="47"/>
        <v/>
      </c>
      <c r="CL84" s="108" t="str">
        <f t="shared" si="48"/>
        <v/>
      </c>
      <c r="CM84" s="108" t="str">
        <f t="shared" si="49"/>
        <v/>
      </c>
      <c r="CN84" s="108" t="str">
        <f t="shared" si="50"/>
        <v/>
      </c>
      <c r="CO84" s="108" t="str">
        <f t="shared" si="51"/>
        <v/>
      </c>
    </row>
    <row r="85" spans="1:93">
      <c r="A85" s="103" t="s">
        <v>318</v>
      </c>
      <c r="B85" s="103" t="s">
        <v>174</v>
      </c>
      <c r="C85" s="103" t="s">
        <v>274</v>
      </c>
      <c r="D85" s="250" t="s">
        <v>153</v>
      </c>
      <c r="E85" s="250"/>
      <c r="F85" s="182">
        <v>8440</v>
      </c>
      <c r="G85" s="250" t="s">
        <v>175</v>
      </c>
      <c r="H85" s="250">
        <v>55</v>
      </c>
      <c r="I85" s="250"/>
      <c r="J85" s="250"/>
      <c r="K85" s="250"/>
      <c r="L85" s="250" t="s">
        <v>61</v>
      </c>
      <c r="M85" s="250">
        <v>55</v>
      </c>
      <c r="N85" s="250"/>
      <c r="O85" s="250"/>
      <c r="P85" s="250" t="s">
        <v>153</v>
      </c>
      <c r="Q85" s="250"/>
      <c r="R85" s="250"/>
      <c r="S85" s="250"/>
      <c r="T85" s="250" t="s">
        <v>155</v>
      </c>
      <c r="U85" s="103" t="s">
        <v>319</v>
      </c>
      <c r="V85" s="106" t="s">
        <v>157</v>
      </c>
      <c r="W85" s="103" t="s">
        <v>158</v>
      </c>
      <c r="X85" s="103">
        <f>IFERROR(MATCH(W85,'CostModel Coef'!$C$9:$C$12,0),0)</f>
        <v>0</v>
      </c>
      <c r="Y85" s="103"/>
      <c r="Z85" s="103" t="str">
        <f>IF($X85&gt;0,INDEX('CostModel Coef'!D$9:D$12,$X85),"")</f>
        <v/>
      </c>
      <c r="AA85" s="103" t="str">
        <f>IF($X85&gt;0,INDEX('CostModel Coef'!E$9:E$12,$X85),"")</f>
        <v/>
      </c>
      <c r="AB85" s="103" t="str">
        <f>IF($X85&gt;0,INDEX('CostModel Coef'!F$9:F$12,$X85),"")</f>
        <v/>
      </c>
      <c r="AC85" s="103" t="str">
        <f>IF($X85&gt;0,INDEX('CostModel Coef'!G$9:G$12,$X85),"")</f>
        <v/>
      </c>
      <c r="AD85" s="103" t="str">
        <f>IF($X85&gt;0,INDEX('CostModel Coef'!H$9:H$12,$X85),"")</f>
        <v/>
      </c>
      <c r="AE85" s="103" t="str">
        <f>IF($X85&gt;0,INDEX('CostModel Coef'!J$9:J$12,$X85),"")</f>
        <v/>
      </c>
      <c r="AF85" s="103" t="str">
        <f>IF($X85&gt;0,INDEX('CostModel Coef'!K$9:K$12,$X85),"")</f>
        <v/>
      </c>
      <c r="AG85" s="103" t="str">
        <f>IF($X85&gt;0,INDEX('CostModel Coef'!L$9:L$12,$X85),"")</f>
        <v/>
      </c>
      <c r="AH85" s="103" t="str">
        <f>IF($X85&gt;0,INDEX('CostModel Coef'!M$9:M$12,$X85),"")</f>
        <v/>
      </c>
      <c r="AI85" s="103" t="str">
        <f>IF($X85&gt;0,INDEX('CostModel Coef'!N$9:N$12,$X85),"")</f>
        <v/>
      </c>
      <c r="AJ85" s="103" t="str">
        <f>IF($X85&gt;0,INDEX('CostModel Coef'!Q$9:Q$12,$X85),"")</f>
        <v/>
      </c>
      <c r="AK85" s="103" t="str">
        <f>IF($X85&gt;0,INDEX('CostModel Coef'!T$9:T$12,$X85),"")</f>
        <v/>
      </c>
      <c r="AL85" s="103"/>
      <c r="AM85" s="108" t="str">
        <f t="shared" si="27"/>
        <v/>
      </c>
      <c r="AN85" s="108" t="str">
        <f t="shared" si="28"/>
        <v/>
      </c>
      <c r="AO85" s="108" t="str">
        <f t="shared" si="29"/>
        <v/>
      </c>
      <c r="AP85" s="108" t="str">
        <f t="shared" si="30"/>
        <v/>
      </c>
      <c r="AQ85" s="108" t="str">
        <f t="shared" si="31"/>
        <v/>
      </c>
      <c r="AR85" s="108"/>
      <c r="AS85" s="108"/>
      <c r="AT85" s="103" t="str">
        <f>IF($X85&gt;0,INDEX('CostModel Coef'!D$13:D$16,$X85),"")</f>
        <v/>
      </c>
      <c r="AU85" s="103" t="str">
        <f>IF($X85&gt;0,INDEX('CostModel Coef'!E$13:E$16,$X85),"")</f>
        <v/>
      </c>
      <c r="AV85" s="103" t="str">
        <f>IF($X85&gt;0,INDEX('CostModel Coef'!F$13:F$16,$X85),"")</f>
        <v/>
      </c>
      <c r="AW85" s="103" t="str">
        <f>IF($X85&gt;0,INDEX('CostModel Coef'!G$13:G$16,$X85),"")</f>
        <v/>
      </c>
      <c r="AX85" s="103" t="str">
        <f>IF($X85&gt;0,INDEX('CostModel Coef'!H$13:H$16,$X85),"")</f>
        <v/>
      </c>
      <c r="AY85" s="103" t="str">
        <f>IF($X85&gt;0,INDEX('CostModel Coef'!I$13:I$16,$X85),"")</f>
        <v/>
      </c>
      <c r="AZ85" s="103" t="str">
        <f>IF($X85&gt;0,INDEX('CostModel Coef'!J$13:J$16,$X85),"")</f>
        <v/>
      </c>
      <c r="BA85" s="103" t="str">
        <f>IF($X85&gt;0,INDEX('CostModel Coef'!K$13:K$16,$X85),"")</f>
        <v/>
      </c>
      <c r="BB85" s="103" t="str">
        <f>IF($X85&gt;0,INDEX('CostModel Coef'!L$13:L$16,$X85),"")</f>
        <v/>
      </c>
      <c r="BC85" s="103" t="str">
        <f>IF($X85&gt;0,INDEX('CostModel Coef'!M$13:M$16,$X85),"")</f>
        <v/>
      </c>
      <c r="BD85" s="103" t="str">
        <f>IF($X85&gt;0,INDEX('CostModel Coef'!N$13:N$16,$X85),"")</f>
        <v/>
      </c>
      <c r="BE85" s="103" t="str">
        <f>IF($X85&gt;0,INDEX('CostModel Coef'!O$13:O$16,$X85),"")</f>
        <v/>
      </c>
      <c r="BF85" s="103" t="str">
        <f>IF($X85&gt;0,INDEX('CostModel Coef'!P$13:P$16,$X85),"")</f>
        <v/>
      </c>
      <c r="BG85" s="103" t="str">
        <f>IF($X85&gt;0,INDEX('CostModel Coef'!Q$13:Q$16,$X85),"")</f>
        <v/>
      </c>
      <c r="BH85" s="103" t="str">
        <f>IF($X85&gt;0,INDEX('CostModel Coef'!R$13:R$16,$X85),"")</f>
        <v/>
      </c>
      <c r="BI85" s="103" t="str">
        <f>IF($X85&gt;0,INDEX('CostModel Coef'!S$13:S$16,$X85),"")</f>
        <v/>
      </c>
      <c r="BJ85" s="103" t="str">
        <f>IF($X85&gt;0,INDEX('CostModel Coef'!T$13:T$16,$X85),"")</f>
        <v/>
      </c>
      <c r="BK85" s="103" t="str">
        <f>IF($X85&gt;0,INDEX('CostModel Coef'!U$13:U$16,$X85),"")</f>
        <v/>
      </c>
      <c r="BL85" s="103" t="str">
        <f>IF($X85&gt;0,INDEX('CostModel Coef'!V$13:V$16,$X85),"")</f>
        <v/>
      </c>
      <c r="BM85" s="103" t="str">
        <f>IF($X85&gt;0,INDEX('CostModel Coef'!W$13:W$16,$X85),"")</f>
        <v/>
      </c>
      <c r="BN85" s="103" t="str">
        <f>IF($X85&gt;0,INDEX('CostModel Coef'!X$13:X$16,$X85),"")</f>
        <v/>
      </c>
      <c r="BO85" s="103"/>
      <c r="BP85" s="119">
        <v>2000</v>
      </c>
      <c r="BQ85" s="103"/>
      <c r="BR85" s="103"/>
      <c r="BS85" s="119" t="str">
        <f t="shared" si="34"/>
        <v/>
      </c>
      <c r="BT85" s="174">
        <f t="shared" si="26"/>
        <v>-1</v>
      </c>
      <c r="BU85" s="113" t="str">
        <f t="shared" si="36"/>
        <v>OOS</v>
      </c>
      <c r="BV85" s="108" t="str">
        <f t="shared" si="37"/>
        <v>OOS</v>
      </c>
      <c r="BW85" s="108" t="str">
        <f t="shared" si="38"/>
        <v>OOS</v>
      </c>
      <c r="BX85" s="108" t="str">
        <f t="shared" si="39"/>
        <v>OOS</v>
      </c>
      <c r="BY85" s="108" t="str">
        <f t="shared" si="40"/>
        <v>OOS</v>
      </c>
      <c r="BZ85" s="108"/>
      <c r="CA85" s="119" t="str">
        <f t="shared" si="41"/>
        <v/>
      </c>
      <c r="CB85" s="174">
        <f t="shared" si="32"/>
        <v>-1</v>
      </c>
      <c r="CC85" s="113" t="str">
        <f t="shared" si="42"/>
        <v/>
      </c>
      <c r="CD85" s="108" t="str">
        <f t="shared" si="43"/>
        <v/>
      </c>
      <c r="CE85" s="108" t="str">
        <f t="shared" si="44"/>
        <v/>
      </c>
      <c r="CF85" s="108" t="str">
        <f t="shared" si="45"/>
        <v/>
      </c>
      <c r="CG85" s="108" t="str">
        <f t="shared" si="46"/>
        <v/>
      </c>
      <c r="CH85" s="103"/>
      <c r="CI85" s="119" t="str">
        <f t="shared" si="35"/>
        <v/>
      </c>
      <c r="CJ85" s="174">
        <f t="shared" si="33"/>
        <v>-1</v>
      </c>
      <c r="CK85" s="113" t="str">
        <f t="shared" si="47"/>
        <v/>
      </c>
      <c r="CL85" s="108" t="str">
        <f t="shared" si="48"/>
        <v/>
      </c>
      <c r="CM85" s="108" t="str">
        <f t="shared" si="49"/>
        <v/>
      </c>
      <c r="CN85" s="108" t="str">
        <f t="shared" si="50"/>
        <v/>
      </c>
      <c r="CO85" s="108" t="str">
        <f t="shared" si="51"/>
        <v/>
      </c>
    </row>
    <row r="86" spans="1:93">
      <c r="A86" s="103" t="s">
        <v>320</v>
      </c>
      <c r="B86" s="103" t="s">
        <v>174</v>
      </c>
      <c r="C86" s="103" t="s">
        <v>274</v>
      </c>
      <c r="D86" s="250" t="s">
        <v>153</v>
      </c>
      <c r="E86" s="250"/>
      <c r="F86" s="182">
        <v>8440</v>
      </c>
      <c r="G86" s="250" t="s">
        <v>175</v>
      </c>
      <c r="H86" s="250">
        <v>7</v>
      </c>
      <c r="I86" s="250"/>
      <c r="J86" s="250"/>
      <c r="K86" s="250"/>
      <c r="L86" s="250" t="s">
        <v>61</v>
      </c>
      <c r="M86" s="250">
        <v>7</v>
      </c>
      <c r="N86" s="250"/>
      <c r="O86" s="250"/>
      <c r="P86" s="250" t="s">
        <v>153</v>
      </c>
      <c r="Q86" s="250"/>
      <c r="R86" s="250"/>
      <c r="S86" s="250"/>
      <c r="T86" s="250" t="s">
        <v>155</v>
      </c>
      <c r="U86" s="103" t="s">
        <v>321</v>
      </c>
      <c r="V86" s="106" t="s">
        <v>157</v>
      </c>
      <c r="W86" s="103" t="s">
        <v>84</v>
      </c>
      <c r="X86" s="103">
        <f>IFERROR(MATCH(W86,'CostModel Coef'!$C$9:$C$12,0),0)</f>
        <v>4</v>
      </c>
      <c r="Y86" s="103"/>
      <c r="Z86" s="103">
        <f>IF($X86&gt;0,INDEX('CostModel Coef'!D$9:D$12,$X86),"")</f>
        <v>4.92</v>
      </c>
      <c r="AA86" s="103">
        <f>IF($X86&gt;0,INDEX('CostModel Coef'!E$9:E$12,$X86),"")</f>
        <v>0.40973260011515322</v>
      </c>
      <c r="AB86" s="103">
        <f>IF($X86&gt;0,INDEX('CostModel Coef'!F$9:F$12,$X86),"")</f>
        <v>0</v>
      </c>
      <c r="AC86" s="103">
        <f>IF($X86&gt;0,INDEX('CostModel Coef'!G$9:G$12,$X86),"")</f>
        <v>0</v>
      </c>
      <c r="AD86" s="103">
        <f>IF($X86&gt;0,INDEX('CostModel Coef'!H$9:H$12,$X86),"")</f>
        <v>-2.0082</v>
      </c>
      <c r="AE86" s="103">
        <f>IF($X86&gt;0,INDEX('CostModel Coef'!J$9:J$12,$X86),"")</f>
        <v>-0.86070000000000002</v>
      </c>
      <c r="AF86" s="103">
        <f>IF($X86&gt;0,INDEX('CostModel Coef'!K$9:K$12,$X86),"")</f>
        <v>-0.11899999999999999</v>
      </c>
      <c r="AG86" s="103">
        <f>IF($X86&gt;0,INDEX('CostModel Coef'!L$9:L$12,$X86),"")</f>
        <v>0</v>
      </c>
      <c r="AH86" s="103">
        <f>IF($X86&gt;0,INDEX('CostModel Coef'!M$9:M$12,$X86),"")</f>
        <v>0</v>
      </c>
      <c r="AI86" s="103">
        <f>IF($X86&gt;0,INDEX('CostModel Coef'!N$9:N$12,$X86),"")</f>
        <v>7.6799999999999993E-2</v>
      </c>
      <c r="AJ86" s="103">
        <f>IF($X86&gt;0,INDEX('CostModel Coef'!Q$9:Q$12,$X86),"")</f>
        <v>0.20599999999999999</v>
      </c>
      <c r="AK86" s="103">
        <f>IF($X86&gt;0,INDEX('CostModel Coef'!T$9:T$12,$X86),"")</f>
        <v>0</v>
      </c>
      <c r="AL86" s="103"/>
      <c r="AM86" s="108">
        <f t="shared" si="27"/>
        <v>7.3009246001151533</v>
      </c>
      <c r="AN86" s="108">
        <f t="shared" si="28"/>
        <v>7.4199246001151531</v>
      </c>
      <c r="AO86" s="108">
        <f t="shared" si="29"/>
        <v>5.4117246001151535</v>
      </c>
      <c r="AP86" s="108">
        <f t="shared" si="30"/>
        <v>5.4117246001151535</v>
      </c>
      <c r="AQ86" s="108">
        <f t="shared" si="31"/>
        <v>4.5510246001151531</v>
      </c>
      <c r="AR86" s="108"/>
      <c r="AS86" s="108"/>
      <c r="AT86" s="103">
        <f>IF($X86&gt;0,INDEX('CostModel Coef'!D$13:D$16,$X86),"")</f>
        <v>3.7429999999999999</v>
      </c>
      <c r="AU86" s="103">
        <f>IF($X86&gt;0,INDEX('CostModel Coef'!E$13:E$16,$X86),"")</f>
        <v>0.25</v>
      </c>
      <c r="AV86" s="103">
        <f>IF($X86&gt;0,INDEX('CostModel Coef'!F$13:F$16,$X86),"")</f>
        <v>0</v>
      </c>
      <c r="AW86" s="103">
        <f>IF($X86&gt;0,INDEX('CostModel Coef'!G$13:G$16,$X86),"")</f>
        <v>0</v>
      </c>
      <c r="AX86" s="103">
        <f>IF($X86&gt;0,INDEX('CostModel Coef'!H$13:H$16,$X86),"")</f>
        <v>-2.56</v>
      </c>
      <c r="AY86" s="103">
        <f>IF($X86&gt;0,INDEX('CostModel Coef'!I$13:I$16,$X86),"")</f>
        <v>0</v>
      </c>
      <c r="AZ86" s="103">
        <f>IF($X86&gt;0,INDEX('CostModel Coef'!J$13:J$16,$X86),"")</f>
        <v>0</v>
      </c>
      <c r="BA86" s="103">
        <f>IF($X86&gt;0,INDEX('CostModel Coef'!K$13:K$16,$X86),"")</f>
        <v>-2.4540000000000002</v>
      </c>
      <c r="BB86" s="103">
        <f>IF($X86&gt;0,INDEX('CostModel Coef'!L$13:L$16,$X86),"")</f>
        <v>0</v>
      </c>
      <c r="BC86" s="103">
        <f>IF($X86&gt;0,INDEX('CostModel Coef'!M$13:M$16,$X86),"")</f>
        <v>0</v>
      </c>
      <c r="BD86" s="103">
        <f>IF($X86&gt;0,INDEX('CostModel Coef'!N$13:N$16,$X86),"")</f>
        <v>0.25744499999999998</v>
      </c>
      <c r="BE86" s="103">
        <f>IF($X86&gt;0,INDEX('CostModel Coef'!O$13:O$16,$X86),"")</f>
        <v>1.095</v>
      </c>
      <c r="BF86" s="103">
        <f>IF($X86&gt;0,INDEX('CostModel Coef'!P$13:P$16,$X86),"")</f>
        <v>5</v>
      </c>
      <c r="BG86" s="103">
        <f>IF($X86&gt;0,INDEX('CostModel Coef'!Q$13:Q$16,$X86),"")</f>
        <v>-4.9910000000000004E-4</v>
      </c>
      <c r="BH86" s="103">
        <f>IF($X86&gt;0,INDEX('CostModel Coef'!R$13:R$16,$X86),"")</f>
        <v>3</v>
      </c>
      <c r="BI86" s="103">
        <f>IF($X86&gt;0,INDEX('CostModel Coef'!S$13:S$16,$X86),"")</f>
        <v>150</v>
      </c>
      <c r="BJ86" s="103">
        <f>IF($X86&gt;0,INDEX('CostModel Coef'!T$13:T$16,$X86),"")</f>
        <v>0</v>
      </c>
      <c r="BK86" s="103">
        <f>IF($X86&gt;0,INDEX('CostModel Coef'!U$13:U$16,$X86),"")</f>
        <v>0</v>
      </c>
      <c r="BL86" s="103">
        <f>IF($X86&gt;0,INDEX('CostModel Coef'!V$13:V$16,$X86),"")</f>
        <v>0</v>
      </c>
      <c r="BM86" s="103">
        <f>IF($X86&gt;0,INDEX('CostModel Coef'!W$13:W$16,$X86),"")</f>
        <v>0</v>
      </c>
      <c r="BN86" s="103">
        <f>IF($X86&gt;0,INDEX('CostModel Coef'!X$13:X$16,$X86),"")</f>
        <v>0</v>
      </c>
      <c r="BO86" s="103"/>
      <c r="BP86" s="119">
        <v>2000</v>
      </c>
      <c r="BQ86" s="103"/>
      <c r="BR86" s="103"/>
      <c r="BS86" s="119" t="str">
        <f t="shared" si="34"/>
        <v>WRR0347_CFLscw-Candle(7w)</v>
      </c>
      <c r="BT86" s="174">
        <f t="shared" si="26"/>
        <v>24</v>
      </c>
      <c r="BU86" s="113">
        <f t="shared" si="36"/>
        <v>2.0419115999999993</v>
      </c>
      <c r="BV86" s="108">
        <f t="shared" si="37"/>
        <v>4.4959115999999995</v>
      </c>
      <c r="BW86" s="108">
        <f t="shared" si="38"/>
        <v>1.9359115999999994</v>
      </c>
      <c r="BX86" s="108">
        <f t="shared" si="39"/>
        <v>1.9359115999999994</v>
      </c>
      <c r="BY86" s="108">
        <f t="shared" si="40"/>
        <v>1.9359115999999994</v>
      </c>
      <c r="BZ86" s="108"/>
      <c r="CA86" s="119" t="str">
        <f t="shared" si="41"/>
        <v/>
      </c>
      <c r="CB86" s="174">
        <f t="shared" si="32"/>
        <v>-1</v>
      </c>
      <c r="CC86" s="113" t="str">
        <f t="shared" si="42"/>
        <v/>
      </c>
      <c r="CD86" s="108" t="str">
        <f t="shared" si="43"/>
        <v/>
      </c>
      <c r="CE86" s="108" t="str">
        <f t="shared" si="44"/>
        <v/>
      </c>
      <c r="CF86" s="108" t="str">
        <f t="shared" si="45"/>
        <v/>
      </c>
      <c r="CG86" s="108" t="str">
        <f t="shared" si="46"/>
        <v/>
      </c>
      <c r="CH86" s="103"/>
      <c r="CI86" s="119" t="str">
        <f t="shared" si="35"/>
        <v>WRR0347_CFLscw-Candle(7w)</v>
      </c>
      <c r="CJ86" s="174">
        <f t="shared" si="33"/>
        <v>24</v>
      </c>
      <c r="CK86" s="113">
        <f t="shared" si="47"/>
        <v>2.0419115999999993</v>
      </c>
      <c r="CL86" s="108">
        <f t="shared" si="48"/>
        <v>4.4959115999999995</v>
      </c>
      <c r="CM86" s="108">
        <f t="shared" si="49"/>
        <v>1.9359115999999994</v>
      </c>
      <c r="CN86" s="108">
        <f t="shared" si="50"/>
        <v>1.9359115999999994</v>
      </c>
      <c r="CO86" s="108">
        <f t="shared" si="51"/>
        <v>1.9359115999999994</v>
      </c>
    </row>
    <row r="87" spans="1:93">
      <c r="A87" s="103" t="s">
        <v>322</v>
      </c>
      <c r="B87" s="103" t="s">
        <v>174</v>
      </c>
      <c r="C87" s="103" t="s">
        <v>274</v>
      </c>
      <c r="D87" s="250" t="s">
        <v>153</v>
      </c>
      <c r="E87" s="250"/>
      <c r="F87" s="182">
        <v>8440</v>
      </c>
      <c r="G87" s="250" t="s">
        <v>175</v>
      </c>
      <c r="H87" s="250">
        <v>8</v>
      </c>
      <c r="I87" s="250"/>
      <c r="J87" s="250"/>
      <c r="K87" s="250"/>
      <c r="L87" s="250" t="s">
        <v>61</v>
      </c>
      <c r="M87" s="250">
        <v>8</v>
      </c>
      <c r="N87" s="250"/>
      <c r="O87" s="250"/>
      <c r="P87" s="250" t="s">
        <v>153</v>
      </c>
      <c r="Q87" s="250"/>
      <c r="R87" s="250"/>
      <c r="S87" s="250"/>
      <c r="T87" s="250" t="s">
        <v>155</v>
      </c>
      <c r="U87" s="103" t="s">
        <v>323</v>
      </c>
      <c r="V87" s="106" t="s">
        <v>157</v>
      </c>
      <c r="W87" s="103" t="s">
        <v>84</v>
      </c>
      <c r="X87" s="103">
        <f>IFERROR(MATCH(W87,'CostModel Coef'!$C$9:$C$12,0),0)</f>
        <v>4</v>
      </c>
      <c r="Y87" s="103"/>
      <c r="Z87" s="103">
        <f>IF($X87&gt;0,INDEX('CostModel Coef'!D$9:D$12,$X87),"")</f>
        <v>4.92</v>
      </c>
      <c r="AA87" s="103">
        <f>IF($X87&gt;0,INDEX('CostModel Coef'!E$9:E$12,$X87),"")</f>
        <v>0.40973260011515322</v>
      </c>
      <c r="AB87" s="103">
        <f>IF($X87&gt;0,INDEX('CostModel Coef'!F$9:F$12,$X87),"")</f>
        <v>0</v>
      </c>
      <c r="AC87" s="103">
        <f>IF($X87&gt;0,INDEX('CostModel Coef'!G$9:G$12,$X87),"")</f>
        <v>0</v>
      </c>
      <c r="AD87" s="103">
        <f>IF($X87&gt;0,INDEX('CostModel Coef'!H$9:H$12,$X87),"")</f>
        <v>-2.0082</v>
      </c>
      <c r="AE87" s="103">
        <f>IF($X87&gt;0,INDEX('CostModel Coef'!J$9:J$12,$X87),"")</f>
        <v>-0.86070000000000002</v>
      </c>
      <c r="AF87" s="103">
        <f>IF($X87&gt;0,INDEX('CostModel Coef'!K$9:K$12,$X87),"")</f>
        <v>-0.11899999999999999</v>
      </c>
      <c r="AG87" s="103">
        <f>IF($X87&gt;0,INDEX('CostModel Coef'!L$9:L$12,$X87),"")</f>
        <v>0</v>
      </c>
      <c r="AH87" s="103">
        <f>IF($X87&gt;0,INDEX('CostModel Coef'!M$9:M$12,$X87),"")</f>
        <v>0</v>
      </c>
      <c r="AI87" s="103">
        <f>IF($X87&gt;0,INDEX('CostModel Coef'!N$9:N$12,$X87),"")</f>
        <v>7.6799999999999993E-2</v>
      </c>
      <c r="AJ87" s="103">
        <f>IF($X87&gt;0,INDEX('CostModel Coef'!Q$9:Q$12,$X87),"")</f>
        <v>0.20599999999999999</v>
      </c>
      <c r="AK87" s="103">
        <f>IF($X87&gt;0,INDEX('CostModel Coef'!T$9:T$12,$X87),"")</f>
        <v>0</v>
      </c>
      <c r="AL87" s="103"/>
      <c r="AM87" s="108">
        <f t="shared" si="27"/>
        <v>7.5069246001151528</v>
      </c>
      <c r="AN87" s="108">
        <f t="shared" si="28"/>
        <v>7.6259246001151526</v>
      </c>
      <c r="AO87" s="108">
        <f t="shared" si="29"/>
        <v>5.6177246001151531</v>
      </c>
      <c r="AP87" s="108">
        <f t="shared" si="30"/>
        <v>5.6177246001151531</v>
      </c>
      <c r="AQ87" s="108">
        <f t="shared" si="31"/>
        <v>4.7570246001151526</v>
      </c>
      <c r="AR87" s="108"/>
      <c r="AS87" s="108"/>
      <c r="AT87" s="103">
        <f>IF($X87&gt;0,INDEX('CostModel Coef'!D$13:D$16,$X87),"")</f>
        <v>3.7429999999999999</v>
      </c>
      <c r="AU87" s="103">
        <f>IF($X87&gt;0,INDEX('CostModel Coef'!E$13:E$16,$X87),"")</f>
        <v>0.25</v>
      </c>
      <c r="AV87" s="103">
        <f>IF($X87&gt;0,INDEX('CostModel Coef'!F$13:F$16,$X87),"")</f>
        <v>0</v>
      </c>
      <c r="AW87" s="103">
        <f>IF($X87&gt;0,INDEX('CostModel Coef'!G$13:G$16,$X87),"")</f>
        <v>0</v>
      </c>
      <c r="AX87" s="103">
        <f>IF($X87&gt;0,INDEX('CostModel Coef'!H$13:H$16,$X87),"")</f>
        <v>-2.56</v>
      </c>
      <c r="AY87" s="103">
        <f>IF($X87&gt;0,INDEX('CostModel Coef'!I$13:I$16,$X87),"")</f>
        <v>0</v>
      </c>
      <c r="AZ87" s="103">
        <f>IF($X87&gt;0,INDEX('CostModel Coef'!J$13:J$16,$X87),"")</f>
        <v>0</v>
      </c>
      <c r="BA87" s="103">
        <f>IF($X87&gt;0,INDEX('CostModel Coef'!K$13:K$16,$X87),"")</f>
        <v>-2.4540000000000002</v>
      </c>
      <c r="BB87" s="103">
        <f>IF($X87&gt;0,INDEX('CostModel Coef'!L$13:L$16,$X87),"")</f>
        <v>0</v>
      </c>
      <c r="BC87" s="103">
        <f>IF($X87&gt;0,INDEX('CostModel Coef'!M$13:M$16,$X87),"")</f>
        <v>0</v>
      </c>
      <c r="BD87" s="103">
        <f>IF($X87&gt;0,INDEX('CostModel Coef'!N$13:N$16,$X87),"")</f>
        <v>0.25744499999999998</v>
      </c>
      <c r="BE87" s="103">
        <f>IF($X87&gt;0,INDEX('CostModel Coef'!O$13:O$16,$X87),"")</f>
        <v>1.095</v>
      </c>
      <c r="BF87" s="103">
        <f>IF($X87&gt;0,INDEX('CostModel Coef'!P$13:P$16,$X87),"")</f>
        <v>5</v>
      </c>
      <c r="BG87" s="103">
        <f>IF($X87&gt;0,INDEX('CostModel Coef'!Q$13:Q$16,$X87),"")</f>
        <v>-4.9910000000000004E-4</v>
      </c>
      <c r="BH87" s="103">
        <f>IF($X87&gt;0,INDEX('CostModel Coef'!R$13:R$16,$X87),"")</f>
        <v>3</v>
      </c>
      <c r="BI87" s="103">
        <f>IF($X87&gt;0,INDEX('CostModel Coef'!S$13:S$16,$X87),"")</f>
        <v>150</v>
      </c>
      <c r="BJ87" s="103">
        <f>IF($X87&gt;0,INDEX('CostModel Coef'!T$13:T$16,$X87),"")</f>
        <v>0</v>
      </c>
      <c r="BK87" s="103">
        <f>IF($X87&gt;0,INDEX('CostModel Coef'!U$13:U$16,$X87),"")</f>
        <v>0</v>
      </c>
      <c r="BL87" s="103">
        <f>IF($X87&gt;0,INDEX('CostModel Coef'!V$13:V$16,$X87),"")</f>
        <v>0</v>
      </c>
      <c r="BM87" s="103">
        <f>IF($X87&gt;0,INDEX('CostModel Coef'!W$13:W$16,$X87),"")</f>
        <v>0</v>
      </c>
      <c r="BN87" s="103">
        <f>IF($X87&gt;0,INDEX('CostModel Coef'!X$13:X$16,$X87),"")</f>
        <v>0</v>
      </c>
      <c r="BO87" s="103"/>
      <c r="BP87" s="119">
        <v>2000</v>
      </c>
      <c r="BQ87" s="103"/>
      <c r="BR87" s="103"/>
      <c r="BS87" s="119" t="str">
        <f t="shared" si="34"/>
        <v>WRR0347_CFLscw-Candle(8w)</v>
      </c>
      <c r="BT87" s="174">
        <f t="shared" si="26"/>
        <v>28</v>
      </c>
      <c r="BU87" s="113">
        <f t="shared" si="36"/>
        <v>2.0399151999999998</v>
      </c>
      <c r="BV87" s="108">
        <f t="shared" si="37"/>
        <v>4.4939152</v>
      </c>
      <c r="BW87" s="108">
        <f t="shared" si="38"/>
        <v>1.9339151999999999</v>
      </c>
      <c r="BX87" s="108">
        <f t="shared" si="39"/>
        <v>1.9339151999999999</v>
      </c>
      <c r="BY87" s="108">
        <f t="shared" si="40"/>
        <v>1.9339151999999999</v>
      </c>
      <c r="BZ87" s="108"/>
      <c r="CA87" s="119" t="str">
        <f t="shared" si="41"/>
        <v/>
      </c>
      <c r="CB87" s="174">
        <f t="shared" si="32"/>
        <v>-1</v>
      </c>
      <c r="CC87" s="113" t="str">
        <f t="shared" si="42"/>
        <v/>
      </c>
      <c r="CD87" s="108" t="str">
        <f t="shared" si="43"/>
        <v/>
      </c>
      <c r="CE87" s="108" t="str">
        <f t="shared" si="44"/>
        <v/>
      </c>
      <c r="CF87" s="108" t="str">
        <f t="shared" si="45"/>
        <v/>
      </c>
      <c r="CG87" s="108" t="str">
        <f t="shared" si="46"/>
        <v/>
      </c>
      <c r="CH87" s="103"/>
      <c r="CI87" s="119" t="str">
        <f t="shared" si="35"/>
        <v>WRR0347_CFLscw-Candle(8w)</v>
      </c>
      <c r="CJ87" s="174">
        <f t="shared" si="33"/>
        <v>28</v>
      </c>
      <c r="CK87" s="113">
        <f t="shared" si="47"/>
        <v>2.0399151999999998</v>
      </c>
      <c r="CL87" s="108">
        <f t="shared" si="48"/>
        <v>4.4939152</v>
      </c>
      <c r="CM87" s="108">
        <f t="shared" si="49"/>
        <v>1.9339151999999999</v>
      </c>
      <c r="CN87" s="108">
        <f t="shared" si="50"/>
        <v>1.9339151999999999</v>
      </c>
      <c r="CO87" s="108">
        <f t="shared" si="51"/>
        <v>1.9339151999999999</v>
      </c>
    </row>
    <row r="88" spans="1:93">
      <c r="A88" s="103" t="s">
        <v>324</v>
      </c>
      <c r="B88" s="103" t="s">
        <v>174</v>
      </c>
      <c r="C88" s="103" t="s">
        <v>274</v>
      </c>
      <c r="D88" s="250" t="s">
        <v>153</v>
      </c>
      <c r="E88" s="250"/>
      <c r="F88" s="182">
        <v>8440</v>
      </c>
      <c r="G88" s="250" t="s">
        <v>175</v>
      </c>
      <c r="H88" s="250">
        <v>9</v>
      </c>
      <c r="I88" s="250"/>
      <c r="J88" s="250"/>
      <c r="K88" s="250"/>
      <c r="L88" s="250" t="s">
        <v>61</v>
      </c>
      <c r="M88" s="250">
        <v>9</v>
      </c>
      <c r="N88" s="250"/>
      <c r="O88" s="250"/>
      <c r="P88" s="250" t="s">
        <v>153</v>
      </c>
      <c r="Q88" s="250"/>
      <c r="R88" s="250"/>
      <c r="S88" s="250"/>
      <c r="T88" s="250" t="s">
        <v>155</v>
      </c>
      <c r="U88" s="103" t="s">
        <v>325</v>
      </c>
      <c r="V88" s="106" t="s">
        <v>157</v>
      </c>
      <c r="W88" s="103" t="s">
        <v>84</v>
      </c>
      <c r="X88" s="103">
        <f>IFERROR(MATCH(W88,'CostModel Coef'!$C$9:$C$12,0),0)</f>
        <v>4</v>
      </c>
      <c r="Y88" s="103"/>
      <c r="Z88" s="103">
        <f>IF($X88&gt;0,INDEX('CostModel Coef'!D$9:D$12,$X88),"")</f>
        <v>4.92</v>
      </c>
      <c r="AA88" s="103">
        <f>IF($X88&gt;0,INDEX('CostModel Coef'!E$9:E$12,$X88),"")</f>
        <v>0.40973260011515322</v>
      </c>
      <c r="AB88" s="103">
        <f>IF($X88&gt;0,INDEX('CostModel Coef'!F$9:F$12,$X88),"")</f>
        <v>0</v>
      </c>
      <c r="AC88" s="103">
        <f>IF($X88&gt;0,INDEX('CostModel Coef'!G$9:G$12,$X88),"")</f>
        <v>0</v>
      </c>
      <c r="AD88" s="103">
        <f>IF($X88&gt;0,INDEX('CostModel Coef'!H$9:H$12,$X88),"")</f>
        <v>-2.0082</v>
      </c>
      <c r="AE88" s="103">
        <f>IF($X88&gt;0,INDEX('CostModel Coef'!J$9:J$12,$X88),"")</f>
        <v>-0.86070000000000002</v>
      </c>
      <c r="AF88" s="103">
        <f>IF($X88&gt;0,INDEX('CostModel Coef'!K$9:K$12,$X88),"")</f>
        <v>-0.11899999999999999</v>
      </c>
      <c r="AG88" s="103">
        <f>IF($X88&gt;0,INDEX('CostModel Coef'!L$9:L$12,$X88),"")</f>
        <v>0</v>
      </c>
      <c r="AH88" s="103">
        <f>IF($X88&gt;0,INDEX('CostModel Coef'!M$9:M$12,$X88),"")</f>
        <v>0</v>
      </c>
      <c r="AI88" s="103">
        <f>IF($X88&gt;0,INDEX('CostModel Coef'!N$9:N$12,$X88),"")</f>
        <v>7.6799999999999993E-2</v>
      </c>
      <c r="AJ88" s="103">
        <f>IF($X88&gt;0,INDEX('CostModel Coef'!Q$9:Q$12,$X88),"")</f>
        <v>0.20599999999999999</v>
      </c>
      <c r="AK88" s="103">
        <f>IF($X88&gt;0,INDEX('CostModel Coef'!T$9:T$12,$X88),"")</f>
        <v>0</v>
      </c>
      <c r="AL88" s="103"/>
      <c r="AM88" s="108">
        <f t="shared" si="27"/>
        <v>7.7129246001151532</v>
      </c>
      <c r="AN88" s="108">
        <f t="shared" si="28"/>
        <v>7.831924600115153</v>
      </c>
      <c r="AO88" s="108">
        <f t="shared" si="29"/>
        <v>5.8237246001151526</v>
      </c>
      <c r="AP88" s="108">
        <f t="shared" si="30"/>
        <v>5.8237246001151526</v>
      </c>
      <c r="AQ88" s="108">
        <f t="shared" si="31"/>
        <v>4.963024600115153</v>
      </c>
      <c r="AR88" s="108"/>
      <c r="AS88" s="108"/>
      <c r="AT88" s="103">
        <f>IF($X88&gt;0,INDEX('CostModel Coef'!D$13:D$16,$X88),"")</f>
        <v>3.7429999999999999</v>
      </c>
      <c r="AU88" s="103">
        <f>IF($X88&gt;0,INDEX('CostModel Coef'!E$13:E$16,$X88),"")</f>
        <v>0.25</v>
      </c>
      <c r="AV88" s="103">
        <f>IF($X88&gt;0,INDEX('CostModel Coef'!F$13:F$16,$X88),"")</f>
        <v>0</v>
      </c>
      <c r="AW88" s="103">
        <f>IF($X88&gt;0,INDEX('CostModel Coef'!G$13:G$16,$X88),"")</f>
        <v>0</v>
      </c>
      <c r="AX88" s="103">
        <f>IF($X88&gt;0,INDEX('CostModel Coef'!H$13:H$16,$X88),"")</f>
        <v>-2.56</v>
      </c>
      <c r="AY88" s="103">
        <f>IF($X88&gt;0,INDEX('CostModel Coef'!I$13:I$16,$X88),"")</f>
        <v>0</v>
      </c>
      <c r="AZ88" s="103">
        <f>IF($X88&gt;0,INDEX('CostModel Coef'!J$13:J$16,$X88),"")</f>
        <v>0</v>
      </c>
      <c r="BA88" s="103">
        <f>IF($X88&gt;0,INDEX('CostModel Coef'!K$13:K$16,$X88),"")</f>
        <v>-2.4540000000000002</v>
      </c>
      <c r="BB88" s="103">
        <f>IF($X88&gt;0,INDEX('CostModel Coef'!L$13:L$16,$X88),"")</f>
        <v>0</v>
      </c>
      <c r="BC88" s="103">
        <f>IF($X88&gt;0,INDEX('CostModel Coef'!M$13:M$16,$X88),"")</f>
        <v>0</v>
      </c>
      <c r="BD88" s="103">
        <f>IF($X88&gt;0,INDEX('CostModel Coef'!N$13:N$16,$X88),"")</f>
        <v>0.25744499999999998</v>
      </c>
      <c r="BE88" s="103">
        <f>IF($X88&gt;0,INDEX('CostModel Coef'!O$13:O$16,$X88),"")</f>
        <v>1.095</v>
      </c>
      <c r="BF88" s="103">
        <f>IF($X88&gt;0,INDEX('CostModel Coef'!P$13:P$16,$X88),"")</f>
        <v>5</v>
      </c>
      <c r="BG88" s="103">
        <f>IF($X88&gt;0,INDEX('CostModel Coef'!Q$13:Q$16,$X88),"")</f>
        <v>-4.9910000000000004E-4</v>
      </c>
      <c r="BH88" s="103">
        <f>IF($X88&gt;0,INDEX('CostModel Coef'!R$13:R$16,$X88),"")</f>
        <v>3</v>
      </c>
      <c r="BI88" s="103">
        <f>IF($X88&gt;0,INDEX('CostModel Coef'!S$13:S$16,$X88),"")</f>
        <v>150</v>
      </c>
      <c r="BJ88" s="103">
        <f>IF($X88&gt;0,INDEX('CostModel Coef'!T$13:T$16,$X88),"")</f>
        <v>0</v>
      </c>
      <c r="BK88" s="103">
        <f>IF($X88&gt;0,INDEX('CostModel Coef'!U$13:U$16,$X88),"")</f>
        <v>0</v>
      </c>
      <c r="BL88" s="103">
        <f>IF($X88&gt;0,INDEX('CostModel Coef'!V$13:V$16,$X88),"")</f>
        <v>0</v>
      </c>
      <c r="BM88" s="103">
        <f>IF($X88&gt;0,INDEX('CostModel Coef'!W$13:W$16,$X88),"")</f>
        <v>0</v>
      </c>
      <c r="BN88" s="103">
        <f>IF($X88&gt;0,INDEX('CostModel Coef'!X$13:X$16,$X88),"")</f>
        <v>0</v>
      </c>
      <c r="BO88" s="103"/>
      <c r="BP88" s="119">
        <v>2000</v>
      </c>
      <c r="BQ88" s="103"/>
      <c r="BR88" s="103"/>
      <c r="BS88" s="119" t="str">
        <f t="shared" si="34"/>
        <v>WRR0347_CFLscw-Candle(9w)</v>
      </c>
      <c r="BT88" s="174">
        <f t="shared" si="26"/>
        <v>31</v>
      </c>
      <c r="BU88" s="113">
        <f t="shared" si="36"/>
        <v>2.0384178999999993</v>
      </c>
      <c r="BV88" s="108">
        <f t="shared" si="37"/>
        <v>4.4924178999999995</v>
      </c>
      <c r="BW88" s="108">
        <f t="shared" si="38"/>
        <v>1.9324178999999995</v>
      </c>
      <c r="BX88" s="108">
        <f t="shared" si="39"/>
        <v>1.9324178999999995</v>
      </c>
      <c r="BY88" s="108">
        <f t="shared" si="40"/>
        <v>1.9324178999999995</v>
      </c>
      <c r="BZ88" s="108"/>
      <c r="CA88" s="119" t="str">
        <f t="shared" si="41"/>
        <v/>
      </c>
      <c r="CB88" s="174">
        <f t="shared" si="32"/>
        <v>-1</v>
      </c>
      <c r="CC88" s="113" t="str">
        <f t="shared" si="42"/>
        <v/>
      </c>
      <c r="CD88" s="108" t="str">
        <f t="shared" si="43"/>
        <v/>
      </c>
      <c r="CE88" s="108" t="str">
        <f t="shared" si="44"/>
        <v/>
      </c>
      <c r="CF88" s="108" t="str">
        <f t="shared" si="45"/>
        <v/>
      </c>
      <c r="CG88" s="108" t="str">
        <f t="shared" si="46"/>
        <v/>
      </c>
      <c r="CH88" s="103"/>
      <c r="CI88" s="119" t="str">
        <f t="shared" si="35"/>
        <v>WRR0347_CFLscw-Candle(9w)</v>
      </c>
      <c r="CJ88" s="174">
        <f t="shared" si="33"/>
        <v>31</v>
      </c>
      <c r="CK88" s="113">
        <f t="shared" si="47"/>
        <v>2.0384178999999993</v>
      </c>
      <c r="CL88" s="108">
        <f t="shared" si="48"/>
        <v>4.4924178999999995</v>
      </c>
      <c r="CM88" s="108">
        <f t="shared" si="49"/>
        <v>1.9324178999999995</v>
      </c>
      <c r="CN88" s="108">
        <f t="shared" si="50"/>
        <v>1.9324178999999995</v>
      </c>
      <c r="CO88" s="108">
        <f t="shared" si="51"/>
        <v>1.9324178999999995</v>
      </c>
    </row>
    <row r="89" spans="1:93">
      <c r="A89" s="103" t="s">
        <v>326</v>
      </c>
      <c r="B89" s="103" t="s">
        <v>174</v>
      </c>
      <c r="C89" s="103" t="s">
        <v>153</v>
      </c>
      <c r="D89" s="250" t="s">
        <v>153</v>
      </c>
      <c r="E89" s="250"/>
      <c r="F89" s="182">
        <v>9020</v>
      </c>
      <c r="G89" s="250" t="s">
        <v>175</v>
      </c>
      <c r="H89" s="250">
        <v>3</v>
      </c>
      <c r="I89" s="250"/>
      <c r="J89" s="250"/>
      <c r="K89" s="250"/>
      <c r="L89" s="250" t="s">
        <v>61</v>
      </c>
      <c r="M89" s="250">
        <v>3</v>
      </c>
      <c r="N89" s="250"/>
      <c r="O89" s="250"/>
      <c r="P89" s="250" t="s">
        <v>153</v>
      </c>
      <c r="Q89" s="250"/>
      <c r="R89" s="250" t="s">
        <v>327</v>
      </c>
      <c r="S89" s="250"/>
      <c r="T89" s="250" t="s">
        <v>155</v>
      </c>
      <c r="U89" s="103" t="s">
        <v>328</v>
      </c>
      <c r="V89" s="106" t="s">
        <v>157</v>
      </c>
      <c r="W89" s="103" t="s">
        <v>158</v>
      </c>
      <c r="X89" s="103">
        <f>IFERROR(MATCH(W89,'CostModel Coef'!$C$9:$C$12,0),0)</f>
        <v>0</v>
      </c>
      <c r="Y89" s="103"/>
      <c r="Z89" s="103" t="str">
        <f>IF($X89&gt;0,INDEX('CostModel Coef'!D$9:D$12,$X89),"")</f>
        <v/>
      </c>
      <c r="AA89" s="103" t="str">
        <f>IF($X89&gt;0,INDEX('CostModel Coef'!E$9:E$12,$X89),"")</f>
        <v/>
      </c>
      <c r="AB89" s="103" t="str">
        <f>IF($X89&gt;0,INDEX('CostModel Coef'!F$9:F$12,$X89),"")</f>
        <v/>
      </c>
      <c r="AC89" s="103" t="str">
        <f>IF($X89&gt;0,INDEX('CostModel Coef'!G$9:G$12,$X89),"")</f>
        <v/>
      </c>
      <c r="AD89" s="103" t="str">
        <f>IF($X89&gt;0,INDEX('CostModel Coef'!H$9:H$12,$X89),"")</f>
        <v/>
      </c>
      <c r="AE89" s="103" t="str">
        <f>IF($X89&gt;0,INDEX('CostModel Coef'!J$9:J$12,$X89),"")</f>
        <v/>
      </c>
      <c r="AF89" s="103" t="str">
        <f>IF($X89&gt;0,INDEX('CostModel Coef'!K$9:K$12,$X89),"")</f>
        <v/>
      </c>
      <c r="AG89" s="103" t="str">
        <f>IF($X89&gt;0,INDEX('CostModel Coef'!L$9:L$12,$X89),"")</f>
        <v/>
      </c>
      <c r="AH89" s="103" t="str">
        <f>IF($X89&gt;0,INDEX('CostModel Coef'!M$9:M$12,$X89),"")</f>
        <v/>
      </c>
      <c r="AI89" s="103" t="str">
        <f>IF($X89&gt;0,INDEX('CostModel Coef'!N$9:N$12,$X89),"")</f>
        <v/>
      </c>
      <c r="AJ89" s="103" t="str">
        <f>IF($X89&gt;0,INDEX('CostModel Coef'!Q$9:Q$12,$X89),"")</f>
        <v/>
      </c>
      <c r="AK89" s="103" t="str">
        <f>IF($X89&gt;0,INDEX('CostModel Coef'!T$9:T$12,$X89),"")</f>
        <v/>
      </c>
      <c r="AL89" s="103"/>
      <c r="AM89" s="108" t="str">
        <f t="shared" si="27"/>
        <v/>
      </c>
      <c r="AN89" s="108" t="str">
        <f t="shared" si="28"/>
        <v/>
      </c>
      <c r="AO89" s="108" t="str">
        <f t="shared" si="29"/>
        <v/>
      </c>
      <c r="AP89" s="108" t="str">
        <f t="shared" si="30"/>
        <v/>
      </c>
      <c r="AQ89" s="108" t="str">
        <f t="shared" si="31"/>
        <v/>
      </c>
      <c r="AR89" s="108"/>
      <c r="AS89" s="108"/>
      <c r="AT89" s="103" t="str">
        <f>IF($X89&gt;0,INDEX('CostModel Coef'!D$13:D$16,$X89),"")</f>
        <v/>
      </c>
      <c r="AU89" s="103" t="str">
        <f>IF($X89&gt;0,INDEX('CostModel Coef'!E$13:E$16,$X89),"")</f>
        <v/>
      </c>
      <c r="AV89" s="103" t="str">
        <f>IF($X89&gt;0,INDEX('CostModel Coef'!F$13:F$16,$X89),"")</f>
        <v/>
      </c>
      <c r="AW89" s="103" t="str">
        <f>IF($X89&gt;0,INDEX('CostModel Coef'!G$13:G$16,$X89),"")</f>
        <v/>
      </c>
      <c r="AX89" s="103" t="str">
        <f>IF($X89&gt;0,INDEX('CostModel Coef'!H$13:H$16,$X89),"")</f>
        <v/>
      </c>
      <c r="AY89" s="103" t="str">
        <f>IF($X89&gt;0,INDEX('CostModel Coef'!I$13:I$16,$X89),"")</f>
        <v/>
      </c>
      <c r="AZ89" s="103" t="str">
        <f>IF($X89&gt;0,INDEX('CostModel Coef'!J$13:J$16,$X89),"")</f>
        <v/>
      </c>
      <c r="BA89" s="103" t="str">
        <f>IF($X89&gt;0,INDEX('CostModel Coef'!K$13:K$16,$X89),"")</f>
        <v/>
      </c>
      <c r="BB89" s="103" t="str">
        <f>IF($X89&gt;0,INDEX('CostModel Coef'!L$13:L$16,$X89),"")</f>
        <v/>
      </c>
      <c r="BC89" s="103" t="str">
        <f>IF($X89&gt;0,INDEX('CostModel Coef'!M$13:M$16,$X89),"")</f>
        <v/>
      </c>
      <c r="BD89" s="103" t="str">
        <f>IF($X89&gt;0,INDEX('CostModel Coef'!N$13:N$16,$X89),"")</f>
        <v/>
      </c>
      <c r="BE89" s="103" t="str">
        <f>IF($X89&gt;0,INDEX('CostModel Coef'!O$13:O$16,$X89),"")</f>
        <v/>
      </c>
      <c r="BF89" s="103" t="str">
        <f>IF($X89&gt;0,INDEX('CostModel Coef'!P$13:P$16,$X89),"")</f>
        <v/>
      </c>
      <c r="BG89" s="103" t="str">
        <f>IF($X89&gt;0,INDEX('CostModel Coef'!Q$13:Q$16,$X89),"")</f>
        <v/>
      </c>
      <c r="BH89" s="103" t="str">
        <f>IF($X89&gt;0,INDEX('CostModel Coef'!R$13:R$16,$X89),"")</f>
        <v/>
      </c>
      <c r="BI89" s="103" t="str">
        <f>IF($X89&gt;0,INDEX('CostModel Coef'!S$13:S$16,$X89),"")</f>
        <v/>
      </c>
      <c r="BJ89" s="103" t="str">
        <f>IF($X89&gt;0,INDEX('CostModel Coef'!T$13:T$16,$X89),"")</f>
        <v/>
      </c>
      <c r="BK89" s="103" t="str">
        <f>IF($X89&gt;0,INDEX('CostModel Coef'!U$13:U$16,$X89),"")</f>
        <v/>
      </c>
      <c r="BL89" s="103" t="str">
        <f>IF($X89&gt;0,INDEX('CostModel Coef'!V$13:V$16,$X89),"")</f>
        <v/>
      </c>
      <c r="BM89" s="103" t="str">
        <f>IF($X89&gt;0,INDEX('CostModel Coef'!W$13:W$16,$X89),"")</f>
        <v/>
      </c>
      <c r="BN89" s="103" t="str">
        <f>IF($X89&gt;0,INDEX('CostModel Coef'!X$13:X$16,$X89),"")</f>
        <v/>
      </c>
      <c r="BO89" s="103"/>
      <c r="BP89" s="119">
        <v>2000</v>
      </c>
      <c r="BQ89" s="103"/>
      <c r="BR89" s="103"/>
      <c r="BS89" s="119" t="str">
        <f t="shared" si="34"/>
        <v/>
      </c>
      <c r="BT89" s="174">
        <f t="shared" si="26"/>
        <v>-1</v>
      </c>
      <c r="BU89" s="113" t="str">
        <f t="shared" si="36"/>
        <v>OOS</v>
      </c>
      <c r="BV89" s="108" t="str">
        <f t="shared" si="37"/>
        <v>OOS</v>
      </c>
      <c r="BW89" s="108" t="str">
        <f t="shared" si="38"/>
        <v>OOS</v>
      </c>
      <c r="BX89" s="108" t="str">
        <f t="shared" si="39"/>
        <v>OOS</v>
      </c>
      <c r="BY89" s="108" t="str">
        <f t="shared" si="40"/>
        <v>OOS</v>
      </c>
      <c r="BZ89" s="108"/>
      <c r="CA89" s="119" t="str">
        <f t="shared" si="41"/>
        <v/>
      </c>
      <c r="CB89" s="180">
        <v>-1</v>
      </c>
      <c r="CC89" s="113" t="str">
        <f t="shared" si="42"/>
        <v/>
      </c>
      <c r="CD89" s="108" t="str">
        <f t="shared" si="43"/>
        <v/>
      </c>
      <c r="CE89" s="108" t="str">
        <f t="shared" si="44"/>
        <v/>
      </c>
      <c r="CF89" s="108" t="str">
        <f t="shared" si="45"/>
        <v/>
      </c>
      <c r="CG89" s="108" t="str">
        <f t="shared" si="46"/>
        <v/>
      </c>
      <c r="CH89" s="103"/>
      <c r="CI89" s="119" t="str">
        <f t="shared" si="35"/>
        <v/>
      </c>
      <c r="CJ89" s="174">
        <f t="shared" si="33"/>
        <v>-1</v>
      </c>
      <c r="CK89" s="113" t="str">
        <f t="shared" si="47"/>
        <v/>
      </c>
      <c r="CL89" s="108" t="str">
        <f t="shared" si="48"/>
        <v/>
      </c>
      <c r="CM89" s="108" t="str">
        <f t="shared" si="49"/>
        <v/>
      </c>
      <c r="CN89" s="108" t="str">
        <f t="shared" si="50"/>
        <v/>
      </c>
      <c r="CO89" s="108" t="str">
        <f t="shared" si="51"/>
        <v/>
      </c>
    </row>
    <row r="90" spans="1:93">
      <c r="A90" s="103" t="s">
        <v>329</v>
      </c>
      <c r="B90" s="103" t="s">
        <v>174</v>
      </c>
      <c r="C90" s="103" t="s">
        <v>153</v>
      </c>
      <c r="D90" s="250" t="s">
        <v>153</v>
      </c>
      <c r="E90" s="250"/>
      <c r="F90" s="182">
        <v>9020</v>
      </c>
      <c r="G90" s="250" t="s">
        <v>175</v>
      </c>
      <c r="H90" s="250">
        <v>5</v>
      </c>
      <c r="I90" s="250"/>
      <c r="J90" s="250"/>
      <c r="K90" s="250"/>
      <c r="L90" s="250" t="s">
        <v>61</v>
      </c>
      <c r="M90" s="250">
        <v>5</v>
      </c>
      <c r="N90" s="250"/>
      <c r="O90" s="250"/>
      <c r="P90" s="250" t="s">
        <v>153</v>
      </c>
      <c r="Q90" s="250"/>
      <c r="R90" s="250" t="s">
        <v>327</v>
      </c>
      <c r="S90" s="250"/>
      <c r="T90" s="250" t="s">
        <v>155</v>
      </c>
      <c r="U90" s="103" t="s">
        <v>330</v>
      </c>
      <c r="V90" s="106" t="s">
        <v>157</v>
      </c>
      <c r="W90" s="103" t="s">
        <v>158</v>
      </c>
      <c r="X90" s="103">
        <f>IFERROR(MATCH(W90,'CostModel Coef'!$C$9:$C$12,0),0)</f>
        <v>0</v>
      </c>
      <c r="Y90" s="103"/>
      <c r="Z90" s="103" t="str">
        <f>IF($X90&gt;0,INDEX('CostModel Coef'!D$9:D$12,$X90),"")</f>
        <v/>
      </c>
      <c r="AA90" s="103" t="str">
        <f>IF($X90&gt;0,INDEX('CostModel Coef'!E$9:E$12,$X90),"")</f>
        <v/>
      </c>
      <c r="AB90" s="103" t="str">
        <f>IF($X90&gt;0,INDEX('CostModel Coef'!F$9:F$12,$X90),"")</f>
        <v/>
      </c>
      <c r="AC90" s="103" t="str">
        <f>IF($X90&gt;0,INDEX('CostModel Coef'!G$9:G$12,$X90),"")</f>
        <v/>
      </c>
      <c r="AD90" s="103" t="str">
        <f>IF($X90&gt;0,INDEX('CostModel Coef'!H$9:H$12,$X90),"")</f>
        <v/>
      </c>
      <c r="AE90" s="103" t="str">
        <f>IF($X90&gt;0,INDEX('CostModel Coef'!J$9:J$12,$X90),"")</f>
        <v/>
      </c>
      <c r="AF90" s="103" t="str">
        <f>IF($X90&gt;0,INDEX('CostModel Coef'!K$9:K$12,$X90),"")</f>
        <v/>
      </c>
      <c r="AG90" s="103" t="str">
        <f>IF($X90&gt;0,INDEX('CostModel Coef'!L$9:L$12,$X90),"")</f>
        <v/>
      </c>
      <c r="AH90" s="103" t="str">
        <f>IF($X90&gt;0,INDEX('CostModel Coef'!M$9:M$12,$X90),"")</f>
        <v/>
      </c>
      <c r="AI90" s="103" t="str">
        <f>IF($X90&gt;0,INDEX('CostModel Coef'!N$9:N$12,$X90),"")</f>
        <v/>
      </c>
      <c r="AJ90" s="103" t="str">
        <f>IF($X90&gt;0,INDEX('CostModel Coef'!Q$9:Q$12,$X90),"")</f>
        <v/>
      </c>
      <c r="AK90" s="103" t="str">
        <f>IF($X90&gt;0,INDEX('CostModel Coef'!T$9:T$12,$X90),"")</f>
        <v/>
      </c>
      <c r="AL90" s="103"/>
      <c r="AM90" s="108" t="str">
        <f t="shared" si="27"/>
        <v/>
      </c>
      <c r="AN90" s="108" t="str">
        <f t="shared" si="28"/>
        <v/>
      </c>
      <c r="AO90" s="108" t="str">
        <f t="shared" si="29"/>
        <v/>
      </c>
      <c r="AP90" s="108" t="str">
        <f t="shared" si="30"/>
        <v/>
      </c>
      <c r="AQ90" s="108" t="str">
        <f t="shared" si="31"/>
        <v/>
      </c>
      <c r="AR90" s="108"/>
      <c r="AS90" s="108"/>
      <c r="AT90" s="103" t="str">
        <f>IF($X90&gt;0,INDEX('CostModel Coef'!D$13:D$16,$X90),"")</f>
        <v/>
      </c>
      <c r="AU90" s="103" t="str">
        <f>IF($X90&gt;0,INDEX('CostModel Coef'!E$13:E$16,$X90),"")</f>
        <v/>
      </c>
      <c r="AV90" s="103" t="str">
        <f>IF($X90&gt;0,INDEX('CostModel Coef'!F$13:F$16,$X90),"")</f>
        <v/>
      </c>
      <c r="AW90" s="103" t="str">
        <f>IF($X90&gt;0,INDEX('CostModel Coef'!G$13:G$16,$X90),"")</f>
        <v/>
      </c>
      <c r="AX90" s="103" t="str">
        <f>IF($X90&gt;0,INDEX('CostModel Coef'!H$13:H$16,$X90),"")</f>
        <v/>
      </c>
      <c r="AY90" s="103" t="str">
        <f>IF($X90&gt;0,INDEX('CostModel Coef'!I$13:I$16,$X90),"")</f>
        <v/>
      </c>
      <c r="AZ90" s="103" t="str">
        <f>IF($X90&gt;0,INDEX('CostModel Coef'!J$13:J$16,$X90),"")</f>
        <v/>
      </c>
      <c r="BA90" s="103" t="str">
        <f>IF($X90&gt;0,INDEX('CostModel Coef'!K$13:K$16,$X90),"")</f>
        <v/>
      </c>
      <c r="BB90" s="103" t="str">
        <f>IF($X90&gt;0,INDEX('CostModel Coef'!L$13:L$16,$X90),"")</f>
        <v/>
      </c>
      <c r="BC90" s="103" t="str">
        <f>IF($X90&gt;0,INDEX('CostModel Coef'!M$13:M$16,$X90),"")</f>
        <v/>
      </c>
      <c r="BD90" s="103" t="str">
        <f>IF($X90&gt;0,INDEX('CostModel Coef'!N$13:N$16,$X90),"")</f>
        <v/>
      </c>
      <c r="BE90" s="103" t="str">
        <f>IF($X90&gt;0,INDEX('CostModel Coef'!O$13:O$16,$X90),"")</f>
        <v/>
      </c>
      <c r="BF90" s="103" t="str">
        <f>IF($X90&gt;0,INDEX('CostModel Coef'!P$13:P$16,$X90),"")</f>
        <v/>
      </c>
      <c r="BG90" s="103" t="str">
        <f>IF($X90&gt;0,INDEX('CostModel Coef'!Q$13:Q$16,$X90),"")</f>
        <v/>
      </c>
      <c r="BH90" s="103" t="str">
        <f>IF($X90&gt;0,INDEX('CostModel Coef'!R$13:R$16,$X90),"")</f>
        <v/>
      </c>
      <c r="BI90" s="103" t="str">
        <f>IF($X90&gt;0,INDEX('CostModel Coef'!S$13:S$16,$X90),"")</f>
        <v/>
      </c>
      <c r="BJ90" s="103" t="str">
        <f>IF($X90&gt;0,INDEX('CostModel Coef'!T$13:T$16,$X90),"")</f>
        <v/>
      </c>
      <c r="BK90" s="103" t="str">
        <f>IF($X90&gt;0,INDEX('CostModel Coef'!U$13:U$16,$X90),"")</f>
        <v/>
      </c>
      <c r="BL90" s="103" t="str">
        <f>IF($X90&gt;0,INDEX('CostModel Coef'!V$13:V$16,$X90),"")</f>
        <v/>
      </c>
      <c r="BM90" s="103" t="str">
        <f>IF($X90&gt;0,INDEX('CostModel Coef'!W$13:W$16,$X90),"")</f>
        <v/>
      </c>
      <c r="BN90" s="103" t="str">
        <f>IF($X90&gt;0,INDEX('CostModel Coef'!X$13:X$16,$X90),"")</f>
        <v/>
      </c>
      <c r="BO90" s="103"/>
      <c r="BP90" s="119">
        <v>2000</v>
      </c>
      <c r="BQ90" s="103"/>
      <c r="BR90" s="103"/>
      <c r="BS90" s="119" t="str">
        <f t="shared" si="34"/>
        <v/>
      </c>
      <c r="BT90" s="174">
        <f t="shared" si="26"/>
        <v>-1</v>
      </c>
      <c r="BU90" s="113" t="str">
        <f t="shared" si="36"/>
        <v>OOS</v>
      </c>
      <c r="BV90" s="108" t="str">
        <f t="shared" si="37"/>
        <v>OOS</v>
      </c>
      <c r="BW90" s="108" t="str">
        <f t="shared" si="38"/>
        <v>OOS</v>
      </c>
      <c r="BX90" s="108" t="str">
        <f t="shared" si="39"/>
        <v>OOS</v>
      </c>
      <c r="BY90" s="108" t="str">
        <f t="shared" si="40"/>
        <v>OOS</v>
      </c>
      <c r="BZ90" s="108"/>
      <c r="CA90" s="119" t="str">
        <f t="shared" si="41"/>
        <v/>
      </c>
      <c r="CB90" s="180">
        <v>-1</v>
      </c>
      <c r="CC90" s="113" t="str">
        <f t="shared" si="42"/>
        <v/>
      </c>
      <c r="CD90" s="108" t="str">
        <f t="shared" si="43"/>
        <v/>
      </c>
      <c r="CE90" s="108" t="str">
        <f t="shared" si="44"/>
        <v/>
      </c>
      <c r="CF90" s="108" t="str">
        <f t="shared" si="45"/>
        <v/>
      </c>
      <c r="CG90" s="108" t="str">
        <f t="shared" si="46"/>
        <v/>
      </c>
      <c r="CH90" s="103"/>
      <c r="CI90" s="119" t="str">
        <f t="shared" si="35"/>
        <v/>
      </c>
      <c r="CJ90" s="174">
        <f t="shared" si="33"/>
        <v>-1</v>
      </c>
      <c r="CK90" s="113" t="str">
        <f t="shared" si="47"/>
        <v/>
      </c>
      <c r="CL90" s="108" t="str">
        <f t="shared" si="48"/>
        <v/>
      </c>
      <c r="CM90" s="108" t="str">
        <f t="shared" si="49"/>
        <v/>
      </c>
      <c r="CN90" s="108" t="str">
        <f t="shared" si="50"/>
        <v/>
      </c>
      <c r="CO90" s="108" t="str">
        <f t="shared" si="51"/>
        <v/>
      </c>
    </row>
    <row r="91" spans="1:93">
      <c r="A91" s="103" t="s">
        <v>331</v>
      </c>
      <c r="B91" s="103" t="s">
        <v>174</v>
      </c>
      <c r="C91" s="103" t="s">
        <v>153</v>
      </c>
      <c r="D91" s="250" t="s">
        <v>153</v>
      </c>
      <c r="E91" s="250"/>
      <c r="F91" s="182">
        <v>9020</v>
      </c>
      <c r="G91" s="250" t="s">
        <v>175</v>
      </c>
      <c r="H91" s="250">
        <v>8</v>
      </c>
      <c r="I91" s="250"/>
      <c r="J91" s="250"/>
      <c r="K91" s="250"/>
      <c r="L91" s="250" t="s">
        <v>61</v>
      </c>
      <c r="M91" s="250">
        <v>8</v>
      </c>
      <c r="N91" s="250"/>
      <c r="O91" s="250"/>
      <c r="P91" s="250" t="s">
        <v>153</v>
      </c>
      <c r="Q91" s="250"/>
      <c r="R91" s="250" t="s">
        <v>327</v>
      </c>
      <c r="S91" s="250"/>
      <c r="T91" s="250" t="s">
        <v>155</v>
      </c>
      <c r="U91" s="103" t="s">
        <v>332</v>
      </c>
      <c r="V91" s="106" t="s">
        <v>157</v>
      </c>
      <c r="W91" s="103" t="s">
        <v>158</v>
      </c>
      <c r="X91" s="103">
        <f>IFERROR(MATCH(W91,'CostModel Coef'!$C$9:$C$12,0),0)</f>
        <v>0</v>
      </c>
      <c r="Y91" s="103"/>
      <c r="Z91" s="103" t="str">
        <f>IF($X91&gt;0,INDEX('CostModel Coef'!D$9:D$12,$X91),"")</f>
        <v/>
      </c>
      <c r="AA91" s="103" t="str">
        <f>IF($X91&gt;0,INDEX('CostModel Coef'!E$9:E$12,$X91),"")</f>
        <v/>
      </c>
      <c r="AB91" s="103" t="str">
        <f>IF($X91&gt;0,INDEX('CostModel Coef'!F$9:F$12,$X91),"")</f>
        <v/>
      </c>
      <c r="AC91" s="103" t="str">
        <f>IF($X91&gt;0,INDEX('CostModel Coef'!G$9:G$12,$X91),"")</f>
        <v/>
      </c>
      <c r="AD91" s="103" t="str">
        <f>IF($X91&gt;0,INDEX('CostModel Coef'!H$9:H$12,$X91),"")</f>
        <v/>
      </c>
      <c r="AE91" s="103" t="str">
        <f>IF($X91&gt;0,INDEX('CostModel Coef'!J$9:J$12,$X91),"")</f>
        <v/>
      </c>
      <c r="AF91" s="103" t="str">
        <f>IF($X91&gt;0,INDEX('CostModel Coef'!K$9:K$12,$X91),"")</f>
        <v/>
      </c>
      <c r="AG91" s="103" t="str">
        <f>IF($X91&gt;0,INDEX('CostModel Coef'!L$9:L$12,$X91),"")</f>
        <v/>
      </c>
      <c r="AH91" s="103" t="str">
        <f>IF($X91&gt;0,INDEX('CostModel Coef'!M$9:M$12,$X91),"")</f>
        <v/>
      </c>
      <c r="AI91" s="103" t="str">
        <f>IF($X91&gt;0,INDEX('CostModel Coef'!N$9:N$12,$X91),"")</f>
        <v/>
      </c>
      <c r="AJ91" s="103" t="str">
        <f>IF($X91&gt;0,INDEX('CostModel Coef'!Q$9:Q$12,$X91),"")</f>
        <v/>
      </c>
      <c r="AK91" s="103" t="str">
        <f>IF($X91&gt;0,INDEX('CostModel Coef'!T$9:T$12,$X91),"")</f>
        <v/>
      </c>
      <c r="AL91" s="103"/>
      <c r="AM91" s="108" t="str">
        <f t="shared" si="27"/>
        <v/>
      </c>
      <c r="AN91" s="108" t="str">
        <f t="shared" si="28"/>
        <v/>
      </c>
      <c r="AO91" s="108" t="str">
        <f t="shared" si="29"/>
        <v/>
      </c>
      <c r="AP91" s="108" t="str">
        <f t="shared" si="30"/>
        <v/>
      </c>
      <c r="AQ91" s="108" t="str">
        <f t="shared" si="31"/>
        <v/>
      </c>
      <c r="AR91" s="108"/>
      <c r="AS91" s="108"/>
      <c r="AT91" s="103" t="str">
        <f>IF($X91&gt;0,INDEX('CostModel Coef'!D$13:D$16,$X91),"")</f>
        <v/>
      </c>
      <c r="AU91" s="103" t="str">
        <f>IF($X91&gt;0,INDEX('CostModel Coef'!E$13:E$16,$X91),"")</f>
        <v/>
      </c>
      <c r="AV91" s="103" t="str">
        <f>IF($X91&gt;0,INDEX('CostModel Coef'!F$13:F$16,$X91),"")</f>
        <v/>
      </c>
      <c r="AW91" s="103" t="str">
        <f>IF($X91&gt;0,INDEX('CostModel Coef'!G$13:G$16,$X91),"")</f>
        <v/>
      </c>
      <c r="AX91" s="103" t="str">
        <f>IF($X91&gt;0,INDEX('CostModel Coef'!H$13:H$16,$X91),"")</f>
        <v/>
      </c>
      <c r="AY91" s="103" t="str">
        <f>IF($X91&gt;0,INDEX('CostModel Coef'!I$13:I$16,$X91),"")</f>
        <v/>
      </c>
      <c r="AZ91" s="103" t="str">
        <f>IF($X91&gt;0,INDEX('CostModel Coef'!J$13:J$16,$X91),"")</f>
        <v/>
      </c>
      <c r="BA91" s="103" t="str">
        <f>IF($X91&gt;0,INDEX('CostModel Coef'!K$13:K$16,$X91),"")</f>
        <v/>
      </c>
      <c r="BB91" s="103" t="str">
        <f>IF($X91&gt;0,INDEX('CostModel Coef'!L$13:L$16,$X91),"")</f>
        <v/>
      </c>
      <c r="BC91" s="103" t="str">
        <f>IF($X91&gt;0,INDEX('CostModel Coef'!M$13:M$16,$X91),"")</f>
        <v/>
      </c>
      <c r="BD91" s="103" t="str">
        <f>IF($X91&gt;0,INDEX('CostModel Coef'!N$13:N$16,$X91),"")</f>
        <v/>
      </c>
      <c r="BE91" s="103" t="str">
        <f>IF($X91&gt;0,INDEX('CostModel Coef'!O$13:O$16,$X91),"")</f>
        <v/>
      </c>
      <c r="BF91" s="103" t="str">
        <f>IF($X91&gt;0,INDEX('CostModel Coef'!P$13:P$16,$X91),"")</f>
        <v/>
      </c>
      <c r="BG91" s="103" t="str">
        <f>IF($X91&gt;0,INDEX('CostModel Coef'!Q$13:Q$16,$X91),"")</f>
        <v/>
      </c>
      <c r="BH91" s="103" t="str">
        <f>IF($X91&gt;0,INDEX('CostModel Coef'!R$13:R$16,$X91),"")</f>
        <v/>
      </c>
      <c r="BI91" s="103" t="str">
        <f>IF($X91&gt;0,INDEX('CostModel Coef'!S$13:S$16,$X91),"")</f>
        <v/>
      </c>
      <c r="BJ91" s="103" t="str">
        <f>IF($X91&gt;0,INDEX('CostModel Coef'!T$13:T$16,$X91),"")</f>
        <v/>
      </c>
      <c r="BK91" s="103" t="str">
        <f>IF($X91&gt;0,INDEX('CostModel Coef'!U$13:U$16,$X91),"")</f>
        <v/>
      </c>
      <c r="BL91" s="103" t="str">
        <f>IF($X91&gt;0,INDEX('CostModel Coef'!V$13:V$16,$X91),"")</f>
        <v/>
      </c>
      <c r="BM91" s="103" t="str">
        <f>IF($X91&gt;0,INDEX('CostModel Coef'!W$13:W$16,$X91),"")</f>
        <v/>
      </c>
      <c r="BN91" s="103" t="str">
        <f>IF($X91&gt;0,INDEX('CostModel Coef'!X$13:X$16,$X91),"")</f>
        <v/>
      </c>
      <c r="BO91" s="103"/>
      <c r="BP91" s="119">
        <v>2000</v>
      </c>
      <c r="BQ91" s="103"/>
      <c r="BR91" s="103"/>
      <c r="BS91" s="119" t="str">
        <f t="shared" si="34"/>
        <v/>
      </c>
      <c r="BT91" s="174">
        <f t="shared" si="26"/>
        <v>-1</v>
      </c>
      <c r="BU91" s="113" t="str">
        <f t="shared" si="36"/>
        <v>OOS</v>
      </c>
      <c r="BV91" s="108" t="str">
        <f t="shared" si="37"/>
        <v>OOS</v>
      </c>
      <c r="BW91" s="108" t="str">
        <f t="shared" si="38"/>
        <v>OOS</v>
      </c>
      <c r="BX91" s="108" t="str">
        <f t="shared" si="39"/>
        <v>OOS</v>
      </c>
      <c r="BY91" s="108" t="str">
        <f t="shared" si="40"/>
        <v>OOS</v>
      </c>
      <c r="BZ91" s="108"/>
      <c r="CA91" s="119" t="str">
        <f t="shared" si="41"/>
        <v/>
      </c>
      <c r="CB91" s="180">
        <v>-1</v>
      </c>
      <c r="CC91" s="113" t="str">
        <f t="shared" si="42"/>
        <v/>
      </c>
      <c r="CD91" s="108" t="str">
        <f t="shared" si="43"/>
        <v/>
      </c>
      <c r="CE91" s="108" t="str">
        <f t="shared" si="44"/>
        <v/>
      </c>
      <c r="CF91" s="108" t="str">
        <f t="shared" si="45"/>
        <v/>
      </c>
      <c r="CG91" s="108" t="str">
        <f t="shared" si="46"/>
        <v/>
      </c>
      <c r="CH91" s="103"/>
      <c r="CI91" s="119" t="str">
        <f t="shared" si="35"/>
        <v/>
      </c>
      <c r="CJ91" s="174">
        <f t="shared" si="33"/>
        <v>-1</v>
      </c>
      <c r="CK91" s="113" t="str">
        <f t="shared" si="47"/>
        <v/>
      </c>
      <c r="CL91" s="108" t="str">
        <f t="shared" si="48"/>
        <v/>
      </c>
      <c r="CM91" s="108" t="str">
        <f t="shared" si="49"/>
        <v/>
      </c>
      <c r="CN91" s="108" t="str">
        <f t="shared" si="50"/>
        <v/>
      </c>
      <c r="CO91" s="108" t="str">
        <f t="shared" si="51"/>
        <v/>
      </c>
    </row>
    <row r="92" spans="1:93">
      <c r="A92" s="103" t="s">
        <v>333</v>
      </c>
      <c r="B92" s="103" t="s">
        <v>174</v>
      </c>
      <c r="C92" s="103" t="s">
        <v>334</v>
      </c>
      <c r="D92" s="250">
        <v>9</v>
      </c>
      <c r="E92" s="250"/>
      <c r="F92" s="182">
        <v>9020</v>
      </c>
      <c r="G92" s="250" t="s">
        <v>175</v>
      </c>
      <c r="H92" s="250">
        <v>22</v>
      </c>
      <c r="I92" s="250"/>
      <c r="J92" s="250"/>
      <c r="K92" s="250"/>
      <c r="L92" s="250" t="s">
        <v>61</v>
      </c>
      <c r="M92" s="250">
        <v>22</v>
      </c>
      <c r="N92" s="250" t="s">
        <v>176</v>
      </c>
      <c r="O92" s="250"/>
      <c r="P92" s="250" t="s">
        <v>153</v>
      </c>
      <c r="Q92" s="250"/>
      <c r="R92" s="250"/>
      <c r="S92" s="250"/>
      <c r="T92" s="250" t="s">
        <v>155</v>
      </c>
      <c r="U92" s="103" t="s">
        <v>335</v>
      </c>
      <c r="V92" s="106" t="s">
        <v>157</v>
      </c>
      <c r="W92" s="103" t="s">
        <v>158</v>
      </c>
      <c r="X92" s="103">
        <f>IFERROR(MATCH(W92,'CostModel Coef'!$C$9:$C$12,0),0)</f>
        <v>0</v>
      </c>
      <c r="Y92" s="103"/>
      <c r="Z92" s="103" t="str">
        <f>IF($X92&gt;0,INDEX('CostModel Coef'!D$9:D$12,$X92),"")</f>
        <v/>
      </c>
      <c r="AA92" s="103" t="str">
        <f>IF($X92&gt;0,INDEX('CostModel Coef'!E$9:E$12,$X92),"")</f>
        <v/>
      </c>
      <c r="AB92" s="103" t="str">
        <f>IF($X92&gt;0,INDEX('CostModel Coef'!F$9:F$12,$X92),"")</f>
        <v/>
      </c>
      <c r="AC92" s="103" t="str">
        <f>IF($X92&gt;0,INDEX('CostModel Coef'!G$9:G$12,$X92),"")</f>
        <v/>
      </c>
      <c r="AD92" s="103" t="str">
        <f>IF($X92&gt;0,INDEX('CostModel Coef'!H$9:H$12,$X92),"")</f>
        <v/>
      </c>
      <c r="AE92" s="103" t="str">
        <f>IF($X92&gt;0,INDEX('CostModel Coef'!J$9:J$12,$X92),"")</f>
        <v/>
      </c>
      <c r="AF92" s="103" t="str">
        <f>IF($X92&gt;0,INDEX('CostModel Coef'!K$9:K$12,$X92),"")</f>
        <v/>
      </c>
      <c r="AG92" s="103" t="str">
        <f>IF($X92&gt;0,INDEX('CostModel Coef'!L$9:L$12,$X92),"")</f>
        <v/>
      </c>
      <c r="AH92" s="103" t="str">
        <f>IF($X92&gt;0,INDEX('CostModel Coef'!M$9:M$12,$X92),"")</f>
        <v/>
      </c>
      <c r="AI92" s="103" t="str">
        <f>IF($X92&gt;0,INDEX('CostModel Coef'!N$9:N$12,$X92),"")</f>
        <v/>
      </c>
      <c r="AJ92" s="103" t="str">
        <f>IF($X92&gt;0,INDEX('CostModel Coef'!Q$9:Q$12,$X92),"")</f>
        <v/>
      </c>
      <c r="AK92" s="103" t="str">
        <f>IF($X92&gt;0,INDEX('CostModel Coef'!T$9:T$12,$X92),"")</f>
        <v/>
      </c>
      <c r="AL92" s="103"/>
      <c r="AM92" s="108" t="str">
        <f t="shared" si="27"/>
        <v/>
      </c>
      <c r="AN92" s="108" t="str">
        <f t="shared" si="28"/>
        <v/>
      </c>
      <c r="AO92" s="108" t="str">
        <f t="shared" si="29"/>
        <v/>
      </c>
      <c r="AP92" s="108" t="str">
        <f t="shared" si="30"/>
        <v/>
      </c>
      <c r="AQ92" s="108" t="str">
        <f t="shared" si="31"/>
        <v/>
      </c>
      <c r="AR92" s="108"/>
      <c r="AS92" s="108"/>
      <c r="AT92" s="103" t="str">
        <f>IF($X92&gt;0,INDEX('CostModel Coef'!D$13:D$16,$X92),"")</f>
        <v/>
      </c>
      <c r="AU92" s="103" t="str">
        <f>IF($X92&gt;0,INDEX('CostModel Coef'!E$13:E$16,$X92),"")</f>
        <v/>
      </c>
      <c r="AV92" s="103" t="str">
        <f>IF($X92&gt;0,INDEX('CostModel Coef'!F$13:F$16,$X92),"")</f>
        <v/>
      </c>
      <c r="AW92" s="103" t="str">
        <f>IF($X92&gt;0,INDEX('CostModel Coef'!G$13:G$16,$X92),"")</f>
        <v/>
      </c>
      <c r="AX92" s="103" t="str">
        <f>IF($X92&gt;0,INDEX('CostModel Coef'!H$13:H$16,$X92),"")</f>
        <v/>
      </c>
      <c r="AY92" s="103" t="str">
        <f>IF($X92&gt;0,INDEX('CostModel Coef'!I$13:I$16,$X92),"")</f>
        <v/>
      </c>
      <c r="AZ92" s="103" t="str">
        <f>IF($X92&gt;0,INDEX('CostModel Coef'!J$13:J$16,$X92),"")</f>
        <v/>
      </c>
      <c r="BA92" s="103" t="str">
        <f>IF($X92&gt;0,INDEX('CostModel Coef'!K$13:K$16,$X92),"")</f>
        <v/>
      </c>
      <c r="BB92" s="103" t="str">
        <f>IF($X92&gt;0,INDEX('CostModel Coef'!L$13:L$16,$X92),"")</f>
        <v/>
      </c>
      <c r="BC92" s="103" t="str">
        <f>IF($X92&gt;0,INDEX('CostModel Coef'!M$13:M$16,$X92),"")</f>
        <v/>
      </c>
      <c r="BD92" s="103" t="str">
        <f>IF($X92&gt;0,INDEX('CostModel Coef'!N$13:N$16,$X92),"")</f>
        <v/>
      </c>
      <c r="BE92" s="103" t="str">
        <f>IF($X92&gt;0,INDEX('CostModel Coef'!O$13:O$16,$X92),"")</f>
        <v/>
      </c>
      <c r="BF92" s="103" t="str">
        <f>IF($X92&gt;0,INDEX('CostModel Coef'!P$13:P$16,$X92),"")</f>
        <v/>
      </c>
      <c r="BG92" s="103" t="str">
        <f>IF($X92&gt;0,INDEX('CostModel Coef'!Q$13:Q$16,$X92),"")</f>
        <v/>
      </c>
      <c r="BH92" s="103" t="str">
        <f>IF($X92&gt;0,INDEX('CostModel Coef'!R$13:R$16,$X92),"")</f>
        <v/>
      </c>
      <c r="BI92" s="103" t="str">
        <f>IF($X92&gt;0,INDEX('CostModel Coef'!S$13:S$16,$X92),"")</f>
        <v/>
      </c>
      <c r="BJ92" s="103" t="str">
        <f>IF($X92&gt;0,INDEX('CostModel Coef'!T$13:T$16,$X92),"")</f>
        <v/>
      </c>
      <c r="BK92" s="103" t="str">
        <f>IF($X92&gt;0,INDEX('CostModel Coef'!U$13:U$16,$X92),"")</f>
        <v/>
      </c>
      <c r="BL92" s="103" t="str">
        <f>IF($X92&gt;0,INDEX('CostModel Coef'!V$13:V$16,$X92),"")</f>
        <v/>
      </c>
      <c r="BM92" s="103" t="str">
        <f>IF($X92&gt;0,INDEX('CostModel Coef'!W$13:W$16,$X92),"")</f>
        <v/>
      </c>
      <c r="BN92" s="103" t="str">
        <f>IF($X92&gt;0,INDEX('CostModel Coef'!X$13:X$16,$X92),"")</f>
        <v/>
      </c>
      <c r="BO92" s="103"/>
      <c r="BP92" s="119">
        <v>2000</v>
      </c>
      <c r="BQ92" s="103"/>
      <c r="BR92" s="103"/>
      <c r="BS92" s="119" t="str">
        <f t="shared" si="34"/>
        <v/>
      </c>
      <c r="BT92" s="174">
        <f t="shared" si="26"/>
        <v>-1</v>
      </c>
      <c r="BU92" s="113" t="str">
        <f t="shared" si="36"/>
        <v>OOS</v>
      </c>
      <c r="BV92" s="108" t="str">
        <f t="shared" si="37"/>
        <v>OOS</v>
      </c>
      <c r="BW92" s="108" t="str">
        <f t="shared" si="38"/>
        <v>OOS</v>
      </c>
      <c r="BX92" s="108" t="str">
        <f t="shared" si="39"/>
        <v>OOS</v>
      </c>
      <c r="BY92" s="108" t="str">
        <f t="shared" si="40"/>
        <v>OOS</v>
      </c>
      <c r="BZ92" s="108"/>
      <c r="CA92" s="119" t="str">
        <f t="shared" si="41"/>
        <v/>
      </c>
      <c r="CB92" s="174">
        <f t="shared" si="32"/>
        <v>-1</v>
      </c>
      <c r="CC92" s="113" t="str">
        <f t="shared" si="42"/>
        <v/>
      </c>
      <c r="CD92" s="108" t="str">
        <f t="shared" si="43"/>
        <v/>
      </c>
      <c r="CE92" s="108" t="str">
        <f t="shared" si="44"/>
        <v/>
      </c>
      <c r="CF92" s="108" t="str">
        <f t="shared" si="45"/>
        <v/>
      </c>
      <c r="CG92" s="108" t="str">
        <f t="shared" si="46"/>
        <v/>
      </c>
      <c r="CH92" s="103"/>
      <c r="CI92" s="119" t="str">
        <f t="shared" si="35"/>
        <v/>
      </c>
      <c r="CJ92" s="174">
        <f t="shared" si="33"/>
        <v>-1</v>
      </c>
      <c r="CK92" s="113" t="str">
        <f t="shared" si="47"/>
        <v/>
      </c>
      <c r="CL92" s="108" t="str">
        <f t="shared" si="48"/>
        <v/>
      </c>
      <c r="CM92" s="108" t="str">
        <f t="shared" si="49"/>
        <v/>
      </c>
      <c r="CN92" s="108" t="str">
        <f t="shared" si="50"/>
        <v/>
      </c>
      <c r="CO92" s="108" t="str">
        <f t="shared" si="51"/>
        <v/>
      </c>
    </row>
    <row r="93" spans="1:93">
      <c r="A93" s="103" t="s">
        <v>336</v>
      </c>
      <c r="B93" s="103" t="s">
        <v>174</v>
      </c>
      <c r="C93" s="103" t="s">
        <v>334</v>
      </c>
      <c r="D93" s="250">
        <v>9</v>
      </c>
      <c r="E93" s="250"/>
      <c r="F93" s="182">
        <v>9020</v>
      </c>
      <c r="G93" s="250" t="s">
        <v>175</v>
      </c>
      <c r="H93" s="250">
        <v>22</v>
      </c>
      <c r="I93" s="250"/>
      <c r="J93" s="250"/>
      <c r="K93" s="250"/>
      <c r="L93" s="250" t="s">
        <v>61</v>
      </c>
      <c r="M93" s="250">
        <v>22</v>
      </c>
      <c r="N93" s="250"/>
      <c r="O93" s="250"/>
      <c r="P93" s="250" t="s">
        <v>153</v>
      </c>
      <c r="Q93" s="250"/>
      <c r="R93" s="250"/>
      <c r="S93" s="250"/>
      <c r="T93" s="250" t="s">
        <v>155</v>
      </c>
      <c r="U93" s="103" t="s">
        <v>337</v>
      </c>
      <c r="V93" s="106" t="s">
        <v>157</v>
      </c>
      <c r="W93" s="103" t="s">
        <v>158</v>
      </c>
      <c r="X93" s="103">
        <f>IFERROR(MATCH(W93,'CostModel Coef'!$C$9:$C$12,0),0)</f>
        <v>0</v>
      </c>
      <c r="Y93" s="103"/>
      <c r="Z93" s="103" t="str">
        <f>IF($X93&gt;0,INDEX('CostModel Coef'!D$9:D$12,$X93),"")</f>
        <v/>
      </c>
      <c r="AA93" s="103" t="str">
        <f>IF($X93&gt;0,INDEX('CostModel Coef'!E$9:E$12,$X93),"")</f>
        <v/>
      </c>
      <c r="AB93" s="103" t="str">
        <f>IF($X93&gt;0,INDEX('CostModel Coef'!F$9:F$12,$X93),"")</f>
        <v/>
      </c>
      <c r="AC93" s="103" t="str">
        <f>IF($X93&gt;0,INDEX('CostModel Coef'!G$9:G$12,$X93),"")</f>
        <v/>
      </c>
      <c r="AD93" s="103" t="str">
        <f>IF($X93&gt;0,INDEX('CostModel Coef'!H$9:H$12,$X93),"")</f>
        <v/>
      </c>
      <c r="AE93" s="103" t="str">
        <f>IF($X93&gt;0,INDEX('CostModel Coef'!J$9:J$12,$X93),"")</f>
        <v/>
      </c>
      <c r="AF93" s="103" t="str">
        <f>IF($X93&gt;0,INDEX('CostModel Coef'!K$9:K$12,$X93),"")</f>
        <v/>
      </c>
      <c r="AG93" s="103" t="str">
        <f>IF($X93&gt;0,INDEX('CostModel Coef'!L$9:L$12,$X93),"")</f>
        <v/>
      </c>
      <c r="AH93" s="103" t="str">
        <f>IF($X93&gt;0,INDEX('CostModel Coef'!M$9:M$12,$X93),"")</f>
        <v/>
      </c>
      <c r="AI93" s="103" t="str">
        <f>IF($X93&gt;0,INDEX('CostModel Coef'!N$9:N$12,$X93),"")</f>
        <v/>
      </c>
      <c r="AJ93" s="103" t="str">
        <f>IF($X93&gt;0,INDEX('CostModel Coef'!Q$9:Q$12,$X93),"")</f>
        <v/>
      </c>
      <c r="AK93" s="103" t="str">
        <f>IF($X93&gt;0,INDEX('CostModel Coef'!T$9:T$12,$X93),"")</f>
        <v/>
      </c>
      <c r="AL93" s="103"/>
      <c r="AM93" s="108" t="str">
        <f t="shared" si="27"/>
        <v/>
      </c>
      <c r="AN93" s="108" t="str">
        <f t="shared" si="28"/>
        <v/>
      </c>
      <c r="AO93" s="108" t="str">
        <f t="shared" si="29"/>
        <v/>
      </c>
      <c r="AP93" s="108" t="str">
        <f t="shared" si="30"/>
        <v/>
      </c>
      <c r="AQ93" s="108" t="str">
        <f t="shared" si="31"/>
        <v/>
      </c>
      <c r="AR93" s="108"/>
      <c r="AS93" s="108"/>
      <c r="AT93" s="103" t="str">
        <f>IF($X93&gt;0,INDEX('CostModel Coef'!D$13:D$16,$X93),"")</f>
        <v/>
      </c>
      <c r="AU93" s="103" t="str">
        <f>IF($X93&gt;0,INDEX('CostModel Coef'!E$13:E$16,$X93),"")</f>
        <v/>
      </c>
      <c r="AV93" s="103" t="str">
        <f>IF($X93&gt;0,INDEX('CostModel Coef'!F$13:F$16,$X93),"")</f>
        <v/>
      </c>
      <c r="AW93" s="103" t="str">
        <f>IF($X93&gt;0,INDEX('CostModel Coef'!G$13:G$16,$X93),"")</f>
        <v/>
      </c>
      <c r="AX93" s="103" t="str">
        <f>IF($X93&gt;0,INDEX('CostModel Coef'!H$13:H$16,$X93),"")</f>
        <v/>
      </c>
      <c r="AY93" s="103" t="str">
        <f>IF($X93&gt;0,INDEX('CostModel Coef'!I$13:I$16,$X93),"")</f>
        <v/>
      </c>
      <c r="AZ93" s="103" t="str">
        <f>IF($X93&gt;0,INDEX('CostModel Coef'!J$13:J$16,$X93),"")</f>
        <v/>
      </c>
      <c r="BA93" s="103" t="str">
        <f>IF($X93&gt;0,INDEX('CostModel Coef'!K$13:K$16,$X93),"")</f>
        <v/>
      </c>
      <c r="BB93" s="103" t="str">
        <f>IF($X93&gt;0,INDEX('CostModel Coef'!L$13:L$16,$X93),"")</f>
        <v/>
      </c>
      <c r="BC93" s="103" t="str">
        <f>IF($X93&gt;0,INDEX('CostModel Coef'!M$13:M$16,$X93),"")</f>
        <v/>
      </c>
      <c r="BD93" s="103" t="str">
        <f>IF($X93&gt;0,INDEX('CostModel Coef'!N$13:N$16,$X93),"")</f>
        <v/>
      </c>
      <c r="BE93" s="103" t="str">
        <f>IF($X93&gt;0,INDEX('CostModel Coef'!O$13:O$16,$X93),"")</f>
        <v/>
      </c>
      <c r="BF93" s="103" t="str">
        <f>IF($X93&gt;0,INDEX('CostModel Coef'!P$13:P$16,$X93),"")</f>
        <v/>
      </c>
      <c r="BG93" s="103" t="str">
        <f>IF($X93&gt;0,INDEX('CostModel Coef'!Q$13:Q$16,$X93),"")</f>
        <v/>
      </c>
      <c r="BH93" s="103" t="str">
        <f>IF($X93&gt;0,INDEX('CostModel Coef'!R$13:R$16,$X93),"")</f>
        <v/>
      </c>
      <c r="BI93" s="103" t="str">
        <f>IF($X93&gt;0,INDEX('CostModel Coef'!S$13:S$16,$X93),"")</f>
        <v/>
      </c>
      <c r="BJ93" s="103" t="str">
        <f>IF($X93&gt;0,INDEX('CostModel Coef'!T$13:T$16,$X93),"")</f>
        <v/>
      </c>
      <c r="BK93" s="103" t="str">
        <f>IF($X93&gt;0,INDEX('CostModel Coef'!U$13:U$16,$X93),"")</f>
        <v/>
      </c>
      <c r="BL93" s="103" t="str">
        <f>IF($X93&gt;0,INDEX('CostModel Coef'!V$13:V$16,$X93),"")</f>
        <v/>
      </c>
      <c r="BM93" s="103" t="str">
        <f>IF($X93&gt;0,INDEX('CostModel Coef'!W$13:W$16,$X93),"")</f>
        <v/>
      </c>
      <c r="BN93" s="103" t="str">
        <f>IF($X93&gt;0,INDEX('CostModel Coef'!X$13:X$16,$X93),"")</f>
        <v/>
      </c>
      <c r="BO93" s="103"/>
      <c r="BP93" s="119">
        <v>2000</v>
      </c>
      <c r="BQ93" s="103"/>
      <c r="BR93" s="103"/>
      <c r="BS93" s="119" t="str">
        <f t="shared" si="34"/>
        <v/>
      </c>
      <c r="BT93" s="174">
        <f t="shared" si="26"/>
        <v>-1</v>
      </c>
      <c r="BU93" s="113" t="str">
        <f t="shared" si="36"/>
        <v>OOS</v>
      </c>
      <c r="BV93" s="108" t="str">
        <f t="shared" si="37"/>
        <v>OOS</v>
      </c>
      <c r="BW93" s="108" t="str">
        <f t="shared" si="38"/>
        <v>OOS</v>
      </c>
      <c r="BX93" s="108" t="str">
        <f t="shared" si="39"/>
        <v>OOS</v>
      </c>
      <c r="BY93" s="108" t="str">
        <f t="shared" si="40"/>
        <v>OOS</v>
      </c>
      <c r="BZ93" s="108"/>
      <c r="CA93" s="119" t="str">
        <f t="shared" si="41"/>
        <v/>
      </c>
      <c r="CB93" s="174">
        <f t="shared" si="32"/>
        <v>-1</v>
      </c>
      <c r="CC93" s="113" t="str">
        <f t="shared" si="42"/>
        <v/>
      </c>
      <c r="CD93" s="108" t="str">
        <f t="shared" si="43"/>
        <v/>
      </c>
      <c r="CE93" s="108" t="str">
        <f t="shared" si="44"/>
        <v/>
      </c>
      <c r="CF93" s="108" t="str">
        <f t="shared" si="45"/>
        <v/>
      </c>
      <c r="CG93" s="108" t="str">
        <f t="shared" si="46"/>
        <v/>
      </c>
      <c r="CH93" s="103"/>
      <c r="CI93" s="119" t="str">
        <f t="shared" si="35"/>
        <v/>
      </c>
      <c r="CJ93" s="174">
        <f t="shared" si="33"/>
        <v>-1</v>
      </c>
      <c r="CK93" s="113" t="str">
        <f t="shared" si="47"/>
        <v/>
      </c>
      <c r="CL93" s="108" t="str">
        <f t="shared" si="48"/>
        <v/>
      </c>
      <c r="CM93" s="108" t="str">
        <f t="shared" si="49"/>
        <v/>
      </c>
      <c r="CN93" s="108" t="str">
        <f t="shared" si="50"/>
        <v/>
      </c>
      <c r="CO93" s="108" t="str">
        <f t="shared" si="51"/>
        <v/>
      </c>
    </row>
    <row r="94" spans="1:93">
      <c r="A94" s="103" t="s">
        <v>338</v>
      </c>
      <c r="B94" s="103" t="s">
        <v>174</v>
      </c>
      <c r="C94" s="103" t="s">
        <v>334</v>
      </c>
      <c r="D94" s="250">
        <v>9</v>
      </c>
      <c r="E94" s="250"/>
      <c r="F94" s="182">
        <v>9020</v>
      </c>
      <c r="G94" s="250" t="s">
        <v>175</v>
      </c>
      <c r="H94" s="250">
        <v>26</v>
      </c>
      <c r="I94" s="250"/>
      <c r="J94" s="250"/>
      <c r="K94" s="250"/>
      <c r="L94" s="250" t="s">
        <v>61</v>
      </c>
      <c r="M94" s="250">
        <v>26</v>
      </c>
      <c r="N94" s="250"/>
      <c r="O94" s="250"/>
      <c r="P94" s="250" t="s">
        <v>153</v>
      </c>
      <c r="Q94" s="250"/>
      <c r="R94" s="250"/>
      <c r="S94" s="250"/>
      <c r="T94" s="250" t="s">
        <v>155</v>
      </c>
      <c r="U94" s="103" t="s">
        <v>339</v>
      </c>
      <c r="V94" s="106" t="s">
        <v>157</v>
      </c>
      <c r="W94" s="103" t="s">
        <v>158</v>
      </c>
      <c r="X94" s="103">
        <f>IFERROR(MATCH(W94,'CostModel Coef'!$C$9:$C$12,0),0)</f>
        <v>0</v>
      </c>
      <c r="Y94" s="103"/>
      <c r="Z94" s="103" t="str">
        <f>IF($X94&gt;0,INDEX('CostModel Coef'!D$9:D$12,$X94),"")</f>
        <v/>
      </c>
      <c r="AA94" s="103" t="str">
        <f>IF($X94&gt;0,INDEX('CostModel Coef'!E$9:E$12,$X94),"")</f>
        <v/>
      </c>
      <c r="AB94" s="103" t="str">
        <f>IF($X94&gt;0,INDEX('CostModel Coef'!F$9:F$12,$X94),"")</f>
        <v/>
      </c>
      <c r="AC94" s="103" t="str">
        <f>IF($X94&gt;0,INDEX('CostModel Coef'!G$9:G$12,$X94),"")</f>
        <v/>
      </c>
      <c r="AD94" s="103" t="str">
        <f>IF($X94&gt;0,INDEX('CostModel Coef'!H$9:H$12,$X94),"")</f>
        <v/>
      </c>
      <c r="AE94" s="103" t="str">
        <f>IF($X94&gt;0,INDEX('CostModel Coef'!J$9:J$12,$X94),"")</f>
        <v/>
      </c>
      <c r="AF94" s="103" t="str">
        <f>IF($X94&gt;0,INDEX('CostModel Coef'!K$9:K$12,$X94),"")</f>
        <v/>
      </c>
      <c r="AG94" s="103" t="str">
        <f>IF($X94&gt;0,INDEX('CostModel Coef'!L$9:L$12,$X94),"")</f>
        <v/>
      </c>
      <c r="AH94" s="103" t="str">
        <f>IF($X94&gt;0,INDEX('CostModel Coef'!M$9:M$12,$X94),"")</f>
        <v/>
      </c>
      <c r="AI94" s="103" t="str">
        <f>IF($X94&gt;0,INDEX('CostModel Coef'!N$9:N$12,$X94),"")</f>
        <v/>
      </c>
      <c r="AJ94" s="103" t="str">
        <f>IF($X94&gt;0,INDEX('CostModel Coef'!Q$9:Q$12,$X94),"")</f>
        <v/>
      </c>
      <c r="AK94" s="103" t="str">
        <f>IF($X94&gt;0,INDEX('CostModel Coef'!T$9:T$12,$X94),"")</f>
        <v/>
      </c>
      <c r="AL94" s="103"/>
      <c r="AM94" s="108" t="str">
        <f t="shared" si="27"/>
        <v/>
      </c>
      <c r="AN94" s="108" t="str">
        <f t="shared" si="28"/>
        <v/>
      </c>
      <c r="AO94" s="108" t="str">
        <f t="shared" si="29"/>
        <v/>
      </c>
      <c r="AP94" s="108" t="str">
        <f t="shared" si="30"/>
        <v/>
      </c>
      <c r="AQ94" s="108" t="str">
        <f t="shared" si="31"/>
        <v/>
      </c>
      <c r="AR94" s="108"/>
      <c r="AS94" s="108"/>
      <c r="AT94" s="103" t="str">
        <f>IF($X94&gt;0,INDEX('CostModel Coef'!D$13:D$16,$X94),"")</f>
        <v/>
      </c>
      <c r="AU94" s="103" t="str">
        <f>IF($X94&gt;0,INDEX('CostModel Coef'!E$13:E$16,$X94),"")</f>
        <v/>
      </c>
      <c r="AV94" s="103" t="str">
        <f>IF($X94&gt;0,INDEX('CostModel Coef'!F$13:F$16,$X94),"")</f>
        <v/>
      </c>
      <c r="AW94" s="103" t="str">
        <f>IF($X94&gt;0,INDEX('CostModel Coef'!G$13:G$16,$X94),"")</f>
        <v/>
      </c>
      <c r="AX94" s="103" t="str">
        <f>IF($X94&gt;0,INDEX('CostModel Coef'!H$13:H$16,$X94),"")</f>
        <v/>
      </c>
      <c r="AY94" s="103" t="str">
        <f>IF($X94&gt;0,INDEX('CostModel Coef'!I$13:I$16,$X94),"")</f>
        <v/>
      </c>
      <c r="AZ94" s="103" t="str">
        <f>IF($X94&gt;0,INDEX('CostModel Coef'!J$13:J$16,$X94),"")</f>
        <v/>
      </c>
      <c r="BA94" s="103" t="str">
        <f>IF($X94&gt;0,INDEX('CostModel Coef'!K$13:K$16,$X94),"")</f>
        <v/>
      </c>
      <c r="BB94" s="103" t="str">
        <f>IF($X94&gt;0,INDEX('CostModel Coef'!L$13:L$16,$X94),"")</f>
        <v/>
      </c>
      <c r="BC94" s="103" t="str">
        <f>IF($X94&gt;0,INDEX('CostModel Coef'!M$13:M$16,$X94),"")</f>
        <v/>
      </c>
      <c r="BD94" s="103" t="str">
        <f>IF($X94&gt;0,INDEX('CostModel Coef'!N$13:N$16,$X94),"")</f>
        <v/>
      </c>
      <c r="BE94" s="103" t="str">
        <f>IF($X94&gt;0,INDEX('CostModel Coef'!O$13:O$16,$X94),"")</f>
        <v/>
      </c>
      <c r="BF94" s="103" t="str">
        <f>IF($X94&gt;0,INDEX('CostModel Coef'!P$13:P$16,$X94),"")</f>
        <v/>
      </c>
      <c r="BG94" s="103" t="str">
        <f>IF($X94&gt;0,INDEX('CostModel Coef'!Q$13:Q$16,$X94),"")</f>
        <v/>
      </c>
      <c r="BH94" s="103" t="str">
        <f>IF($X94&gt;0,INDEX('CostModel Coef'!R$13:R$16,$X94),"")</f>
        <v/>
      </c>
      <c r="BI94" s="103" t="str">
        <f>IF($X94&gt;0,INDEX('CostModel Coef'!S$13:S$16,$X94),"")</f>
        <v/>
      </c>
      <c r="BJ94" s="103" t="str">
        <f>IF($X94&gt;0,INDEX('CostModel Coef'!T$13:T$16,$X94),"")</f>
        <v/>
      </c>
      <c r="BK94" s="103" t="str">
        <f>IF($X94&gt;0,INDEX('CostModel Coef'!U$13:U$16,$X94),"")</f>
        <v/>
      </c>
      <c r="BL94" s="103" t="str">
        <f>IF($X94&gt;0,INDEX('CostModel Coef'!V$13:V$16,$X94),"")</f>
        <v/>
      </c>
      <c r="BM94" s="103" t="str">
        <f>IF($X94&gt;0,INDEX('CostModel Coef'!W$13:W$16,$X94),"")</f>
        <v/>
      </c>
      <c r="BN94" s="103" t="str">
        <f>IF($X94&gt;0,INDEX('CostModel Coef'!X$13:X$16,$X94),"")</f>
        <v/>
      </c>
      <c r="BO94" s="103"/>
      <c r="BP94" s="119">
        <v>2000</v>
      </c>
      <c r="BQ94" s="103"/>
      <c r="BR94" s="103"/>
      <c r="BS94" s="119" t="str">
        <f t="shared" si="34"/>
        <v/>
      </c>
      <c r="BT94" s="174">
        <f t="shared" si="26"/>
        <v>-1</v>
      </c>
      <c r="BU94" s="113" t="str">
        <f t="shared" si="36"/>
        <v>OOS</v>
      </c>
      <c r="BV94" s="108" t="str">
        <f t="shared" si="37"/>
        <v>OOS</v>
      </c>
      <c r="BW94" s="108" t="str">
        <f t="shared" si="38"/>
        <v>OOS</v>
      </c>
      <c r="BX94" s="108" t="str">
        <f t="shared" si="39"/>
        <v>OOS</v>
      </c>
      <c r="BY94" s="108" t="str">
        <f t="shared" si="40"/>
        <v>OOS</v>
      </c>
      <c r="BZ94" s="108"/>
      <c r="CA94" s="119" t="str">
        <f t="shared" si="41"/>
        <v/>
      </c>
      <c r="CB94" s="174">
        <f t="shared" si="32"/>
        <v>-1</v>
      </c>
      <c r="CC94" s="113" t="str">
        <f t="shared" si="42"/>
        <v/>
      </c>
      <c r="CD94" s="108" t="str">
        <f t="shared" si="43"/>
        <v/>
      </c>
      <c r="CE94" s="108" t="str">
        <f t="shared" si="44"/>
        <v/>
      </c>
      <c r="CF94" s="108" t="str">
        <f t="shared" si="45"/>
        <v/>
      </c>
      <c r="CG94" s="108" t="str">
        <f t="shared" si="46"/>
        <v/>
      </c>
      <c r="CH94" s="103"/>
      <c r="CI94" s="119" t="str">
        <f t="shared" si="35"/>
        <v/>
      </c>
      <c r="CJ94" s="174">
        <f t="shared" si="33"/>
        <v>-1</v>
      </c>
      <c r="CK94" s="113" t="str">
        <f t="shared" si="47"/>
        <v/>
      </c>
      <c r="CL94" s="108" t="str">
        <f t="shared" si="48"/>
        <v/>
      </c>
      <c r="CM94" s="108" t="str">
        <f t="shared" si="49"/>
        <v/>
      </c>
      <c r="CN94" s="108" t="str">
        <f t="shared" si="50"/>
        <v/>
      </c>
      <c r="CO94" s="108" t="str">
        <f t="shared" si="51"/>
        <v/>
      </c>
    </row>
    <row r="95" spans="1:93">
      <c r="A95" s="103" t="s">
        <v>340</v>
      </c>
      <c r="B95" s="103" t="s">
        <v>174</v>
      </c>
      <c r="C95" s="103" t="s">
        <v>334</v>
      </c>
      <c r="D95" s="250">
        <v>9</v>
      </c>
      <c r="E95" s="250"/>
      <c r="F95" s="182">
        <v>9020</v>
      </c>
      <c r="G95" s="250" t="s">
        <v>175</v>
      </c>
      <c r="H95" s="250">
        <v>32</v>
      </c>
      <c r="I95" s="250"/>
      <c r="J95" s="250"/>
      <c r="K95" s="250"/>
      <c r="L95" s="250" t="s">
        <v>61</v>
      </c>
      <c r="M95" s="250">
        <v>32</v>
      </c>
      <c r="N95" s="250"/>
      <c r="O95" s="250"/>
      <c r="P95" s="250" t="s">
        <v>153</v>
      </c>
      <c r="Q95" s="250"/>
      <c r="R95" s="250"/>
      <c r="S95" s="250"/>
      <c r="T95" s="250" t="s">
        <v>155</v>
      </c>
      <c r="U95" s="103" t="s">
        <v>341</v>
      </c>
      <c r="V95" s="106" t="s">
        <v>157</v>
      </c>
      <c r="W95" s="103" t="s">
        <v>158</v>
      </c>
      <c r="X95" s="103">
        <f>IFERROR(MATCH(W95,'CostModel Coef'!$C$9:$C$12,0),0)</f>
        <v>0</v>
      </c>
      <c r="Y95" s="103"/>
      <c r="Z95" s="103" t="str">
        <f>IF($X95&gt;0,INDEX('CostModel Coef'!D$9:D$12,$X95),"")</f>
        <v/>
      </c>
      <c r="AA95" s="103" t="str">
        <f>IF($X95&gt;0,INDEX('CostModel Coef'!E$9:E$12,$X95),"")</f>
        <v/>
      </c>
      <c r="AB95" s="103" t="str">
        <f>IF($X95&gt;0,INDEX('CostModel Coef'!F$9:F$12,$X95),"")</f>
        <v/>
      </c>
      <c r="AC95" s="103" t="str">
        <f>IF($X95&gt;0,INDEX('CostModel Coef'!G$9:G$12,$X95),"")</f>
        <v/>
      </c>
      <c r="AD95" s="103" t="str">
        <f>IF($X95&gt;0,INDEX('CostModel Coef'!H$9:H$12,$X95),"")</f>
        <v/>
      </c>
      <c r="AE95" s="103" t="str">
        <f>IF($X95&gt;0,INDEX('CostModel Coef'!J$9:J$12,$X95),"")</f>
        <v/>
      </c>
      <c r="AF95" s="103" t="str">
        <f>IF($X95&gt;0,INDEX('CostModel Coef'!K$9:K$12,$X95),"")</f>
        <v/>
      </c>
      <c r="AG95" s="103" t="str">
        <f>IF($X95&gt;0,INDEX('CostModel Coef'!L$9:L$12,$X95),"")</f>
        <v/>
      </c>
      <c r="AH95" s="103" t="str">
        <f>IF($X95&gt;0,INDEX('CostModel Coef'!M$9:M$12,$X95),"")</f>
        <v/>
      </c>
      <c r="AI95" s="103" t="str">
        <f>IF($X95&gt;0,INDEX('CostModel Coef'!N$9:N$12,$X95),"")</f>
        <v/>
      </c>
      <c r="AJ95" s="103" t="str">
        <f>IF($X95&gt;0,INDEX('CostModel Coef'!Q$9:Q$12,$X95),"")</f>
        <v/>
      </c>
      <c r="AK95" s="103" t="str">
        <f>IF($X95&gt;0,INDEX('CostModel Coef'!T$9:T$12,$X95),"")</f>
        <v/>
      </c>
      <c r="AL95" s="103"/>
      <c r="AM95" s="108" t="str">
        <f t="shared" si="27"/>
        <v/>
      </c>
      <c r="AN95" s="108" t="str">
        <f t="shared" si="28"/>
        <v/>
      </c>
      <c r="AO95" s="108" t="str">
        <f t="shared" si="29"/>
        <v/>
      </c>
      <c r="AP95" s="108" t="str">
        <f t="shared" si="30"/>
        <v/>
      </c>
      <c r="AQ95" s="108" t="str">
        <f t="shared" si="31"/>
        <v/>
      </c>
      <c r="AR95" s="108"/>
      <c r="AS95" s="108"/>
      <c r="AT95" s="103" t="str">
        <f>IF($X95&gt;0,INDEX('CostModel Coef'!D$13:D$16,$X95),"")</f>
        <v/>
      </c>
      <c r="AU95" s="103" t="str">
        <f>IF($X95&gt;0,INDEX('CostModel Coef'!E$13:E$16,$X95),"")</f>
        <v/>
      </c>
      <c r="AV95" s="103" t="str">
        <f>IF($X95&gt;0,INDEX('CostModel Coef'!F$13:F$16,$X95),"")</f>
        <v/>
      </c>
      <c r="AW95" s="103" t="str">
        <f>IF($X95&gt;0,INDEX('CostModel Coef'!G$13:G$16,$X95),"")</f>
        <v/>
      </c>
      <c r="AX95" s="103" t="str">
        <f>IF($X95&gt;0,INDEX('CostModel Coef'!H$13:H$16,$X95),"")</f>
        <v/>
      </c>
      <c r="AY95" s="103" t="str">
        <f>IF($X95&gt;0,INDEX('CostModel Coef'!I$13:I$16,$X95),"")</f>
        <v/>
      </c>
      <c r="AZ95" s="103" t="str">
        <f>IF($X95&gt;0,INDEX('CostModel Coef'!J$13:J$16,$X95),"")</f>
        <v/>
      </c>
      <c r="BA95" s="103" t="str">
        <f>IF($X95&gt;0,INDEX('CostModel Coef'!K$13:K$16,$X95),"")</f>
        <v/>
      </c>
      <c r="BB95" s="103" t="str">
        <f>IF($X95&gt;0,INDEX('CostModel Coef'!L$13:L$16,$X95),"")</f>
        <v/>
      </c>
      <c r="BC95" s="103" t="str">
        <f>IF($X95&gt;0,INDEX('CostModel Coef'!M$13:M$16,$X95),"")</f>
        <v/>
      </c>
      <c r="BD95" s="103" t="str">
        <f>IF($X95&gt;0,INDEX('CostModel Coef'!N$13:N$16,$X95),"")</f>
        <v/>
      </c>
      <c r="BE95" s="103" t="str">
        <f>IF($X95&gt;0,INDEX('CostModel Coef'!O$13:O$16,$X95),"")</f>
        <v/>
      </c>
      <c r="BF95" s="103" t="str">
        <f>IF($X95&gt;0,INDEX('CostModel Coef'!P$13:P$16,$X95),"")</f>
        <v/>
      </c>
      <c r="BG95" s="103" t="str">
        <f>IF($X95&gt;0,INDEX('CostModel Coef'!Q$13:Q$16,$X95),"")</f>
        <v/>
      </c>
      <c r="BH95" s="103" t="str">
        <f>IF($X95&gt;0,INDEX('CostModel Coef'!R$13:R$16,$X95),"")</f>
        <v/>
      </c>
      <c r="BI95" s="103" t="str">
        <f>IF($X95&gt;0,INDEX('CostModel Coef'!S$13:S$16,$X95),"")</f>
        <v/>
      </c>
      <c r="BJ95" s="103" t="str">
        <f>IF($X95&gt;0,INDEX('CostModel Coef'!T$13:T$16,$X95),"")</f>
        <v/>
      </c>
      <c r="BK95" s="103" t="str">
        <f>IF($X95&gt;0,INDEX('CostModel Coef'!U$13:U$16,$X95),"")</f>
        <v/>
      </c>
      <c r="BL95" s="103" t="str">
        <f>IF($X95&gt;0,INDEX('CostModel Coef'!V$13:V$16,$X95),"")</f>
        <v/>
      </c>
      <c r="BM95" s="103" t="str">
        <f>IF($X95&gt;0,INDEX('CostModel Coef'!W$13:W$16,$X95),"")</f>
        <v/>
      </c>
      <c r="BN95" s="103" t="str">
        <f>IF($X95&gt;0,INDEX('CostModel Coef'!X$13:X$16,$X95),"")</f>
        <v/>
      </c>
      <c r="BO95" s="103"/>
      <c r="BP95" s="119">
        <v>2000</v>
      </c>
      <c r="BQ95" s="103"/>
      <c r="BR95" s="103"/>
      <c r="BS95" s="119" t="str">
        <f t="shared" si="34"/>
        <v/>
      </c>
      <c r="BT95" s="174">
        <f t="shared" si="26"/>
        <v>-1</v>
      </c>
      <c r="BU95" s="113" t="str">
        <f t="shared" si="36"/>
        <v>OOS</v>
      </c>
      <c r="BV95" s="108" t="str">
        <f t="shared" si="37"/>
        <v>OOS</v>
      </c>
      <c r="BW95" s="108" t="str">
        <f t="shared" si="38"/>
        <v>OOS</v>
      </c>
      <c r="BX95" s="108" t="str">
        <f t="shared" si="39"/>
        <v>OOS</v>
      </c>
      <c r="BY95" s="108" t="str">
        <f t="shared" si="40"/>
        <v>OOS</v>
      </c>
      <c r="BZ95" s="108"/>
      <c r="CA95" s="119" t="str">
        <f t="shared" si="41"/>
        <v/>
      </c>
      <c r="CB95" s="174">
        <f t="shared" si="32"/>
        <v>-1</v>
      </c>
      <c r="CC95" s="113" t="str">
        <f t="shared" si="42"/>
        <v/>
      </c>
      <c r="CD95" s="108" t="str">
        <f t="shared" si="43"/>
        <v/>
      </c>
      <c r="CE95" s="108" t="str">
        <f t="shared" si="44"/>
        <v/>
      </c>
      <c r="CF95" s="108" t="str">
        <f t="shared" si="45"/>
        <v/>
      </c>
      <c r="CG95" s="108" t="str">
        <f t="shared" si="46"/>
        <v/>
      </c>
      <c r="CH95" s="103"/>
      <c r="CI95" s="119" t="str">
        <f t="shared" si="35"/>
        <v/>
      </c>
      <c r="CJ95" s="174">
        <f t="shared" si="33"/>
        <v>-1</v>
      </c>
      <c r="CK95" s="113" t="str">
        <f t="shared" si="47"/>
        <v/>
      </c>
      <c r="CL95" s="108" t="str">
        <f t="shared" si="48"/>
        <v/>
      </c>
      <c r="CM95" s="108" t="str">
        <f t="shared" si="49"/>
        <v/>
      </c>
      <c r="CN95" s="108" t="str">
        <f t="shared" si="50"/>
        <v/>
      </c>
      <c r="CO95" s="108" t="str">
        <f t="shared" si="51"/>
        <v/>
      </c>
    </row>
    <row r="96" spans="1:93">
      <c r="A96" s="103" t="s">
        <v>342</v>
      </c>
      <c r="B96" s="103" t="s">
        <v>174</v>
      </c>
      <c r="C96" s="103" t="s">
        <v>334</v>
      </c>
      <c r="D96" s="250">
        <v>9</v>
      </c>
      <c r="E96" s="250"/>
      <c r="F96" s="182">
        <v>9020</v>
      </c>
      <c r="G96" s="250" t="s">
        <v>175</v>
      </c>
      <c r="H96" s="250">
        <v>40</v>
      </c>
      <c r="I96" s="250"/>
      <c r="J96" s="250"/>
      <c r="K96" s="250"/>
      <c r="L96" s="250" t="s">
        <v>61</v>
      </c>
      <c r="M96" s="250">
        <v>40</v>
      </c>
      <c r="N96" s="250"/>
      <c r="O96" s="250"/>
      <c r="P96" s="250" t="s">
        <v>153</v>
      </c>
      <c r="Q96" s="250"/>
      <c r="R96" s="250"/>
      <c r="S96" s="250"/>
      <c r="T96" s="250" t="s">
        <v>155</v>
      </c>
      <c r="U96" s="103" t="s">
        <v>343</v>
      </c>
      <c r="V96" s="106" t="s">
        <v>157</v>
      </c>
      <c r="W96" s="103" t="s">
        <v>158</v>
      </c>
      <c r="X96" s="103">
        <f>IFERROR(MATCH(W96,'CostModel Coef'!$C$9:$C$12,0),0)</f>
        <v>0</v>
      </c>
      <c r="Y96" s="103"/>
      <c r="Z96" s="103" t="str">
        <f>IF($X96&gt;0,INDEX('CostModel Coef'!D$9:D$12,$X96),"")</f>
        <v/>
      </c>
      <c r="AA96" s="103" t="str">
        <f>IF($X96&gt;0,INDEX('CostModel Coef'!E$9:E$12,$X96),"")</f>
        <v/>
      </c>
      <c r="AB96" s="103" t="str">
        <f>IF($X96&gt;0,INDEX('CostModel Coef'!F$9:F$12,$X96),"")</f>
        <v/>
      </c>
      <c r="AC96" s="103" t="str">
        <f>IF($X96&gt;0,INDEX('CostModel Coef'!G$9:G$12,$X96),"")</f>
        <v/>
      </c>
      <c r="AD96" s="103" t="str">
        <f>IF($X96&gt;0,INDEX('CostModel Coef'!H$9:H$12,$X96),"")</f>
        <v/>
      </c>
      <c r="AE96" s="103" t="str">
        <f>IF($X96&gt;0,INDEX('CostModel Coef'!J$9:J$12,$X96),"")</f>
        <v/>
      </c>
      <c r="AF96" s="103" t="str">
        <f>IF($X96&gt;0,INDEX('CostModel Coef'!K$9:K$12,$X96),"")</f>
        <v/>
      </c>
      <c r="AG96" s="103" t="str">
        <f>IF($X96&gt;0,INDEX('CostModel Coef'!L$9:L$12,$X96),"")</f>
        <v/>
      </c>
      <c r="AH96" s="103" t="str">
        <f>IF($X96&gt;0,INDEX('CostModel Coef'!M$9:M$12,$X96),"")</f>
        <v/>
      </c>
      <c r="AI96" s="103" t="str">
        <f>IF($X96&gt;0,INDEX('CostModel Coef'!N$9:N$12,$X96),"")</f>
        <v/>
      </c>
      <c r="AJ96" s="103" t="str">
        <f>IF($X96&gt;0,INDEX('CostModel Coef'!Q$9:Q$12,$X96),"")</f>
        <v/>
      </c>
      <c r="AK96" s="103" t="str">
        <f>IF($X96&gt;0,INDEX('CostModel Coef'!T$9:T$12,$X96),"")</f>
        <v/>
      </c>
      <c r="AL96" s="103"/>
      <c r="AM96" s="108" t="str">
        <f t="shared" si="27"/>
        <v/>
      </c>
      <c r="AN96" s="108" t="str">
        <f t="shared" si="28"/>
        <v/>
      </c>
      <c r="AO96" s="108" t="str">
        <f t="shared" si="29"/>
        <v/>
      </c>
      <c r="AP96" s="108" t="str">
        <f t="shared" si="30"/>
        <v/>
      </c>
      <c r="AQ96" s="108" t="str">
        <f t="shared" si="31"/>
        <v/>
      </c>
      <c r="AR96" s="108"/>
      <c r="AS96" s="108"/>
      <c r="AT96" s="103" t="str">
        <f>IF($X96&gt;0,INDEX('CostModel Coef'!D$13:D$16,$X96),"")</f>
        <v/>
      </c>
      <c r="AU96" s="103" t="str">
        <f>IF($X96&gt;0,INDEX('CostModel Coef'!E$13:E$16,$X96),"")</f>
        <v/>
      </c>
      <c r="AV96" s="103" t="str">
        <f>IF($X96&gt;0,INDEX('CostModel Coef'!F$13:F$16,$X96),"")</f>
        <v/>
      </c>
      <c r="AW96" s="103" t="str">
        <f>IF($X96&gt;0,INDEX('CostModel Coef'!G$13:G$16,$X96),"")</f>
        <v/>
      </c>
      <c r="AX96" s="103" t="str">
        <f>IF($X96&gt;0,INDEX('CostModel Coef'!H$13:H$16,$X96),"")</f>
        <v/>
      </c>
      <c r="AY96" s="103" t="str">
        <f>IF($X96&gt;0,INDEX('CostModel Coef'!I$13:I$16,$X96),"")</f>
        <v/>
      </c>
      <c r="AZ96" s="103" t="str">
        <f>IF($X96&gt;0,INDEX('CostModel Coef'!J$13:J$16,$X96),"")</f>
        <v/>
      </c>
      <c r="BA96" s="103" t="str">
        <f>IF($X96&gt;0,INDEX('CostModel Coef'!K$13:K$16,$X96),"")</f>
        <v/>
      </c>
      <c r="BB96" s="103" t="str">
        <f>IF($X96&gt;0,INDEX('CostModel Coef'!L$13:L$16,$X96),"")</f>
        <v/>
      </c>
      <c r="BC96" s="103" t="str">
        <f>IF($X96&gt;0,INDEX('CostModel Coef'!M$13:M$16,$X96),"")</f>
        <v/>
      </c>
      <c r="BD96" s="103" t="str">
        <f>IF($X96&gt;0,INDEX('CostModel Coef'!N$13:N$16,$X96),"")</f>
        <v/>
      </c>
      <c r="BE96" s="103" t="str">
        <f>IF($X96&gt;0,INDEX('CostModel Coef'!O$13:O$16,$X96),"")</f>
        <v/>
      </c>
      <c r="BF96" s="103" t="str">
        <f>IF($X96&gt;0,INDEX('CostModel Coef'!P$13:P$16,$X96),"")</f>
        <v/>
      </c>
      <c r="BG96" s="103" t="str">
        <f>IF($X96&gt;0,INDEX('CostModel Coef'!Q$13:Q$16,$X96),"")</f>
        <v/>
      </c>
      <c r="BH96" s="103" t="str">
        <f>IF($X96&gt;0,INDEX('CostModel Coef'!R$13:R$16,$X96),"")</f>
        <v/>
      </c>
      <c r="BI96" s="103" t="str">
        <f>IF($X96&gt;0,INDEX('CostModel Coef'!S$13:S$16,$X96),"")</f>
        <v/>
      </c>
      <c r="BJ96" s="103" t="str">
        <f>IF($X96&gt;0,INDEX('CostModel Coef'!T$13:T$16,$X96),"")</f>
        <v/>
      </c>
      <c r="BK96" s="103" t="str">
        <f>IF($X96&gt;0,INDEX('CostModel Coef'!U$13:U$16,$X96),"")</f>
        <v/>
      </c>
      <c r="BL96" s="103" t="str">
        <f>IF($X96&gt;0,INDEX('CostModel Coef'!V$13:V$16,$X96),"")</f>
        <v/>
      </c>
      <c r="BM96" s="103" t="str">
        <f>IF($X96&gt;0,INDEX('CostModel Coef'!W$13:W$16,$X96),"")</f>
        <v/>
      </c>
      <c r="BN96" s="103" t="str">
        <f>IF($X96&gt;0,INDEX('CostModel Coef'!X$13:X$16,$X96),"")</f>
        <v/>
      </c>
      <c r="BO96" s="103"/>
      <c r="BP96" s="119">
        <v>2000</v>
      </c>
      <c r="BQ96" s="103"/>
      <c r="BR96" s="103"/>
      <c r="BS96" s="119" t="str">
        <f t="shared" si="34"/>
        <v/>
      </c>
      <c r="BT96" s="174">
        <f t="shared" si="26"/>
        <v>-1</v>
      </c>
      <c r="BU96" s="113" t="str">
        <f t="shared" si="36"/>
        <v>OOS</v>
      </c>
      <c r="BV96" s="108" t="str">
        <f t="shared" si="37"/>
        <v>OOS</v>
      </c>
      <c r="BW96" s="108" t="str">
        <f t="shared" si="38"/>
        <v>OOS</v>
      </c>
      <c r="BX96" s="108" t="str">
        <f t="shared" si="39"/>
        <v>OOS</v>
      </c>
      <c r="BY96" s="108" t="str">
        <f t="shared" si="40"/>
        <v>OOS</v>
      </c>
      <c r="BZ96" s="108"/>
      <c r="CA96" s="119" t="str">
        <f t="shared" si="41"/>
        <v/>
      </c>
      <c r="CB96" s="174">
        <f t="shared" si="32"/>
        <v>-1</v>
      </c>
      <c r="CC96" s="113" t="str">
        <f t="shared" si="42"/>
        <v/>
      </c>
      <c r="CD96" s="108" t="str">
        <f t="shared" si="43"/>
        <v/>
      </c>
      <c r="CE96" s="108" t="str">
        <f t="shared" si="44"/>
        <v/>
      </c>
      <c r="CF96" s="108" t="str">
        <f t="shared" si="45"/>
        <v/>
      </c>
      <c r="CG96" s="108" t="str">
        <f t="shared" si="46"/>
        <v/>
      </c>
      <c r="CH96" s="103"/>
      <c r="CI96" s="119" t="str">
        <f t="shared" si="35"/>
        <v/>
      </c>
      <c r="CJ96" s="174">
        <f t="shared" si="33"/>
        <v>-1</v>
      </c>
      <c r="CK96" s="113" t="str">
        <f t="shared" si="47"/>
        <v/>
      </c>
      <c r="CL96" s="108" t="str">
        <f t="shared" si="48"/>
        <v/>
      </c>
      <c r="CM96" s="108" t="str">
        <f t="shared" si="49"/>
        <v/>
      </c>
      <c r="CN96" s="108" t="str">
        <f t="shared" si="50"/>
        <v/>
      </c>
      <c r="CO96" s="108" t="str">
        <f t="shared" si="51"/>
        <v/>
      </c>
    </row>
    <row r="97" spans="1:93">
      <c r="A97" s="103" t="s">
        <v>344</v>
      </c>
      <c r="B97" s="103" t="s">
        <v>174</v>
      </c>
      <c r="C97" s="103" t="s">
        <v>334</v>
      </c>
      <c r="D97" s="250">
        <v>9</v>
      </c>
      <c r="E97" s="250"/>
      <c r="F97" s="182">
        <v>9020</v>
      </c>
      <c r="G97" s="250" t="s">
        <v>175</v>
      </c>
      <c r="H97" s="250">
        <v>55</v>
      </c>
      <c r="I97" s="250"/>
      <c r="J97" s="250"/>
      <c r="K97" s="250"/>
      <c r="L97" s="250" t="s">
        <v>61</v>
      </c>
      <c r="M97" s="250">
        <v>55</v>
      </c>
      <c r="N97" s="250"/>
      <c r="O97" s="250"/>
      <c r="P97" s="250" t="s">
        <v>153</v>
      </c>
      <c r="Q97" s="250"/>
      <c r="R97" s="250"/>
      <c r="S97" s="250"/>
      <c r="T97" s="250" t="s">
        <v>155</v>
      </c>
      <c r="U97" s="103" t="s">
        <v>345</v>
      </c>
      <c r="V97" s="106" t="s">
        <v>157</v>
      </c>
      <c r="W97" s="103" t="s">
        <v>158</v>
      </c>
      <c r="X97" s="103">
        <f>IFERROR(MATCH(W97,'CostModel Coef'!$C$9:$C$12,0),0)</f>
        <v>0</v>
      </c>
      <c r="Y97" s="103"/>
      <c r="Z97" s="103" t="str">
        <f>IF($X97&gt;0,INDEX('CostModel Coef'!D$9:D$12,$X97),"")</f>
        <v/>
      </c>
      <c r="AA97" s="103" t="str">
        <f>IF($X97&gt;0,INDEX('CostModel Coef'!E$9:E$12,$X97),"")</f>
        <v/>
      </c>
      <c r="AB97" s="103" t="str">
        <f>IF($X97&gt;0,INDEX('CostModel Coef'!F$9:F$12,$X97),"")</f>
        <v/>
      </c>
      <c r="AC97" s="103" t="str">
        <f>IF($X97&gt;0,INDEX('CostModel Coef'!G$9:G$12,$X97),"")</f>
        <v/>
      </c>
      <c r="AD97" s="103" t="str">
        <f>IF($X97&gt;0,INDEX('CostModel Coef'!H$9:H$12,$X97),"")</f>
        <v/>
      </c>
      <c r="AE97" s="103" t="str">
        <f>IF($X97&gt;0,INDEX('CostModel Coef'!J$9:J$12,$X97),"")</f>
        <v/>
      </c>
      <c r="AF97" s="103" t="str">
        <f>IF($X97&gt;0,INDEX('CostModel Coef'!K$9:K$12,$X97),"")</f>
        <v/>
      </c>
      <c r="AG97" s="103" t="str">
        <f>IF($X97&gt;0,INDEX('CostModel Coef'!L$9:L$12,$X97),"")</f>
        <v/>
      </c>
      <c r="AH97" s="103" t="str">
        <f>IF($X97&gt;0,INDEX('CostModel Coef'!M$9:M$12,$X97),"")</f>
        <v/>
      </c>
      <c r="AI97" s="103" t="str">
        <f>IF($X97&gt;0,INDEX('CostModel Coef'!N$9:N$12,$X97),"")</f>
        <v/>
      </c>
      <c r="AJ97" s="103" t="str">
        <f>IF($X97&gt;0,INDEX('CostModel Coef'!Q$9:Q$12,$X97),"")</f>
        <v/>
      </c>
      <c r="AK97" s="103" t="str">
        <f>IF($X97&gt;0,INDEX('CostModel Coef'!T$9:T$12,$X97),"")</f>
        <v/>
      </c>
      <c r="AL97" s="103"/>
      <c r="AM97" s="108" t="str">
        <f t="shared" si="27"/>
        <v/>
      </c>
      <c r="AN97" s="108" t="str">
        <f t="shared" si="28"/>
        <v/>
      </c>
      <c r="AO97" s="108" t="str">
        <f t="shared" si="29"/>
        <v/>
      </c>
      <c r="AP97" s="108" t="str">
        <f t="shared" si="30"/>
        <v/>
      </c>
      <c r="AQ97" s="108" t="str">
        <f t="shared" si="31"/>
        <v/>
      </c>
      <c r="AR97" s="108"/>
      <c r="AS97" s="108"/>
      <c r="AT97" s="103" t="str">
        <f>IF($X97&gt;0,INDEX('CostModel Coef'!D$13:D$16,$X97),"")</f>
        <v/>
      </c>
      <c r="AU97" s="103" t="str">
        <f>IF($X97&gt;0,INDEX('CostModel Coef'!E$13:E$16,$X97),"")</f>
        <v/>
      </c>
      <c r="AV97" s="103" t="str">
        <f>IF($X97&gt;0,INDEX('CostModel Coef'!F$13:F$16,$X97),"")</f>
        <v/>
      </c>
      <c r="AW97" s="103" t="str">
        <f>IF($X97&gt;0,INDEX('CostModel Coef'!G$13:G$16,$X97),"")</f>
        <v/>
      </c>
      <c r="AX97" s="103" t="str">
        <f>IF($X97&gt;0,INDEX('CostModel Coef'!H$13:H$16,$X97),"")</f>
        <v/>
      </c>
      <c r="AY97" s="103" t="str">
        <f>IF($X97&gt;0,INDEX('CostModel Coef'!I$13:I$16,$X97),"")</f>
        <v/>
      </c>
      <c r="AZ97" s="103" t="str">
        <f>IF($X97&gt;0,INDEX('CostModel Coef'!J$13:J$16,$X97),"")</f>
        <v/>
      </c>
      <c r="BA97" s="103" t="str">
        <f>IF($X97&gt;0,INDEX('CostModel Coef'!K$13:K$16,$X97),"")</f>
        <v/>
      </c>
      <c r="BB97" s="103" t="str">
        <f>IF($X97&gt;0,INDEX('CostModel Coef'!L$13:L$16,$X97),"")</f>
        <v/>
      </c>
      <c r="BC97" s="103" t="str">
        <f>IF($X97&gt;0,INDEX('CostModel Coef'!M$13:M$16,$X97),"")</f>
        <v/>
      </c>
      <c r="BD97" s="103" t="str">
        <f>IF($X97&gt;0,INDEX('CostModel Coef'!N$13:N$16,$X97),"")</f>
        <v/>
      </c>
      <c r="BE97" s="103" t="str">
        <f>IF($X97&gt;0,INDEX('CostModel Coef'!O$13:O$16,$X97),"")</f>
        <v/>
      </c>
      <c r="BF97" s="103" t="str">
        <f>IF($X97&gt;0,INDEX('CostModel Coef'!P$13:P$16,$X97),"")</f>
        <v/>
      </c>
      <c r="BG97" s="103" t="str">
        <f>IF($X97&gt;0,INDEX('CostModel Coef'!Q$13:Q$16,$X97),"")</f>
        <v/>
      </c>
      <c r="BH97" s="103" t="str">
        <f>IF($X97&gt;0,INDEX('CostModel Coef'!R$13:R$16,$X97),"")</f>
        <v/>
      </c>
      <c r="BI97" s="103" t="str">
        <f>IF($X97&gt;0,INDEX('CostModel Coef'!S$13:S$16,$X97),"")</f>
        <v/>
      </c>
      <c r="BJ97" s="103" t="str">
        <f>IF($X97&gt;0,INDEX('CostModel Coef'!T$13:T$16,$X97),"")</f>
        <v/>
      </c>
      <c r="BK97" s="103" t="str">
        <f>IF($X97&gt;0,INDEX('CostModel Coef'!U$13:U$16,$X97),"")</f>
        <v/>
      </c>
      <c r="BL97" s="103" t="str">
        <f>IF($X97&gt;0,INDEX('CostModel Coef'!V$13:V$16,$X97),"")</f>
        <v/>
      </c>
      <c r="BM97" s="103" t="str">
        <f>IF($X97&gt;0,INDEX('CostModel Coef'!W$13:W$16,$X97),"")</f>
        <v/>
      </c>
      <c r="BN97" s="103" t="str">
        <f>IF($X97&gt;0,INDEX('CostModel Coef'!X$13:X$16,$X97),"")</f>
        <v/>
      </c>
      <c r="BO97" s="103"/>
      <c r="BP97" s="119">
        <v>2000</v>
      </c>
      <c r="BQ97" s="103"/>
      <c r="BR97" s="103"/>
      <c r="BS97" s="119" t="str">
        <f t="shared" si="34"/>
        <v/>
      </c>
      <c r="BT97" s="174">
        <f t="shared" si="26"/>
        <v>-1</v>
      </c>
      <c r="BU97" s="113" t="str">
        <f t="shared" si="36"/>
        <v>OOS</v>
      </c>
      <c r="BV97" s="108" t="str">
        <f t="shared" si="37"/>
        <v>OOS</v>
      </c>
      <c r="BW97" s="108" t="str">
        <f t="shared" si="38"/>
        <v>OOS</v>
      </c>
      <c r="BX97" s="108" t="str">
        <f t="shared" si="39"/>
        <v>OOS</v>
      </c>
      <c r="BY97" s="108" t="str">
        <f t="shared" si="40"/>
        <v>OOS</v>
      </c>
      <c r="BZ97" s="108"/>
      <c r="CA97" s="119" t="str">
        <f t="shared" si="41"/>
        <v/>
      </c>
      <c r="CB97" s="174">
        <f t="shared" si="32"/>
        <v>-1</v>
      </c>
      <c r="CC97" s="113" t="str">
        <f t="shared" si="42"/>
        <v/>
      </c>
      <c r="CD97" s="108" t="str">
        <f t="shared" si="43"/>
        <v/>
      </c>
      <c r="CE97" s="108" t="str">
        <f t="shared" si="44"/>
        <v/>
      </c>
      <c r="CF97" s="108" t="str">
        <f t="shared" si="45"/>
        <v/>
      </c>
      <c r="CG97" s="108" t="str">
        <f t="shared" si="46"/>
        <v/>
      </c>
      <c r="CH97" s="103"/>
      <c r="CI97" s="119" t="str">
        <f t="shared" si="35"/>
        <v/>
      </c>
      <c r="CJ97" s="174">
        <f t="shared" si="33"/>
        <v>-1</v>
      </c>
      <c r="CK97" s="113" t="str">
        <f t="shared" si="47"/>
        <v/>
      </c>
      <c r="CL97" s="108" t="str">
        <f t="shared" si="48"/>
        <v/>
      </c>
      <c r="CM97" s="108" t="str">
        <f t="shared" si="49"/>
        <v/>
      </c>
      <c r="CN97" s="108" t="str">
        <f t="shared" si="50"/>
        <v/>
      </c>
      <c r="CO97" s="108" t="str">
        <f t="shared" si="51"/>
        <v/>
      </c>
    </row>
    <row r="98" spans="1:93">
      <c r="A98" s="103" t="s">
        <v>346</v>
      </c>
      <c r="B98" s="103" t="s">
        <v>174</v>
      </c>
      <c r="C98" s="103" t="s">
        <v>153</v>
      </c>
      <c r="D98" s="250" t="s">
        <v>153</v>
      </c>
      <c r="E98" s="250"/>
      <c r="F98" s="182">
        <v>9020</v>
      </c>
      <c r="G98" s="250" t="s">
        <v>347</v>
      </c>
      <c r="H98" s="250">
        <v>23</v>
      </c>
      <c r="I98" s="250"/>
      <c r="J98" s="250"/>
      <c r="K98" s="250"/>
      <c r="L98" s="250" t="s">
        <v>61</v>
      </c>
      <c r="M98" s="250">
        <v>23</v>
      </c>
      <c r="N98" s="250" t="s">
        <v>176</v>
      </c>
      <c r="O98" s="250"/>
      <c r="P98" s="250" t="s">
        <v>153</v>
      </c>
      <c r="Q98" s="250"/>
      <c r="R98" s="250"/>
      <c r="S98" s="250"/>
      <c r="T98" s="250" t="s">
        <v>155</v>
      </c>
      <c r="U98" s="103" t="s">
        <v>348</v>
      </c>
      <c r="V98" s="106" t="s">
        <v>157</v>
      </c>
      <c r="W98" s="103" t="s">
        <v>158</v>
      </c>
      <c r="X98" s="103">
        <f>IFERROR(MATCH(W98,'CostModel Coef'!$C$9:$C$12,0),0)</f>
        <v>0</v>
      </c>
      <c r="Y98" s="103"/>
      <c r="Z98" s="103" t="str">
        <f>IF($X98&gt;0,INDEX('CostModel Coef'!D$9:D$12,$X98),"")</f>
        <v/>
      </c>
      <c r="AA98" s="103" t="str">
        <f>IF($X98&gt;0,INDEX('CostModel Coef'!E$9:E$12,$X98),"")</f>
        <v/>
      </c>
      <c r="AB98" s="103" t="str">
        <f>IF($X98&gt;0,INDEX('CostModel Coef'!F$9:F$12,$X98),"")</f>
        <v/>
      </c>
      <c r="AC98" s="103" t="str">
        <f>IF($X98&gt;0,INDEX('CostModel Coef'!G$9:G$12,$X98),"")</f>
        <v/>
      </c>
      <c r="AD98" s="103" t="str">
        <f>IF($X98&gt;0,INDEX('CostModel Coef'!H$9:H$12,$X98),"")</f>
        <v/>
      </c>
      <c r="AE98" s="103" t="str">
        <f>IF($X98&gt;0,INDEX('CostModel Coef'!J$9:J$12,$X98),"")</f>
        <v/>
      </c>
      <c r="AF98" s="103" t="str">
        <f>IF($X98&gt;0,INDEX('CostModel Coef'!K$9:K$12,$X98),"")</f>
        <v/>
      </c>
      <c r="AG98" s="103" t="str">
        <f>IF($X98&gt;0,INDEX('CostModel Coef'!L$9:L$12,$X98),"")</f>
        <v/>
      </c>
      <c r="AH98" s="103" t="str">
        <f>IF($X98&gt;0,INDEX('CostModel Coef'!M$9:M$12,$X98),"")</f>
        <v/>
      </c>
      <c r="AI98" s="103" t="str">
        <f>IF($X98&gt;0,INDEX('CostModel Coef'!N$9:N$12,$X98),"")</f>
        <v/>
      </c>
      <c r="AJ98" s="103" t="str">
        <f>IF($X98&gt;0,INDEX('CostModel Coef'!Q$9:Q$12,$X98),"")</f>
        <v/>
      </c>
      <c r="AK98" s="103" t="str">
        <f>IF($X98&gt;0,INDEX('CostModel Coef'!T$9:T$12,$X98),"")</f>
        <v/>
      </c>
      <c r="AL98" s="103"/>
      <c r="AM98" s="108" t="str">
        <f t="shared" si="27"/>
        <v/>
      </c>
      <c r="AN98" s="108" t="str">
        <f t="shared" si="28"/>
        <v/>
      </c>
      <c r="AO98" s="108" t="str">
        <f t="shared" si="29"/>
        <v/>
      </c>
      <c r="AP98" s="108" t="str">
        <f t="shared" si="30"/>
        <v/>
      </c>
      <c r="AQ98" s="108" t="str">
        <f t="shared" si="31"/>
        <v/>
      </c>
      <c r="AR98" s="108"/>
      <c r="AS98" s="108"/>
      <c r="AT98" s="103" t="str">
        <f>IF($X98&gt;0,INDEX('CostModel Coef'!D$13:D$16,$X98),"")</f>
        <v/>
      </c>
      <c r="AU98" s="103" t="str">
        <f>IF($X98&gt;0,INDEX('CostModel Coef'!E$13:E$16,$X98),"")</f>
        <v/>
      </c>
      <c r="AV98" s="103" t="str">
        <f>IF($X98&gt;0,INDEX('CostModel Coef'!F$13:F$16,$X98),"")</f>
        <v/>
      </c>
      <c r="AW98" s="103" t="str">
        <f>IF($X98&gt;0,INDEX('CostModel Coef'!G$13:G$16,$X98),"")</f>
        <v/>
      </c>
      <c r="AX98" s="103" t="str">
        <f>IF($X98&gt;0,INDEX('CostModel Coef'!H$13:H$16,$X98),"")</f>
        <v/>
      </c>
      <c r="AY98" s="103" t="str">
        <f>IF($X98&gt;0,INDEX('CostModel Coef'!I$13:I$16,$X98),"")</f>
        <v/>
      </c>
      <c r="AZ98" s="103" t="str">
        <f>IF($X98&gt;0,INDEX('CostModel Coef'!J$13:J$16,$X98),"")</f>
        <v/>
      </c>
      <c r="BA98" s="103" t="str">
        <f>IF($X98&gt;0,INDEX('CostModel Coef'!K$13:K$16,$X98),"")</f>
        <v/>
      </c>
      <c r="BB98" s="103" t="str">
        <f>IF($X98&gt;0,INDEX('CostModel Coef'!L$13:L$16,$X98),"")</f>
        <v/>
      </c>
      <c r="BC98" s="103" t="str">
        <f>IF($X98&gt;0,INDEX('CostModel Coef'!M$13:M$16,$X98),"")</f>
        <v/>
      </c>
      <c r="BD98" s="103" t="str">
        <f>IF($X98&gt;0,INDEX('CostModel Coef'!N$13:N$16,$X98),"")</f>
        <v/>
      </c>
      <c r="BE98" s="103" t="str">
        <f>IF($X98&gt;0,INDEX('CostModel Coef'!O$13:O$16,$X98),"")</f>
        <v/>
      </c>
      <c r="BF98" s="103" t="str">
        <f>IF($X98&gt;0,INDEX('CostModel Coef'!P$13:P$16,$X98),"")</f>
        <v/>
      </c>
      <c r="BG98" s="103" t="str">
        <f>IF($X98&gt;0,INDEX('CostModel Coef'!Q$13:Q$16,$X98),"")</f>
        <v/>
      </c>
      <c r="BH98" s="103" t="str">
        <f>IF($X98&gt;0,INDEX('CostModel Coef'!R$13:R$16,$X98),"")</f>
        <v/>
      </c>
      <c r="BI98" s="103" t="str">
        <f>IF($X98&gt;0,INDEX('CostModel Coef'!S$13:S$16,$X98),"")</f>
        <v/>
      </c>
      <c r="BJ98" s="103" t="str">
        <f>IF($X98&gt;0,INDEX('CostModel Coef'!T$13:T$16,$X98),"")</f>
        <v/>
      </c>
      <c r="BK98" s="103" t="str">
        <f>IF($X98&gt;0,INDEX('CostModel Coef'!U$13:U$16,$X98),"")</f>
        <v/>
      </c>
      <c r="BL98" s="103" t="str">
        <f>IF($X98&gt;0,INDEX('CostModel Coef'!V$13:V$16,$X98),"")</f>
        <v/>
      </c>
      <c r="BM98" s="103" t="str">
        <f>IF($X98&gt;0,INDEX('CostModel Coef'!W$13:W$16,$X98),"")</f>
        <v/>
      </c>
      <c r="BN98" s="103" t="str">
        <f>IF($X98&gt;0,INDEX('CostModel Coef'!X$13:X$16,$X98),"")</f>
        <v/>
      </c>
      <c r="BO98" s="103"/>
      <c r="BP98" s="119">
        <v>2000</v>
      </c>
      <c r="BQ98" s="103"/>
      <c r="BR98" s="103"/>
      <c r="BS98" s="119" t="str">
        <f t="shared" si="34"/>
        <v/>
      </c>
      <c r="BT98" s="174">
        <f t="shared" si="26"/>
        <v>-1</v>
      </c>
      <c r="BU98" s="113" t="str">
        <f t="shared" si="36"/>
        <v>OOS</v>
      </c>
      <c r="BV98" s="108" t="str">
        <f t="shared" si="37"/>
        <v>OOS</v>
      </c>
      <c r="BW98" s="108" t="str">
        <f t="shared" si="38"/>
        <v>OOS</v>
      </c>
      <c r="BX98" s="108" t="str">
        <f t="shared" si="39"/>
        <v>OOS</v>
      </c>
      <c r="BY98" s="108" t="str">
        <f t="shared" si="40"/>
        <v>OOS</v>
      </c>
      <c r="BZ98" s="108"/>
      <c r="CA98" s="119" t="str">
        <f t="shared" si="41"/>
        <v/>
      </c>
      <c r="CB98" s="174">
        <f t="shared" si="32"/>
        <v>-1</v>
      </c>
      <c r="CC98" s="113" t="str">
        <f t="shared" si="42"/>
        <v/>
      </c>
      <c r="CD98" s="108" t="str">
        <f t="shared" si="43"/>
        <v/>
      </c>
      <c r="CE98" s="108" t="str">
        <f t="shared" si="44"/>
        <v/>
      </c>
      <c r="CF98" s="108" t="str">
        <f t="shared" si="45"/>
        <v/>
      </c>
      <c r="CG98" s="108" t="str">
        <f t="shared" si="46"/>
        <v/>
      </c>
      <c r="CH98" s="103"/>
      <c r="CI98" s="119" t="str">
        <f t="shared" si="35"/>
        <v/>
      </c>
      <c r="CJ98" s="174">
        <f t="shared" si="33"/>
        <v>-1</v>
      </c>
      <c r="CK98" s="113" t="str">
        <f t="shared" si="47"/>
        <v/>
      </c>
      <c r="CL98" s="108" t="str">
        <f t="shared" si="48"/>
        <v/>
      </c>
      <c r="CM98" s="108" t="str">
        <f t="shared" si="49"/>
        <v/>
      </c>
      <c r="CN98" s="108" t="str">
        <f t="shared" si="50"/>
        <v/>
      </c>
      <c r="CO98" s="108" t="str">
        <f t="shared" si="51"/>
        <v/>
      </c>
    </row>
    <row r="99" spans="1:93">
      <c r="A99" s="103" t="s">
        <v>349</v>
      </c>
      <c r="B99" s="103" t="s">
        <v>174</v>
      </c>
      <c r="C99" s="103" t="s">
        <v>153</v>
      </c>
      <c r="D99" s="250" t="s">
        <v>153</v>
      </c>
      <c r="E99" s="250"/>
      <c r="F99" s="182">
        <v>9020</v>
      </c>
      <c r="G99" s="250" t="s">
        <v>347</v>
      </c>
      <c r="H99" s="250">
        <v>10</v>
      </c>
      <c r="I99" s="250"/>
      <c r="J99" s="250"/>
      <c r="K99" s="250"/>
      <c r="L99" s="250" t="s">
        <v>61</v>
      </c>
      <c r="M99" s="250">
        <v>10</v>
      </c>
      <c r="N99" s="250"/>
      <c r="O99" s="250"/>
      <c r="P99" s="250" t="s">
        <v>153</v>
      </c>
      <c r="Q99" s="250"/>
      <c r="R99" s="250"/>
      <c r="S99" s="250"/>
      <c r="T99" s="250" t="s">
        <v>155</v>
      </c>
      <c r="U99" s="103" t="s">
        <v>350</v>
      </c>
      <c r="V99" s="106" t="s">
        <v>157</v>
      </c>
      <c r="W99" s="103" t="s">
        <v>81</v>
      </c>
      <c r="X99" s="103">
        <f>IFERROR(MATCH(W99,'CostModel Coef'!$C$9:$C$12,0),0)</f>
        <v>1</v>
      </c>
      <c r="Y99" s="103"/>
      <c r="Z99" s="103">
        <f>IF($X99&gt;0,INDEX('CostModel Coef'!D$9:D$12,$X99),"")</f>
        <v>3.0430000000000001</v>
      </c>
      <c r="AA99" s="103">
        <f>IF($X99&gt;0,INDEX('CostModel Coef'!E$9:E$12,$X99),"")</f>
        <v>-0.14966150225589619</v>
      </c>
      <c r="AB99" s="103">
        <f>IF($X99&gt;0,INDEX('CostModel Coef'!F$9:F$12,$X99),"")</f>
        <v>0.52692151711335011</v>
      </c>
      <c r="AC99" s="103">
        <f>IF($X99&gt;0,INDEX('CostModel Coef'!G$9:G$12,$X99),"")</f>
        <v>1.8411</v>
      </c>
      <c r="AD99" s="103">
        <f>IF($X99&gt;0,INDEX('CostModel Coef'!H$9:H$12,$X99),"")</f>
        <v>-1.8050999999999999</v>
      </c>
      <c r="AE99" s="103">
        <f>IF($X99&gt;0,INDEX('CostModel Coef'!J$9:J$12,$X99),"")</f>
        <v>-1.1288</v>
      </c>
      <c r="AF99" s="103">
        <f>IF($X99&gt;0,INDEX('CostModel Coef'!K$9:K$12,$X99),"")</f>
        <v>-1.845</v>
      </c>
      <c r="AG99" s="103">
        <f>IF($X99&gt;0,INDEX('CostModel Coef'!L$9:L$12,$X99),"")</f>
        <v>6.7507000000000001</v>
      </c>
      <c r="AH99" s="103">
        <f>IF($X99&gt;0,INDEX('CostModel Coef'!M$9:M$12,$X99),"")</f>
        <v>5.8051000000000004</v>
      </c>
      <c r="AI99" s="103">
        <f>IF($X99&gt;0,INDEX('CostModel Coef'!N$9:N$12,$X99),"")</f>
        <v>6.1600000000000002E-2</v>
      </c>
      <c r="AJ99" s="103">
        <f>IF($X99&gt;0,INDEX('CostModel Coef'!Q$9:Q$12,$X99),"")</f>
        <v>6.6500000000000004E-2</v>
      </c>
      <c r="AK99" s="103">
        <f>IF($X99&gt;0,INDEX('CostModel Coef'!T$9:T$12,$X99),"")</f>
        <v>9.35E-2</v>
      </c>
      <c r="AL99" s="103"/>
      <c r="AM99" s="108">
        <f t="shared" si="27"/>
        <v>8.6009920148574519</v>
      </c>
      <c r="AN99" s="108">
        <f t="shared" si="28"/>
        <v>10.445992014857453</v>
      </c>
      <c r="AO99" s="108">
        <f t="shared" si="29"/>
        <v>8.6408920148574531</v>
      </c>
      <c r="AP99" s="108">
        <f t="shared" si="30"/>
        <v>8.6408920148574531</v>
      </c>
      <c r="AQ99" s="108">
        <f t="shared" si="31"/>
        <v>7.512092014857453</v>
      </c>
      <c r="AR99" s="108"/>
      <c r="AS99" s="108"/>
      <c r="AT99" s="103">
        <f>IF($X99&gt;0,INDEX('CostModel Coef'!D$13:D$16,$X99),"")</f>
        <v>2.1320000000000001</v>
      </c>
      <c r="AU99" s="103">
        <f>IF($X99&gt;0,INDEX('CostModel Coef'!E$13:E$16,$X99),"")</f>
        <v>0.23699999999999999</v>
      </c>
      <c r="AV99" s="103">
        <f>IF($X99&gt;0,INDEX('CostModel Coef'!F$13:F$16,$X99),"")</f>
        <v>0.59899999999999998</v>
      </c>
      <c r="AW99" s="103">
        <f>IF($X99&gt;0,INDEX('CostModel Coef'!G$13:G$16,$X99),"")</f>
        <v>0</v>
      </c>
      <c r="AX99" s="103">
        <f>IF($X99&gt;0,INDEX('CostModel Coef'!H$13:H$16,$X99),"")</f>
        <v>-1.69</v>
      </c>
      <c r="AY99" s="103">
        <f>IF($X99&gt;0,INDEX('CostModel Coef'!I$13:I$16,$X99),"")</f>
        <v>-1.1599999999999999</v>
      </c>
      <c r="AZ99" s="103">
        <f>IF($X99&gt;0,INDEX('CostModel Coef'!J$13:J$16,$X99),"")</f>
        <v>0</v>
      </c>
      <c r="BA99" s="103">
        <f>IF($X99&gt;0,INDEX('CostModel Coef'!K$13:K$16,$X99),"")</f>
        <v>-2.4630000000000001</v>
      </c>
      <c r="BB99" s="103">
        <f>IF($X99&gt;0,INDEX('CostModel Coef'!L$13:L$16,$X99),"")</f>
        <v>0.46179999999999999</v>
      </c>
      <c r="BC99" s="103">
        <f>IF($X99&gt;0,INDEX('CostModel Coef'!M$13:M$16,$X99),"")</f>
        <v>0</v>
      </c>
      <c r="BD99" s="103">
        <f>IF($X99&gt;0,INDEX('CostModel Coef'!N$13:N$16,$X99),"")</f>
        <v>0.19869999999999999</v>
      </c>
      <c r="BE99" s="103">
        <f>IF($X99&gt;0,INDEX('CostModel Coef'!O$13:O$16,$X99),"")</f>
        <v>0.6</v>
      </c>
      <c r="BF99" s="103">
        <f>IF($X99&gt;0,INDEX('CostModel Coef'!P$13:P$16,$X99),"")</f>
        <v>15</v>
      </c>
      <c r="BG99" s="103">
        <f>IF($X99&gt;0,INDEX('CostModel Coef'!Q$13:Q$16,$X99),"")</f>
        <v>0</v>
      </c>
      <c r="BH99" s="103">
        <f>IF($X99&gt;0,INDEX('CostModel Coef'!R$13:R$16,$X99),"")</f>
        <v>3</v>
      </c>
      <c r="BI99" s="103">
        <f>IF($X99&gt;0,INDEX('CostModel Coef'!S$13:S$16,$X99),"")</f>
        <v>150</v>
      </c>
      <c r="BJ99" s="103">
        <f>IF($X99&gt;0,INDEX('CostModel Coef'!T$13:T$16,$X99),"")</f>
        <v>0</v>
      </c>
      <c r="BK99" s="103">
        <f>IF($X99&gt;0,INDEX('CostModel Coef'!U$13:U$16,$X99),"")</f>
        <v>9.1999999999999998E-3</v>
      </c>
      <c r="BL99" s="103">
        <f>IF($X99&gt;0,INDEX('CostModel Coef'!V$13:V$16,$X99),"")</f>
        <v>-8.8000000000000005E-3</v>
      </c>
      <c r="BM99" s="103">
        <f>IF($X99&gt;0,INDEX('CostModel Coef'!W$13:W$16,$X99),"")</f>
        <v>0</v>
      </c>
      <c r="BN99" s="103">
        <f>IF($X99&gt;0,INDEX('CostModel Coef'!X$13:X$16,$X99),"")</f>
        <v>0</v>
      </c>
      <c r="BO99" s="103"/>
      <c r="BP99" s="119">
        <v>2000</v>
      </c>
      <c r="BQ99" s="103"/>
      <c r="BR99" s="103"/>
      <c r="BS99" s="119" t="str">
        <f t="shared" si="34"/>
        <v>WRR0347_CFLscw-Dim(10w)</v>
      </c>
      <c r="BT99" s="174">
        <f t="shared" si="26"/>
        <v>35</v>
      </c>
      <c r="BU99" s="113">
        <f t="shared" si="36"/>
        <v>0.94839999999999991</v>
      </c>
      <c r="BV99" s="108">
        <f t="shared" si="37"/>
        <v>3.4114</v>
      </c>
      <c r="BW99" s="108">
        <f t="shared" si="38"/>
        <v>1.7214</v>
      </c>
      <c r="BX99" s="108">
        <f t="shared" si="39"/>
        <v>0.56140000000000012</v>
      </c>
      <c r="BY99" s="108">
        <f t="shared" si="40"/>
        <v>0.56140000000000012</v>
      </c>
      <c r="BZ99" s="108"/>
      <c r="CA99" s="119" t="str">
        <f t="shared" si="41"/>
        <v/>
      </c>
      <c r="CB99" s="180">
        <v>-1</v>
      </c>
      <c r="CC99" s="113" t="str">
        <f t="shared" si="42"/>
        <v/>
      </c>
      <c r="CD99" s="108" t="str">
        <f t="shared" si="43"/>
        <v/>
      </c>
      <c r="CE99" s="108" t="str">
        <f t="shared" si="44"/>
        <v/>
      </c>
      <c r="CF99" s="108" t="str">
        <f t="shared" si="45"/>
        <v/>
      </c>
      <c r="CG99" s="108" t="str">
        <f t="shared" si="46"/>
        <v/>
      </c>
      <c r="CH99" s="103"/>
      <c r="CI99" s="119" t="str">
        <f t="shared" si="35"/>
        <v>WRR0347_CFLscw-Dim(10w)</v>
      </c>
      <c r="CJ99" s="174">
        <f t="shared" si="33"/>
        <v>35</v>
      </c>
      <c r="CK99" s="113">
        <f t="shared" si="47"/>
        <v>0.94839999999999991</v>
      </c>
      <c r="CL99" s="108">
        <f t="shared" si="48"/>
        <v>3.4114</v>
      </c>
      <c r="CM99" s="108">
        <f t="shared" si="49"/>
        <v>1.7214</v>
      </c>
      <c r="CN99" s="108">
        <f t="shared" si="50"/>
        <v>0.56140000000000012</v>
      </c>
      <c r="CO99" s="108">
        <f t="shared" si="51"/>
        <v>0.56140000000000012</v>
      </c>
    </row>
    <row r="100" spans="1:93">
      <c r="A100" s="103" t="s">
        <v>351</v>
      </c>
      <c r="B100" s="103" t="s">
        <v>174</v>
      </c>
      <c r="C100" s="103" t="s">
        <v>153</v>
      </c>
      <c r="D100" s="250" t="s">
        <v>153</v>
      </c>
      <c r="E100" s="250"/>
      <c r="F100" s="182">
        <v>9020</v>
      </c>
      <c r="G100" s="250" t="s">
        <v>347</v>
      </c>
      <c r="H100" s="250">
        <v>11</v>
      </c>
      <c r="I100" s="250"/>
      <c r="J100" s="250"/>
      <c r="K100" s="250"/>
      <c r="L100" s="250" t="s">
        <v>61</v>
      </c>
      <c r="M100" s="250">
        <v>11</v>
      </c>
      <c r="N100" s="250"/>
      <c r="O100" s="250"/>
      <c r="P100" s="250" t="s">
        <v>153</v>
      </c>
      <c r="Q100" s="250"/>
      <c r="R100" s="250"/>
      <c r="S100" s="250"/>
      <c r="T100" s="250" t="s">
        <v>155</v>
      </c>
      <c r="U100" s="103" t="s">
        <v>352</v>
      </c>
      <c r="V100" s="106" t="s">
        <v>157</v>
      </c>
      <c r="W100" s="103" t="s">
        <v>81</v>
      </c>
      <c r="X100" s="103">
        <f>IFERROR(MATCH(W100,'CostModel Coef'!$C$9:$C$12,0),0)</f>
        <v>1</v>
      </c>
      <c r="Y100" s="103"/>
      <c r="Z100" s="103">
        <f>IF($X100&gt;0,INDEX('CostModel Coef'!D$9:D$12,$X100),"")</f>
        <v>3.0430000000000001</v>
      </c>
      <c r="AA100" s="103">
        <f>IF($X100&gt;0,INDEX('CostModel Coef'!E$9:E$12,$X100),"")</f>
        <v>-0.14966150225589619</v>
      </c>
      <c r="AB100" s="103">
        <f>IF($X100&gt;0,INDEX('CostModel Coef'!F$9:F$12,$X100),"")</f>
        <v>0.52692151711335011</v>
      </c>
      <c r="AC100" s="103">
        <f>IF($X100&gt;0,INDEX('CostModel Coef'!G$9:G$12,$X100),"")</f>
        <v>1.8411</v>
      </c>
      <c r="AD100" s="103">
        <f>IF($X100&gt;0,INDEX('CostModel Coef'!H$9:H$12,$X100),"")</f>
        <v>-1.8050999999999999</v>
      </c>
      <c r="AE100" s="103">
        <f>IF($X100&gt;0,INDEX('CostModel Coef'!J$9:J$12,$X100),"")</f>
        <v>-1.1288</v>
      </c>
      <c r="AF100" s="103">
        <f>IF($X100&gt;0,INDEX('CostModel Coef'!K$9:K$12,$X100),"")</f>
        <v>-1.845</v>
      </c>
      <c r="AG100" s="103">
        <f>IF($X100&gt;0,INDEX('CostModel Coef'!L$9:L$12,$X100),"")</f>
        <v>6.7507000000000001</v>
      </c>
      <c r="AH100" s="103">
        <f>IF($X100&gt;0,INDEX('CostModel Coef'!M$9:M$12,$X100),"")</f>
        <v>5.8051000000000004</v>
      </c>
      <c r="AI100" s="103">
        <f>IF($X100&gt;0,INDEX('CostModel Coef'!N$9:N$12,$X100),"")</f>
        <v>6.1600000000000002E-2</v>
      </c>
      <c r="AJ100" s="103">
        <f>IF($X100&gt;0,INDEX('CostModel Coef'!Q$9:Q$12,$X100),"")</f>
        <v>6.6500000000000004E-2</v>
      </c>
      <c r="AK100" s="103">
        <f>IF($X100&gt;0,INDEX('CostModel Coef'!T$9:T$12,$X100),"")</f>
        <v>9.35E-2</v>
      </c>
      <c r="AL100" s="103"/>
      <c r="AM100" s="108">
        <f t="shared" si="27"/>
        <v>8.6674920148574532</v>
      </c>
      <c r="AN100" s="108">
        <f t="shared" si="28"/>
        <v>10.512492014857454</v>
      </c>
      <c r="AO100" s="108">
        <f t="shared" si="29"/>
        <v>8.7073920148574544</v>
      </c>
      <c r="AP100" s="108">
        <f t="shared" si="30"/>
        <v>8.7073920148574544</v>
      </c>
      <c r="AQ100" s="108">
        <f t="shared" si="31"/>
        <v>7.5785920148574544</v>
      </c>
      <c r="AR100" s="108"/>
      <c r="AS100" s="108"/>
      <c r="AT100" s="103">
        <f>IF($X100&gt;0,INDEX('CostModel Coef'!D$13:D$16,$X100),"")</f>
        <v>2.1320000000000001</v>
      </c>
      <c r="AU100" s="103">
        <f>IF($X100&gt;0,INDEX('CostModel Coef'!E$13:E$16,$X100),"")</f>
        <v>0.23699999999999999</v>
      </c>
      <c r="AV100" s="103">
        <f>IF($X100&gt;0,INDEX('CostModel Coef'!F$13:F$16,$X100),"")</f>
        <v>0.59899999999999998</v>
      </c>
      <c r="AW100" s="103">
        <f>IF($X100&gt;0,INDEX('CostModel Coef'!G$13:G$16,$X100),"")</f>
        <v>0</v>
      </c>
      <c r="AX100" s="103">
        <f>IF($X100&gt;0,INDEX('CostModel Coef'!H$13:H$16,$X100),"")</f>
        <v>-1.69</v>
      </c>
      <c r="AY100" s="103">
        <f>IF($X100&gt;0,INDEX('CostModel Coef'!I$13:I$16,$X100),"")</f>
        <v>-1.1599999999999999</v>
      </c>
      <c r="AZ100" s="103">
        <f>IF($X100&gt;0,INDEX('CostModel Coef'!J$13:J$16,$X100),"")</f>
        <v>0</v>
      </c>
      <c r="BA100" s="103">
        <f>IF($X100&gt;0,INDEX('CostModel Coef'!K$13:K$16,$X100),"")</f>
        <v>-2.4630000000000001</v>
      </c>
      <c r="BB100" s="103">
        <f>IF($X100&gt;0,INDEX('CostModel Coef'!L$13:L$16,$X100),"")</f>
        <v>0.46179999999999999</v>
      </c>
      <c r="BC100" s="103">
        <f>IF($X100&gt;0,INDEX('CostModel Coef'!M$13:M$16,$X100),"")</f>
        <v>0</v>
      </c>
      <c r="BD100" s="103">
        <f>IF($X100&gt;0,INDEX('CostModel Coef'!N$13:N$16,$X100),"")</f>
        <v>0.19869999999999999</v>
      </c>
      <c r="BE100" s="103">
        <f>IF($X100&gt;0,INDEX('CostModel Coef'!O$13:O$16,$X100),"")</f>
        <v>0.6</v>
      </c>
      <c r="BF100" s="103">
        <f>IF($X100&gt;0,INDEX('CostModel Coef'!P$13:P$16,$X100),"")</f>
        <v>15</v>
      </c>
      <c r="BG100" s="103">
        <f>IF($X100&gt;0,INDEX('CostModel Coef'!Q$13:Q$16,$X100),"")</f>
        <v>0</v>
      </c>
      <c r="BH100" s="103">
        <f>IF($X100&gt;0,INDEX('CostModel Coef'!R$13:R$16,$X100),"")</f>
        <v>3</v>
      </c>
      <c r="BI100" s="103">
        <f>IF($X100&gt;0,INDEX('CostModel Coef'!S$13:S$16,$X100),"")</f>
        <v>150</v>
      </c>
      <c r="BJ100" s="103">
        <f>IF($X100&gt;0,INDEX('CostModel Coef'!T$13:T$16,$X100),"")</f>
        <v>0</v>
      </c>
      <c r="BK100" s="103">
        <f>IF($X100&gt;0,INDEX('CostModel Coef'!U$13:U$16,$X100),"")</f>
        <v>9.1999999999999998E-3</v>
      </c>
      <c r="BL100" s="103">
        <f>IF($X100&gt;0,INDEX('CostModel Coef'!V$13:V$16,$X100),"")</f>
        <v>-8.8000000000000005E-3</v>
      </c>
      <c r="BM100" s="103">
        <f>IF($X100&gt;0,INDEX('CostModel Coef'!W$13:W$16,$X100),"")</f>
        <v>0</v>
      </c>
      <c r="BN100" s="103">
        <f>IF($X100&gt;0,INDEX('CostModel Coef'!X$13:X$16,$X100),"")</f>
        <v>0</v>
      </c>
      <c r="BO100" s="103"/>
      <c r="BP100" s="119">
        <v>2000</v>
      </c>
      <c r="BQ100" s="103"/>
      <c r="BR100" s="103"/>
      <c r="BS100" s="119" t="str">
        <f t="shared" si="34"/>
        <v>WRR0347_CFLscw-Dim(11w)</v>
      </c>
      <c r="BT100" s="174">
        <f t="shared" si="26"/>
        <v>38</v>
      </c>
      <c r="BU100" s="113">
        <f t="shared" si="36"/>
        <v>0.97599999999999998</v>
      </c>
      <c r="BV100" s="108">
        <f t="shared" si="37"/>
        <v>3.4390000000000001</v>
      </c>
      <c r="BW100" s="108">
        <f t="shared" si="38"/>
        <v>1.7490000000000001</v>
      </c>
      <c r="BX100" s="108">
        <f t="shared" si="39"/>
        <v>0.58900000000000019</v>
      </c>
      <c r="BY100" s="108">
        <f t="shared" si="40"/>
        <v>0.58900000000000019</v>
      </c>
      <c r="BZ100" s="108"/>
      <c r="CA100" s="119" t="str">
        <f t="shared" si="41"/>
        <v/>
      </c>
      <c r="CB100" s="180">
        <v>-1</v>
      </c>
      <c r="CC100" s="113" t="str">
        <f t="shared" si="42"/>
        <v/>
      </c>
      <c r="CD100" s="108" t="str">
        <f t="shared" si="43"/>
        <v/>
      </c>
      <c r="CE100" s="108" t="str">
        <f t="shared" si="44"/>
        <v/>
      </c>
      <c r="CF100" s="108" t="str">
        <f t="shared" si="45"/>
        <v/>
      </c>
      <c r="CG100" s="108" t="str">
        <f t="shared" si="46"/>
        <v/>
      </c>
      <c r="CH100" s="103"/>
      <c r="CI100" s="119" t="str">
        <f t="shared" si="35"/>
        <v>WRR0347_CFLscw-Dim(11w)</v>
      </c>
      <c r="CJ100" s="174">
        <f t="shared" si="33"/>
        <v>38</v>
      </c>
      <c r="CK100" s="113">
        <f t="shared" si="47"/>
        <v>0.97599999999999998</v>
      </c>
      <c r="CL100" s="108">
        <f t="shared" si="48"/>
        <v>3.4390000000000001</v>
      </c>
      <c r="CM100" s="108">
        <f t="shared" si="49"/>
        <v>1.7490000000000001</v>
      </c>
      <c r="CN100" s="108">
        <f t="shared" si="50"/>
        <v>0.58900000000000019</v>
      </c>
      <c r="CO100" s="108">
        <f t="shared" si="51"/>
        <v>0.58900000000000019</v>
      </c>
    </row>
    <row r="101" spans="1:93">
      <c r="A101" s="103" t="s">
        <v>353</v>
      </c>
      <c r="B101" s="103" t="s">
        <v>174</v>
      </c>
      <c r="C101" s="103" t="s">
        <v>153</v>
      </c>
      <c r="D101" s="250" t="s">
        <v>153</v>
      </c>
      <c r="E101" s="250"/>
      <c r="F101" s="182">
        <v>9020</v>
      </c>
      <c r="G101" s="250" t="s">
        <v>354</v>
      </c>
      <c r="H101" s="250">
        <v>14</v>
      </c>
      <c r="I101" s="250"/>
      <c r="J101" s="250"/>
      <c r="K101" s="250"/>
      <c r="L101" s="250" t="s">
        <v>61</v>
      </c>
      <c r="M101" s="250">
        <v>14</v>
      </c>
      <c r="N101" s="250"/>
      <c r="O101" s="250"/>
      <c r="P101" s="250" t="s">
        <v>153</v>
      </c>
      <c r="Q101" s="250"/>
      <c r="R101" s="250"/>
      <c r="S101" s="250"/>
      <c r="T101" s="250" t="s">
        <v>155</v>
      </c>
      <c r="U101" s="103" t="s">
        <v>355</v>
      </c>
      <c r="V101" s="106" t="s">
        <v>157</v>
      </c>
      <c r="W101" s="103" t="s">
        <v>81</v>
      </c>
      <c r="X101" s="103">
        <f>IFERROR(MATCH(W101,'CostModel Coef'!$C$9:$C$12,0),0)</f>
        <v>1</v>
      </c>
      <c r="Y101" s="103"/>
      <c r="Z101" s="103">
        <f>IF($X101&gt;0,INDEX('CostModel Coef'!D$9:D$12,$X101),"")</f>
        <v>3.0430000000000001</v>
      </c>
      <c r="AA101" s="103">
        <f>IF($X101&gt;0,INDEX('CostModel Coef'!E$9:E$12,$X101),"")</f>
        <v>-0.14966150225589619</v>
      </c>
      <c r="AB101" s="103">
        <f>IF($X101&gt;0,INDEX('CostModel Coef'!F$9:F$12,$X101),"")</f>
        <v>0.52692151711335011</v>
      </c>
      <c r="AC101" s="103">
        <f>IF($X101&gt;0,INDEX('CostModel Coef'!G$9:G$12,$X101),"")</f>
        <v>1.8411</v>
      </c>
      <c r="AD101" s="103">
        <f>IF($X101&gt;0,INDEX('CostModel Coef'!H$9:H$12,$X101),"")</f>
        <v>-1.8050999999999999</v>
      </c>
      <c r="AE101" s="103">
        <f>IF($X101&gt;0,INDEX('CostModel Coef'!J$9:J$12,$X101),"")</f>
        <v>-1.1288</v>
      </c>
      <c r="AF101" s="103">
        <f>IF($X101&gt;0,INDEX('CostModel Coef'!K$9:K$12,$X101),"")</f>
        <v>-1.845</v>
      </c>
      <c r="AG101" s="103">
        <f>IF($X101&gt;0,INDEX('CostModel Coef'!L$9:L$12,$X101),"")</f>
        <v>6.7507000000000001</v>
      </c>
      <c r="AH101" s="103">
        <f>IF($X101&gt;0,INDEX('CostModel Coef'!M$9:M$12,$X101),"")</f>
        <v>5.8051000000000004</v>
      </c>
      <c r="AI101" s="103">
        <f>IF($X101&gt;0,INDEX('CostModel Coef'!N$9:N$12,$X101),"")</f>
        <v>6.1600000000000002E-2</v>
      </c>
      <c r="AJ101" s="103">
        <f>IF($X101&gt;0,INDEX('CostModel Coef'!Q$9:Q$12,$X101),"")</f>
        <v>6.6500000000000004E-2</v>
      </c>
      <c r="AK101" s="103">
        <f>IF($X101&gt;0,INDEX('CostModel Coef'!T$9:T$12,$X101),"")</f>
        <v>9.35E-2</v>
      </c>
      <c r="AL101" s="103"/>
      <c r="AM101" s="108">
        <f t="shared" si="27"/>
        <v>8.8669920148574537</v>
      </c>
      <c r="AN101" s="108">
        <f t="shared" si="28"/>
        <v>10.711992014857454</v>
      </c>
      <c r="AO101" s="108">
        <f t="shared" si="29"/>
        <v>8.9068920148574549</v>
      </c>
      <c r="AP101" s="108">
        <f t="shared" si="30"/>
        <v>8.9068920148574549</v>
      </c>
      <c r="AQ101" s="108">
        <f t="shared" si="31"/>
        <v>7.7780920148574548</v>
      </c>
      <c r="AR101" s="108"/>
      <c r="AS101" s="108"/>
      <c r="AT101" s="103">
        <f>IF($X101&gt;0,INDEX('CostModel Coef'!D$13:D$16,$X101),"")</f>
        <v>2.1320000000000001</v>
      </c>
      <c r="AU101" s="103">
        <f>IF($X101&gt;0,INDEX('CostModel Coef'!E$13:E$16,$X101),"")</f>
        <v>0.23699999999999999</v>
      </c>
      <c r="AV101" s="103">
        <f>IF($X101&gt;0,INDEX('CostModel Coef'!F$13:F$16,$X101),"")</f>
        <v>0.59899999999999998</v>
      </c>
      <c r="AW101" s="103">
        <f>IF($X101&gt;0,INDEX('CostModel Coef'!G$13:G$16,$X101),"")</f>
        <v>0</v>
      </c>
      <c r="AX101" s="103">
        <f>IF($X101&gt;0,INDEX('CostModel Coef'!H$13:H$16,$X101),"")</f>
        <v>-1.69</v>
      </c>
      <c r="AY101" s="103">
        <f>IF($X101&gt;0,INDEX('CostModel Coef'!I$13:I$16,$X101),"")</f>
        <v>-1.1599999999999999</v>
      </c>
      <c r="AZ101" s="103">
        <f>IF($X101&gt;0,INDEX('CostModel Coef'!J$13:J$16,$X101),"")</f>
        <v>0</v>
      </c>
      <c r="BA101" s="103">
        <f>IF($X101&gt;0,INDEX('CostModel Coef'!K$13:K$16,$X101),"")</f>
        <v>-2.4630000000000001</v>
      </c>
      <c r="BB101" s="103">
        <f>IF($X101&gt;0,INDEX('CostModel Coef'!L$13:L$16,$X101),"")</f>
        <v>0.46179999999999999</v>
      </c>
      <c r="BC101" s="103">
        <f>IF($X101&gt;0,INDEX('CostModel Coef'!M$13:M$16,$X101),"")</f>
        <v>0</v>
      </c>
      <c r="BD101" s="103">
        <f>IF($X101&gt;0,INDEX('CostModel Coef'!N$13:N$16,$X101),"")</f>
        <v>0.19869999999999999</v>
      </c>
      <c r="BE101" s="103">
        <f>IF($X101&gt;0,INDEX('CostModel Coef'!O$13:O$16,$X101),"")</f>
        <v>0.6</v>
      </c>
      <c r="BF101" s="103">
        <f>IF($X101&gt;0,INDEX('CostModel Coef'!P$13:P$16,$X101),"")</f>
        <v>15</v>
      </c>
      <c r="BG101" s="103">
        <f>IF($X101&gt;0,INDEX('CostModel Coef'!Q$13:Q$16,$X101),"")</f>
        <v>0</v>
      </c>
      <c r="BH101" s="103">
        <f>IF($X101&gt;0,INDEX('CostModel Coef'!R$13:R$16,$X101),"")</f>
        <v>3</v>
      </c>
      <c r="BI101" s="103">
        <f>IF($X101&gt;0,INDEX('CostModel Coef'!S$13:S$16,$X101),"")</f>
        <v>150</v>
      </c>
      <c r="BJ101" s="103">
        <f>IF($X101&gt;0,INDEX('CostModel Coef'!T$13:T$16,$X101),"")</f>
        <v>0</v>
      </c>
      <c r="BK101" s="103">
        <f>IF($X101&gt;0,INDEX('CostModel Coef'!U$13:U$16,$X101),"")</f>
        <v>9.1999999999999998E-3</v>
      </c>
      <c r="BL101" s="103">
        <f>IF($X101&gt;0,INDEX('CostModel Coef'!V$13:V$16,$X101),"")</f>
        <v>-8.8000000000000005E-3</v>
      </c>
      <c r="BM101" s="103">
        <f>IF($X101&gt;0,INDEX('CostModel Coef'!W$13:W$16,$X101),"")</f>
        <v>0</v>
      </c>
      <c r="BN101" s="103">
        <f>IF($X101&gt;0,INDEX('CostModel Coef'!X$13:X$16,$X101),"")</f>
        <v>0</v>
      </c>
      <c r="BO101" s="103"/>
      <c r="BP101" s="119">
        <v>2000</v>
      </c>
      <c r="BQ101" s="103"/>
      <c r="BR101" s="103"/>
      <c r="BS101" s="119" t="str">
        <f t="shared" si="34"/>
        <v>WRR0347_CFLscw-Dim(14w)</v>
      </c>
      <c r="BT101" s="174">
        <f t="shared" si="26"/>
        <v>49</v>
      </c>
      <c r="BU101" s="113">
        <f t="shared" si="36"/>
        <v>1.0771999999999999</v>
      </c>
      <c r="BV101" s="108">
        <f t="shared" si="37"/>
        <v>3.5402</v>
      </c>
      <c r="BW101" s="108">
        <f t="shared" si="38"/>
        <v>1.8502000000000001</v>
      </c>
      <c r="BX101" s="108">
        <f t="shared" si="39"/>
        <v>0.69020000000000015</v>
      </c>
      <c r="BY101" s="108">
        <f t="shared" si="40"/>
        <v>0.69020000000000015</v>
      </c>
      <c r="BZ101" s="108"/>
      <c r="CA101" s="119" t="str">
        <f t="shared" si="41"/>
        <v/>
      </c>
      <c r="CB101" s="180">
        <v>-1</v>
      </c>
      <c r="CC101" s="113" t="str">
        <f t="shared" si="42"/>
        <v/>
      </c>
      <c r="CD101" s="108" t="str">
        <f t="shared" si="43"/>
        <v/>
      </c>
      <c r="CE101" s="108" t="str">
        <f t="shared" si="44"/>
        <v/>
      </c>
      <c r="CF101" s="108" t="str">
        <f t="shared" si="45"/>
        <v/>
      </c>
      <c r="CG101" s="108" t="str">
        <f t="shared" si="46"/>
        <v/>
      </c>
      <c r="CH101" s="103"/>
      <c r="CI101" s="119" t="str">
        <f t="shared" si="35"/>
        <v>WRR0347_CFLscw-Dim(14w)</v>
      </c>
      <c r="CJ101" s="174">
        <f t="shared" si="33"/>
        <v>49</v>
      </c>
      <c r="CK101" s="113">
        <f t="shared" si="47"/>
        <v>1.0771999999999999</v>
      </c>
      <c r="CL101" s="108">
        <f t="shared" si="48"/>
        <v>3.5402</v>
      </c>
      <c r="CM101" s="108">
        <f t="shared" si="49"/>
        <v>1.8502000000000001</v>
      </c>
      <c r="CN101" s="108">
        <f t="shared" si="50"/>
        <v>0.69020000000000015</v>
      </c>
      <c r="CO101" s="108">
        <f t="shared" si="51"/>
        <v>0.69020000000000015</v>
      </c>
    </row>
    <row r="102" spans="1:93">
      <c r="A102" s="103" t="s">
        <v>356</v>
      </c>
      <c r="B102" s="103" t="s">
        <v>174</v>
      </c>
      <c r="C102" s="103" t="s">
        <v>153</v>
      </c>
      <c r="D102" s="250" t="s">
        <v>153</v>
      </c>
      <c r="E102" s="250"/>
      <c r="F102" s="182">
        <v>9020</v>
      </c>
      <c r="G102" s="250" t="s">
        <v>354</v>
      </c>
      <c r="H102" s="250">
        <v>15</v>
      </c>
      <c r="I102" s="250"/>
      <c r="J102" s="250"/>
      <c r="K102" s="250"/>
      <c r="L102" s="250" t="s">
        <v>61</v>
      </c>
      <c r="M102" s="250">
        <v>15</v>
      </c>
      <c r="N102" s="250"/>
      <c r="O102" s="250"/>
      <c r="P102" s="250" t="s">
        <v>153</v>
      </c>
      <c r="Q102" s="250"/>
      <c r="R102" s="250"/>
      <c r="S102" s="250"/>
      <c r="T102" s="250" t="s">
        <v>155</v>
      </c>
      <c r="U102" s="103" t="s">
        <v>357</v>
      </c>
      <c r="V102" s="106" t="s">
        <v>157</v>
      </c>
      <c r="W102" s="103" t="s">
        <v>81</v>
      </c>
      <c r="X102" s="103">
        <f>IFERROR(MATCH(W102,'CostModel Coef'!$C$9:$C$12,0),0)</f>
        <v>1</v>
      </c>
      <c r="Y102" s="103"/>
      <c r="Z102" s="103">
        <f>IF($X102&gt;0,INDEX('CostModel Coef'!D$9:D$12,$X102),"")</f>
        <v>3.0430000000000001</v>
      </c>
      <c r="AA102" s="103">
        <f>IF($X102&gt;0,INDEX('CostModel Coef'!E$9:E$12,$X102),"")</f>
        <v>-0.14966150225589619</v>
      </c>
      <c r="AB102" s="103">
        <f>IF($X102&gt;0,INDEX('CostModel Coef'!F$9:F$12,$X102),"")</f>
        <v>0.52692151711335011</v>
      </c>
      <c r="AC102" s="103">
        <f>IF($X102&gt;0,INDEX('CostModel Coef'!G$9:G$12,$X102),"")</f>
        <v>1.8411</v>
      </c>
      <c r="AD102" s="103">
        <f>IF($X102&gt;0,INDEX('CostModel Coef'!H$9:H$12,$X102),"")</f>
        <v>-1.8050999999999999</v>
      </c>
      <c r="AE102" s="103">
        <f>IF($X102&gt;0,INDEX('CostModel Coef'!J$9:J$12,$X102),"")</f>
        <v>-1.1288</v>
      </c>
      <c r="AF102" s="103">
        <f>IF($X102&gt;0,INDEX('CostModel Coef'!K$9:K$12,$X102),"")</f>
        <v>-1.845</v>
      </c>
      <c r="AG102" s="103">
        <f>IF($X102&gt;0,INDEX('CostModel Coef'!L$9:L$12,$X102),"")</f>
        <v>6.7507000000000001</v>
      </c>
      <c r="AH102" s="103">
        <f>IF($X102&gt;0,INDEX('CostModel Coef'!M$9:M$12,$X102),"")</f>
        <v>5.8051000000000004</v>
      </c>
      <c r="AI102" s="103">
        <f>IF($X102&gt;0,INDEX('CostModel Coef'!N$9:N$12,$X102),"")</f>
        <v>6.1600000000000002E-2</v>
      </c>
      <c r="AJ102" s="103">
        <f>IF($X102&gt;0,INDEX('CostModel Coef'!Q$9:Q$12,$X102),"")</f>
        <v>6.6500000000000004E-2</v>
      </c>
      <c r="AK102" s="103">
        <f>IF($X102&gt;0,INDEX('CostModel Coef'!T$9:T$12,$X102),"")</f>
        <v>9.35E-2</v>
      </c>
      <c r="AL102" s="103"/>
      <c r="AM102" s="108">
        <f t="shared" si="27"/>
        <v>8.9334920148574533</v>
      </c>
      <c r="AN102" s="108">
        <f t="shared" si="28"/>
        <v>10.778492014857454</v>
      </c>
      <c r="AO102" s="108">
        <f t="shared" si="29"/>
        <v>8.9733920148574544</v>
      </c>
      <c r="AP102" s="108">
        <f t="shared" si="30"/>
        <v>8.9733920148574544</v>
      </c>
      <c r="AQ102" s="108">
        <f t="shared" si="31"/>
        <v>7.8445920148574544</v>
      </c>
      <c r="AR102" s="108"/>
      <c r="AS102" s="108"/>
      <c r="AT102" s="103">
        <f>IF($X102&gt;0,INDEX('CostModel Coef'!D$13:D$16,$X102),"")</f>
        <v>2.1320000000000001</v>
      </c>
      <c r="AU102" s="103">
        <f>IF($X102&gt;0,INDEX('CostModel Coef'!E$13:E$16,$X102),"")</f>
        <v>0.23699999999999999</v>
      </c>
      <c r="AV102" s="103">
        <f>IF($X102&gt;0,INDEX('CostModel Coef'!F$13:F$16,$X102),"")</f>
        <v>0.59899999999999998</v>
      </c>
      <c r="AW102" s="103">
        <f>IF($X102&gt;0,INDEX('CostModel Coef'!G$13:G$16,$X102),"")</f>
        <v>0</v>
      </c>
      <c r="AX102" s="103">
        <f>IF($X102&gt;0,INDEX('CostModel Coef'!H$13:H$16,$X102),"")</f>
        <v>-1.69</v>
      </c>
      <c r="AY102" s="103">
        <f>IF($X102&gt;0,INDEX('CostModel Coef'!I$13:I$16,$X102),"")</f>
        <v>-1.1599999999999999</v>
      </c>
      <c r="AZ102" s="103">
        <f>IF($X102&gt;0,INDEX('CostModel Coef'!J$13:J$16,$X102),"")</f>
        <v>0</v>
      </c>
      <c r="BA102" s="103">
        <f>IF($X102&gt;0,INDEX('CostModel Coef'!K$13:K$16,$X102),"")</f>
        <v>-2.4630000000000001</v>
      </c>
      <c r="BB102" s="103">
        <f>IF($X102&gt;0,INDEX('CostModel Coef'!L$13:L$16,$X102),"")</f>
        <v>0.46179999999999999</v>
      </c>
      <c r="BC102" s="103">
        <f>IF($X102&gt;0,INDEX('CostModel Coef'!M$13:M$16,$X102),"")</f>
        <v>0</v>
      </c>
      <c r="BD102" s="103">
        <f>IF($X102&gt;0,INDEX('CostModel Coef'!N$13:N$16,$X102),"")</f>
        <v>0.19869999999999999</v>
      </c>
      <c r="BE102" s="103">
        <f>IF($X102&gt;0,INDEX('CostModel Coef'!O$13:O$16,$X102),"")</f>
        <v>0.6</v>
      </c>
      <c r="BF102" s="103">
        <f>IF($X102&gt;0,INDEX('CostModel Coef'!P$13:P$16,$X102),"")</f>
        <v>15</v>
      </c>
      <c r="BG102" s="103">
        <f>IF($X102&gt;0,INDEX('CostModel Coef'!Q$13:Q$16,$X102),"")</f>
        <v>0</v>
      </c>
      <c r="BH102" s="103">
        <f>IF($X102&gt;0,INDEX('CostModel Coef'!R$13:R$16,$X102),"")</f>
        <v>3</v>
      </c>
      <c r="BI102" s="103">
        <f>IF($X102&gt;0,INDEX('CostModel Coef'!S$13:S$16,$X102),"")</f>
        <v>150</v>
      </c>
      <c r="BJ102" s="103">
        <f>IF($X102&gt;0,INDEX('CostModel Coef'!T$13:T$16,$X102),"")</f>
        <v>0</v>
      </c>
      <c r="BK102" s="103">
        <f>IF($X102&gt;0,INDEX('CostModel Coef'!U$13:U$16,$X102),"")</f>
        <v>9.1999999999999998E-3</v>
      </c>
      <c r="BL102" s="103">
        <f>IF($X102&gt;0,INDEX('CostModel Coef'!V$13:V$16,$X102),"")</f>
        <v>-8.8000000000000005E-3</v>
      </c>
      <c r="BM102" s="103">
        <f>IF($X102&gt;0,INDEX('CostModel Coef'!W$13:W$16,$X102),"")</f>
        <v>0</v>
      </c>
      <c r="BN102" s="103">
        <f>IF($X102&gt;0,INDEX('CostModel Coef'!X$13:X$16,$X102),"")</f>
        <v>0</v>
      </c>
      <c r="BO102" s="103"/>
      <c r="BP102" s="119">
        <v>2000</v>
      </c>
      <c r="BQ102" s="103"/>
      <c r="BR102" s="103"/>
      <c r="BS102" s="119" t="str">
        <f t="shared" si="34"/>
        <v>WRR0347_CFLscw-Dim(15w)</v>
      </c>
      <c r="BT102" s="174">
        <f t="shared" si="26"/>
        <v>52</v>
      </c>
      <c r="BU102" s="113">
        <f t="shared" si="36"/>
        <v>1.1048</v>
      </c>
      <c r="BV102" s="108">
        <f t="shared" si="37"/>
        <v>3.5678000000000001</v>
      </c>
      <c r="BW102" s="108">
        <f t="shared" si="38"/>
        <v>1.8778000000000001</v>
      </c>
      <c r="BX102" s="108">
        <f t="shared" si="39"/>
        <v>0.71780000000000022</v>
      </c>
      <c r="BY102" s="108">
        <f t="shared" si="40"/>
        <v>0.71780000000000022</v>
      </c>
      <c r="BZ102" s="108"/>
      <c r="CA102" s="119" t="str">
        <f t="shared" si="41"/>
        <v/>
      </c>
      <c r="CB102" s="180">
        <v>-1</v>
      </c>
      <c r="CC102" s="113" t="str">
        <f t="shared" si="42"/>
        <v/>
      </c>
      <c r="CD102" s="108" t="str">
        <f t="shared" si="43"/>
        <v/>
      </c>
      <c r="CE102" s="108" t="str">
        <f t="shared" si="44"/>
        <v/>
      </c>
      <c r="CF102" s="108" t="str">
        <f t="shared" si="45"/>
        <v/>
      </c>
      <c r="CG102" s="108" t="str">
        <f t="shared" si="46"/>
        <v/>
      </c>
      <c r="CH102" s="103"/>
      <c r="CI102" s="119" t="str">
        <f t="shared" si="35"/>
        <v>WRR0347_CFLscw-Dim(15w)</v>
      </c>
      <c r="CJ102" s="174">
        <f t="shared" si="33"/>
        <v>52</v>
      </c>
      <c r="CK102" s="113">
        <f t="shared" si="47"/>
        <v>1.1048</v>
      </c>
      <c r="CL102" s="108">
        <f t="shared" si="48"/>
        <v>3.5678000000000001</v>
      </c>
      <c r="CM102" s="108">
        <f t="shared" si="49"/>
        <v>1.8778000000000001</v>
      </c>
      <c r="CN102" s="108">
        <f t="shared" si="50"/>
        <v>0.71780000000000022</v>
      </c>
      <c r="CO102" s="108">
        <f t="shared" si="51"/>
        <v>0.71780000000000022</v>
      </c>
    </row>
    <row r="103" spans="1:93">
      <c r="A103" s="103" t="s">
        <v>358</v>
      </c>
      <c r="B103" s="103" t="s">
        <v>174</v>
      </c>
      <c r="C103" s="103" t="s">
        <v>153</v>
      </c>
      <c r="D103" s="250" t="s">
        <v>153</v>
      </c>
      <c r="E103" s="250"/>
      <c r="F103" s="182">
        <v>9020</v>
      </c>
      <c r="G103" s="250" t="s">
        <v>354</v>
      </c>
      <c r="H103" s="250">
        <v>16</v>
      </c>
      <c r="I103" s="250"/>
      <c r="J103" s="250"/>
      <c r="K103" s="250"/>
      <c r="L103" s="250" t="s">
        <v>61</v>
      </c>
      <c r="M103" s="250">
        <v>16</v>
      </c>
      <c r="N103" s="250"/>
      <c r="O103" s="250"/>
      <c r="P103" s="250" t="s">
        <v>153</v>
      </c>
      <c r="Q103" s="250"/>
      <c r="R103" s="250"/>
      <c r="S103" s="250"/>
      <c r="T103" s="250" t="s">
        <v>155</v>
      </c>
      <c r="U103" s="103" t="s">
        <v>359</v>
      </c>
      <c r="V103" s="106" t="s">
        <v>157</v>
      </c>
      <c r="W103" s="103" t="s">
        <v>81</v>
      </c>
      <c r="X103" s="103">
        <f>IFERROR(MATCH(W103,'CostModel Coef'!$C$9:$C$12,0),0)</f>
        <v>1</v>
      </c>
      <c r="Y103" s="103"/>
      <c r="Z103" s="103">
        <f>IF($X103&gt;0,INDEX('CostModel Coef'!D$9:D$12,$X103),"")</f>
        <v>3.0430000000000001</v>
      </c>
      <c r="AA103" s="103">
        <f>IF($X103&gt;0,INDEX('CostModel Coef'!E$9:E$12,$X103),"")</f>
        <v>-0.14966150225589619</v>
      </c>
      <c r="AB103" s="103">
        <f>IF($X103&gt;0,INDEX('CostModel Coef'!F$9:F$12,$X103),"")</f>
        <v>0.52692151711335011</v>
      </c>
      <c r="AC103" s="103">
        <f>IF($X103&gt;0,INDEX('CostModel Coef'!G$9:G$12,$X103),"")</f>
        <v>1.8411</v>
      </c>
      <c r="AD103" s="103">
        <f>IF($X103&gt;0,INDEX('CostModel Coef'!H$9:H$12,$X103),"")</f>
        <v>-1.8050999999999999</v>
      </c>
      <c r="AE103" s="103">
        <f>IF($X103&gt;0,INDEX('CostModel Coef'!J$9:J$12,$X103),"")</f>
        <v>-1.1288</v>
      </c>
      <c r="AF103" s="103">
        <f>IF($X103&gt;0,INDEX('CostModel Coef'!K$9:K$12,$X103),"")</f>
        <v>-1.845</v>
      </c>
      <c r="AG103" s="103">
        <f>IF($X103&gt;0,INDEX('CostModel Coef'!L$9:L$12,$X103),"")</f>
        <v>6.7507000000000001</v>
      </c>
      <c r="AH103" s="103">
        <f>IF($X103&gt;0,INDEX('CostModel Coef'!M$9:M$12,$X103),"")</f>
        <v>5.8051000000000004</v>
      </c>
      <c r="AI103" s="103">
        <f>IF($X103&gt;0,INDEX('CostModel Coef'!N$9:N$12,$X103),"")</f>
        <v>6.1600000000000002E-2</v>
      </c>
      <c r="AJ103" s="103">
        <f>IF($X103&gt;0,INDEX('CostModel Coef'!Q$9:Q$12,$X103),"")</f>
        <v>6.6500000000000004E-2</v>
      </c>
      <c r="AK103" s="103">
        <f>IF($X103&gt;0,INDEX('CostModel Coef'!T$9:T$12,$X103),"")</f>
        <v>9.35E-2</v>
      </c>
      <c r="AL103" s="103"/>
      <c r="AM103" s="108">
        <f t="shared" si="27"/>
        <v>8.9999920148574528</v>
      </c>
      <c r="AN103" s="108">
        <f t="shared" si="28"/>
        <v>10.844992014857453</v>
      </c>
      <c r="AO103" s="108">
        <f t="shared" si="29"/>
        <v>9.039892014857454</v>
      </c>
      <c r="AP103" s="108">
        <f t="shared" si="30"/>
        <v>9.039892014857454</v>
      </c>
      <c r="AQ103" s="108">
        <f t="shared" si="31"/>
        <v>7.9110920148574539</v>
      </c>
      <c r="AR103" s="108"/>
      <c r="AS103" s="108"/>
      <c r="AT103" s="103">
        <f>IF($X103&gt;0,INDEX('CostModel Coef'!D$13:D$16,$X103),"")</f>
        <v>2.1320000000000001</v>
      </c>
      <c r="AU103" s="103">
        <f>IF($X103&gt;0,INDEX('CostModel Coef'!E$13:E$16,$X103),"")</f>
        <v>0.23699999999999999</v>
      </c>
      <c r="AV103" s="103">
        <f>IF($X103&gt;0,INDEX('CostModel Coef'!F$13:F$16,$X103),"")</f>
        <v>0.59899999999999998</v>
      </c>
      <c r="AW103" s="103">
        <f>IF($X103&gt;0,INDEX('CostModel Coef'!G$13:G$16,$X103),"")</f>
        <v>0</v>
      </c>
      <c r="AX103" s="103">
        <f>IF($X103&gt;0,INDEX('CostModel Coef'!H$13:H$16,$X103),"")</f>
        <v>-1.69</v>
      </c>
      <c r="AY103" s="103">
        <f>IF($X103&gt;0,INDEX('CostModel Coef'!I$13:I$16,$X103),"")</f>
        <v>-1.1599999999999999</v>
      </c>
      <c r="AZ103" s="103">
        <f>IF($X103&gt;0,INDEX('CostModel Coef'!J$13:J$16,$X103),"")</f>
        <v>0</v>
      </c>
      <c r="BA103" s="103">
        <f>IF($X103&gt;0,INDEX('CostModel Coef'!K$13:K$16,$X103),"")</f>
        <v>-2.4630000000000001</v>
      </c>
      <c r="BB103" s="103">
        <f>IF($X103&gt;0,INDEX('CostModel Coef'!L$13:L$16,$X103),"")</f>
        <v>0.46179999999999999</v>
      </c>
      <c r="BC103" s="103">
        <f>IF($X103&gt;0,INDEX('CostModel Coef'!M$13:M$16,$X103),"")</f>
        <v>0</v>
      </c>
      <c r="BD103" s="103">
        <f>IF($X103&gt;0,INDEX('CostModel Coef'!N$13:N$16,$X103),"")</f>
        <v>0.19869999999999999</v>
      </c>
      <c r="BE103" s="103">
        <f>IF($X103&gt;0,INDEX('CostModel Coef'!O$13:O$16,$X103),"")</f>
        <v>0.6</v>
      </c>
      <c r="BF103" s="103">
        <f>IF($X103&gt;0,INDEX('CostModel Coef'!P$13:P$16,$X103),"")</f>
        <v>15</v>
      </c>
      <c r="BG103" s="103">
        <f>IF($X103&gt;0,INDEX('CostModel Coef'!Q$13:Q$16,$X103),"")</f>
        <v>0</v>
      </c>
      <c r="BH103" s="103">
        <f>IF($X103&gt;0,INDEX('CostModel Coef'!R$13:R$16,$X103),"")</f>
        <v>3</v>
      </c>
      <c r="BI103" s="103">
        <f>IF($X103&gt;0,INDEX('CostModel Coef'!S$13:S$16,$X103),"")</f>
        <v>150</v>
      </c>
      <c r="BJ103" s="103">
        <f>IF($X103&gt;0,INDEX('CostModel Coef'!T$13:T$16,$X103),"")</f>
        <v>0</v>
      </c>
      <c r="BK103" s="103">
        <f>IF($X103&gt;0,INDEX('CostModel Coef'!U$13:U$16,$X103),"")</f>
        <v>9.1999999999999998E-3</v>
      </c>
      <c r="BL103" s="103">
        <f>IF($X103&gt;0,INDEX('CostModel Coef'!V$13:V$16,$X103),"")</f>
        <v>-8.8000000000000005E-3</v>
      </c>
      <c r="BM103" s="103">
        <f>IF($X103&gt;0,INDEX('CostModel Coef'!W$13:W$16,$X103),"")</f>
        <v>0</v>
      </c>
      <c r="BN103" s="103">
        <f>IF($X103&gt;0,INDEX('CostModel Coef'!X$13:X$16,$X103),"")</f>
        <v>0</v>
      </c>
      <c r="BO103" s="103"/>
      <c r="BP103" s="119">
        <v>2000</v>
      </c>
      <c r="BQ103" s="103"/>
      <c r="BR103" s="103"/>
      <c r="BS103" s="119" t="str">
        <f t="shared" si="34"/>
        <v>WRR0347_CFLscw-Dim(16w)</v>
      </c>
      <c r="BT103" s="174">
        <f t="shared" si="26"/>
        <v>56</v>
      </c>
      <c r="BU103" s="113">
        <f t="shared" si="36"/>
        <v>1.1415999999999999</v>
      </c>
      <c r="BV103" s="108">
        <f t="shared" si="37"/>
        <v>3.6046</v>
      </c>
      <c r="BW103" s="108">
        <f t="shared" si="38"/>
        <v>1.9146000000000001</v>
      </c>
      <c r="BX103" s="108">
        <f t="shared" si="39"/>
        <v>0.75460000000000016</v>
      </c>
      <c r="BY103" s="108">
        <f t="shared" si="40"/>
        <v>0.75460000000000016</v>
      </c>
      <c r="BZ103" s="108"/>
      <c r="CA103" s="119" t="str">
        <f t="shared" si="41"/>
        <v/>
      </c>
      <c r="CB103" s="180">
        <v>-1</v>
      </c>
      <c r="CC103" s="113" t="str">
        <f t="shared" si="42"/>
        <v/>
      </c>
      <c r="CD103" s="108" t="str">
        <f t="shared" si="43"/>
        <v/>
      </c>
      <c r="CE103" s="108" t="str">
        <f t="shared" si="44"/>
        <v/>
      </c>
      <c r="CF103" s="108" t="str">
        <f t="shared" si="45"/>
        <v/>
      </c>
      <c r="CG103" s="108" t="str">
        <f t="shared" si="46"/>
        <v/>
      </c>
      <c r="CH103" s="103"/>
      <c r="CI103" s="119" t="str">
        <f t="shared" si="35"/>
        <v>WRR0347_CFLscw-Dim(16w)</v>
      </c>
      <c r="CJ103" s="174">
        <f t="shared" si="33"/>
        <v>56</v>
      </c>
      <c r="CK103" s="113">
        <f t="shared" si="47"/>
        <v>1.1415999999999999</v>
      </c>
      <c r="CL103" s="108">
        <f t="shared" si="48"/>
        <v>3.6046</v>
      </c>
      <c r="CM103" s="108">
        <f t="shared" si="49"/>
        <v>1.9146000000000001</v>
      </c>
      <c r="CN103" s="108">
        <f t="shared" si="50"/>
        <v>0.75460000000000016</v>
      </c>
      <c r="CO103" s="108">
        <f t="shared" si="51"/>
        <v>0.75460000000000016</v>
      </c>
    </row>
    <row r="104" spans="1:93">
      <c r="A104" s="103" t="s">
        <v>360</v>
      </c>
      <c r="B104" s="103" t="s">
        <v>174</v>
      </c>
      <c r="C104" s="103" t="s">
        <v>153</v>
      </c>
      <c r="D104" s="250" t="s">
        <v>153</v>
      </c>
      <c r="E104" s="250"/>
      <c r="F104" s="182">
        <v>9020</v>
      </c>
      <c r="G104" s="250" t="s">
        <v>354</v>
      </c>
      <c r="H104" s="250">
        <v>18</v>
      </c>
      <c r="I104" s="250"/>
      <c r="J104" s="250"/>
      <c r="K104" s="250"/>
      <c r="L104" s="250" t="s">
        <v>61</v>
      </c>
      <c r="M104" s="250">
        <v>18</v>
      </c>
      <c r="N104" s="250"/>
      <c r="O104" s="250"/>
      <c r="P104" s="250" t="s">
        <v>153</v>
      </c>
      <c r="Q104" s="250"/>
      <c r="R104" s="250"/>
      <c r="S104" s="250"/>
      <c r="T104" s="250" t="s">
        <v>155</v>
      </c>
      <c r="U104" s="103" t="s">
        <v>361</v>
      </c>
      <c r="V104" s="106" t="s">
        <v>157</v>
      </c>
      <c r="W104" s="103" t="s">
        <v>81</v>
      </c>
      <c r="X104" s="103">
        <f>IFERROR(MATCH(W104,'CostModel Coef'!$C$9:$C$12,0),0)</f>
        <v>1</v>
      </c>
      <c r="Y104" s="103"/>
      <c r="Z104" s="103">
        <f>IF($X104&gt;0,INDEX('CostModel Coef'!D$9:D$12,$X104),"")</f>
        <v>3.0430000000000001</v>
      </c>
      <c r="AA104" s="103">
        <f>IF($X104&gt;0,INDEX('CostModel Coef'!E$9:E$12,$X104),"")</f>
        <v>-0.14966150225589619</v>
      </c>
      <c r="AB104" s="103">
        <f>IF($X104&gt;0,INDEX('CostModel Coef'!F$9:F$12,$X104),"")</f>
        <v>0.52692151711335011</v>
      </c>
      <c r="AC104" s="103">
        <f>IF($X104&gt;0,INDEX('CostModel Coef'!G$9:G$12,$X104),"")</f>
        <v>1.8411</v>
      </c>
      <c r="AD104" s="103">
        <f>IF($X104&gt;0,INDEX('CostModel Coef'!H$9:H$12,$X104),"")</f>
        <v>-1.8050999999999999</v>
      </c>
      <c r="AE104" s="103">
        <f>IF($X104&gt;0,INDEX('CostModel Coef'!J$9:J$12,$X104),"")</f>
        <v>-1.1288</v>
      </c>
      <c r="AF104" s="103">
        <f>IF($X104&gt;0,INDEX('CostModel Coef'!K$9:K$12,$X104),"")</f>
        <v>-1.845</v>
      </c>
      <c r="AG104" s="103">
        <f>IF($X104&gt;0,INDEX('CostModel Coef'!L$9:L$12,$X104),"")</f>
        <v>6.7507000000000001</v>
      </c>
      <c r="AH104" s="103">
        <f>IF($X104&gt;0,INDEX('CostModel Coef'!M$9:M$12,$X104),"")</f>
        <v>5.8051000000000004</v>
      </c>
      <c r="AI104" s="103">
        <f>IF($X104&gt;0,INDEX('CostModel Coef'!N$9:N$12,$X104),"")</f>
        <v>6.1600000000000002E-2</v>
      </c>
      <c r="AJ104" s="103">
        <f>IF($X104&gt;0,INDEX('CostModel Coef'!Q$9:Q$12,$X104),"")</f>
        <v>6.6500000000000004E-2</v>
      </c>
      <c r="AK104" s="103">
        <f>IF($X104&gt;0,INDEX('CostModel Coef'!T$9:T$12,$X104),"")</f>
        <v>9.35E-2</v>
      </c>
      <c r="AL104" s="103"/>
      <c r="AM104" s="108">
        <f t="shared" si="27"/>
        <v>9.1329920148574519</v>
      </c>
      <c r="AN104" s="108">
        <f t="shared" si="28"/>
        <v>10.977992014857453</v>
      </c>
      <c r="AO104" s="108">
        <f t="shared" si="29"/>
        <v>9.1728920148574531</v>
      </c>
      <c r="AP104" s="108">
        <f t="shared" si="30"/>
        <v>9.1728920148574531</v>
      </c>
      <c r="AQ104" s="108">
        <f t="shared" si="31"/>
        <v>8.0440920148574531</v>
      </c>
      <c r="AR104" s="108"/>
      <c r="AS104" s="108"/>
      <c r="AT104" s="103">
        <f>IF($X104&gt;0,INDEX('CostModel Coef'!D$13:D$16,$X104),"")</f>
        <v>2.1320000000000001</v>
      </c>
      <c r="AU104" s="103">
        <f>IF($X104&gt;0,INDEX('CostModel Coef'!E$13:E$16,$X104),"")</f>
        <v>0.23699999999999999</v>
      </c>
      <c r="AV104" s="103">
        <f>IF($X104&gt;0,INDEX('CostModel Coef'!F$13:F$16,$X104),"")</f>
        <v>0.59899999999999998</v>
      </c>
      <c r="AW104" s="103">
        <f>IF($X104&gt;0,INDEX('CostModel Coef'!G$13:G$16,$X104),"")</f>
        <v>0</v>
      </c>
      <c r="AX104" s="103">
        <f>IF($X104&gt;0,INDEX('CostModel Coef'!H$13:H$16,$X104),"")</f>
        <v>-1.69</v>
      </c>
      <c r="AY104" s="103">
        <f>IF($X104&gt;0,INDEX('CostModel Coef'!I$13:I$16,$X104),"")</f>
        <v>-1.1599999999999999</v>
      </c>
      <c r="AZ104" s="103">
        <f>IF($X104&gt;0,INDEX('CostModel Coef'!J$13:J$16,$X104),"")</f>
        <v>0</v>
      </c>
      <c r="BA104" s="103">
        <f>IF($X104&gt;0,INDEX('CostModel Coef'!K$13:K$16,$X104),"")</f>
        <v>-2.4630000000000001</v>
      </c>
      <c r="BB104" s="103">
        <f>IF($X104&gt;0,INDEX('CostModel Coef'!L$13:L$16,$X104),"")</f>
        <v>0.46179999999999999</v>
      </c>
      <c r="BC104" s="103">
        <f>IF($X104&gt;0,INDEX('CostModel Coef'!M$13:M$16,$X104),"")</f>
        <v>0</v>
      </c>
      <c r="BD104" s="103">
        <f>IF($X104&gt;0,INDEX('CostModel Coef'!N$13:N$16,$X104),"")</f>
        <v>0.19869999999999999</v>
      </c>
      <c r="BE104" s="103">
        <f>IF($X104&gt;0,INDEX('CostModel Coef'!O$13:O$16,$X104),"")</f>
        <v>0.6</v>
      </c>
      <c r="BF104" s="103">
        <f>IF($X104&gt;0,INDEX('CostModel Coef'!P$13:P$16,$X104),"")</f>
        <v>15</v>
      </c>
      <c r="BG104" s="103">
        <f>IF($X104&gt;0,INDEX('CostModel Coef'!Q$13:Q$16,$X104),"")</f>
        <v>0</v>
      </c>
      <c r="BH104" s="103">
        <f>IF($X104&gt;0,INDEX('CostModel Coef'!R$13:R$16,$X104),"")</f>
        <v>3</v>
      </c>
      <c r="BI104" s="103">
        <f>IF($X104&gt;0,INDEX('CostModel Coef'!S$13:S$16,$X104),"")</f>
        <v>150</v>
      </c>
      <c r="BJ104" s="103">
        <f>IF($X104&gt;0,INDEX('CostModel Coef'!T$13:T$16,$X104),"")</f>
        <v>0</v>
      </c>
      <c r="BK104" s="103">
        <f>IF($X104&gt;0,INDEX('CostModel Coef'!U$13:U$16,$X104),"")</f>
        <v>9.1999999999999998E-3</v>
      </c>
      <c r="BL104" s="103">
        <f>IF($X104&gt;0,INDEX('CostModel Coef'!V$13:V$16,$X104),"")</f>
        <v>-8.8000000000000005E-3</v>
      </c>
      <c r="BM104" s="103">
        <f>IF($X104&gt;0,INDEX('CostModel Coef'!W$13:W$16,$X104),"")</f>
        <v>0</v>
      </c>
      <c r="BN104" s="103">
        <f>IF($X104&gt;0,INDEX('CostModel Coef'!X$13:X$16,$X104),"")</f>
        <v>0</v>
      </c>
      <c r="BO104" s="103"/>
      <c r="BP104" s="119">
        <v>2000</v>
      </c>
      <c r="BQ104" s="103"/>
      <c r="BR104" s="103"/>
      <c r="BS104" s="119" t="str">
        <f t="shared" si="34"/>
        <v>WRR0347_CFLscw-Dim(18w)</v>
      </c>
      <c r="BT104" s="174">
        <f t="shared" si="26"/>
        <v>62</v>
      </c>
      <c r="BU104" s="113">
        <f t="shared" si="36"/>
        <v>1.1968000000000001</v>
      </c>
      <c r="BV104" s="108">
        <f t="shared" si="37"/>
        <v>3.6598000000000002</v>
      </c>
      <c r="BW104" s="108">
        <f t="shared" si="38"/>
        <v>1.9698000000000002</v>
      </c>
      <c r="BX104" s="108">
        <f t="shared" si="39"/>
        <v>0.8098000000000003</v>
      </c>
      <c r="BY104" s="108">
        <f t="shared" si="40"/>
        <v>0.8098000000000003</v>
      </c>
      <c r="BZ104" s="108"/>
      <c r="CA104" s="119" t="str">
        <f t="shared" si="41"/>
        <v/>
      </c>
      <c r="CB104" s="180">
        <v>-1</v>
      </c>
      <c r="CC104" s="113" t="str">
        <f t="shared" si="42"/>
        <v/>
      </c>
      <c r="CD104" s="108" t="str">
        <f t="shared" si="43"/>
        <v/>
      </c>
      <c r="CE104" s="108" t="str">
        <f t="shared" si="44"/>
        <v/>
      </c>
      <c r="CF104" s="108" t="str">
        <f t="shared" si="45"/>
        <v/>
      </c>
      <c r="CG104" s="108" t="str">
        <f t="shared" si="46"/>
        <v/>
      </c>
      <c r="CH104" s="103"/>
      <c r="CI104" s="119" t="str">
        <f t="shared" si="35"/>
        <v>WRR0347_CFLscw-Dim(18w)</v>
      </c>
      <c r="CJ104" s="174">
        <f t="shared" si="33"/>
        <v>62</v>
      </c>
      <c r="CK104" s="113">
        <f t="shared" si="47"/>
        <v>1.1968000000000001</v>
      </c>
      <c r="CL104" s="108">
        <f t="shared" si="48"/>
        <v>3.6598000000000002</v>
      </c>
      <c r="CM104" s="108">
        <f t="shared" si="49"/>
        <v>1.9698000000000002</v>
      </c>
      <c r="CN104" s="108">
        <f t="shared" si="50"/>
        <v>0.8098000000000003</v>
      </c>
      <c r="CO104" s="108">
        <f t="shared" si="51"/>
        <v>0.8098000000000003</v>
      </c>
    </row>
    <row r="105" spans="1:93">
      <c r="A105" s="103" t="s">
        <v>362</v>
      </c>
      <c r="B105" s="103" t="s">
        <v>174</v>
      </c>
      <c r="C105" s="103" t="s">
        <v>153</v>
      </c>
      <c r="D105" s="250" t="s">
        <v>153</v>
      </c>
      <c r="E105" s="250"/>
      <c r="F105" s="182">
        <v>9020</v>
      </c>
      <c r="G105" s="250" t="s">
        <v>347</v>
      </c>
      <c r="H105" s="250">
        <v>19</v>
      </c>
      <c r="I105" s="250"/>
      <c r="J105" s="250"/>
      <c r="K105" s="250"/>
      <c r="L105" s="250" t="s">
        <v>61</v>
      </c>
      <c r="M105" s="250">
        <v>19</v>
      </c>
      <c r="N105" s="250"/>
      <c r="O105" s="250"/>
      <c r="P105" s="250" t="s">
        <v>153</v>
      </c>
      <c r="Q105" s="250"/>
      <c r="R105" s="250"/>
      <c r="S105" s="250"/>
      <c r="T105" s="250" t="s">
        <v>155</v>
      </c>
      <c r="U105" s="103" t="s">
        <v>363</v>
      </c>
      <c r="V105" s="106" t="s">
        <v>157</v>
      </c>
      <c r="W105" s="103" t="s">
        <v>81</v>
      </c>
      <c r="X105" s="103">
        <f>IFERROR(MATCH(W105,'CostModel Coef'!$C$9:$C$12,0),0)</f>
        <v>1</v>
      </c>
      <c r="Y105" s="103"/>
      <c r="Z105" s="103">
        <f>IF($X105&gt;0,INDEX('CostModel Coef'!D$9:D$12,$X105),"")</f>
        <v>3.0430000000000001</v>
      </c>
      <c r="AA105" s="103">
        <f>IF($X105&gt;0,INDEX('CostModel Coef'!E$9:E$12,$X105),"")</f>
        <v>-0.14966150225589619</v>
      </c>
      <c r="AB105" s="103">
        <f>IF($X105&gt;0,INDEX('CostModel Coef'!F$9:F$12,$X105),"")</f>
        <v>0.52692151711335011</v>
      </c>
      <c r="AC105" s="103">
        <f>IF($X105&gt;0,INDEX('CostModel Coef'!G$9:G$12,$X105),"")</f>
        <v>1.8411</v>
      </c>
      <c r="AD105" s="103">
        <f>IF($X105&gt;0,INDEX('CostModel Coef'!H$9:H$12,$X105),"")</f>
        <v>-1.8050999999999999</v>
      </c>
      <c r="AE105" s="103">
        <f>IF($X105&gt;0,INDEX('CostModel Coef'!J$9:J$12,$X105),"")</f>
        <v>-1.1288</v>
      </c>
      <c r="AF105" s="103">
        <f>IF($X105&gt;0,INDEX('CostModel Coef'!K$9:K$12,$X105),"")</f>
        <v>-1.845</v>
      </c>
      <c r="AG105" s="103">
        <f>IF($X105&gt;0,INDEX('CostModel Coef'!L$9:L$12,$X105),"")</f>
        <v>6.7507000000000001</v>
      </c>
      <c r="AH105" s="103">
        <f>IF($X105&gt;0,INDEX('CostModel Coef'!M$9:M$12,$X105),"")</f>
        <v>5.8051000000000004</v>
      </c>
      <c r="AI105" s="103">
        <f>IF($X105&gt;0,INDEX('CostModel Coef'!N$9:N$12,$X105),"")</f>
        <v>6.1600000000000002E-2</v>
      </c>
      <c r="AJ105" s="103">
        <f>IF($X105&gt;0,INDEX('CostModel Coef'!Q$9:Q$12,$X105),"")</f>
        <v>6.6500000000000004E-2</v>
      </c>
      <c r="AK105" s="103">
        <f>IF($X105&gt;0,INDEX('CostModel Coef'!T$9:T$12,$X105),"")</f>
        <v>9.35E-2</v>
      </c>
      <c r="AL105" s="103"/>
      <c r="AM105" s="108">
        <f t="shared" si="27"/>
        <v>9.1994920148574533</v>
      </c>
      <c r="AN105" s="108">
        <f t="shared" si="28"/>
        <v>11.044492014857454</v>
      </c>
      <c r="AO105" s="108">
        <f t="shared" si="29"/>
        <v>9.2393920148574544</v>
      </c>
      <c r="AP105" s="108">
        <f t="shared" si="30"/>
        <v>9.2393920148574544</v>
      </c>
      <c r="AQ105" s="108">
        <f t="shared" si="31"/>
        <v>8.1105920148574544</v>
      </c>
      <c r="AR105" s="108"/>
      <c r="AS105" s="108"/>
      <c r="AT105" s="103">
        <f>IF($X105&gt;0,INDEX('CostModel Coef'!D$13:D$16,$X105),"")</f>
        <v>2.1320000000000001</v>
      </c>
      <c r="AU105" s="103">
        <f>IF($X105&gt;0,INDEX('CostModel Coef'!E$13:E$16,$X105),"")</f>
        <v>0.23699999999999999</v>
      </c>
      <c r="AV105" s="103">
        <f>IF($X105&gt;0,INDEX('CostModel Coef'!F$13:F$16,$X105),"")</f>
        <v>0.59899999999999998</v>
      </c>
      <c r="AW105" s="103">
        <f>IF($X105&gt;0,INDEX('CostModel Coef'!G$13:G$16,$X105),"")</f>
        <v>0</v>
      </c>
      <c r="AX105" s="103">
        <f>IF($X105&gt;0,INDEX('CostModel Coef'!H$13:H$16,$X105),"")</f>
        <v>-1.69</v>
      </c>
      <c r="AY105" s="103">
        <f>IF($X105&gt;0,INDEX('CostModel Coef'!I$13:I$16,$X105),"")</f>
        <v>-1.1599999999999999</v>
      </c>
      <c r="AZ105" s="103">
        <f>IF($X105&gt;0,INDEX('CostModel Coef'!J$13:J$16,$X105),"")</f>
        <v>0</v>
      </c>
      <c r="BA105" s="103">
        <f>IF($X105&gt;0,INDEX('CostModel Coef'!K$13:K$16,$X105),"")</f>
        <v>-2.4630000000000001</v>
      </c>
      <c r="BB105" s="103">
        <f>IF($X105&gt;0,INDEX('CostModel Coef'!L$13:L$16,$X105),"")</f>
        <v>0.46179999999999999</v>
      </c>
      <c r="BC105" s="103">
        <f>IF($X105&gt;0,INDEX('CostModel Coef'!M$13:M$16,$X105),"")</f>
        <v>0</v>
      </c>
      <c r="BD105" s="103">
        <f>IF($X105&gt;0,INDEX('CostModel Coef'!N$13:N$16,$X105),"")</f>
        <v>0.19869999999999999</v>
      </c>
      <c r="BE105" s="103">
        <f>IF($X105&gt;0,INDEX('CostModel Coef'!O$13:O$16,$X105),"")</f>
        <v>0.6</v>
      </c>
      <c r="BF105" s="103">
        <f>IF($X105&gt;0,INDEX('CostModel Coef'!P$13:P$16,$X105),"")</f>
        <v>15</v>
      </c>
      <c r="BG105" s="103">
        <f>IF($X105&gt;0,INDEX('CostModel Coef'!Q$13:Q$16,$X105),"")</f>
        <v>0</v>
      </c>
      <c r="BH105" s="103">
        <f>IF($X105&gt;0,INDEX('CostModel Coef'!R$13:R$16,$X105),"")</f>
        <v>3</v>
      </c>
      <c r="BI105" s="103">
        <f>IF($X105&gt;0,INDEX('CostModel Coef'!S$13:S$16,$X105),"")</f>
        <v>150</v>
      </c>
      <c r="BJ105" s="103">
        <f>IF($X105&gt;0,INDEX('CostModel Coef'!T$13:T$16,$X105),"")</f>
        <v>0</v>
      </c>
      <c r="BK105" s="103">
        <f>IF($X105&gt;0,INDEX('CostModel Coef'!U$13:U$16,$X105),"")</f>
        <v>9.1999999999999998E-3</v>
      </c>
      <c r="BL105" s="103">
        <f>IF($X105&gt;0,INDEX('CostModel Coef'!V$13:V$16,$X105),"")</f>
        <v>-8.8000000000000005E-3</v>
      </c>
      <c r="BM105" s="103">
        <f>IF($X105&gt;0,INDEX('CostModel Coef'!W$13:W$16,$X105),"")</f>
        <v>0</v>
      </c>
      <c r="BN105" s="103">
        <f>IF($X105&gt;0,INDEX('CostModel Coef'!X$13:X$16,$X105),"")</f>
        <v>0</v>
      </c>
      <c r="BO105" s="103"/>
      <c r="BP105" s="119">
        <v>2000</v>
      </c>
      <c r="BQ105" s="103"/>
      <c r="BR105" s="103"/>
      <c r="BS105" s="119" t="str">
        <f t="shared" si="34"/>
        <v>WRR0347_CFLscw-Dim(19w)</v>
      </c>
      <c r="BT105" s="174">
        <f t="shared" si="26"/>
        <v>66</v>
      </c>
      <c r="BU105" s="113">
        <f t="shared" si="36"/>
        <v>1.2336</v>
      </c>
      <c r="BV105" s="108">
        <f t="shared" si="37"/>
        <v>3.6966000000000001</v>
      </c>
      <c r="BW105" s="108">
        <f t="shared" si="38"/>
        <v>2.0066000000000002</v>
      </c>
      <c r="BX105" s="108">
        <f t="shared" si="39"/>
        <v>0.84660000000000024</v>
      </c>
      <c r="BY105" s="108">
        <f t="shared" si="40"/>
        <v>0.84660000000000024</v>
      </c>
      <c r="BZ105" s="108"/>
      <c r="CA105" s="119" t="str">
        <f t="shared" si="41"/>
        <v/>
      </c>
      <c r="CB105" s="180">
        <v>-1</v>
      </c>
      <c r="CC105" s="113" t="str">
        <f t="shared" si="42"/>
        <v/>
      </c>
      <c r="CD105" s="108" t="str">
        <f t="shared" si="43"/>
        <v/>
      </c>
      <c r="CE105" s="108" t="str">
        <f t="shared" si="44"/>
        <v/>
      </c>
      <c r="CF105" s="108" t="str">
        <f t="shared" si="45"/>
        <v/>
      </c>
      <c r="CG105" s="108" t="str">
        <f t="shared" si="46"/>
        <v/>
      </c>
      <c r="CH105" s="103"/>
      <c r="CI105" s="119" t="str">
        <f t="shared" si="35"/>
        <v>WRR0347_CFLscw-Dim(19w)</v>
      </c>
      <c r="CJ105" s="174">
        <f t="shared" si="33"/>
        <v>66</v>
      </c>
      <c r="CK105" s="113">
        <f t="shared" si="47"/>
        <v>1.2336</v>
      </c>
      <c r="CL105" s="108">
        <f t="shared" si="48"/>
        <v>3.6966000000000001</v>
      </c>
      <c r="CM105" s="108">
        <f t="shared" si="49"/>
        <v>2.0066000000000002</v>
      </c>
      <c r="CN105" s="108">
        <f t="shared" si="50"/>
        <v>0.84660000000000024</v>
      </c>
      <c r="CO105" s="108">
        <f t="shared" si="51"/>
        <v>0.84660000000000024</v>
      </c>
    </row>
    <row r="106" spans="1:93">
      <c r="A106" s="103" t="s">
        <v>364</v>
      </c>
      <c r="B106" s="103" t="s">
        <v>174</v>
      </c>
      <c r="C106" s="103" t="s">
        <v>153</v>
      </c>
      <c r="D106" s="250" t="s">
        <v>153</v>
      </c>
      <c r="E106" s="250"/>
      <c r="F106" s="182">
        <v>9020</v>
      </c>
      <c r="G106" s="250" t="s">
        <v>354</v>
      </c>
      <c r="H106" s="250">
        <v>20</v>
      </c>
      <c r="I106" s="250"/>
      <c r="J106" s="250"/>
      <c r="K106" s="250"/>
      <c r="L106" s="250" t="s">
        <v>61</v>
      </c>
      <c r="M106" s="250">
        <v>20</v>
      </c>
      <c r="N106" s="250"/>
      <c r="O106" s="250"/>
      <c r="P106" s="250" t="s">
        <v>153</v>
      </c>
      <c r="Q106" s="250"/>
      <c r="R106" s="250"/>
      <c r="S106" s="250"/>
      <c r="T106" s="250" t="s">
        <v>155</v>
      </c>
      <c r="U106" s="103" t="s">
        <v>365</v>
      </c>
      <c r="V106" s="106" t="s">
        <v>157</v>
      </c>
      <c r="W106" s="103" t="s">
        <v>81</v>
      </c>
      <c r="X106" s="103">
        <f>IFERROR(MATCH(W106,'CostModel Coef'!$C$9:$C$12,0),0)</f>
        <v>1</v>
      </c>
      <c r="Y106" s="103"/>
      <c r="Z106" s="103">
        <f>IF($X106&gt;0,INDEX('CostModel Coef'!D$9:D$12,$X106),"")</f>
        <v>3.0430000000000001</v>
      </c>
      <c r="AA106" s="103">
        <f>IF($X106&gt;0,INDEX('CostModel Coef'!E$9:E$12,$X106),"")</f>
        <v>-0.14966150225589619</v>
      </c>
      <c r="AB106" s="103">
        <f>IF($X106&gt;0,INDEX('CostModel Coef'!F$9:F$12,$X106),"")</f>
        <v>0.52692151711335011</v>
      </c>
      <c r="AC106" s="103">
        <f>IF($X106&gt;0,INDEX('CostModel Coef'!G$9:G$12,$X106),"")</f>
        <v>1.8411</v>
      </c>
      <c r="AD106" s="103">
        <f>IF($X106&gt;0,INDEX('CostModel Coef'!H$9:H$12,$X106),"")</f>
        <v>-1.8050999999999999</v>
      </c>
      <c r="AE106" s="103">
        <f>IF($X106&gt;0,INDEX('CostModel Coef'!J$9:J$12,$X106),"")</f>
        <v>-1.1288</v>
      </c>
      <c r="AF106" s="103">
        <f>IF($X106&gt;0,INDEX('CostModel Coef'!K$9:K$12,$X106),"")</f>
        <v>-1.845</v>
      </c>
      <c r="AG106" s="103">
        <f>IF($X106&gt;0,INDEX('CostModel Coef'!L$9:L$12,$X106),"")</f>
        <v>6.7507000000000001</v>
      </c>
      <c r="AH106" s="103">
        <f>IF($X106&gt;0,INDEX('CostModel Coef'!M$9:M$12,$X106),"")</f>
        <v>5.8051000000000004</v>
      </c>
      <c r="AI106" s="103">
        <f>IF($X106&gt;0,INDEX('CostModel Coef'!N$9:N$12,$X106),"")</f>
        <v>6.1600000000000002E-2</v>
      </c>
      <c r="AJ106" s="103">
        <f>IF($X106&gt;0,INDEX('CostModel Coef'!Q$9:Q$12,$X106),"")</f>
        <v>6.6500000000000004E-2</v>
      </c>
      <c r="AK106" s="103">
        <f>IF($X106&gt;0,INDEX('CostModel Coef'!T$9:T$12,$X106),"")</f>
        <v>9.35E-2</v>
      </c>
      <c r="AL106" s="103"/>
      <c r="AM106" s="108">
        <f t="shared" si="27"/>
        <v>9.2659920148574528</v>
      </c>
      <c r="AN106" s="108">
        <f t="shared" si="28"/>
        <v>11.110992014857453</v>
      </c>
      <c r="AO106" s="108">
        <f t="shared" si="29"/>
        <v>9.305892014857454</v>
      </c>
      <c r="AP106" s="108">
        <f t="shared" si="30"/>
        <v>9.305892014857454</v>
      </c>
      <c r="AQ106" s="108">
        <f t="shared" si="31"/>
        <v>8.177092014857454</v>
      </c>
      <c r="AR106" s="108"/>
      <c r="AS106" s="108"/>
      <c r="AT106" s="103">
        <f>IF($X106&gt;0,INDEX('CostModel Coef'!D$13:D$16,$X106),"")</f>
        <v>2.1320000000000001</v>
      </c>
      <c r="AU106" s="103">
        <f>IF($X106&gt;0,INDEX('CostModel Coef'!E$13:E$16,$X106),"")</f>
        <v>0.23699999999999999</v>
      </c>
      <c r="AV106" s="103">
        <f>IF($X106&gt;0,INDEX('CostModel Coef'!F$13:F$16,$X106),"")</f>
        <v>0.59899999999999998</v>
      </c>
      <c r="AW106" s="103">
        <f>IF($X106&gt;0,INDEX('CostModel Coef'!G$13:G$16,$X106),"")</f>
        <v>0</v>
      </c>
      <c r="AX106" s="103">
        <f>IF($X106&gt;0,INDEX('CostModel Coef'!H$13:H$16,$X106),"")</f>
        <v>-1.69</v>
      </c>
      <c r="AY106" s="103">
        <f>IF($X106&gt;0,INDEX('CostModel Coef'!I$13:I$16,$X106),"")</f>
        <v>-1.1599999999999999</v>
      </c>
      <c r="AZ106" s="103">
        <f>IF($X106&gt;0,INDEX('CostModel Coef'!J$13:J$16,$X106),"")</f>
        <v>0</v>
      </c>
      <c r="BA106" s="103">
        <f>IF($X106&gt;0,INDEX('CostModel Coef'!K$13:K$16,$X106),"")</f>
        <v>-2.4630000000000001</v>
      </c>
      <c r="BB106" s="103">
        <f>IF($X106&gt;0,INDEX('CostModel Coef'!L$13:L$16,$X106),"")</f>
        <v>0.46179999999999999</v>
      </c>
      <c r="BC106" s="103">
        <f>IF($X106&gt;0,INDEX('CostModel Coef'!M$13:M$16,$X106),"")</f>
        <v>0</v>
      </c>
      <c r="BD106" s="103">
        <f>IF($X106&gt;0,INDEX('CostModel Coef'!N$13:N$16,$X106),"")</f>
        <v>0.19869999999999999</v>
      </c>
      <c r="BE106" s="103">
        <f>IF($X106&gt;0,INDEX('CostModel Coef'!O$13:O$16,$X106),"")</f>
        <v>0.6</v>
      </c>
      <c r="BF106" s="103">
        <f>IF($X106&gt;0,INDEX('CostModel Coef'!P$13:P$16,$X106),"")</f>
        <v>15</v>
      </c>
      <c r="BG106" s="103">
        <f>IF($X106&gt;0,INDEX('CostModel Coef'!Q$13:Q$16,$X106),"")</f>
        <v>0</v>
      </c>
      <c r="BH106" s="103">
        <f>IF($X106&gt;0,INDEX('CostModel Coef'!R$13:R$16,$X106),"")</f>
        <v>3</v>
      </c>
      <c r="BI106" s="103">
        <f>IF($X106&gt;0,INDEX('CostModel Coef'!S$13:S$16,$X106),"")</f>
        <v>150</v>
      </c>
      <c r="BJ106" s="103">
        <f>IF($X106&gt;0,INDEX('CostModel Coef'!T$13:T$16,$X106),"")</f>
        <v>0</v>
      </c>
      <c r="BK106" s="103">
        <f>IF($X106&gt;0,INDEX('CostModel Coef'!U$13:U$16,$X106),"")</f>
        <v>9.1999999999999998E-3</v>
      </c>
      <c r="BL106" s="103">
        <f>IF($X106&gt;0,INDEX('CostModel Coef'!V$13:V$16,$X106),"")</f>
        <v>-8.8000000000000005E-3</v>
      </c>
      <c r="BM106" s="103">
        <f>IF($X106&gt;0,INDEX('CostModel Coef'!W$13:W$16,$X106),"")</f>
        <v>0</v>
      </c>
      <c r="BN106" s="103">
        <f>IF($X106&gt;0,INDEX('CostModel Coef'!X$13:X$16,$X106),"")</f>
        <v>0</v>
      </c>
      <c r="BO106" s="103"/>
      <c r="BP106" s="119">
        <v>2000</v>
      </c>
      <c r="BQ106" s="103"/>
      <c r="BR106" s="103"/>
      <c r="BS106" s="119" t="str">
        <f t="shared" si="34"/>
        <v>WRR0347_CFLscw-Dim(20w)</v>
      </c>
      <c r="BT106" s="174">
        <f t="shared" si="26"/>
        <v>69</v>
      </c>
      <c r="BU106" s="113">
        <f t="shared" si="36"/>
        <v>1.2612000000000001</v>
      </c>
      <c r="BV106" s="108">
        <f t="shared" si="37"/>
        <v>3.7242000000000002</v>
      </c>
      <c r="BW106" s="108">
        <f t="shared" si="38"/>
        <v>2.0342000000000002</v>
      </c>
      <c r="BX106" s="108">
        <f t="shared" si="39"/>
        <v>0.87420000000000031</v>
      </c>
      <c r="BY106" s="108">
        <f t="shared" si="40"/>
        <v>0.87420000000000031</v>
      </c>
      <c r="BZ106" s="108"/>
      <c r="CA106" s="119" t="str">
        <f t="shared" si="41"/>
        <v/>
      </c>
      <c r="CB106" s="180">
        <v>-1</v>
      </c>
      <c r="CC106" s="113" t="str">
        <f t="shared" si="42"/>
        <v/>
      </c>
      <c r="CD106" s="108" t="str">
        <f t="shared" si="43"/>
        <v/>
      </c>
      <c r="CE106" s="108" t="str">
        <f t="shared" si="44"/>
        <v/>
      </c>
      <c r="CF106" s="108" t="str">
        <f t="shared" si="45"/>
        <v/>
      </c>
      <c r="CG106" s="108" t="str">
        <f t="shared" si="46"/>
        <v/>
      </c>
      <c r="CH106" s="103"/>
      <c r="CI106" s="119" t="str">
        <f t="shared" si="35"/>
        <v>WRR0347_CFLscw-Dim(20w)</v>
      </c>
      <c r="CJ106" s="174">
        <f t="shared" si="33"/>
        <v>69</v>
      </c>
      <c r="CK106" s="113">
        <f t="shared" si="47"/>
        <v>1.2612000000000001</v>
      </c>
      <c r="CL106" s="108">
        <f t="shared" si="48"/>
        <v>3.7242000000000002</v>
      </c>
      <c r="CM106" s="108">
        <f t="shared" si="49"/>
        <v>2.0342000000000002</v>
      </c>
      <c r="CN106" s="108">
        <f t="shared" si="50"/>
        <v>0.87420000000000031</v>
      </c>
      <c r="CO106" s="108">
        <f t="shared" si="51"/>
        <v>0.87420000000000031</v>
      </c>
    </row>
    <row r="107" spans="1:93">
      <c r="A107" s="103" t="s">
        <v>366</v>
      </c>
      <c r="B107" s="103" t="s">
        <v>174</v>
      </c>
      <c r="C107" s="103" t="s">
        <v>153</v>
      </c>
      <c r="D107" s="250" t="s">
        <v>153</v>
      </c>
      <c r="E107" s="250"/>
      <c r="F107" s="182">
        <v>9020</v>
      </c>
      <c r="G107" s="250" t="s">
        <v>354</v>
      </c>
      <c r="H107" s="250">
        <v>23</v>
      </c>
      <c r="I107" s="250"/>
      <c r="J107" s="250"/>
      <c r="K107" s="250"/>
      <c r="L107" s="250" t="s">
        <v>61</v>
      </c>
      <c r="M107" s="250">
        <v>23</v>
      </c>
      <c r="N107" s="250"/>
      <c r="O107" s="250"/>
      <c r="P107" s="250" t="s">
        <v>153</v>
      </c>
      <c r="Q107" s="250"/>
      <c r="R107" s="250"/>
      <c r="S107" s="250"/>
      <c r="T107" s="250" t="s">
        <v>155</v>
      </c>
      <c r="U107" s="103" t="s">
        <v>367</v>
      </c>
      <c r="V107" s="106" t="s">
        <v>157</v>
      </c>
      <c r="W107" s="103" t="s">
        <v>81</v>
      </c>
      <c r="X107" s="103">
        <f>IFERROR(MATCH(W107,'CostModel Coef'!$C$9:$C$12,0),0)</f>
        <v>1</v>
      </c>
      <c r="Y107" s="103"/>
      <c r="Z107" s="103">
        <f>IF($X107&gt;0,INDEX('CostModel Coef'!D$9:D$12,$X107),"")</f>
        <v>3.0430000000000001</v>
      </c>
      <c r="AA107" s="103">
        <f>IF($X107&gt;0,INDEX('CostModel Coef'!E$9:E$12,$X107),"")</f>
        <v>-0.14966150225589619</v>
      </c>
      <c r="AB107" s="103">
        <f>IF($X107&gt;0,INDEX('CostModel Coef'!F$9:F$12,$X107),"")</f>
        <v>0.52692151711335011</v>
      </c>
      <c r="AC107" s="103">
        <f>IF($X107&gt;0,INDEX('CostModel Coef'!G$9:G$12,$X107),"")</f>
        <v>1.8411</v>
      </c>
      <c r="AD107" s="103">
        <f>IF($X107&gt;0,INDEX('CostModel Coef'!H$9:H$12,$X107),"")</f>
        <v>-1.8050999999999999</v>
      </c>
      <c r="AE107" s="103">
        <f>IF($X107&gt;0,INDEX('CostModel Coef'!J$9:J$12,$X107),"")</f>
        <v>-1.1288</v>
      </c>
      <c r="AF107" s="103">
        <f>IF($X107&gt;0,INDEX('CostModel Coef'!K$9:K$12,$X107),"")</f>
        <v>-1.845</v>
      </c>
      <c r="AG107" s="103">
        <f>IF($X107&gt;0,INDEX('CostModel Coef'!L$9:L$12,$X107),"")</f>
        <v>6.7507000000000001</v>
      </c>
      <c r="AH107" s="103">
        <f>IF($X107&gt;0,INDEX('CostModel Coef'!M$9:M$12,$X107),"")</f>
        <v>5.8051000000000004</v>
      </c>
      <c r="AI107" s="103">
        <f>IF($X107&gt;0,INDEX('CostModel Coef'!N$9:N$12,$X107),"")</f>
        <v>6.1600000000000002E-2</v>
      </c>
      <c r="AJ107" s="103">
        <f>IF($X107&gt;0,INDEX('CostModel Coef'!Q$9:Q$12,$X107),"")</f>
        <v>6.6500000000000004E-2</v>
      </c>
      <c r="AK107" s="103">
        <f>IF($X107&gt;0,INDEX('CostModel Coef'!T$9:T$12,$X107),"")</f>
        <v>9.35E-2</v>
      </c>
      <c r="AL107" s="103"/>
      <c r="AM107" s="108">
        <f t="shared" si="27"/>
        <v>9.4654920148574533</v>
      </c>
      <c r="AN107" s="108">
        <f t="shared" si="28"/>
        <v>11.310492014857454</v>
      </c>
      <c r="AO107" s="108">
        <f t="shared" si="29"/>
        <v>9.5053920148574544</v>
      </c>
      <c r="AP107" s="108">
        <f t="shared" si="30"/>
        <v>9.5053920148574544</v>
      </c>
      <c r="AQ107" s="108">
        <f t="shared" si="31"/>
        <v>8.3765920148574544</v>
      </c>
      <c r="AR107" s="108"/>
      <c r="AS107" s="108"/>
      <c r="AT107" s="103">
        <f>IF($X107&gt;0,INDEX('CostModel Coef'!D$13:D$16,$X107),"")</f>
        <v>2.1320000000000001</v>
      </c>
      <c r="AU107" s="103">
        <f>IF($X107&gt;0,INDEX('CostModel Coef'!E$13:E$16,$X107),"")</f>
        <v>0.23699999999999999</v>
      </c>
      <c r="AV107" s="103">
        <f>IF($X107&gt;0,INDEX('CostModel Coef'!F$13:F$16,$X107),"")</f>
        <v>0.59899999999999998</v>
      </c>
      <c r="AW107" s="103">
        <f>IF($X107&gt;0,INDEX('CostModel Coef'!G$13:G$16,$X107),"")</f>
        <v>0</v>
      </c>
      <c r="AX107" s="103">
        <f>IF($X107&gt;0,INDEX('CostModel Coef'!H$13:H$16,$X107),"")</f>
        <v>-1.69</v>
      </c>
      <c r="AY107" s="103">
        <f>IF($X107&gt;0,INDEX('CostModel Coef'!I$13:I$16,$X107),"")</f>
        <v>-1.1599999999999999</v>
      </c>
      <c r="AZ107" s="103">
        <f>IF($X107&gt;0,INDEX('CostModel Coef'!J$13:J$16,$X107),"")</f>
        <v>0</v>
      </c>
      <c r="BA107" s="103">
        <f>IF($X107&gt;0,INDEX('CostModel Coef'!K$13:K$16,$X107),"")</f>
        <v>-2.4630000000000001</v>
      </c>
      <c r="BB107" s="103">
        <f>IF($X107&gt;0,INDEX('CostModel Coef'!L$13:L$16,$X107),"")</f>
        <v>0.46179999999999999</v>
      </c>
      <c r="BC107" s="103">
        <f>IF($X107&gt;0,INDEX('CostModel Coef'!M$13:M$16,$X107),"")</f>
        <v>0</v>
      </c>
      <c r="BD107" s="103">
        <f>IF($X107&gt;0,INDEX('CostModel Coef'!N$13:N$16,$X107),"")</f>
        <v>0.19869999999999999</v>
      </c>
      <c r="BE107" s="103">
        <f>IF($X107&gt;0,INDEX('CostModel Coef'!O$13:O$16,$X107),"")</f>
        <v>0.6</v>
      </c>
      <c r="BF107" s="103">
        <f>IF($X107&gt;0,INDEX('CostModel Coef'!P$13:P$16,$X107),"")</f>
        <v>15</v>
      </c>
      <c r="BG107" s="103">
        <f>IF($X107&gt;0,INDEX('CostModel Coef'!Q$13:Q$16,$X107),"")</f>
        <v>0</v>
      </c>
      <c r="BH107" s="103">
        <f>IF($X107&gt;0,INDEX('CostModel Coef'!R$13:R$16,$X107),"")</f>
        <v>3</v>
      </c>
      <c r="BI107" s="103">
        <f>IF($X107&gt;0,INDEX('CostModel Coef'!S$13:S$16,$X107),"")</f>
        <v>150</v>
      </c>
      <c r="BJ107" s="103">
        <f>IF($X107&gt;0,INDEX('CostModel Coef'!T$13:T$16,$X107),"")</f>
        <v>0</v>
      </c>
      <c r="BK107" s="103">
        <f>IF($X107&gt;0,INDEX('CostModel Coef'!U$13:U$16,$X107),"")</f>
        <v>9.1999999999999998E-3</v>
      </c>
      <c r="BL107" s="103">
        <f>IF($X107&gt;0,INDEX('CostModel Coef'!V$13:V$16,$X107),"")</f>
        <v>-8.8000000000000005E-3</v>
      </c>
      <c r="BM107" s="103">
        <f>IF($X107&gt;0,INDEX('CostModel Coef'!W$13:W$16,$X107),"")</f>
        <v>0</v>
      </c>
      <c r="BN107" s="103">
        <f>IF($X107&gt;0,INDEX('CostModel Coef'!X$13:X$16,$X107),"")</f>
        <v>0</v>
      </c>
      <c r="BO107" s="103"/>
      <c r="BP107" s="119">
        <v>2000</v>
      </c>
      <c r="BQ107" s="103"/>
      <c r="BR107" s="103"/>
      <c r="BS107" s="119" t="str">
        <f t="shared" si="34"/>
        <v>WRR0347_CFLscw-Dim(23w)</v>
      </c>
      <c r="BT107" s="174">
        <f t="shared" si="26"/>
        <v>80</v>
      </c>
      <c r="BU107" s="113">
        <f t="shared" si="36"/>
        <v>1.3184</v>
      </c>
      <c r="BV107" s="108">
        <f t="shared" si="37"/>
        <v>3.7814000000000001</v>
      </c>
      <c r="BW107" s="108">
        <f t="shared" si="38"/>
        <v>2.0914000000000001</v>
      </c>
      <c r="BX107" s="108">
        <f t="shared" si="39"/>
        <v>0.93140000000000023</v>
      </c>
      <c r="BY107" s="108">
        <f t="shared" si="40"/>
        <v>0.93140000000000023</v>
      </c>
      <c r="BZ107" s="108"/>
      <c r="CA107" s="119" t="str">
        <f t="shared" si="41"/>
        <v/>
      </c>
      <c r="CB107" s="180">
        <v>-1</v>
      </c>
      <c r="CC107" s="113" t="str">
        <f t="shared" si="42"/>
        <v/>
      </c>
      <c r="CD107" s="108" t="str">
        <f t="shared" si="43"/>
        <v/>
      </c>
      <c r="CE107" s="108" t="str">
        <f t="shared" si="44"/>
        <v/>
      </c>
      <c r="CF107" s="108" t="str">
        <f t="shared" si="45"/>
        <v/>
      </c>
      <c r="CG107" s="108" t="str">
        <f t="shared" si="46"/>
        <v/>
      </c>
      <c r="CH107" s="103"/>
      <c r="CI107" s="119" t="str">
        <f t="shared" si="35"/>
        <v>WRR0347_CFLscw-Dim(23w)</v>
      </c>
      <c r="CJ107" s="174">
        <f t="shared" si="33"/>
        <v>80</v>
      </c>
      <c r="CK107" s="113">
        <f t="shared" si="47"/>
        <v>1.3184</v>
      </c>
      <c r="CL107" s="108">
        <f t="shared" si="48"/>
        <v>3.7814000000000001</v>
      </c>
      <c r="CM107" s="108">
        <f t="shared" si="49"/>
        <v>2.0914000000000001</v>
      </c>
      <c r="CN107" s="108">
        <f t="shared" si="50"/>
        <v>0.93140000000000023</v>
      </c>
      <c r="CO107" s="108">
        <f t="shared" si="51"/>
        <v>0.93140000000000023</v>
      </c>
    </row>
    <row r="108" spans="1:93">
      <c r="A108" s="103" t="s">
        <v>368</v>
      </c>
      <c r="B108" s="103" t="s">
        <v>174</v>
      </c>
      <c r="C108" s="103" t="s">
        <v>153</v>
      </c>
      <c r="D108" s="250" t="s">
        <v>153</v>
      </c>
      <c r="E108" s="250"/>
      <c r="F108" s="182">
        <v>9020</v>
      </c>
      <c r="G108" s="250" t="s">
        <v>347</v>
      </c>
      <c r="H108" s="250">
        <v>25</v>
      </c>
      <c r="I108" s="250"/>
      <c r="J108" s="250"/>
      <c r="K108" s="250"/>
      <c r="L108" s="250" t="s">
        <v>61</v>
      </c>
      <c r="M108" s="250">
        <v>25</v>
      </c>
      <c r="N108" s="250"/>
      <c r="O108" s="250"/>
      <c r="P108" s="250" t="s">
        <v>153</v>
      </c>
      <c r="Q108" s="250"/>
      <c r="R108" s="250"/>
      <c r="S108" s="250"/>
      <c r="T108" s="250" t="s">
        <v>155</v>
      </c>
      <c r="U108" s="103" t="s">
        <v>369</v>
      </c>
      <c r="V108" s="106" t="s">
        <v>157</v>
      </c>
      <c r="W108" s="103" t="s">
        <v>81</v>
      </c>
      <c r="X108" s="103">
        <f>IFERROR(MATCH(W108,'CostModel Coef'!$C$9:$C$12,0),0)</f>
        <v>1</v>
      </c>
      <c r="Y108" s="103"/>
      <c r="Z108" s="103">
        <f>IF($X108&gt;0,INDEX('CostModel Coef'!D$9:D$12,$X108),"")</f>
        <v>3.0430000000000001</v>
      </c>
      <c r="AA108" s="103">
        <f>IF($X108&gt;0,INDEX('CostModel Coef'!E$9:E$12,$X108),"")</f>
        <v>-0.14966150225589619</v>
      </c>
      <c r="AB108" s="103">
        <f>IF($X108&gt;0,INDEX('CostModel Coef'!F$9:F$12,$X108),"")</f>
        <v>0.52692151711335011</v>
      </c>
      <c r="AC108" s="103">
        <f>IF($X108&gt;0,INDEX('CostModel Coef'!G$9:G$12,$X108),"")</f>
        <v>1.8411</v>
      </c>
      <c r="AD108" s="103">
        <f>IF($X108&gt;0,INDEX('CostModel Coef'!H$9:H$12,$X108),"")</f>
        <v>-1.8050999999999999</v>
      </c>
      <c r="AE108" s="103">
        <f>IF($X108&gt;0,INDEX('CostModel Coef'!J$9:J$12,$X108),"")</f>
        <v>-1.1288</v>
      </c>
      <c r="AF108" s="103">
        <f>IF($X108&gt;0,INDEX('CostModel Coef'!K$9:K$12,$X108),"")</f>
        <v>-1.845</v>
      </c>
      <c r="AG108" s="103">
        <f>IF($X108&gt;0,INDEX('CostModel Coef'!L$9:L$12,$X108),"")</f>
        <v>6.7507000000000001</v>
      </c>
      <c r="AH108" s="103">
        <f>IF($X108&gt;0,INDEX('CostModel Coef'!M$9:M$12,$X108),"")</f>
        <v>5.8051000000000004</v>
      </c>
      <c r="AI108" s="103">
        <f>IF($X108&gt;0,INDEX('CostModel Coef'!N$9:N$12,$X108),"")</f>
        <v>6.1600000000000002E-2</v>
      </c>
      <c r="AJ108" s="103">
        <f>IF($X108&gt;0,INDEX('CostModel Coef'!Q$9:Q$12,$X108),"")</f>
        <v>6.6500000000000004E-2</v>
      </c>
      <c r="AK108" s="103">
        <f>IF($X108&gt;0,INDEX('CostModel Coef'!T$9:T$12,$X108),"")</f>
        <v>9.35E-2</v>
      </c>
      <c r="AL108" s="103"/>
      <c r="AM108" s="108">
        <f t="shared" si="27"/>
        <v>9.5984920148574524</v>
      </c>
      <c r="AN108" s="108">
        <f t="shared" si="28"/>
        <v>11.443492014857453</v>
      </c>
      <c r="AO108" s="108">
        <f t="shared" si="29"/>
        <v>9.6383920148574536</v>
      </c>
      <c r="AP108" s="108">
        <f t="shared" si="30"/>
        <v>9.6383920148574536</v>
      </c>
      <c r="AQ108" s="108">
        <f t="shared" si="31"/>
        <v>8.5095920148574535</v>
      </c>
      <c r="AR108" s="108"/>
      <c r="AS108" s="108"/>
      <c r="AT108" s="103">
        <f>IF($X108&gt;0,INDEX('CostModel Coef'!D$13:D$16,$X108),"")</f>
        <v>2.1320000000000001</v>
      </c>
      <c r="AU108" s="103">
        <f>IF($X108&gt;0,INDEX('CostModel Coef'!E$13:E$16,$X108),"")</f>
        <v>0.23699999999999999</v>
      </c>
      <c r="AV108" s="103">
        <f>IF($X108&gt;0,INDEX('CostModel Coef'!F$13:F$16,$X108),"")</f>
        <v>0.59899999999999998</v>
      </c>
      <c r="AW108" s="103">
        <f>IF($X108&gt;0,INDEX('CostModel Coef'!G$13:G$16,$X108),"")</f>
        <v>0</v>
      </c>
      <c r="AX108" s="103">
        <f>IF($X108&gt;0,INDEX('CostModel Coef'!H$13:H$16,$X108),"")</f>
        <v>-1.69</v>
      </c>
      <c r="AY108" s="103">
        <f>IF($X108&gt;0,INDEX('CostModel Coef'!I$13:I$16,$X108),"")</f>
        <v>-1.1599999999999999</v>
      </c>
      <c r="AZ108" s="103">
        <f>IF($X108&gt;0,INDEX('CostModel Coef'!J$13:J$16,$X108),"")</f>
        <v>0</v>
      </c>
      <c r="BA108" s="103">
        <f>IF($X108&gt;0,INDEX('CostModel Coef'!K$13:K$16,$X108),"")</f>
        <v>-2.4630000000000001</v>
      </c>
      <c r="BB108" s="103">
        <f>IF($X108&gt;0,INDEX('CostModel Coef'!L$13:L$16,$X108),"")</f>
        <v>0.46179999999999999</v>
      </c>
      <c r="BC108" s="103">
        <f>IF($X108&gt;0,INDEX('CostModel Coef'!M$13:M$16,$X108),"")</f>
        <v>0</v>
      </c>
      <c r="BD108" s="103">
        <f>IF($X108&gt;0,INDEX('CostModel Coef'!N$13:N$16,$X108),"")</f>
        <v>0.19869999999999999</v>
      </c>
      <c r="BE108" s="103">
        <f>IF($X108&gt;0,INDEX('CostModel Coef'!O$13:O$16,$X108),"")</f>
        <v>0.6</v>
      </c>
      <c r="BF108" s="103">
        <f>IF($X108&gt;0,INDEX('CostModel Coef'!P$13:P$16,$X108),"")</f>
        <v>15</v>
      </c>
      <c r="BG108" s="103">
        <f>IF($X108&gt;0,INDEX('CostModel Coef'!Q$13:Q$16,$X108),"")</f>
        <v>0</v>
      </c>
      <c r="BH108" s="103">
        <f>IF($X108&gt;0,INDEX('CostModel Coef'!R$13:R$16,$X108),"")</f>
        <v>3</v>
      </c>
      <c r="BI108" s="103">
        <f>IF($X108&gt;0,INDEX('CostModel Coef'!S$13:S$16,$X108),"")</f>
        <v>150</v>
      </c>
      <c r="BJ108" s="103">
        <f>IF($X108&gt;0,INDEX('CostModel Coef'!T$13:T$16,$X108),"")</f>
        <v>0</v>
      </c>
      <c r="BK108" s="103">
        <f>IF($X108&gt;0,INDEX('CostModel Coef'!U$13:U$16,$X108),"")</f>
        <v>9.1999999999999998E-3</v>
      </c>
      <c r="BL108" s="103">
        <f>IF($X108&gt;0,INDEX('CostModel Coef'!V$13:V$16,$X108),"")</f>
        <v>-8.8000000000000005E-3</v>
      </c>
      <c r="BM108" s="103">
        <f>IF($X108&gt;0,INDEX('CostModel Coef'!W$13:W$16,$X108),"")</f>
        <v>0</v>
      </c>
      <c r="BN108" s="103">
        <f>IF($X108&gt;0,INDEX('CostModel Coef'!X$13:X$16,$X108),"")</f>
        <v>0</v>
      </c>
      <c r="BO108" s="103"/>
      <c r="BP108" s="119">
        <v>2000</v>
      </c>
      <c r="BQ108" s="103"/>
      <c r="BR108" s="103"/>
      <c r="BS108" s="119" t="str">
        <f t="shared" si="34"/>
        <v>WRR0347_CFLscw-Dim(25w)</v>
      </c>
      <c r="BT108" s="174">
        <f t="shared" si="26"/>
        <v>87</v>
      </c>
      <c r="BU108" s="113">
        <f t="shared" si="36"/>
        <v>1.3212000000000002</v>
      </c>
      <c r="BV108" s="108">
        <f t="shared" si="37"/>
        <v>3.7842000000000002</v>
      </c>
      <c r="BW108" s="108">
        <f t="shared" si="38"/>
        <v>2.0942000000000003</v>
      </c>
      <c r="BX108" s="108">
        <f t="shared" si="39"/>
        <v>0.93420000000000036</v>
      </c>
      <c r="BY108" s="108">
        <f t="shared" si="40"/>
        <v>0.93420000000000036</v>
      </c>
      <c r="BZ108" s="108"/>
      <c r="CA108" s="119" t="str">
        <f t="shared" si="41"/>
        <v/>
      </c>
      <c r="CB108" s="180">
        <v>-1</v>
      </c>
      <c r="CC108" s="113" t="str">
        <f t="shared" si="42"/>
        <v/>
      </c>
      <c r="CD108" s="108" t="str">
        <f t="shared" si="43"/>
        <v/>
      </c>
      <c r="CE108" s="108" t="str">
        <f t="shared" si="44"/>
        <v/>
      </c>
      <c r="CF108" s="108" t="str">
        <f t="shared" si="45"/>
        <v/>
      </c>
      <c r="CG108" s="108" t="str">
        <f t="shared" si="46"/>
        <v/>
      </c>
      <c r="CH108" s="103"/>
      <c r="CI108" s="119" t="str">
        <f t="shared" si="35"/>
        <v>WRR0347_CFLscw-Dim(25w)</v>
      </c>
      <c r="CJ108" s="174">
        <f t="shared" si="33"/>
        <v>87</v>
      </c>
      <c r="CK108" s="113">
        <f t="shared" si="47"/>
        <v>1.3212000000000002</v>
      </c>
      <c r="CL108" s="108">
        <f t="shared" si="48"/>
        <v>3.7842000000000002</v>
      </c>
      <c r="CM108" s="108">
        <f t="shared" si="49"/>
        <v>2.0942000000000003</v>
      </c>
      <c r="CN108" s="108">
        <f t="shared" si="50"/>
        <v>0.93420000000000036</v>
      </c>
      <c r="CO108" s="108">
        <f t="shared" si="51"/>
        <v>0.93420000000000036</v>
      </c>
    </row>
    <row r="109" spans="1:93">
      <c r="A109" s="103" t="s">
        <v>370</v>
      </c>
      <c r="B109" s="103" t="s">
        <v>174</v>
      </c>
      <c r="C109" s="103" t="s">
        <v>153</v>
      </c>
      <c r="D109" s="250" t="s">
        <v>153</v>
      </c>
      <c r="E109" s="250"/>
      <c r="F109" s="182">
        <v>9020</v>
      </c>
      <c r="G109" s="250" t="s">
        <v>354</v>
      </c>
      <c r="H109" s="250">
        <v>26</v>
      </c>
      <c r="I109" s="250"/>
      <c r="J109" s="250"/>
      <c r="K109" s="250"/>
      <c r="L109" s="250" t="s">
        <v>61</v>
      </c>
      <c r="M109" s="250">
        <v>26</v>
      </c>
      <c r="N109" s="250"/>
      <c r="O109" s="250"/>
      <c r="P109" s="250" t="s">
        <v>153</v>
      </c>
      <c r="Q109" s="250"/>
      <c r="R109" s="250"/>
      <c r="S109" s="250"/>
      <c r="T109" s="250" t="s">
        <v>155</v>
      </c>
      <c r="U109" s="103" t="s">
        <v>371</v>
      </c>
      <c r="V109" s="106" t="s">
        <v>157</v>
      </c>
      <c r="W109" s="103" t="s">
        <v>81</v>
      </c>
      <c r="X109" s="103">
        <f>IFERROR(MATCH(W109,'CostModel Coef'!$C$9:$C$12,0),0)</f>
        <v>1</v>
      </c>
      <c r="Y109" s="103"/>
      <c r="Z109" s="103">
        <f>IF($X109&gt;0,INDEX('CostModel Coef'!D$9:D$12,$X109),"")</f>
        <v>3.0430000000000001</v>
      </c>
      <c r="AA109" s="103">
        <f>IF($X109&gt;0,INDEX('CostModel Coef'!E$9:E$12,$X109),"")</f>
        <v>-0.14966150225589619</v>
      </c>
      <c r="AB109" s="103">
        <f>IF($X109&gt;0,INDEX('CostModel Coef'!F$9:F$12,$X109),"")</f>
        <v>0.52692151711335011</v>
      </c>
      <c r="AC109" s="103">
        <f>IF($X109&gt;0,INDEX('CostModel Coef'!G$9:G$12,$X109),"")</f>
        <v>1.8411</v>
      </c>
      <c r="AD109" s="103">
        <f>IF($X109&gt;0,INDEX('CostModel Coef'!H$9:H$12,$X109),"")</f>
        <v>-1.8050999999999999</v>
      </c>
      <c r="AE109" s="103">
        <f>IF($X109&gt;0,INDEX('CostModel Coef'!J$9:J$12,$X109),"")</f>
        <v>-1.1288</v>
      </c>
      <c r="AF109" s="103">
        <f>IF($X109&gt;0,INDEX('CostModel Coef'!K$9:K$12,$X109),"")</f>
        <v>-1.845</v>
      </c>
      <c r="AG109" s="103">
        <f>IF($X109&gt;0,INDEX('CostModel Coef'!L$9:L$12,$X109),"")</f>
        <v>6.7507000000000001</v>
      </c>
      <c r="AH109" s="103">
        <f>IF($X109&gt;0,INDEX('CostModel Coef'!M$9:M$12,$X109),"")</f>
        <v>5.8051000000000004</v>
      </c>
      <c r="AI109" s="103">
        <f>IF($X109&gt;0,INDEX('CostModel Coef'!N$9:N$12,$X109),"")</f>
        <v>6.1600000000000002E-2</v>
      </c>
      <c r="AJ109" s="103">
        <f>IF($X109&gt;0,INDEX('CostModel Coef'!Q$9:Q$12,$X109),"")</f>
        <v>6.6500000000000004E-2</v>
      </c>
      <c r="AK109" s="103">
        <f>IF($X109&gt;0,INDEX('CostModel Coef'!T$9:T$12,$X109),"")</f>
        <v>9.35E-2</v>
      </c>
      <c r="AL109" s="103"/>
      <c r="AM109" s="108">
        <f t="shared" si="27"/>
        <v>9.7584920148574525</v>
      </c>
      <c r="AN109" s="108">
        <f t="shared" si="28"/>
        <v>11.603492014857453</v>
      </c>
      <c r="AO109" s="108">
        <f t="shared" si="29"/>
        <v>9.7983920148574519</v>
      </c>
      <c r="AP109" s="108">
        <f t="shared" si="30"/>
        <v>9.7983920148574519</v>
      </c>
      <c r="AQ109" s="108">
        <f t="shared" si="31"/>
        <v>8.6695920148574537</v>
      </c>
      <c r="AR109" s="108"/>
      <c r="AS109" s="108"/>
      <c r="AT109" s="103">
        <f>IF($X109&gt;0,INDEX('CostModel Coef'!D$13:D$16,$X109),"")</f>
        <v>2.1320000000000001</v>
      </c>
      <c r="AU109" s="103">
        <f>IF($X109&gt;0,INDEX('CostModel Coef'!E$13:E$16,$X109),"")</f>
        <v>0.23699999999999999</v>
      </c>
      <c r="AV109" s="103">
        <f>IF($X109&gt;0,INDEX('CostModel Coef'!F$13:F$16,$X109),"")</f>
        <v>0.59899999999999998</v>
      </c>
      <c r="AW109" s="103">
        <f>IF($X109&gt;0,INDEX('CostModel Coef'!G$13:G$16,$X109),"")</f>
        <v>0</v>
      </c>
      <c r="AX109" s="103">
        <f>IF($X109&gt;0,INDEX('CostModel Coef'!H$13:H$16,$X109),"")</f>
        <v>-1.69</v>
      </c>
      <c r="AY109" s="103">
        <f>IF($X109&gt;0,INDEX('CostModel Coef'!I$13:I$16,$X109),"")</f>
        <v>-1.1599999999999999</v>
      </c>
      <c r="AZ109" s="103">
        <f>IF($X109&gt;0,INDEX('CostModel Coef'!J$13:J$16,$X109),"")</f>
        <v>0</v>
      </c>
      <c r="BA109" s="103">
        <f>IF($X109&gt;0,INDEX('CostModel Coef'!K$13:K$16,$X109),"")</f>
        <v>-2.4630000000000001</v>
      </c>
      <c r="BB109" s="103">
        <f>IF($X109&gt;0,INDEX('CostModel Coef'!L$13:L$16,$X109),"")</f>
        <v>0.46179999999999999</v>
      </c>
      <c r="BC109" s="103">
        <f>IF($X109&gt;0,INDEX('CostModel Coef'!M$13:M$16,$X109),"")</f>
        <v>0</v>
      </c>
      <c r="BD109" s="103">
        <f>IF($X109&gt;0,INDEX('CostModel Coef'!N$13:N$16,$X109),"")</f>
        <v>0.19869999999999999</v>
      </c>
      <c r="BE109" s="103">
        <f>IF($X109&gt;0,INDEX('CostModel Coef'!O$13:O$16,$X109),"")</f>
        <v>0.6</v>
      </c>
      <c r="BF109" s="103">
        <f>IF($X109&gt;0,INDEX('CostModel Coef'!P$13:P$16,$X109),"")</f>
        <v>15</v>
      </c>
      <c r="BG109" s="103">
        <f>IF($X109&gt;0,INDEX('CostModel Coef'!Q$13:Q$16,$X109),"")</f>
        <v>0</v>
      </c>
      <c r="BH109" s="103">
        <f>IF($X109&gt;0,INDEX('CostModel Coef'!R$13:R$16,$X109),"")</f>
        <v>3</v>
      </c>
      <c r="BI109" s="103">
        <f>IF($X109&gt;0,INDEX('CostModel Coef'!S$13:S$16,$X109),"")</f>
        <v>150</v>
      </c>
      <c r="BJ109" s="103">
        <f>IF($X109&gt;0,INDEX('CostModel Coef'!T$13:T$16,$X109),"")</f>
        <v>0</v>
      </c>
      <c r="BK109" s="103">
        <f>IF($X109&gt;0,INDEX('CostModel Coef'!U$13:U$16,$X109),"")</f>
        <v>9.1999999999999998E-3</v>
      </c>
      <c r="BL109" s="103">
        <f>IF($X109&gt;0,INDEX('CostModel Coef'!V$13:V$16,$X109),"")</f>
        <v>-8.8000000000000005E-3</v>
      </c>
      <c r="BM109" s="103">
        <f>IF($X109&gt;0,INDEX('CostModel Coef'!W$13:W$16,$X109),"")</f>
        <v>0</v>
      </c>
      <c r="BN109" s="103">
        <f>IF($X109&gt;0,INDEX('CostModel Coef'!X$13:X$16,$X109),"")</f>
        <v>0</v>
      </c>
      <c r="BO109" s="103"/>
      <c r="BP109" s="119">
        <v>2000</v>
      </c>
      <c r="BQ109" s="103"/>
      <c r="BR109" s="103"/>
      <c r="BS109" s="119" t="str">
        <f t="shared" si="34"/>
        <v>WRR0347_CFLscw-Dim(26w)</v>
      </c>
      <c r="BT109" s="174">
        <f t="shared" si="26"/>
        <v>90</v>
      </c>
      <c r="BU109" s="113">
        <f t="shared" si="36"/>
        <v>1.3224</v>
      </c>
      <c r="BV109" s="108">
        <f t="shared" si="37"/>
        <v>3.7854000000000001</v>
      </c>
      <c r="BW109" s="108">
        <f t="shared" si="38"/>
        <v>2.0954000000000002</v>
      </c>
      <c r="BX109" s="108">
        <f t="shared" si="39"/>
        <v>0.93540000000000023</v>
      </c>
      <c r="BY109" s="108">
        <f t="shared" si="40"/>
        <v>0.93540000000000023</v>
      </c>
      <c r="BZ109" s="108"/>
      <c r="CA109" s="119" t="str">
        <f t="shared" si="41"/>
        <v/>
      </c>
      <c r="CB109" s="180">
        <v>-1</v>
      </c>
      <c r="CC109" s="113" t="str">
        <f t="shared" si="42"/>
        <v/>
      </c>
      <c r="CD109" s="108" t="str">
        <f t="shared" si="43"/>
        <v/>
      </c>
      <c r="CE109" s="108" t="str">
        <f t="shared" si="44"/>
        <v/>
      </c>
      <c r="CF109" s="108" t="str">
        <f t="shared" si="45"/>
        <v/>
      </c>
      <c r="CG109" s="108" t="str">
        <f t="shared" si="46"/>
        <v/>
      </c>
      <c r="CH109" s="103"/>
      <c r="CI109" s="119" t="str">
        <f t="shared" si="35"/>
        <v>WRR0347_CFLscw-Dim(26w)</v>
      </c>
      <c r="CJ109" s="174">
        <f t="shared" si="33"/>
        <v>90</v>
      </c>
      <c r="CK109" s="113">
        <f t="shared" si="47"/>
        <v>1.3224</v>
      </c>
      <c r="CL109" s="108">
        <f t="shared" si="48"/>
        <v>3.7854000000000001</v>
      </c>
      <c r="CM109" s="108">
        <f t="shared" si="49"/>
        <v>2.0954000000000002</v>
      </c>
      <c r="CN109" s="108">
        <f t="shared" si="50"/>
        <v>0.93540000000000023</v>
      </c>
      <c r="CO109" s="108">
        <f t="shared" si="51"/>
        <v>0.93540000000000023</v>
      </c>
    </row>
    <row r="110" spans="1:93">
      <c r="A110" s="103" t="s">
        <v>372</v>
      </c>
      <c r="B110" s="103" t="s">
        <v>174</v>
      </c>
      <c r="C110" s="103" t="s">
        <v>153</v>
      </c>
      <c r="D110" s="250" t="s">
        <v>153</v>
      </c>
      <c r="E110" s="250"/>
      <c r="F110" s="182">
        <v>9020</v>
      </c>
      <c r="G110" s="250" t="s">
        <v>347</v>
      </c>
      <c r="H110" s="250">
        <v>28</v>
      </c>
      <c r="I110" s="250"/>
      <c r="J110" s="250"/>
      <c r="K110" s="250"/>
      <c r="L110" s="250" t="s">
        <v>61</v>
      </c>
      <c r="M110" s="250">
        <v>28</v>
      </c>
      <c r="N110" s="250"/>
      <c r="O110" s="250"/>
      <c r="P110" s="250" t="s">
        <v>153</v>
      </c>
      <c r="Q110" s="250"/>
      <c r="R110" s="250"/>
      <c r="S110" s="250"/>
      <c r="T110" s="250" t="s">
        <v>155</v>
      </c>
      <c r="U110" s="103" t="s">
        <v>373</v>
      </c>
      <c r="V110" s="106" t="s">
        <v>157</v>
      </c>
      <c r="W110" s="103" t="s">
        <v>81</v>
      </c>
      <c r="X110" s="103">
        <f>IFERROR(MATCH(W110,'CostModel Coef'!$C$9:$C$12,0),0)</f>
        <v>1</v>
      </c>
      <c r="Y110" s="103"/>
      <c r="Z110" s="103">
        <f>IF($X110&gt;0,INDEX('CostModel Coef'!D$9:D$12,$X110),"")</f>
        <v>3.0430000000000001</v>
      </c>
      <c r="AA110" s="103">
        <f>IF($X110&gt;0,INDEX('CostModel Coef'!E$9:E$12,$X110),"")</f>
        <v>-0.14966150225589619</v>
      </c>
      <c r="AB110" s="103">
        <f>IF($X110&gt;0,INDEX('CostModel Coef'!F$9:F$12,$X110),"")</f>
        <v>0.52692151711335011</v>
      </c>
      <c r="AC110" s="103">
        <f>IF($X110&gt;0,INDEX('CostModel Coef'!G$9:G$12,$X110),"")</f>
        <v>1.8411</v>
      </c>
      <c r="AD110" s="103">
        <f>IF($X110&gt;0,INDEX('CostModel Coef'!H$9:H$12,$X110),"")</f>
        <v>-1.8050999999999999</v>
      </c>
      <c r="AE110" s="103">
        <f>IF($X110&gt;0,INDEX('CostModel Coef'!J$9:J$12,$X110),"")</f>
        <v>-1.1288</v>
      </c>
      <c r="AF110" s="103">
        <f>IF($X110&gt;0,INDEX('CostModel Coef'!K$9:K$12,$X110),"")</f>
        <v>-1.845</v>
      </c>
      <c r="AG110" s="103">
        <f>IF($X110&gt;0,INDEX('CostModel Coef'!L$9:L$12,$X110),"")</f>
        <v>6.7507000000000001</v>
      </c>
      <c r="AH110" s="103">
        <f>IF($X110&gt;0,INDEX('CostModel Coef'!M$9:M$12,$X110),"")</f>
        <v>5.8051000000000004</v>
      </c>
      <c r="AI110" s="103">
        <f>IF($X110&gt;0,INDEX('CostModel Coef'!N$9:N$12,$X110),"")</f>
        <v>6.1600000000000002E-2</v>
      </c>
      <c r="AJ110" s="103">
        <f>IF($X110&gt;0,INDEX('CostModel Coef'!Q$9:Q$12,$X110),"")</f>
        <v>6.6500000000000004E-2</v>
      </c>
      <c r="AK110" s="103">
        <f>IF($X110&gt;0,INDEX('CostModel Coef'!T$9:T$12,$X110),"")</f>
        <v>9.35E-2</v>
      </c>
      <c r="AL110" s="103"/>
      <c r="AM110" s="108">
        <f t="shared" si="27"/>
        <v>10.078492014857453</v>
      </c>
      <c r="AN110" s="108">
        <f t="shared" si="28"/>
        <v>11.923492014857453</v>
      </c>
      <c r="AO110" s="108">
        <f t="shared" si="29"/>
        <v>10.118392014857454</v>
      </c>
      <c r="AP110" s="108">
        <f t="shared" si="30"/>
        <v>10.118392014857454</v>
      </c>
      <c r="AQ110" s="108">
        <f t="shared" si="31"/>
        <v>8.989592014857454</v>
      </c>
      <c r="AR110" s="108"/>
      <c r="AS110" s="108"/>
      <c r="AT110" s="103">
        <f>IF($X110&gt;0,INDEX('CostModel Coef'!D$13:D$16,$X110),"")</f>
        <v>2.1320000000000001</v>
      </c>
      <c r="AU110" s="103">
        <f>IF($X110&gt;0,INDEX('CostModel Coef'!E$13:E$16,$X110),"")</f>
        <v>0.23699999999999999</v>
      </c>
      <c r="AV110" s="103">
        <f>IF($X110&gt;0,INDEX('CostModel Coef'!F$13:F$16,$X110),"")</f>
        <v>0.59899999999999998</v>
      </c>
      <c r="AW110" s="103">
        <f>IF($X110&gt;0,INDEX('CostModel Coef'!G$13:G$16,$X110),"")</f>
        <v>0</v>
      </c>
      <c r="AX110" s="103">
        <f>IF($X110&gt;0,INDEX('CostModel Coef'!H$13:H$16,$X110),"")</f>
        <v>-1.69</v>
      </c>
      <c r="AY110" s="103">
        <f>IF($X110&gt;0,INDEX('CostModel Coef'!I$13:I$16,$X110),"")</f>
        <v>-1.1599999999999999</v>
      </c>
      <c r="AZ110" s="103">
        <f>IF($X110&gt;0,INDEX('CostModel Coef'!J$13:J$16,$X110),"")</f>
        <v>0</v>
      </c>
      <c r="BA110" s="103">
        <f>IF($X110&gt;0,INDEX('CostModel Coef'!K$13:K$16,$X110),"")</f>
        <v>-2.4630000000000001</v>
      </c>
      <c r="BB110" s="103">
        <f>IF($X110&gt;0,INDEX('CostModel Coef'!L$13:L$16,$X110),"")</f>
        <v>0.46179999999999999</v>
      </c>
      <c r="BC110" s="103">
        <f>IF($X110&gt;0,INDEX('CostModel Coef'!M$13:M$16,$X110),"")</f>
        <v>0</v>
      </c>
      <c r="BD110" s="103">
        <f>IF($X110&gt;0,INDEX('CostModel Coef'!N$13:N$16,$X110),"")</f>
        <v>0.19869999999999999</v>
      </c>
      <c r="BE110" s="103">
        <f>IF($X110&gt;0,INDEX('CostModel Coef'!O$13:O$16,$X110),"")</f>
        <v>0.6</v>
      </c>
      <c r="BF110" s="103">
        <f>IF($X110&gt;0,INDEX('CostModel Coef'!P$13:P$16,$X110),"")</f>
        <v>15</v>
      </c>
      <c r="BG110" s="103">
        <f>IF($X110&gt;0,INDEX('CostModel Coef'!Q$13:Q$16,$X110),"")</f>
        <v>0</v>
      </c>
      <c r="BH110" s="103">
        <f>IF($X110&gt;0,INDEX('CostModel Coef'!R$13:R$16,$X110),"")</f>
        <v>3</v>
      </c>
      <c r="BI110" s="103">
        <f>IF($X110&gt;0,INDEX('CostModel Coef'!S$13:S$16,$X110),"")</f>
        <v>150</v>
      </c>
      <c r="BJ110" s="103">
        <f>IF($X110&gt;0,INDEX('CostModel Coef'!T$13:T$16,$X110),"")</f>
        <v>0</v>
      </c>
      <c r="BK110" s="103">
        <f>IF($X110&gt;0,INDEX('CostModel Coef'!U$13:U$16,$X110),"")</f>
        <v>9.1999999999999998E-3</v>
      </c>
      <c r="BL110" s="103">
        <f>IF($X110&gt;0,INDEX('CostModel Coef'!V$13:V$16,$X110),"")</f>
        <v>-8.8000000000000005E-3</v>
      </c>
      <c r="BM110" s="103">
        <f>IF($X110&gt;0,INDEX('CostModel Coef'!W$13:W$16,$X110),"")</f>
        <v>0</v>
      </c>
      <c r="BN110" s="103">
        <f>IF($X110&gt;0,INDEX('CostModel Coef'!X$13:X$16,$X110),"")</f>
        <v>0</v>
      </c>
      <c r="BO110" s="103"/>
      <c r="BP110" s="119">
        <v>2000</v>
      </c>
      <c r="BQ110" s="103"/>
      <c r="BR110" s="103"/>
      <c r="BS110" s="119" t="str">
        <f t="shared" si="34"/>
        <v>WRR0347_CFLscw-Dim(28w)</v>
      </c>
      <c r="BT110" s="174">
        <f t="shared" si="26"/>
        <v>97</v>
      </c>
      <c r="BU110" s="113">
        <f t="shared" si="36"/>
        <v>1.3252000000000002</v>
      </c>
      <c r="BV110" s="108">
        <f t="shared" si="37"/>
        <v>3.7882000000000002</v>
      </c>
      <c r="BW110" s="108">
        <f t="shared" si="38"/>
        <v>2.0982000000000003</v>
      </c>
      <c r="BX110" s="108">
        <f t="shared" si="39"/>
        <v>0.93820000000000037</v>
      </c>
      <c r="BY110" s="108">
        <f t="shared" si="40"/>
        <v>0.93820000000000037</v>
      </c>
      <c r="BZ110" s="108"/>
      <c r="CA110" s="119" t="str">
        <f t="shared" si="41"/>
        <v/>
      </c>
      <c r="CB110" s="180">
        <v>-1</v>
      </c>
      <c r="CC110" s="113" t="str">
        <f t="shared" si="42"/>
        <v/>
      </c>
      <c r="CD110" s="108" t="str">
        <f t="shared" si="43"/>
        <v/>
      </c>
      <c r="CE110" s="108" t="str">
        <f t="shared" si="44"/>
        <v/>
      </c>
      <c r="CF110" s="108" t="str">
        <f t="shared" si="45"/>
        <v/>
      </c>
      <c r="CG110" s="108" t="str">
        <f t="shared" si="46"/>
        <v/>
      </c>
      <c r="CH110" s="103"/>
      <c r="CI110" s="119" t="str">
        <f t="shared" si="35"/>
        <v>WRR0347_CFLscw-Dim(28w)</v>
      </c>
      <c r="CJ110" s="174">
        <f t="shared" si="33"/>
        <v>97</v>
      </c>
      <c r="CK110" s="113">
        <f t="shared" si="47"/>
        <v>1.3252000000000002</v>
      </c>
      <c r="CL110" s="108">
        <f t="shared" si="48"/>
        <v>3.7882000000000002</v>
      </c>
      <c r="CM110" s="108">
        <f t="shared" si="49"/>
        <v>2.0982000000000003</v>
      </c>
      <c r="CN110" s="108">
        <f t="shared" si="50"/>
        <v>0.93820000000000037</v>
      </c>
      <c r="CO110" s="108">
        <f t="shared" si="51"/>
        <v>0.93820000000000037</v>
      </c>
    </row>
    <row r="111" spans="1:93">
      <c r="A111" s="103" t="s">
        <v>374</v>
      </c>
      <c r="B111" s="103" t="s">
        <v>174</v>
      </c>
      <c r="C111" s="103" t="s">
        <v>153</v>
      </c>
      <c r="D111" s="250" t="s">
        <v>153</v>
      </c>
      <c r="E111" s="250"/>
      <c r="F111" s="182">
        <v>9020</v>
      </c>
      <c r="G111" s="250" t="s">
        <v>354</v>
      </c>
      <c r="H111" s="250">
        <v>30</v>
      </c>
      <c r="I111" s="250"/>
      <c r="J111" s="250"/>
      <c r="K111" s="250"/>
      <c r="L111" s="250" t="s">
        <v>61</v>
      </c>
      <c r="M111" s="250">
        <v>30</v>
      </c>
      <c r="N111" s="250"/>
      <c r="O111" s="250"/>
      <c r="P111" s="250" t="s">
        <v>153</v>
      </c>
      <c r="Q111" s="250"/>
      <c r="R111" s="250"/>
      <c r="S111" s="250"/>
      <c r="T111" s="250" t="s">
        <v>155</v>
      </c>
      <c r="U111" s="103" t="s">
        <v>375</v>
      </c>
      <c r="V111" s="106" t="s">
        <v>157</v>
      </c>
      <c r="W111" s="103" t="s">
        <v>81</v>
      </c>
      <c r="X111" s="103">
        <f>IFERROR(MATCH(W111,'CostModel Coef'!$C$9:$C$12,0),0)</f>
        <v>1</v>
      </c>
      <c r="Y111" s="103"/>
      <c r="Z111" s="103">
        <f>IF($X111&gt;0,INDEX('CostModel Coef'!D$9:D$12,$X111),"")</f>
        <v>3.0430000000000001</v>
      </c>
      <c r="AA111" s="103">
        <f>IF($X111&gt;0,INDEX('CostModel Coef'!E$9:E$12,$X111),"")</f>
        <v>-0.14966150225589619</v>
      </c>
      <c r="AB111" s="103">
        <f>IF($X111&gt;0,INDEX('CostModel Coef'!F$9:F$12,$X111),"")</f>
        <v>0.52692151711335011</v>
      </c>
      <c r="AC111" s="103">
        <f>IF($X111&gt;0,INDEX('CostModel Coef'!G$9:G$12,$X111),"")</f>
        <v>1.8411</v>
      </c>
      <c r="AD111" s="103">
        <f>IF($X111&gt;0,INDEX('CostModel Coef'!H$9:H$12,$X111),"")</f>
        <v>-1.8050999999999999</v>
      </c>
      <c r="AE111" s="103">
        <f>IF($X111&gt;0,INDEX('CostModel Coef'!J$9:J$12,$X111),"")</f>
        <v>-1.1288</v>
      </c>
      <c r="AF111" s="103">
        <f>IF($X111&gt;0,INDEX('CostModel Coef'!K$9:K$12,$X111),"")</f>
        <v>-1.845</v>
      </c>
      <c r="AG111" s="103">
        <f>IF($X111&gt;0,INDEX('CostModel Coef'!L$9:L$12,$X111),"")</f>
        <v>6.7507000000000001</v>
      </c>
      <c r="AH111" s="103">
        <f>IF($X111&gt;0,INDEX('CostModel Coef'!M$9:M$12,$X111),"")</f>
        <v>5.8051000000000004</v>
      </c>
      <c r="AI111" s="103">
        <f>IF($X111&gt;0,INDEX('CostModel Coef'!N$9:N$12,$X111),"")</f>
        <v>6.1600000000000002E-2</v>
      </c>
      <c r="AJ111" s="103">
        <f>IF($X111&gt;0,INDEX('CostModel Coef'!Q$9:Q$12,$X111),"")</f>
        <v>6.6500000000000004E-2</v>
      </c>
      <c r="AK111" s="103">
        <f>IF($X111&gt;0,INDEX('CostModel Coef'!T$9:T$12,$X111),"")</f>
        <v>9.35E-2</v>
      </c>
      <c r="AL111" s="103"/>
      <c r="AM111" s="108">
        <f t="shared" si="27"/>
        <v>10.398492014857455</v>
      </c>
      <c r="AN111" s="108">
        <f t="shared" si="28"/>
        <v>12.243492014857454</v>
      </c>
      <c r="AO111" s="108">
        <f t="shared" si="29"/>
        <v>10.438392014857454</v>
      </c>
      <c r="AP111" s="108">
        <f t="shared" si="30"/>
        <v>10.438392014857454</v>
      </c>
      <c r="AQ111" s="108">
        <f t="shared" si="31"/>
        <v>9.3095920148574542</v>
      </c>
      <c r="AR111" s="108"/>
      <c r="AS111" s="108"/>
      <c r="AT111" s="103">
        <f>IF($X111&gt;0,INDEX('CostModel Coef'!D$13:D$16,$X111),"")</f>
        <v>2.1320000000000001</v>
      </c>
      <c r="AU111" s="103">
        <f>IF($X111&gt;0,INDEX('CostModel Coef'!E$13:E$16,$X111),"")</f>
        <v>0.23699999999999999</v>
      </c>
      <c r="AV111" s="103">
        <f>IF($X111&gt;0,INDEX('CostModel Coef'!F$13:F$16,$X111),"")</f>
        <v>0.59899999999999998</v>
      </c>
      <c r="AW111" s="103">
        <f>IF($X111&gt;0,INDEX('CostModel Coef'!G$13:G$16,$X111),"")</f>
        <v>0</v>
      </c>
      <c r="AX111" s="103">
        <f>IF($X111&gt;0,INDEX('CostModel Coef'!H$13:H$16,$X111),"")</f>
        <v>-1.69</v>
      </c>
      <c r="AY111" s="103">
        <f>IF($X111&gt;0,INDEX('CostModel Coef'!I$13:I$16,$X111),"")</f>
        <v>-1.1599999999999999</v>
      </c>
      <c r="AZ111" s="103">
        <f>IF($X111&gt;0,INDEX('CostModel Coef'!J$13:J$16,$X111),"")</f>
        <v>0</v>
      </c>
      <c r="BA111" s="103">
        <f>IF($X111&gt;0,INDEX('CostModel Coef'!K$13:K$16,$X111),"")</f>
        <v>-2.4630000000000001</v>
      </c>
      <c r="BB111" s="103">
        <f>IF($X111&gt;0,INDEX('CostModel Coef'!L$13:L$16,$X111),"")</f>
        <v>0.46179999999999999</v>
      </c>
      <c r="BC111" s="103">
        <f>IF($X111&gt;0,INDEX('CostModel Coef'!M$13:M$16,$X111),"")</f>
        <v>0</v>
      </c>
      <c r="BD111" s="103">
        <f>IF($X111&gt;0,INDEX('CostModel Coef'!N$13:N$16,$X111),"")</f>
        <v>0.19869999999999999</v>
      </c>
      <c r="BE111" s="103">
        <f>IF($X111&gt;0,INDEX('CostModel Coef'!O$13:O$16,$X111),"")</f>
        <v>0.6</v>
      </c>
      <c r="BF111" s="103">
        <f>IF($X111&gt;0,INDEX('CostModel Coef'!P$13:P$16,$X111),"")</f>
        <v>15</v>
      </c>
      <c r="BG111" s="103">
        <f>IF($X111&gt;0,INDEX('CostModel Coef'!Q$13:Q$16,$X111),"")</f>
        <v>0</v>
      </c>
      <c r="BH111" s="103">
        <f>IF($X111&gt;0,INDEX('CostModel Coef'!R$13:R$16,$X111),"")</f>
        <v>3</v>
      </c>
      <c r="BI111" s="103">
        <f>IF($X111&gt;0,INDEX('CostModel Coef'!S$13:S$16,$X111),"")</f>
        <v>150</v>
      </c>
      <c r="BJ111" s="103">
        <f>IF($X111&gt;0,INDEX('CostModel Coef'!T$13:T$16,$X111),"")</f>
        <v>0</v>
      </c>
      <c r="BK111" s="103">
        <f>IF($X111&gt;0,INDEX('CostModel Coef'!U$13:U$16,$X111),"")</f>
        <v>9.1999999999999998E-3</v>
      </c>
      <c r="BL111" s="103">
        <f>IF($X111&gt;0,INDEX('CostModel Coef'!V$13:V$16,$X111),"")</f>
        <v>-8.8000000000000005E-3</v>
      </c>
      <c r="BM111" s="103">
        <f>IF($X111&gt;0,INDEX('CostModel Coef'!W$13:W$16,$X111),"")</f>
        <v>0</v>
      </c>
      <c r="BN111" s="103">
        <f>IF($X111&gt;0,INDEX('CostModel Coef'!X$13:X$16,$X111),"")</f>
        <v>0</v>
      </c>
      <c r="BO111" s="103"/>
      <c r="BP111" s="119">
        <v>2000</v>
      </c>
      <c r="BQ111" s="103"/>
      <c r="BR111" s="103"/>
      <c r="BS111" s="119" t="str">
        <f t="shared" si="34"/>
        <v>WRR0347_CFLscw-Dim(30w)</v>
      </c>
      <c r="BT111" s="174">
        <f t="shared" si="26"/>
        <v>104</v>
      </c>
      <c r="BU111" s="113">
        <f t="shared" si="36"/>
        <v>1.3279999999999998</v>
      </c>
      <c r="BV111" s="108">
        <f t="shared" si="37"/>
        <v>3.7909999999999999</v>
      </c>
      <c r="BW111" s="108">
        <f t="shared" si="38"/>
        <v>2.101</v>
      </c>
      <c r="BX111" s="108">
        <f t="shared" si="39"/>
        <v>0.94100000000000006</v>
      </c>
      <c r="BY111" s="108">
        <f t="shared" si="40"/>
        <v>0.94100000000000006</v>
      </c>
      <c r="BZ111" s="108"/>
      <c r="CA111" s="119" t="str">
        <f t="shared" si="41"/>
        <v/>
      </c>
      <c r="CB111" s="180">
        <v>-1</v>
      </c>
      <c r="CC111" s="113" t="str">
        <f t="shared" si="42"/>
        <v/>
      </c>
      <c r="CD111" s="108" t="str">
        <f t="shared" si="43"/>
        <v/>
      </c>
      <c r="CE111" s="108" t="str">
        <f t="shared" si="44"/>
        <v/>
      </c>
      <c r="CF111" s="108" t="str">
        <f t="shared" si="45"/>
        <v/>
      </c>
      <c r="CG111" s="108" t="str">
        <f t="shared" si="46"/>
        <v/>
      </c>
      <c r="CH111" s="103"/>
      <c r="CI111" s="119" t="str">
        <f t="shared" si="35"/>
        <v>WRR0347_CFLscw-Dim(30w)</v>
      </c>
      <c r="CJ111" s="174">
        <f t="shared" si="33"/>
        <v>104</v>
      </c>
      <c r="CK111" s="113">
        <f t="shared" si="47"/>
        <v>1.3279999999999998</v>
      </c>
      <c r="CL111" s="108">
        <f t="shared" si="48"/>
        <v>3.7909999999999999</v>
      </c>
      <c r="CM111" s="108">
        <f t="shared" si="49"/>
        <v>2.101</v>
      </c>
      <c r="CN111" s="108">
        <f t="shared" si="50"/>
        <v>0.94100000000000006</v>
      </c>
      <c r="CO111" s="108">
        <f t="shared" si="51"/>
        <v>0.94100000000000006</v>
      </c>
    </row>
    <row r="112" spans="1:93">
      <c r="A112" s="103" t="s">
        <v>376</v>
      </c>
      <c r="B112" s="103" t="s">
        <v>174</v>
      </c>
      <c r="C112" s="103" t="s">
        <v>153</v>
      </c>
      <c r="D112" s="250" t="s">
        <v>153</v>
      </c>
      <c r="E112" s="250"/>
      <c r="F112" s="182">
        <v>9020</v>
      </c>
      <c r="G112" s="250" t="s">
        <v>347</v>
      </c>
      <c r="H112" s="250">
        <v>33</v>
      </c>
      <c r="I112" s="250"/>
      <c r="J112" s="250"/>
      <c r="K112" s="250"/>
      <c r="L112" s="250" t="s">
        <v>61</v>
      </c>
      <c r="M112" s="250">
        <v>33</v>
      </c>
      <c r="N112" s="250"/>
      <c r="O112" s="250"/>
      <c r="P112" s="250" t="s">
        <v>153</v>
      </c>
      <c r="Q112" s="250"/>
      <c r="R112" s="250"/>
      <c r="S112" s="250"/>
      <c r="T112" s="250" t="s">
        <v>155</v>
      </c>
      <c r="U112" s="103" t="s">
        <v>377</v>
      </c>
      <c r="V112" s="106" t="s">
        <v>157</v>
      </c>
      <c r="W112" s="103" t="s">
        <v>81</v>
      </c>
      <c r="X112" s="103">
        <f>IFERROR(MATCH(W112,'CostModel Coef'!$C$9:$C$12,0),0)</f>
        <v>1</v>
      </c>
      <c r="Y112" s="103"/>
      <c r="Z112" s="103">
        <f>IF($X112&gt;0,INDEX('CostModel Coef'!D$9:D$12,$X112),"")</f>
        <v>3.0430000000000001</v>
      </c>
      <c r="AA112" s="103">
        <f>IF($X112&gt;0,INDEX('CostModel Coef'!E$9:E$12,$X112),"")</f>
        <v>-0.14966150225589619</v>
      </c>
      <c r="AB112" s="103">
        <f>IF($X112&gt;0,INDEX('CostModel Coef'!F$9:F$12,$X112),"")</f>
        <v>0.52692151711335011</v>
      </c>
      <c r="AC112" s="103">
        <f>IF($X112&gt;0,INDEX('CostModel Coef'!G$9:G$12,$X112),"")</f>
        <v>1.8411</v>
      </c>
      <c r="AD112" s="103">
        <f>IF($X112&gt;0,INDEX('CostModel Coef'!H$9:H$12,$X112),"")</f>
        <v>-1.8050999999999999</v>
      </c>
      <c r="AE112" s="103">
        <f>IF($X112&gt;0,INDEX('CostModel Coef'!J$9:J$12,$X112),"")</f>
        <v>-1.1288</v>
      </c>
      <c r="AF112" s="103">
        <f>IF($X112&gt;0,INDEX('CostModel Coef'!K$9:K$12,$X112),"")</f>
        <v>-1.845</v>
      </c>
      <c r="AG112" s="103">
        <f>IF($X112&gt;0,INDEX('CostModel Coef'!L$9:L$12,$X112),"")</f>
        <v>6.7507000000000001</v>
      </c>
      <c r="AH112" s="103">
        <f>IF($X112&gt;0,INDEX('CostModel Coef'!M$9:M$12,$X112),"")</f>
        <v>5.8051000000000004</v>
      </c>
      <c r="AI112" s="103">
        <f>IF($X112&gt;0,INDEX('CostModel Coef'!N$9:N$12,$X112),"")</f>
        <v>6.1600000000000002E-2</v>
      </c>
      <c r="AJ112" s="103">
        <f>IF($X112&gt;0,INDEX('CostModel Coef'!Q$9:Q$12,$X112),"")</f>
        <v>6.6500000000000004E-2</v>
      </c>
      <c r="AK112" s="103">
        <f>IF($X112&gt;0,INDEX('CostModel Coef'!T$9:T$12,$X112),"")</f>
        <v>9.35E-2</v>
      </c>
      <c r="AL112" s="103"/>
      <c r="AM112" s="108">
        <f t="shared" si="27"/>
        <v>10.878492014857454</v>
      </c>
      <c r="AN112" s="108">
        <f t="shared" si="28"/>
        <v>12.723492014857452</v>
      </c>
      <c r="AO112" s="108">
        <f t="shared" si="29"/>
        <v>10.918392014857453</v>
      </c>
      <c r="AP112" s="108">
        <f t="shared" si="30"/>
        <v>10.918392014857453</v>
      </c>
      <c r="AQ112" s="108">
        <f t="shared" si="31"/>
        <v>9.7895920148574529</v>
      </c>
      <c r="AR112" s="108"/>
      <c r="AS112" s="108"/>
      <c r="AT112" s="103">
        <f>IF($X112&gt;0,INDEX('CostModel Coef'!D$13:D$16,$X112),"")</f>
        <v>2.1320000000000001</v>
      </c>
      <c r="AU112" s="103">
        <f>IF($X112&gt;0,INDEX('CostModel Coef'!E$13:E$16,$X112),"")</f>
        <v>0.23699999999999999</v>
      </c>
      <c r="AV112" s="103">
        <f>IF($X112&gt;0,INDEX('CostModel Coef'!F$13:F$16,$X112),"")</f>
        <v>0.59899999999999998</v>
      </c>
      <c r="AW112" s="103">
        <f>IF($X112&gt;0,INDEX('CostModel Coef'!G$13:G$16,$X112),"")</f>
        <v>0</v>
      </c>
      <c r="AX112" s="103">
        <f>IF($X112&gt;0,INDEX('CostModel Coef'!H$13:H$16,$X112),"")</f>
        <v>-1.69</v>
      </c>
      <c r="AY112" s="103">
        <f>IF($X112&gt;0,INDEX('CostModel Coef'!I$13:I$16,$X112),"")</f>
        <v>-1.1599999999999999</v>
      </c>
      <c r="AZ112" s="103">
        <f>IF($X112&gt;0,INDEX('CostModel Coef'!J$13:J$16,$X112),"")</f>
        <v>0</v>
      </c>
      <c r="BA112" s="103">
        <f>IF($X112&gt;0,INDEX('CostModel Coef'!K$13:K$16,$X112),"")</f>
        <v>-2.4630000000000001</v>
      </c>
      <c r="BB112" s="103">
        <f>IF($X112&gt;0,INDEX('CostModel Coef'!L$13:L$16,$X112),"")</f>
        <v>0.46179999999999999</v>
      </c>
      <c r="BC112" s="103">
        <f>IF($X112&gt;0,INDEX('CostModel Coef'!M$13:M$16,$X112),"")</f>
        <v>0</v>
      </c>
      <c r="BD112" s="103">
        <f>IF($X112&gt;0,INDEX('CostModel Coef'!N$13:N$16,$X112),"")</f>
        <v>0.19869999999999999</v>
      </c>
      <c r="BE112" s="103">
        <f>IF($X112&gt;0,INDEX('CostModel Coef'!O$13:O$16,$X112),"")</f>
        <v>0.6</v>
      </c>
      <c r="BF112" s="103">
        <f>IF($X112&gt;0,INDEX('CostModel Coef'!P$13:P$16,$X112),"")</f>
        <v>15</v>
      </c>
      <c r="BG112" s="103">
        <f>IF($X112&gt;0,INDEX('CostModel Coef'!Q$13:Q$16,$X112),"")</f>
        <v>0</v>
      </c>
      <c r="BH112" s="103">
        <f>IF($X112&gt;0,INDEX('CostModel Coef'!R$13:R$16,$X112),"")</f>
        <v>3</v>
      </c>
      <c r="BI112" s="103">
        <f>IF($X112&gt;0,INDEX('CostModel Coef'!S$13:S$16,$X112),"")</f>
        <v>150</v>
      </c>
      <c r="BJ112" s="103">
        <f>IF($X112&gt;0,INDEX('CostModel Coef'!T$13:T$16,$X112),"")</f>
        <v>0</v>
      </c>
      <c r="BK112" s="103">
        <f>IF($X112&gt;0,INDEX('CostModel Coef'!U$13:U$16,$X112),"")</f>
        <v>9.1999999999999998E-3</v>
      </c>
      <c r="BL112" s="103">
        <f>IF($X112&gt;0,INDEX('CostModel Coef'!V$13:V$16,$X112),"")</f>
        <v>-8.8000000000000005E-3</v>
      </c>
      <c r="BM112" s="103">
        <f>IF($X112&gt;0,INDEX('CostModel Coef'!W$13:W$16,$X112),"")</f>
        <v>0</v>
      </c>
      <c r="BN112" s="103">
        <f>IF($X112&gt;0,INDEX('CostModel Coef'!X$13:X$16,$X112),"")</f>
        <v>0</v>
      </c>
      <c r="BO112" s="103"/>
      <c r="BP112" s="119">
        <v>2000</v>
      </c>
      <c r="BQ112" s="103"/>
      <c r="BR112" s="103"/>
      <c r="BS112" s="119" t="str">
        <f t="shared" si="34"/>
        <v>WRR0347_CFLscw-Dim(33w)</v>
      </c>
      <c r="BT112" s="174">
        <f t="shared" si="26"/>
        <v>115</v>
      </c>
      <c r="BU112" s="113">
        <f t="shared" si="36"/>
        <v>1.3324000000000003</v>
      </c>
      <c r="BV112" s="108">
        <f t="shared" si="37"/>
        <v>3.7954000000000003</v>
      </c>
      <c r="BW112" s="108">
        <f t="shared" si="38"/>
        <v>2.1054000000000004</v>
      </c>
      <c r="BX112" s="108">
        <f t="shared" si="39"/>
        <v>0.94540000000000046</v>
      </c>
      <c r="BY112" s="108">
        <f t="shared" si="40"/>
        <v>0.94540000000000046</v>
      </c>
      <c r="BZ112" s="108"/>
      <c r="CA112" s="119" t="str">
        <f t="shared" si="41"/>
        <v/>
      </c>
      <c r="CB112" s="180">
        <v>-1</v>
      </c>
      <c r="CC112" s="113" t="str">
        <f t="shared" si="42"/>
        <v/>
      </c>
      <c r="CD112" s="108" t="str">
        <f t="shared" si="43"/>
        <v/>
      </c>
      <c r="CE112" s="108" t="str">
        <f t="shared" si="44"/>
        <v/>
      </c>
      <c r="CF112" s="108" t="str">
        <f t="shared" si="45"/>
        <v/>
      </c>
      <c r="CG112" s="108" t="str">
        <f t="shared" si="46"/>
        <v/>
      </c>
      <c r="CH112" s="103"/>
      <c r="CI112" s="119" t="str">
        <f t="shared" si="35"/>
        <v>WRR0347_CFLscw-Dim(33w)</v>
      </c>
      <c r="CJ112" s="174">
        <f t="shared" si="33"/>
        <v>115</v>
      </c>
      <c r="CK112" s="113">
        <f t="shared" si="47"/>
        <v>1.3324000000000003</v>
      </c>
      <c r="CL112" s="108">
        <f t="shared" si="48"/>
        <v>3.7954000000000003</v>
      </c>
      <c r="CM112" s="108">
        <f t="shared" si="49"/>
        <v>2.1054000000000004</v>
      </c>
      <c r="CN112" s="108">
        <f t="shared" si="50"/>
        <v>0.94540000000000046</v>
      </c>
      <c r="CO112" s="108">
        <f t="shared" si="51"/>
        <v>0.94540000000000046</v>
      </c>
    </row>
    <row r="113" spans="1:93">
      <c r="A113" s="103" t="s">
        <v>378</v>
      </c>
      <c r="B113" s="103" t="s">
        <v>174</v>
      </c>
      <c r="C113" s="103" t="s">
        <v>153</v>
      </c>
      <c r="D113" s="250" t="s">
        <v>153</v>
      </c>
      <c r="E113" s="250"/>
      <c r="F113" s="182">
        <v>9020</v>
      </c>
      <c r="G113" s="250" t="s">
        <v>347</v>
      </c>
      <c r="H113" s="250">
        <v>35</v>
      </c>
      <c r="I113" s="250"/>
      <c r="J113" s="250"/>
      <c r="K113" s="250"/>
      <c r="L113" s="250" t="s">
        <v>61</v>
      </c>
      <c r="M113" s="250">
        <v>35</v>
      </c>
      <c r="N113" s="250"/>
      <c r="O113" s="250"/>
      <c r="P113" s="250" t="s">
        <v>153</v>
      </c>
      <c r="Q113" s="250"/>
      <c r="R113" s="250"/>
      <c r="S113" s="250"/>
      <c r="T113" s="250" t="s">
        <v>155</v>
      </c>
      <c r="U113" s="103" t="s">
        <v>379</v>
      </c>
      <c r="V113" s="106" t="s">
        <v>157</v>
      </c>
      <c r="W113" s="103" t="s">
        <v>81</v>
      </c>
      <c r="X113" s="103">
        <f>IFERROR(MATCH(W113,'CostModel Coef'!$C$9:$C$12,0),0)</f>
        <v>1</v>
      </c>
      <c r="Y113" s="103"/>
      <c r="Z113" s="103">
        <f>IF($X113&gt;0,INDEX('CostModel Coef'!D$9:D$12,$X113),"")</f>
        <v>3.0430000000000001</v>
      </c>
      <c r="AA113" s="103">
        <f>IF($X113&gt;0,INDEX('CostModel Coef'!E$9:E$12,$X113),"")</f>
        <v>-0.14966150225589619</v>
      </c>
      <c r="AB113" s="103">
        <f>IF($X113&gt;0,INDEX('CostModel Coef'!F$9:F$12,$X113),"")</f>
        <v>0.52692151711335011</v>
      </c>
      <c r="AC113" s="103">
        <f>IF($X113&gt;0,INDEX('CostModel Coef'!G$9:G$12,$X113),"")</f>
        <v>1.8411</v>
      </c>
      <c r="AD113" s="103">
        <f>IF($X113&gt;0,INDEX('CostModel Coef'!H$9:H$12,$X113),"")</f>
        <v>-1.8050999999999999</v>
      </c>
      <c r="AE113" s="103">
        <f>IF($X113&gt;0,INDEX('CostModel Coef'!J$9:J$12,$X113),"")</f>
        <v>-1.1288</v>
      </c>
      <c r="AF113" s="103">
        <f>IF($X113&gt;0,INDEX('CostModel Coef'!K$9:K$12,$X113),"")</f>
        <v>-1.845</v>
      </c>
      <c r="AG113" s="103">
        <f>IF($X113&gt;0,INDEX('CostModel Coef'!L$9:L$12,$X113),"")</f>
        <v>6.7507000000000001</v>
      </c>
      <c r="AH113" s="103">
        <f>IF($X113&gt;0,INDEX('CostModel Coef'!M$9:M$12,$X113),"")</f>
        <v>5.8051000000000004</v>
      </c>
      <c r="AI113" s="103">
        <f>IF($X113&gt;0,INDEX('CostModel Coef'!N$9:N$12,$X113),"")</f>
        <v>6.1600000000000002E-2</v>
      </c>
      <c r="AJ113" s="103">
        <f>IF($X113&gt;0,INDEX('CostModel Coef'!Q$9:Q$12,$X113),"")</f>
        <v>6.6500000000000004E-2</v>
      </c>
      <c r="AK113" s="103">
        <f>IF($X113&gt;0,INDEX('CostModel Coef'!T$9:T$12,$X113),"")</f>
        <v>9.35E-2</v>
      </c>
      <c r="AL113" s="103"/>
      <c r="AM113" s="108">
        <f t="shared" si="27"/>
        <v>11.198492014857454</v>
      </c>
      <c r="AN113" s="108">
        <f t="shared" si="28"/>
        <v>13.043492014857454</v>
      </c>
      <c r="AO113" s="108">
        <f t="shared" si="29"/>
        <v>11.238392014857453</v>
      </c>
      <c r="AP113" s="108">
        <f t="shared" si="30"/>
        <v>11.238392014857453</v>
      </c>
      <c r="AQ113" s="108">
        <f t="shared" si="31"/>
        <v>10.109592014857455</v>
      </c>
      <c r="AR113" s="108"/>
      <c r="AS113" s="108"/>
      <c r="AT113" s="103">
        <f>IF($X113&gt;0,INDEX('CostModel Coef'!D$13:D$16,$X113),"")</f>
        <v>2.1320000000000001</v>
      </c>
      <c r="AU113" s="103">
        <f>IF($X113&gt;0,INDEX('CostModel Coef'!E$13:E$16,$X113),"")</f>
        <v>0.23699999999999999</v>
      </c>
      <c r="AV113" s="103">
        <f>IF($X113&gt;0,INDEX('CostModel Coef'!F$13:F$16,$X113),"")</f>
        <v>0.59899999999999998</v>
      </c>
      <c r="AW113" s="103">
        <f>IF($X113&gt;0,INDEX('CostModel Coef'!G$13:G$16,$X113),"")</f>
        <v>0</v>
      </c>
      <c r="AX113" s="103">
        <f>IF($X113&gt;0,INDEX('CostModel Coef'!H$13:H$16,$X113),"")</f>
        <v>-1.69</v>
      </c>
      <c r="AY113" s="103">
        <f>IF($X113&gt;0,INDEX('CostModel Coef'!I$13:I$16,$X113),"")</f>
        <v>-1.1599999999999999</v>
      </c>
      <c r="AZ113" s="103">
        <f>IF($X113&gt;0,INDEX('CostModel Coef'!J$13:J$16,$X113),"")</f>
        <v>0</v>
      </c>
      <c r="BA113" s="103">
        <f>IF($X113&gt;0,INDEX('CostModel Coef'!K$13:K$16,$X113),"")</f>
        <v>-2.4630000000000001</v>
      </c>
      <c r="BB113" s="103">
        <f>IF($X113&gt;0,INDEX('CostModel Coef'!L$13:L$16,$X113),"")</f>
        <v>0.46179999999999999</v>
      </c>
      <c r="BC113" s="103">
        <f>IF($X113&gt;0,INDEX('CostModel Coef'!M$13:M$16,$X113),"")</f>
        <v>0</v>
      </c>
      <c r="BD113" s="103">
        <f>IF($X113&gt;0,INDEX('CostModel Coef'!N$13:N$16,$X113),"")</f>
        <v>0.19869999999999999</v>
      </c>
      <c r="BE113" s="103">
        <f>IF($X113&gt;0,INDEX('CostModel Coef'!O$13:O$16,$X113),"")</f>
        <v>0.6</v>
      </c>
      <c r="BF113" s="103">
        <f>IF($X113&gt;0,INDEX('CostModel Coef'!P$13:P$16,$X113),"")</f>
        <v>15</v>
      </c>
      <c r="BG113" s="103">
        <f>IF($X113&gt;0,INDEX('CostModel Coef'!Q$13:Q$16,$X113),"")</f>
        <v>0</v>
      </c>
      <c r="BH113" s="103">
        <f>IF($X113&gt;0,INDEX('CostModel Coef'!R$13:R$16,$X113),"")</f>
        <v>3</v>
      </c>
      <c r="BI113" s="103">
        <f>IF($X113&gt;0,INDEX('CostModel Coef'!S$13:S$16,$X113),"")</f>
        <v>150</v>
      </c>
      <c r="BJ113" s="103">
        <f>IF($X113&gt;0,INDEX('CostModel Coef'!T$13:T$16,$X113),"")</f>
        <v>0</v>
      </c>
      <c r="BK113" s="103">
        <f>IF($X113&gt;0,INDEX('CostModel Coef'!U$13:U$16,$X113),"")</f>
        <v>9.1999999999999998E-3</v>
      </c>
      <c r="BL113" s="103">
        <f>IF($X113&gt;0,INDEX('CostModel Coef'!V$13:V$16,$X113),"")</f>
        <v>-8.8000000000000005E-3</v>
      </c>
      <c r="BM113" s="103">
        <f>IF($X113&gt;0,INDEX('CostModel Coef'!W$13:W$16,$X113),"")</f>
        <v>0</v>
      </c>
      <c r="BN113" s="103">
        <f>IF($X113&gt;0,INDEX('CostModel Coef'!X$13:X$16,$X113),"")</f>
        <v>0</v>
      </c>
      <c r="BO113" s="103"/>
      <c r="BP113" s="119">
        <v>2000</v>
      </c>
      <c r="BQ113" s="103"/>
      <c r="BR113" s="103"/>
      <c r="BS113" s="119" t="str">
        <f t="shared" si="34"/>
        <v>WRR0347_CFLscw-Dim(35w)</v>
      </c>
      <c r="BT113" s="174">
        <f t="shared" si="26"/>
        <v>121</v>
      </c>
      <c r="BU113" s="113">
        <f t="shared" si="36"/>
        <v>1.3348000000000004</v>
      </c>
      <c r="BV113" s="108">
        <f t="shared" si="37"/>
        <v>3.7978000000000005</v>
      </c>
      <c r="BW113" s="108">
        <f t="shared" si="38"/>
        <v>2.1078000000000006</v>
      </c>
      <c r="BX113" s="108">
        <f t="shared" si="39"/>
        <v>0.94780000000000064</v>
      </c>
      <c r="BY113" s="108">
        <f t="shared" si="40"/>
        <v>0.94780000000000064</v>
      </c>
      <c r="BZ113" s="108"/>
      <c r="CA113" s="119" t="str">
        <f t="shared" si="41"/>
        <v/>
      </c>
      <c r="CB113" s="180">
        <v>-1</v>
      </c>
      <c r="CC113" s="113" t="str">
        <f t="shared" si="42"/>
        <v/>
      </c>
      <c r="CD113" s="108" t="str">
        <f t="shared" si="43"/>
        <v/>
      </c>
      <c r="CE113" s="108" t="str">
        <f t="shared" si="44"/>
        <v/>
      </c>
      <c r="CF113" s="108" t="str">
        <f t="shared" si="45"/>
        <v/>
      </c>
      <c r="CG113" s="108" t="str">
        <f t="shared" si="46"/>
        <v/>
      </c>
      <c r="CH113" s="103"/>
      <c r="CI113" s="119" t="str">
        <f t="shared" si="35"/>
        <v>WRR0347_CFLscw-Dim(35w)</v>
      </c>
      <c r="CJ113" s="174">
        <f t="shared" si="33"/>
        <v>121</v>
      </c>
      <c r="CK113" s="113">
        <f t="shared" si="47"/>
        <v>1.3348000000000004</v>
      </c>
      <c r="CL113" s="108">
        <f t="shared" si="48"/>
        <v>3.7978000000000005</v>
      </c>
      <c r="CM113" s="108">
        <f t="shared" si="49"/>
        <v>2.1078000000000006</v>
      </c>
      <c r="CN113" s="108">
        <f t="shared" si="50"/>
        <v>0.94780000000000064</v>
      </c>
      <c r="CO113" s="108">
        <f t="shared" si="51"/>
        <v>0.94780000000000064</v>
      </c>
    </row>
    <row r="114" spans="1:93">
      <c r="A114" s="103" t="s">
        <v>380</v>
      </c>
      <c r="B114" s="103" t="s">
        <v>174</v>
      </c>
      <c r="C114" s="103" t="s">
        <v>153</v>
      </c>
      <c r="D114" s="250" t="s">
        <v>153</v>
      </c>
      <c r="E114" s="250"/>
      <c r="F114" s="182">
        <v>9020</v>
      </c>
      <c r="G114" s="250" t="s">
        <v>347</v>
      </c>
      <c r="H114" s="250">
        <v>38</v>
      </c>
      <c r="I114" s="250"/>
      <c r="J114" s="250"/>
      <c r="K114" s="250"/>
      <c r="L114" s="250" t="s">
        <v>61</v>
      </c>
      <c r="M114" s="250">
        <v>38</v>
      </c>
      <c r="N114" s="250"/>
      <c r="O114" s="250"/>
      <c r="P114" s="250" t="s">
        <v>153</v>
      </c>
      <c r="Q114" s="250"/>
      <c r="R114" s="250"/>
      <c r="S114" s="250"/>
      <c r="T114" s="250" t="s">
        <v>155</v>
      </c>
      <c r="U114" s="103" t="s">
        <v>381</v>
      </c>
      <c r="V114" s="106" t="s">
        <v>157</v>
      </c>
      <c r="W114" s="103" t="s">
        <v>81</v>
      </c>
      <c r="X114" s="103">
        <f>IFERROR(MATCH(W114,'CostModel Coef'!$C$9:$C$12,0),0)</f>
        <v>1</v>
      </c>
      <c r="Y114" s="103"/>
      <c r="Z114" s="103">
        <f>IF($X114&gt;0,INDEX('CostModel Coef'!D$9:D$12,$X114),"")</f>
        <v>3.0430000000000001</v>
      </c>
      <c r="AA114" s="103">
        <f>IF($X114&gt;0,INDEX('CostModel Coef'!E$9:E$12,$X114),"")</f>
        <v>-0.14966150225589619</v>
      </c>
      <c r="AB114" s="103">
        <f>IF($X114&gt;0,INDEX('CostModel Coef'!F$9:F$12,$X114),"")</f>
        <v>0.52692151711335011</v>
      </c>
      <c r="AC114" s="103">
        <f>IF($X114&gt;0,INDEX('CostModel Coef'!G$9:G$12,$X114),"")</f>
        <v>1.8411</v>
      </c>
      <c r="AD114" s="103">
        <f>IF($X114&gt;0,INDEX('CostModel Coef'!H$9:H$12,$X114),"")</f>
        <v>-1.8050999999999999</v>
      </c>
      <c r="AE114" s="103">
        <f>IF($X114&gt;0,INDEX('CostModel Coef'!J$9:J$12,$X114),"")</f>
        <v>-1.1288</v>
      </c>
      <c r="AF114" s="103">
        <f>IF($X114&gt;0,INDEX('CostModel Coef'!K$9:K$12,$X114),"")</f>
        <v>-1.845</v>
      </c>
      <c r="AG114" s="103">
        <f>IF($X114&gt;0,INDEX('CostModel Coef'!L$9:L$12,$X114),"")</f>
        <v>6.7507000000000001</v>
      </c>
      <c r="AH114" s="103">
        <f>IF($X114&gt;0,INDEX('CostModel Coef'!M$9:M$12,$X114),"")</f>
        <v>5.8051000000000004</v>
      </c>
      <c r="AI114" s="103">
        <f>IF($X114&gt;0,INDEX('CostModel Coef'!N$9:N$12,$X114),"")</f>
        <v>6.1600000000000002E-2</v>
      </c>
      <c r="AJ114" s="103">
        <f>IF($X114&gt;0,INDEX('CostModel Coef'!Q$9:Q$12,$X114),"")</f>
        <v>6.6500000000000004E-2</v>
      </c>
      <c r="AK114" s="103">
        <f>IF($X114&gt;0,INDEX('CostModel Coef'!T$9:T$12,$X114),"")</f>
        <v>9.35E-2</v>
      </c>
      <c r="AL114" s="103"/>
      <c r="AM114" s="108">
        <f t="shared" si="27"/>
        <v>11.678492014857454</v>
      </c>
      <c r="AN114" s="108">
        <f t="shared" si="28"/>
        <v>13.523492014857455</v>
      </c>
      <c r="AO114" s="108">
        <f t="shared" si="29"/>
        <v>11.718392014857454</v>
      </c>
      <c r="AP114" s="108">
        <f t="shared" si="30"/>
        <v>11.718392014857454</v>
      </c>
      <c r="AQ114" s="108">
        <f t="shared" si="31"/>
        <v>10.589592014857455</v>
      </c>
      <c r="AR114" s="108"/>
      <c r="AS114" s="108"/>
      <c r="AT114" s="103">
        <f>IF($X114&gt;0,INDEX('CostModel Coef'!D$13:D$16,$X114),"")</f>
        <v>2.1320000000000001</v>
      </c>
      <c r="AU114" s="103">
        <f>IF($X114&gt;0,INDEX('CostModel Coef'!E$13:E$16,$X114),"")</f>
        <v>0.23699999999999999</v>
      </c>
      <c r="AV114" s="103">
        <f>IF($X114&gt;0,INDEX('CostModel Coef'!F$13:F$16,$X114),"")</f>
        <v>0.59899999999999998</v>
      </c>
      <c r="AW114" s="103">
        <f>IF($X114&gt;0,INDEX('CostModel Coef'!G$13:G$16,$X114),"")</f>
        <v>0</v>
      </c>
      <c r="AX114" s="103">
        <f>IF($X114&gt;0,INDEX('CostModel Coef'!H$13:H$16,$X114),"")</f>
        <v>-1.69</v>
      </c>
      <c r="AY114" s="103">
        <f>IF($X114&gt;0,INDEX('CostModel Coef'!I$13:I$16,$X114),"")</f>
        <v>-1.1599999999999999</v>
      </c>
      <c r="AZ114" s="103">
        <f>IF($X114&gt;0,INDEX('CostModel Coef'!J$13:J$16,$X114),"")</f>
        <v>0</v>
      </c>
      <c r="BA114" s="103">
        <f>IF($X114&gt;0,INDEX('CostModel Coef'!K$13:K$16,$X114),"")</f>
        <v>-2.4630000000000001</v>
      </c>
      <c r="BB114" s="103">
        <f>IF($X114&gt;0,INDEX('CostModel Coef'!L$13:L$16,$X114),"")</f>
        <v>0.46179999999999999</v>
      </c>
      <c r="BC114" s="103">
        <f>IF($X114&gt;0,INDEX('CostModel Coef'!M$13:M$16,$X114),"")</f>
        <v>0</v>
      </c>
      <c r="BD114" s="103">
        <f>IF($X114&gt;0,INDEX('CostModel Coef'!N$13:N$16,$X114),"")</f>
        <v>0.19869999999999999</v>
      </c>
      <c r="BE114" s="103">
        <f>IF($X114&gt;0,INDEX('CostModel Coef'!O$13:O$16,$X114),"")</f>
        <v>0.6</v>
      </c>
      <c r="BF114" s="103">
        <f>IF($X114&gt;0,INDEX('CostModel Coef'!P$13:P$16,$X114),"")</f>
        <v>15</v>
      </c>
      <c r="BG114" s="103">
        <f>IF($X114&gt;0,INDEX('CostModel Coef'!Q$13:Q$16,$X114),"")</f>
        <v>0</v>
      </c>
      <c r="BH114" s="103">
        <f>IF($X114&gt;0,INDEX('CostModel Coef'!R$13:R$16,$X114),"")</f>
        <v>3</v>
      </c>
      <c r="BI114" s="103">
        <f>IF($X114&gt;0,INDEX('CostModel Coef'!S$13:S$16,$X114),"")</f>
        <v>150</v>
      </c>
      <c r="BJ114" s="103">
        <f>IF($X114&gt;0,INDEX('CostModel Coef'!T$13:T$16,$X114),"")</f>
        <v>0</v>
      </c>
      <c r="BK114" s="103">
        <f>IF($X114&gt;0,INDEX('CostModel Coef'!U$13:U$16,$X114),"")</f>
        <v>9.1999999999999998E-3</v>
      </c>
      <c r="BL114" s="103">
        <f>IF($X114&gt;0,INDEX('CostModel Coef'!V$13:V$16,$X114),"")</f>
        <v>-8.8000000000000005E-3</v>
      </c>
      <c r="BM114" s="103">
        <f>IF($X114&gt;0,INDEX('CostModel Coef'!W$13:W$16,$X114),"")</f>
        <v>0</v>
      </c>
      <c r="BN114" s="103">
        <f>IF($X114&gt;0,INDEX('CostModel Coef'!X$13:X$16,$X114),"")</f>
        <v>0</v>
      </c>
      <c r="BO114" s="103"/>
      <c r="BP114" s="119">
        <v>2000</v>
      </c>
      <c r="BQ114" s="103"/>
      <c r="BR114" s="103"/>
      <c r="BS114" s="119" t="str">
        <f t="shared" si="34"/>
        <v>WRR0347_CFLscw-Dim(38w)</v>
      </c>
      <c r="BT114" s="174">
        <f t="shared" si="26"/>
        <v>132</v>
      </c>
      <c r="BU114" s="113">
        <f t="shared" si="36"/>
        <v>1.3391999999999999</v>
      </c>
      <c r="BV114" s="108">
        <f t="shared" si="37"/>
        <v>3.8022</v>
      </c>
      <c r="BW114" s="108">
        <f t="shared" si="38"/>
        <v>2.1122000000000001</v>
      </c>
      <c r="BX114" s="108">
        <f t="shared" si="39"/>
        <v>0.95220000000000016</v>
      </c>
      <c r="BY114" s="108">
        <f t="shared" si="40"/>
        <v>0.95220000000000016</v>
      </c>
      <c r="BZ114" s="108"/>
      <c r="CA114" s="119" t="str">
        <f t="shared" si="41"/>
        <v/>
      </c>
      <c r="CB114" s="180">
        <v>-1</v>
      </c>
      <c r="CC114" s="113" t="str">
        <f t="shared" si="42"/>
        <v/>
      </c>
      <c r="CD114" s="108" t="str">
        <f t="shared" si="43"/>
        <v/>
      </c>
      <c r="CE114" s="108" t="str">
        <f t="shared" si="44"/>
        <v/>
      </c>
      <c r="CF114" s="108" t="str">
        <f t="shared" si="45"/>
        <v/>
      </c>
      <c r="CG114" s="108" t="str">
        <f t="shared" si="46"/>
        <v/>
      </c>
      <c r="CH114" s="103"/>
      <c r="CI114" s="119" t="str">
        <f t="shared" si="35"/>
        <v>WRR0347_CFLscw-Dim(38w)</v>
      </c>
      <c r="CJ114" s="174">
        <f t="shared" si="33"/>
        <v>132</v>
      </c>
      <c r="CK114" s="113">
        <f t="shared" si="47"/>
        <v>1.3391999999999999</v>
      </c>
      <c r="CL114" s="108">
        <f t="shared" si="48"/>
        <v>3.8022</v>
      </c>
      <c r="CM114" s="108">
        <f t="shared" si="49"/>
        <v>2.1122000000000001</v>
      </c>
      <c r="CN114" s="108">
        <f t="shared" si="50"/>
        <v>0.95220000000000016</v>
      </c>
      <c r="CO114" s="108">
        <f t="shared" si="51"/>
        <v>0.95220000000000016</v>
      </c>
    </row>
    <row r="115" spans="1:93">
      <c r="A115" s="103" t="s">
        <v>382</v>
      </c>
      <c r="B115" s="103" t="s">
        <v>174</v>
      </c>
      <c r="C115" s="103" t="s">
        <v>153</v>
      </c>
      <c r="D115" s="250" t="s">
        <v>153</v>
      </c>
      <c r="E115" s="250"/>
      <c r="F115" s="182">
        <v>9020</v>
      </c>
      <c r="G115" s="250" t="s">
        <v>347</v>
      </c>
      <c r="H115" s="250">
        <v>40</v>
      </c>
      <c r="I115" s="250"/>
      <c r="J115" s="250"/>
      <c r="K115" s="250"/>
      <c r="L115" s="250" t="s">
        <v>61</v>
      </c>
      <c r="M115" s="250">
        <v>40</v>
      </c>
      <c r="N115" s="250"/>
      <c r="O115" s="250"/>
      <c r="P115" s="250" t="s">
        <v>153</v>
      </c>
      <c r="Q115" s="250"/>
      <c r="R115" s="250"/>
      <c r="S115" s="250"/>
      <c r="T115" s="250" t="s">
        <v>155</v>
      </c>
      <c r="U115" s="103" t="s">
        <v>383</v>
      </c>
      <c r="V115" s="106" t="s">
        <v>157</v>
      </c>
      <c r="W115" s="103" t="s">
        <v>81</v>
      </c>
      <c r="X115" s="103">
        <f>IFERROR(MATCH(W115,'CostModel Coef'!$C$9:$C$12,0),0)</f>
        <v>1</v>
      </c>
      <c r="Y115" s="103"/>
      <c r="Z115" s="103">
        <f>IF($X115&gt;0,INDEX('CostModel Coef'!D$9:D$12,$X115),"")</f>
        <v>3.0430000000000001</v>
      </c>
      <c r="AA115" s="103">
        <f>IF($X115&gt;0,INDEX('CostModel Coef'!E$9:E$12,$X115),"")</f>
        <v>-0.14966150225589619</v>
      </c>
      <c r="AB115" s="103">
        <f>IF($X115&gt;0,INDEX('CostModel Coef'!F$9:F$12,$X115),"")</f>
        <v>0.52692151711335011</v>
      </c>
      <c r="AC115" s="103">
        <f>IF($X115&gt;0,INDEX('CostModel Coef'!G$9:G$12,$X115),"")</f>
        <v>1.8411</v>
      </c>
      <c r="AD115" s="103">
        <f>IF($X115&gt;0,INDEX('CostModel Coef'!H$9:H$12,$X115),"")</f>
        <v>-1.8050999999999999</v>
      </c>
      <c r="AE115" s="103">
        <f>IF($X115&gt;0,INDEX('CostModel Coef'!J$9:J$12,$X115),"")</f>
        <v>-1.1288</v>
      </c>
      <c r="AF115" s="103">
        <f>IF($X115&gt;0,INDEX('CostModel Coef'!K$9:K$12,$X115),"")</f>
        <v>-1.845</v>
      </c>
      <c r="AG115" s="103">
        <f>IF($X115&gt;0,INDEX('CostModel Coef'!L$9:L$12,$X115),"")</f>
        <v>6.7507000000000001</v>
      </c>
      <c r="AH115" s="103">
        <f>IF($X115&gt;0,INDEX('CostModel Coef'!M$9:M$12,$X115),"")</f>
        <v>5.8051000000000004</v>
      </c>
      <c r="AI115" s="103">
        <f>IF($X115&gt;0,INDEX('CostModel Coef'!N$9:N$12,$X115),"")</f>
        <v>6.1600000000000002E-2</v>
      </c>
      <c r="AJ115" s="103">
        <f>IF($X115&gt;0,INDEX('CostModel Coef'!Q$9:Q$12,$X115),"")</f>
        <v>6.6500000000000004E-2</v>
      </c>
      <c r="AK115" s="103">
        <f>IF($X115&gt;0,INDEX('CostModel Coef'!T$9:T$12,$X115),"")</f>
        <v>9.35E-2</v>
      </c>
      <c r="AL115" s="103"/>
      <c r="AM115" s="108">
        <f t="shared" si="27"/>
        <v>11.998492014857455</v>
      </c>
      <c r="AN115" s="108">
        <f t="shared" si="28"/>
        <v>13.843492014857453</v>
      </c>
      <c r="AO115" s="108">
        <f t="shared" si="29"/>
        <v>12.038392014857454</v>
      </c>
      <c r="AP115" s="108">
        <f t="shared" si="30"/>
        <v>12.038392014857454</v>
      </c>
      <c r="AQ115" s="108">
        <f t="shared" si="31"/>
        <v>10.909592014857454</v>
      </c>
      <c r="AR115" s="108"/>
      <c r="AS115" s="108"/>
      <c r="AT115" s="103">
        <f>IF($X115&gt;0,INDEX('CostModel Coef'!D$13:D$16,$X115),"")</f>
        <v>2.1320000000000001</v>
      </c>
      <c r="AU115" s="103">
        <f>IF($X115&gt;0,INDEX('CostModel Coef'!E$13:E$16,$X115),"")</f>
        <v>0.23699999999999999</v>
      </c>
      <c r="AV115" s="103">
        <f>IF($X115&gt;0,INDEX('CostModel Coef'!F$13:F$16,$X115),"")</f>
        <v>0.59899999999999998</v>
      </c>
      <c r="AW115" s="103">
        <f>IF($X115&gt;0,INDEX('CostModel Coef'!G$13:G$16,$X115),"")</f>
        <v>0</v>
      </c>
      <c r="AX115" s="103">
        <f>IF($X115&gt;0,INDEX('CostModel Coef'!H$13:H$16,$X115),"")</f>
        <v>-1.69</v>
      </c>
      <c r="AY115" s="103">
        <f>IF($X115&gt;0,INDEX('CostModel Coef'!I$13:I$16,$X115),"")</f>
        <v>-1.1599999999999999</v>
      </c>
      <c r="AZ115" s="103">
        <f>IF($X115&gt;0,INDEX('CostModel Coef'!J$13:J$16,$X115),"")</f>
        <v>0</v>
      </c>
      <c r="BA115" s="103">
        <f>IF($X115&gt;0,INDEX('CostModel Coef'!K$13:K$16,$X115),"")</f>
        <v>-2.4630000000000001</v>
      </c>
      <c r="BB115" s="103">
        <f>IF($X115&gt;0,INDEX('CostModel Coef'!L$13:L$16,$X115),"")</f>
        <v>0.46179999999999999</v>
      </c>
      <c r="BC115" s="103">
        <f>IF($X115&gt;0,INDEX('CostModel Coef'!M$13:M$16,$X115),"")</f>
        <v>0</v>
      </c>
      <c r="BD115" s="103">
        <f>IF($X115&gt;0,INDEX('CostModel Coef'!N$13:N$16,$X115),"")</f>
        <v>0.19869999999999999</v>
      </c>
      <c r="BE115" s="103">
        <f>IF($X115&gt;0,INDEX('CostModel Coef'!O$13:O$16,$X115),"")</f>
        <v>0.6</v>
      </c>
      <c r="BF115" s="103">
        <f>IF($X115&gt;0,INDEX('CostModel Coef'!P$13:P$16,$X115),"")</f>
        <v>15</v>
      </c>
      <c r="BG115" s="103">
        <f>IF($X115&gt;0,INDEX('CostModel Coef'!Q$13:Q$16,$X115),"")</f>
        <v>0</v>
      </c>
      <c r="BH115" s="103">
        <f>IF($X115&gt;0,INDEX('CostModel Coef'!R$13:R$16,$X115),"")</f>
        <v>3</v>
      </c>
      <c r="BI115" s="103">
        <f>IF($X115&gt;0,INDEX('CostModel Coef'!S$13:S$16,$X115),"")</f>
        <v>150</v>
      </c>
      <c r="BJ115" s="103">
        <f>IF($X115&gt;0,INDEX('CostModel Coef'!T$13:T$16,$X115),"")</f>
        <v>0</v>
      </c>
      <c r="BK115" s="103">
        <f>IF($X115&gt;0,INDEX('CostModel Coef'!U$13:U$16,$X115),"")</f>
        <v>9.1999999999999998E-3</v>
      </c>
      <c r="BL115" s="103">
        <f>IF($X115&gt;0,INDEX('CostModel Coef'!V$13:V$16,$X115),"")</f>
        <v>-8.8000000000000005E-3</v>
      </c>
      <c r="BM115" s="103">
        <f>IF($X115&gt;0,INDEX('CostModel Coef'!W$13:W$16,$X115),"")</f>
        <v>0</v>
      </c>
      <c r="BN115" s="103">
        <f>IF($X115&gt;0,INDEX('CostModel Coef'!X$13:X$16,$X115),"")</f>
        <v>0</v>
      </c>
      <c r="BO115" s="103"/>
      <c r="BP115" s="119">
        <v>2000</v>
      </c>
      <c r="BQ115" s="103"/>
      <c r="BR115" s="103"/>
      <c r="BS115" s="119" t="str">
        <f t="shared" si="34"/>
        <v>WRR0347_CFLscw-Dim(40w)</v>
      </c>
      <c r="BT115" s="174">
        <f t="shared" si="26"/>
        <v>139</v>
      </c>
      <c r="BU115" s="113">
        <f t="shared" si="36"/>
        <v>1.3419999999999996</v>
      </c>
      <c r="BV115" s="108">
        <f t="shared" si="37"/>
        <v>3.8049999999999997</v>
      </c>
      <c r="BW115" s="108">
        <f t="shared" si="38"/>
        <v>2.1149999999999998</v>
      </c>
      <c r="BX115" s="108">
        <f t="shared" si="39"/>
        <v>0.95499999999999985</v>
      </c>
      <c r="BY115" s="108">
        <f t="shared" si="40"/>
        <v>0.95499999999999985</v>
      </c>
      <c r="BZ115" s="108"/>
      <c r="CA115" s="119" t="str">
        <f t="shared" si="41"/>
        <v/>
      </c>
      <c r="CB115" s="180">
        <v>-1</v>
      </c>
      <c r="CC115" s="113" t="str">
        <f t="shared" si="42"/>
        <v/>
      </c>
      <c r="CD115" s="108" t="str">
        <f t="shared" si="43"/>
        <v/>
      </c>
      <c r="CE115" s="108" t="str">
        <f t="shared" si="44"/>
        <v/>
      </c>
      <c r="CF115" s="108" t="str">
        <f t="shared" si="45"/>
        <v/>
      </c>
      <c r="CG115" s="108" t="str">
        <f t="shared" si="46"/>
        <v/>
      </c>
      <c r="CH115" s="103"/>
      <c r="CI115" s="119" t="str">
        <f t="shared" si="35"/>
        <v>WRR0347_CFLscw-Dim(40w)</v>
      </c>
      <c r="CJ115" s="174">
        <f t="shared" si="33"/>
        <v>139</v>
      </c>
      <c r="CK115" s="113">
        <f t="shared" si="47"/>
        <v>1.3419999999999996</v>
      </c>
      <c r="CL115" s="108">
        <f t="shared" si="48"/>
        <v>3.8049999999999997</v>
      </c>
      <c r="CM115" s="108">
        <f t="shared" si="49"/>
        <v>2.1149999999999998</v>
      </c>
      <c r="CN115" s="108">
        <f t="shared" si="50"/>
        <v>0.95499999999999985</v>
      </c>
      <c r="CO115" s="108">
        <f t="shared" si="51"/>
        <v>0.95499999999999985</v>
      </c>
    </row>
    <row r="116" spans="1:93">
      <c r="A116" s="103" t="s">
        <v>384</v>
      </c>
      <c r="B116" s="103" t="s">
        <v>174</v>
      </c>
      <c r="C116" s="103" t="s">
        <v>153</v>
      </c>
      <c r="D116" s="250" t="s">
        <v>153</v>
      </c>
      <c r="E116" s="250"/>
      <c r="F116" s="182">
        <v>9020</v>
      </c>
      <c r="G116" s="250" t="s">
        <v>347</v>
      </c>
      <c r="H116" s="250">
        <v>45</v>
      </c>
      <c r="I116" s="250"/>
      <c r="J116" s="250"/>
      <c r="K116" s="250"/>
      <c r="L116" s="250" t="s">
        <v>61</v>
      </c>
      <c r="M116" s="250">
        <v>45</v>
      </c>
      <c r="N116" s="250"/>
      <c r="O116" s="250"/>
      <c r="P116" s="250" t="s">
        <v>153</v>
      </c>
      <c r="Q116" s="250"/>
      <c r="R116" s="250"/>
      <c r="S116" s="250"/>
      <c r="T116" s="250" t="s">
        <v>155</v>
      </c>
      <c r="U116" s="103" t="s">
        <v>385</v>
      </c>
      <c r="V116" s="106" t="s">
        <v>157</v>
      </c>
      <c r="W116" s="103" t="s">
        <v>81</v>
      </c>
      <c r="X116" s="103">
        <f>IFERROR(MATCH(W116,'CostModel Coef'!$C$9:$C$12,0),0)</f>
        <v>1</v>
      </c>
      <c r="Y116" s="103"/>
      <c r="Z116" s="103">
        <f>IF($X116&gt;0,INDEX('CostModel Coef'!D$9:D$12,$X116),"")</f>
        <v>3.0430000000000001</v>
      </c>
      <c r="AA116" s="103">
        <f>IF($X116&gt;0,INDEX('CostModel Coef'!E$9:E$12,$X116),"")</f>
        <v>-0.14966150225589619</v>
      </c>
      <c r="AB116" s="103">
        <f>IF($X116&gt;0,INDEX('CostModel Coef'!F$9:F$12,$X116),"")</f>
        <v>0.52692151711335011</v>
      </c>
      <c r="AC116" s="103">
        <f>IF($X116&gt;0,INDEX('CostModel Coef'!G$9:G$12,$X116),"")</f>
        <v>1.8411</v>
      </c>
      <c r="AD116" s="103">
        <f>IF($X116&gt;0,INDEX('CostModel Coef'!H$9:H$12,$X116),"")</f>
        <v>-1.8050999999999999</v>
      </c>
      <c r="AE116" s="103">
        <f>IF($X116&gt;0,INDEX('CostModel Coef'!J$9:J$12,$X116),"")</f>
        <v>-1.1288</v>
      </c>
      <c r="AF116" s="103">
        <f>IF($X116&gt;0,INDEX('CostModel Coef'!K$9:K$12,$X116),"")</f>
        <v>-1.845</v>
      </c>
      <c r="AG116" s="103">
        <f>IF($X116&gt;0,INDEX('CostModel Coef'!L$9:L$12,$X116),"")</f>
        <v>6.7507000000000001</v>
      </c>
      <c r="AH116" s="103">
        <f>IF($X116&gt;0,INDEX('CostModel Coef'!M$9:M$12,$X116),"")</f>
        <v>5.8051000000000004</v>
      </c>
      <c r="AI116" s="103">
        <f>IF($X116&gt;0,INDEX('CostModel Coef'!N$9:N$12,$X116),"")</f>
        <v>6.1600000000000002E-2</v>
      </c>
      <c r="AJ116" s="103">
        <f>IF($X116&gt;0,INDEX('CostModel Coef'!Q$9:Q$12,$X116),"")</f>
        <v>6.6500000000000004E-2</v>
      </c>
      <c r="AK116" s="103">
        <f>IF($X116&gt;0,INDEX('CostModel Coef'!T$9:T$12,$X116),"")</f>
        <v>9.35E-2</v>
      </c>
      <c r="AL116" s="103"/>
      <c r="AM116" s="108">
        <f t="shared" si="27"/>
        <v>12.798492014857453</v>
      </c>
      <c r="AN116" s="108">
        <f t="shared" si="28"/>
        <v>14.643492014857454</v>
      </c>
      <c r="AO116" s="108">
        <f t="shared" si="29"/>
        <v>12.838392014857453</v>
      </c>
      <c r="AP116" s="108">
        <f t="shared" si="30"/>
        <v>12.838392014857453</v>
      </c>
      <c r="AQ116" s="108">
        <f t="shared" si="31"/>
        <v>11.709592014857453</v>
      </c>
      <c r="AR116" s="108"/>
      <c r="AS116" s="108"/>
      <c r="AT116" s="103">
        <f>IF($X116&gt;0,INDEX('CostModel Coef'!D$13:D$16,$X116),"")</f>
        <v>2.1320000000000001</v>
      </c>
      <c r="AU116" s="103">
        <f>IF($X116&gt;0,INDEX('CostModel Coef'!E$13:E$16,$X116),"")</f>
        <v>0.23699999999999999</v>
      </c>
      <c r="AV116" s="103">
        <f>IF($X116&gt;0,INDEX('CostModel Coef'!F$13:F$16,$X116),"")</f>
        <v>0.59899999999999998</v>
      </c>
      <c r="AW116" s="103">
        <f>IF($X116&gt;0,INDEX('CostModel Coef'!G$13:G$16,$X116),"")</f>
        <v>0</v>
      </c>
      <c r="AX116" s="103">
        <f>IF($X116&gt;0,INDEX('CostModel Coef'!H$13:H$16,$X116),"")</f>
        <v>-1.69</v>
      </c>
      <c r="AY116" s="103">
        <f>IF($X116&gt;0,INDEX('CostModel Coef'!I$13:I$16,$X116),"")</f>
        <v>-1.1599999999999999</v>
      </c>
      <c r="AZ116" s="103">
        <f>IF($X116&gt;0,INDEX('CostModel Coef'!J$13:J$16,$X116),"")</f>
        <v>0</v>
      </c>
      <c r="BA116" s="103">
        <f>IF($X116&gt;0,INDEX('CostModel Coef'!K$13:K$16,$X116),"")</f>
        <v>-2.4630000000000001</v>
      </c>
      <c r="BB116" s="103">
        <f>IF($X116&gt;0,INDEX('CostModel Coef'!L$13:L$16,$X116),"")</f>
        <v>0.46179999999999999</v>
      </c>
      <c r="BC116" s="103">
        <f>IF($X116&gt;0,INDEX('CostModel Coef'!M$13:M$16,$X116),"")</f>
        <v>0</v>
      </c>
      <c r="BD116" s="103">
        <f>IF($X116&gt;0,INDEX('CostModel Coef'!N$13:N$16,$X116),"")</f>
        <v>0.19869999999999999</v>
      </c>
      <c r="BE116" s="103">
        <f>IF($X116&gt;0,INDEX('CostModel Coef'!O$13:O$16,$X116),"")</f>
        <v>0.6</v>
      </c>
      <c r="BF116" s="103">
        <f>IF($X116&gt;0,INDEX('CostModel Coef'!P$13:P$16,$X116),"")</f>
        <v>15</v>
      </c>
      <c r="BG116" s="103">
        <f>IF($X116&gt;0,INDEX('CostModel Coef'!Q$13:Q$16,$X116),"")</f>
        <v>0</v>
      </c>
      <c r="BH116" s="103">
        <f>IF($X116&gt;0,INDEX('CostModel Coef'!R$13:R$16,$X116),"")</f>
        <v>3</v>
      </c>
      <c r="BI116" s="103">
        <f>IF($X116&gt;0,INDEX('CostModel Coef'!S$13:S$16,$X116),"")</f>
        <v>150</v>
      </c>
      <c r="BJ116" s="103">
        <f>IF($X116&gt;0,INDEX('CostModel Coef'!T$13:T$16,$X116),"")</f>
        <v>0</v>
      </c>
      <c r="BK116" s="103">
        <f>IF($X116&gt;0,INDEX('CostModel Coef'!U$13:U$16,$X116),"")</f>
        <v>9.1999999999999998E-3</v>
      </c>
      <c r="BL116" s="103">
        <f>IF($X116&gt;0,INDEX('CostModel Coef'!V$13:V$16,$X116),"")</f>
        <v>-8.8000000000000005E-3</v>
      </c>
      <c r="BM116" s="103">
        <f>IF($X116&gt;0,INDEX('CostModel Coef'!W$13:W$16,$X116),"")</f>
        <v>0</v>
      </c>
      <c r="BN116" s="103">
        <f>IF($X116&gt;0,INDEX('CostModel Coef'!X$13:X$16,$X116),"")</f>
        <v>0</v>
      </c>
      <c r="BO116" s="103"/>
      <c r="BP116" s="119">
        <v>2000</v>
      </c>
      <c r="BQ116" s="103"/>
      <c r="BR116" s="103"/>
      <c r="BS116" s="119" t="str">
        <f t="shared" si="34"/>
        <v>WRR0347_CFLscw-Dim(45w)</v>
      </c>
      <c r="BT116" s="174">
        <f t="shared" si="26"/>
        <v>156</v>
      </c>
      <c r="BU116" s="113" t="str">
        <f t="shared" si="36"/>
        <v>OOS</v>
      </c>
      <c r="BV116" s="108" t="str">
        <f t="shared" si="37"/>
        <v>OOS</v>
      </c>
      <c r="BW116" s="108" t="str">
        <f t="shared" si="38"/>
        <v>OOS</v>
      </c>
      <c r="BX116" s="108" t="str">
        <f t="shared" si="39"/>
        <v>OOS</v>
      </c>
      <c r="BY116" s="108" t="str">
        <f t="shared" si="40"/>
        <v>OOS</v>
      </c>
      <c r="BZ116" s="108"/>
      <c r="CA116" s="119" t="str">
        <f t="shared" si="41"/>
        <v/>
      </c>
      <c r="CB116" s="180">
        <v>-1</v>
      </c>
      <c r="CC116" s="113" t="str">
        <f t="shared" si="42"/>
        <v/>
      </c>
      <c r="CD116" s="108" t="str">
        <f t="shared" si="43"/>
        <v/>
      </c>
      <c r="CE116" s="108" t="str">
        <f t="shared" si="44"/>
        <v/>
      </c>
      <c r="CF116" s="108" t="str">
        <f t="shared" si="45"/>
        <v/>
      </c>
      <c r="CG116" s="108" t="str">
        <f t="shared" si="46"/>
        <v/>
      </c>
      <c r="CH116" s="103"/>
      <c r="CI116" s="119" t="str">
        <f t="shared" si="35"/>
        <v>WRR0347_CFLscw-Dim(45w)</v>
      </c>
      <c r="CJ116" s="174">
        <f t="shared" si="33"/>
        <v>156</v>
      </c>
      <c r="CK116" s="113" t="str">
        <f t="shared" si="47"/>
        <v/>
      </c>
      <c r="CL116" s="108" t="str">
        <f t="shared" si="48"/>
        <v/>
      </c>
      <c r="CM116" s="108" t="str">
        <f t="shared" si="49"/>
        <v/>
      </c>
      <c r="CN116" s="108" t="str">
        <f t="shared" si="50"/>
        <v/>
      </c>
      <c r="CO116" s="108" t="str">
        <f t="shared" si="51"/>
        <v/>
      </c>
    </row>
    <row r="117" spans="1:93">
      <c r="A117" s="103" t="s">
        <v>386</v>
      </c>
      <c r="B117" s="103" t="s">
        <v>174</v>
      </c>
      <c r="C117" s="103" t="s">
        <v>153</v>
      </c>
      <c r="D117" s="250" t="s">
        <v>153</v>
      </c>
      <c r="E117" s="250"/>
      <c r="F117" s="182">
        <v>9020</v>
      </c>
      <c r="G117" s="250" t="s">
        <v>347</v>
      </c>
      <c r="H117" s="250">
        <v>47</v>
      </c>
      <c r="I117" s="250"/>
      <c r="J117" s="250"/>
      <c r="K117" s="250"/>
      <c r="L117" s="250" t="s">
        <v>61</v>
      </c>
      <c r="M117" s="250">
        <v>47</v>
      </c>
      <c r="N117" s="250"/>
      <c r="O117" s="250"/>
      <c r="P117" s="250" t="s">
        <v>153</v>
      </c>
      <c r="Q117" s="250"/>
      <c r="R117" s="250"/>
      <c r="S117" s="250"/>
      <c r="T117" s="250" t="s">
        <v>155</v>
      </c>
      <c r="U117" s="103" t="s">
        <v>387</v>
      </c>
      <c r="V117" s="106" t="s">
        <v>157</v>
      </c>
      <c r="W117" s="103" t="s">
        <v>81</v>
      </c>
      <c r="X117" s="103">
        <f>IFERROR(MATCH(W117,'CostModel Coef'!$C$9:$C$12,0),0)</f>
        <v>1</v>
      </c>
      <c r="Y117" s="103"/>
      <c r="Z117" s="103">
        <f>IF($X117&gt;0,INDEX('CostModel Coef'!D$9:D$12,$X117),"")</f>
        <v>3.0430000000000001</v>
      </c>
      <c r="AA117" s="103">
        <f>IF($X117&gt;0,INDEX('CostModel Coef'!E$9:E$12,$X117),"")</f>
        <v>-0.14966150225589619</v>
      </c>
      <c r="AB117" s="103">
        <f>IF($X117&gt;0,INDEX('CostModel Coef'!F$9:F$12,$X117),"")</f>
        <v>0.52692151711335011</v>
      </c>
      <c r="AC117" s="103">
        <f>IF($X117&gt;0,INDEX('CostModel Coef'!G$9:G$12,$X117),"")</f>
        <v>1.8411</v>
      </c>
      <c r="AD117" s="103">
        <f>IF($X117&gt;0,INDEX('CostModel Coef'!H$9:H$12,$X117),"")</f>
        <v>-1.8050999999999999</v>
      </c>
      <c r="AE117" s="103">
        <f>IF($X117&gt;0,INDEX('CostModel Coef'!J$9:J$12,$X117),"")</f>
        <v>-1.1288</v>
      </c>
      <c r="AF117" s="103">
        <f>IF($X117&gt;0,INDEX('CostModel Coef'!K$9:K$12,$X117),"")</f>
        <v>-1.845</v>
      </c>
      <c r="AG117" s="103">
        <f>IF($X117&gt;0,INDEX('CostModel Coef'!L$9:L$12,$X117),"")</f>
        <v>6.7507000000000001</v>
      </c>
      <c r="AH117" s="103">
        <f>IF($X117&gt;0,INDEX('CostModel Coef'!M$9:M$12,$X117),"")</f>
        <v>5.8051000000000004</v>
      </c>
      <c r="AI117" s="103">
        <f>IF($X117&gt;0,INDEX('CostModel Coef'!N$9:N$12,$X117),"")</f>
        <v>6.1600000000000002E-2</v>
      </c>
      <c r="AJ117" s="103">
        <f>IF($X117&gt;0,INDEX('CostModel Coef'!Q$9:Q$12,$X117),"")</f>
        <v>6.6500000000000004E-2</v>
      </c>
      <c r="AK117" s="103">
        <f>IF($X117&gt;0,INDEX('CostModel Coef'!T$9:T$12,$X117),"")</f>
        <v>9.35E-2</v>
      </c>
      <c r="AL117" s="103"/>
      <c r="AM117" s="108">
        <f t="shared" si="27"/>
        <v>13.118492014857454</v>
      </c>
      <c r="AN117" s="108">
        <f t="shared" si="28"/>
        <v>14.963492014857454</v>
      </c>
      <c r="AO117" s="108">
        <f t="shared" si="29"/>
        <v>13.158392014857455</v>
      </c>
      <c r="AP117" s="108">
        <f t="shared" si="30"/>
        <v>13.158392014857455</v>
      </c>
      <c r="AQ117" s="108">
        <f t="shared" si="31"/>
        <v>12.029592014857453</v>
      </c>
      <c r="AR117" s="108"/>
      <c r="AS117" s="108"/>
      <c r="AT117" s="103">
        <f>IF($X117&gt;0,INDEX('CostModel Coef'!D$13:D$16,$X117),"")</f>
        <v>2.1320000000000001</v>
      </c>
      <c r="AU117" s="103">
        <f>IF($X117&gt;0,INDEX('CostModel Coef'!E$13:E$16,$X117),"")</f>
        <v>0.23699999999999999</v>
      </c>
      <c r="AV117" s="103">
        <f>IF($X117&gt;0,INDEX('CostModel Coef'!F$13:F$16,$X117),"")</f>
        <v>0.59899999999999998</v>
      </c>
      <c r="AW117" s="103">
        <f>IF($X117&gt;0,INDEX('CostModel Coef'!G$13:G$16,$X117),"")</f>
        <v>0</v>
      </c>
      <c r="AX117" s="103">
        <f>IF($X117&gt;0,INDEX('CostModel Coef'!H$13:H$16,$X117),"")</f>
        <v>-1.69</v>
      </c>
      <c r="AY117" s="103">
        <f>IF($X117&gt;0,INDEX('CostModel Coef'!I$13:I$16,$X117),"")</f>
        <v>-1.1599999999999999</v>
      </c>
      <c r="AZ117" s="103">
        <f>IF($X117&gt;0,INDEX('CostModel Coef'!J$13:J$16,$X117),"")</f>
        <v>0</v>
      </c>
      <c r="BA117" s="103">
        <f>IF($X117&gt;0,INDEX('CostModel Coef'!K$13:K$16,$X117),"")</f>
        <v>-2.4630000000000001</v>
      </c>
      <c r="BB117" s="103">
        <f>IF($X117&gt;0,INDEX('CostModel Coef'!L$13:L$16,$X117),"")</f>
        <v>0.46179999999999999</v>
      </c>
      <c r="BC117" s="103">
        <f>IF($X117&gt;0,INDEX('CostModel Coef'!M$13:M$16,$X117),"")</f>
        <v>0</v>
      </c>
      <c r="BD117" s="103">
        <f>IF($X117&gt;0,INDEX('CostModel Coef'!N$13:N$16,$X117),"")</f>
        <v>0.19869999999999999</v>
      </c>
      <c r="BE117" s="103">
        <f>IF($X117&gt;0,INDEX('CostModel Coef'!O$13:O$16,$X117),"")</f>
        <v>0.6</v>
      </c>
      <c r="BF117" s="103">
        <f>IF($X117&gt;0,INDEX('CostModel Coef'!P$13:P$16,$X117),"")</f>
        <v>15</v>
      </c>
      <c r="BG117" s="103">
        <f>IF($X117&gt;0,INDEX('CostModel Coef'!Q$13:Q$16,$X117),"")</f>
        <v>0</v>
      </c>
      <c r="BH117" s="103">
        <f>IF($X117&gt;0,INDEX('CostModel Coef'!R$13:R$16,$X117),"")</f>
        <v>3</v>
      </c>
      <c r="BI117" s="103">
        <f>IF($X117&gt;0,INDEX('CostModel Coef'!S$13:S$16,$X117),"")</f>
        <v>150</v>
      </c>
      <c r="BJ117" s="103">
        <f>IF($X117&gt;0,INDEX('CostModel Coef'!T$13:T$16,$X117),"")</f>
        <v>0</v>
      </c>
      <c r="BK117" s="103">
        <f>IF($X117&gt;0,INDEX('CostModel Coef'!U$13:U$16,$X117),"")</f>
        <v>9.1999999999999998E-3</v>
      </c>
      <c r="BL117" s="103">
        <f>IF($X117&gt;0,INDEX('CostModel Coef'!V$13:V$16,$X117),"")</f>
        <v>-8.8000000000000005E-3</v>
      </c>
      <c r="BM117" s="103">
        <f>IF($X117&gt;0,INDEX('CostModel Coef'!W$13:W$16,$X117),"")</f>
        <v>0</v>
      </c>
      <c r="BN117" s="103">
        <f>IF($X117&gt;0,INDEX('CostModel Coef'!X$13:X$16,$X117),"")</f>
        <v>0</v>
      </c>
      <c r="BO117" s="103"/>
      <c r="BP117" s="119">
        <v>2000</v>
      </c>
      <c r="BQ117" s="103"/>
      <c r="BR117" s="103"/>
      <c r="BS117" s="119" t="str">
        <f t="shared" si="34"/>
        <v>WRR0347_CFLscw-Dim(47w)</v>
      </c>
      <c r="BT117" s="174">
        <f t="shared" si="26"/>
        <v>163</v>
      </c>
      <c r="BU117" s="113" t="str">
        <f t="shared" si="36"/>
        <v>OOS</v>
      </c>
      <c r="BV117" s="108" t="str">
        <f t="shared" si="37"/>
        <v>OOS</v>
      </c>
      <c r="BW117" s="108" t="str">
        <f t="shared" si="38"/>
        <v>OOS</v>
      </c>
      <c r="BX117" s="108" t="str">
        <f t="shared" si="39"/>
        <v>OOS</v>
      </c>
      <c r="BY117" s="108" t="str">
        <f t="shared" si="40"/>
        <v>OOS</v>
      </c>
      <c r="BZ117" s="108"/>
      <c r="CA117" s="119" t="str">
        <f t="shared" si="41"/>
        <v/>
      </c>
      <c r="CB117" s="180">
        <v>-1</v>
      </c>
      <c r="CC117" s="113" t="str">
        <f t="shared" si="42"/>
        <v/>
      </c>
      <c r="CD117" s="108" t="str">
        <f t="shared" si="43"/>
        <v/>
      </c>
      <c r="CE117" s="108" t="str">
        <f t="shared" si="44"/>
        <v/>
      </c>
      <c r="CF117" s="108" t="str">
        <f t="shared" si="45"/>
        <v/>
      </c>
      <c r="CG117" s="108" t="str">
        <f t="shared" si="46"/>
        <v/>
      </c>
      <c r="CH117" s="103"/>
      <c r="CI117" s="119" t="str">
        <f t="shared" si="35"/>
        <v>WRR0347_CFLscw-Dim(47w)</v>
      </c>
      <c r="CJ117" s="174">
        <f t="shared" si="33"/>
        <v>163</v>
      </c>
      <c r="CK117" s="113" t="str">
        <f t="shared" si="47"/>
        <v/>
      </c>
      <c r="CL117" s="108" t="str">
        <f t="shared" si="48"/>
        <v/>
      </c>
      <c r="CM117" s="108" t="str">
        <f t="shared" si="49"/>
        <v/>
      </c>
      <c r="CN117" s="108" t="str">
        <f t="shared" si="50"/>
        <v/>
      </c>
      <c r="CO117" s="108" t="str">
        <f t="shared" si="51"/>
        <v/>
      </c>
    </row>
    <row r="118" spans="1:93">
      <c r="A118" s="103" t="s">
        <v>388</v>
      </c>
      <c r="B118" s="103" t="s">
        <v>174</v>
      </c>
      <c r="C118" s="103" t="s">
        <v>153</v>
      </c>
      <c r="D118" s="250" t="s">
        <v>153</v>
      </c>
      <c r="E118" s="250"/>
      <c r="F118" s="182">
        <v>9020</v>
      </c>
      <c r="G118" s="250" t="s">
        <v>347</v>
      </c>
      <c r="H118" s="250">
        <v>50</v>
      </c>
      <c r="I118" s="250"/>
      <c r="J118" s="250"/>
      <c r="K118" s="250"/>
      <c r="L118" s="250" t="s">
        <v>61</v>
      </c>
      <c r="M118" s="250">
        <v>50</v>
      </c>
      <c r="N118" s="250"/>
      <c r="O118" s="250"/>
      <c r="P118" s="250" t="s">
        <v>153</v>
      </c>
      <c r="Q118" s="250"/>
      <c r="R118" s="250"/>
      <c r="S118" s="250"/>
      <c r="T118" s="250" t="s">
        <v>155</v>
      </c>
      <c r="U118" s="103" t="s">
        <v>389</v>
      </c>
      <c r="V118" s="106" t="s">
        <v>157</v>
      </c>
      <c r="W118" s="103" t="s">
        <v>81</v>
      </c>
      <c r="X118" s="103">
        <f>IFERROR(MATCH(W118,'CostModel Coef'!$C$9:$C$12,0),0)</f>
        <v>1</v>
      </c>
      <c r="Y118" s="103"/>
      <c r="Z118" s="103">
        <f>IF($X118&gt;0,INDEX('CostModel Coef'!D$9:D$12,$X118),"")</f>
        <v>3.0430000000000001</v>
      </c>
      <c r="AA118" s="103">
        <f>IF($X118&gt;0,INDEX('CostModel Coef'!E$9:E$12,$X118),"")</f>
        <v>-0.14966150225589619</v>
      </c>
      <c r="AB118" s="103">
        <f>IF($X118&gt;0,INDEX('CostModel Coef'!F$9:F$12,$X118),"")</f>
        <v>0.52692151711335011</v>
      </c>
      <c r="AC118" s="103">
        <f>IF($X118&gt;0,INDEX('CostModel Coef'!G$9:G$12,$X118),"")</f>
        <v>1.8411</v>
      </c>
      <c r="AD118" s="103">
        <f>IF($X118&gt;0,INDEX('CostModel Coef'!H$9:H$12,$X118),"")</f>
        <v>-1.8050999999999999</v>
      </c>
      <c r="AE118" s="103">
        <f>IF($X118&gt;0,INDEX('CostModel Coef'!J$9:J$12,$X118),"")</f>
        <v>-1.1288</v>
      </c>
      <c r="AF118" s="103">
        <f>IF($X118&gt;0,INDEX('CostModel Coef'!K$9:K$12,$X118),"")</f>
        <v>-1.845</v>
      </c>
      <c r="AG118" s="103">
        <f>IF($X118&gt;0,INDEX('CostModel Coef'!L$9:L$12,$X118),"")</f>
        <v>6.7507000000000001</v>
      </c>
      <c r="AH118" s="103">
        <f>IF($X118&gt;0,INDEX('CostModel Coef'!M$9:M$12,$X118),"")</f>
        <v>5.8051000000000004</v>
      </c>
      <c r="AI118" s="103">
        <f>IF($X118&gt;0,INDEX('CostModel Coef'!N$9:N$12,$X118),"")</f>
        <v>6.1600000000000002E-2</v>
      </c>
      <c r="AJ118" s="103">
        <f>IF($X118&gt;0,INDEX('CostModel Coef'!Q$9:Q$12,$X118),"")</f>
        <v>6.6500000000000004E-2</v>
      </c>
      <c r="AK118" s="103">
        <f>IF($X118&gt;0,INDEX('CostModel Coef'!T$9:T$12,$X118),"")</f>
        <v>9.35E-2</v>
      </c>
      <c r="AL118" s="103"/>
      <c r="AM118" s="108">
        <f t="shared" si="27"/>
        <v>13.598492014857452</v>
      </c>
      <c r="AN118" s="108">
        <f t="shared" si="28"/>
        <v>15.443492014857453</v>
      </c>
      <c r="AO118" s="108">
        <f t="shared" si="29"/>
        <v>13.638392014857452</v>
      </c>
      <c r="AP118" s="108">
        <f t="shared" si="30"/>
        <v>13.638392014857452</v>
      </c>
      <c r="AQ118" s="108">
        <f t="shared" si="31"/>
        <v>12.509592014857454</v>
      </c>
      <c r="AR118" s="108"/>
      <c r="AS118" s="108"/>
      <c r="AT118" s="103">
        <f>IF($X118&gt;0,INDEX('CostModel Coef'!D$13:D$16,$X118),"")</f>
        <v>2.1320000000000001</v>
      </c>
      <c r="AU118" s="103">
        <f>IF($X118&gt;0,INDEX('CostModel Coef'!E$13:E$16,$X118),"")</f>
        <v>0.23699999999999999</v>
      </c>
      <c r="AV118" s="103">
        <f>IF($X118&gt;0,INDEX('CostModel Coef'!F$13:F$16,$X118),"")</f>
        <v>0.59899999999999998</v>
      </c>
      <c r="AW118" s="103">
        <f>IF($X118&gt;0,INDEX('CostModel Coef'!G$13:G$16,$X118),"")</f>
        <v>0</v>
      </c>
      <c r="AX118" s="103">
        <f>IF($X118&gt;0,INDEX('CostModel Coef'!H$13:H$16,$X118),"")</f>
        <v>-1.69</v>
      </c>
      <c r="AY118" s="103">
        <f>IF($X118&gt;0,INDEX('CostModel Coef'!I$13:I$16,$X118),"")</f>
        <v>-1.1599999999999999</v>
      </c>
      <c r="AZ118" s="103">
        <f>IF($X118&gt;0,INDEX('CostModel Coef'!J$13:J$16,$X118),"")</f>
        <v>0</v>
      </c>
      <c r="BA118" s="103">
        <f>IF($X118&gt;0,INDEX('CostModel Coef'!K$13:K$16,$X118),"")</f>
        <v>-2.4630000000000001</v>
      </c>
      <c r="BB118" s="103">
        <f>IF($X118&gt;0,INDEX('CostModel Coef'!L$13:L$16,$X118),"")</f>
        <v>0.46179999999999999</v>
      </c>
      <c r="BC118" s="103">
        <f>IF($X118&gt;0,INDEX('CostModel Coef'!M$13:M$16,$X118),"")</f>
        <v>0</v>
      </c>
      <c r="BD118" s="103">
        <f>IF($X118&gt;0,INDEX('CostModel Coef'!N$13:N$16,$X118),"")</f>
        <v>0.19869999999999999</v>
      </c>
      <c r="BE118" s="103">
        <f>IF($X118&gt;0,INDEX('CostModel Coef'!O$13:O$16,$X118),"")</f>
        <v>0.6</v>
      </c>
      <c r="BF118" s="103">
        <f>IF($X118&gt;0,INDEX('CostModel Coef'!P$13:P$16,$X118),"")</f>
        <v>15</v>
      </c>
      <c r="BG118" s="103">
        <f>IF($X118&gt;0,INDEX('CostModel Coef'!Q$13:Q$16,$X118),"")</f>
        <v>0</v>
      </c>
      <c r="BH118" s="103">
        <f>IF($X118&gt;0,INDEX('CostModel Coef'!R$13:R$16,$X118),"")</f>
        <v>3</v>
      </c>
      <c r="BI118" s="103">
        <f>IF($X118&gt;0,INDEX('CostModel Coef'!S$13:S$16,$X118),"")</f>
        <v>150</v>
      </c>
      <c r="BJ118" s="103">
        <f>IF($X118&gt;0,INDEX('CostModel Coef'!T$13:T$16,$X118),"")</f>
        <v>0</v>
      </c>
      <c r="BK118" s="103">
        <f>IF($X118&gt;0,INDEX('CostModel Coef'!U$13:U$16,$X118),"")</f>
        <v>9.1999999999999998E-3</v>
      </c>
      <c r="BL118" s="103">
        <f>IF($X118&gt;0,INDEX('CostModel Coef'!V$13:V$16,$X118),"")</f>
        <v>-8.8000000000000005E-3</v>
      </c>
      <c r="BM118" s="103">
        <f>IF($X118&gt;0,INDEX('CostModel Coef'!W$13:W$16,$X118),"")</f>
        <v>0</v>
      </c>
      <c r="BN118" s="103">
        <f>IF($X118&gt;0,INDEX('CostModel Coef'!X$13:X$16,$X118),"")</f>
        <v>0</v>
      </c>
      <c r="BO118" s="103"/>
      <c r="BP118" s="119">
        <v>2000</v>
      </c>
      <c r="BQ118" s="103"/>
      <c r="BR118" s="103"/>
      <c r="BS118" s="119" t="str">
        <f t="shared" si="34"/>
        <v>WRR0347_CFLscw-Dim(50w)</v>
      </c>
      <c r="BT118" s="174">
        <f t="shared" si="26"/>
        <v>174</v>
      </c>
      <c r="BU118" s="113" t="str">
        <f t="shared" si="36"/>
        <v>OOS</v>
      </c>
      <c r="BV118" s="108" t="str">
        <f t="shared" si="37"/>
        <v>OOS</v>
      </c>
      <c r="BW118" s="108" t="str">
        <f t="shared" si="38"/>
        <v>OOS</v>
      </c>
      <c r="BX118" s="108" t="str">
        <f t="shared" si="39"/>
        <v>OOS</v>
      </c>
      <c r="BY118" s="108" t="str">
        <f t="shared" si="40"/>
        <v>OOS</v>
      </c>
      <c r="BZ118" s="108"/>
      <c r="CA118" s="119" t="str">
        <f t="shared" si="41"/>
        <v/>
      </c>
      <c r="CB118" s="180">
        <v>-1</v>
      </c>
      <c r="CC118" s="113" t="str">
        <f t="shared" si="42"/>
        <v/>
      </c>
      <c r="CD118" s="108" t="str">
        <f t="shared" si="43"/>
        <v/>
      </c>
      <c r="CE118" s="108" t="str">
        <f t="shared" si="44"/>
        <v/>
      </c>
      <c r="CF118" s="108" t="str">
        <f t="shared" si="45"/>
        <v/>
      </c>
      <c r="CG118" s="108" t="str">
        <f t="shared" si="46"/>
        <v/>
      </c>
      <c r="CH118" s="103"/>
      <c r="CI118" s="119" t="str">
        <f t="shared" si="35"/>
        <v>WRR0347_CFLscw-Dim(50w)</v>
      </c>
      <c r="CJ118" s="174">
        <f t="shared" si="33"/>
        <v>174</v>
      </c>
      <c r="CK118" s="113" t="str">
        <f t="shared" si="47"/>
        <v/>
      </c>
      <c r="CL118" s="108" t="str">
        <f t="shared" si="48"/>
        <v/>
      </c>
      <c r="CM118" s="108" t="str">
        <f t="shared" si="49"/>
        <v/>
      </c>
      <c r="CN118" s="108" t="str">
        <f t="shared" si="50"/>
        <v/>
      </c>
      <c r="CO118" s="108" t="str">
        <f t="shared" si="51"/>
        <v/>
      </c>
    </row>
    <row r="119" spans="1:93">
      <c r="A119" s="103" t="s">
        <v>390</v>
      </c>
      <c r="B119" s="103" t="s">
        <v>174</v>
      </c>
      <c r="C119" s="103" t="s">
        <v>153</v>
      </c>
      <c r="D119" s="250" t="s">
        <v>153</v>
      </c>
      <c r="E119" s="250"/>
      <c r="F119" s="182">
        <v>9020</v>
      </c>
      <c r="G119" s="250" t="s">
        <v>347</v>
      </c>
      <c r="H119" s="250">
        <v>57</v>
      </c>
      <c r="I119" s="250"/>
      <c r="J119" s="250"/>
      <c r="K119" s="250"/>
      <c r="L119" s="250" t="s">
        <v>61</v>
      </c>
      <c r="M119" s="250">
        <v>57</v>
      </c>
      <c r="N119" s="250"/>
      <c r="O119" s="250"/>
      <c r="P119" s="250" t="s">
        <v>153</v>
      </c>
      <c r="Q119" s="250"/>
      <c r="R119" s="250"/>
      <c r="S119" s="250"/>
      <c r="T119" s="250" t="s">
        <v>155</v>
      </c>
      <c r="U119" s="103" t="s">
        <v>391</v>
      </c>
      <c r="V119" s="106" t="s">
        <v>157</v>
      </c>
      <c r="W119" s="103" t="s">
        <v>158</v>
      </c>
      <c r="X119" s="103">
        <f>IFERROR(MATCH(W119,'CostModel Coef'!$C$9:$C$12,0),0)</f>
        <v>0</v>
      </c>
      <c r="Y119" s="103"/>
      <c r="Z119" s="103" t="str">
        <f>IF($X119&gt;0,INDEX('CostModel Coef'!D$9:D$12,$X119),"")</f>
        <v/>
      </c>
      <c r="AA119" s="103" t="str">
        <f>IF($X119&gt;0,INDEX('CostModel Coef'!E$9:E$12,$X119),"")</f>
        <v/>
      </c>
      <c r="AB119" s="103" t="str">
        <f>IF($X119&gt;0,INDEX('CostModel Coef'!F$9:F$12,$X119),"")</f>
        <v/>
      </c>
      <c r="AC119" s="103" t="str">
        <f>IF($X119&gt;0,INDEX('CostModel Coef'!G$9:G$12,$X119),"")</f>
        <v/>
      </c>
      <c r="AD119" s="103" t="str">
        <f>IF($X119&gt;0,INDEX('CostModel Coef'!H$9:H$12,$X119),"")</f>
        <v/>
      </c>
      <c r="AE119" s="103" t="str">
        <f>IF($X119&gt;0,INDEX('CostModel Coef'!J$9:J$12,$X119),"")</f>
        <v/>
      </c>
      <c r="AF119" s="103" t="str">
        <f>IF($X119&gt;0,INDEX('CostModel Coef'!K$9:K$12,$X119),"")</f>
        <v/>
      </c>
      <c r="AG119" s="103" t="str">
        <f>IF($X119&gt;0,INDEX('CostModel Coef'!L$9:L$12,$X119),"")</f>
        <v/>
      </c>
      <c r="AH119" s="103" t="str">
        <f>IF($X119&gt;0,INDEX('CostModel Coef'!M$9:M$12,$X119),"")</f>
        <v/>
      </c>
      <c r="AI119" s="103" t="str">
        <f>IF($X119&gt;0,INDEX('CostModel Coef'!N$9:N$12,$X119),"")</f>
        <v/>
      </c>
      <c r="AJ119" s="103" t="str">
        <f>IF($X119&gt;0,INDEX('CostModel Coef'!Q$9:Q$12,$X119),"")</f>
        <v/>
      </c>
      <c r="AK119" s="103" t="str">
        <f>IF($X119&gt;0,INDEX('CostModel Coef'!T$9:T$12,$X119),"")</f>
        <v/>
      </c>
      <c r="AL119" s="103"/>
      <c r="AM119" s="108" t="str">
        <f t="shared" si="27"/>
        <v/>
      </c>
      <c r="AN119" s="108" t="str">
        <f t="shared" si="28"/>
        <v/>
      </c>
      <c r="AO119" s="108" t="str">
        <f t="shared" si="29"/>
        <v/>
      </c>
      <c r="AP119" s="108" t="str">
        <f t="shared" si="30"/>
        <v/>
      </c>
      <c r="AQ119" s="108" t="str">
        <f t="shared" si="31"/>
        <v/>
      </c>
      <c r="AR119" s="108"/>
      <c r="AS119" s="108"/>
      <c r="AT119" s="103" t="str">
        <f>IF($X119&gt;0,INDEX('CostModel Coef'!D$13:D$16,$X119),"")</f>
        <v/>
      </c>
      <c r="AU119" s="103" t="str">
        <f>IF($X119&gt;0,INDEX('CostModel Coef'!E$13:E$16,$X119),"")</f>
        <v/>
      </c>
      <c r="AV119" s="103" t="str">
        <f>IF($X119&gt;0,INDEX('CostModel Coef'!F$13:F$16,$X119),"")</f>
        <v/>
      </c>
      <c r="AW119" s="103" t="str">
        <f>IF($X119&gt;0,INDEX('CostModel Coef'!G$13:G$16,$X119),"")</f>
        <v/>
      </c>
      <c r="AX119" s="103" t="str">
        <f>IF($X119&gt;0,INDEX('CostModel Coef'!H$13:H$16,$X119),"")</f>
        <v/>
      </c>
      <c r="AY119" s="103" t="str">
        <f>IF($X119&gt;0,INDEX('CostModel Coef'!I$13:I$16,$X119),"")</f>
        <v/>
      </c>
      <c r="AZ119" s="103" t="str">
        <f>IF($X119&gt;0,INDEX('CostModel Coef'!J$13:J$16,$X119),"")</f>
        <v/>
      </c>
      <c r="BA119" s="103" t="str">
        <f>IF($X119&gt;0,INDEX('CostModel Coef'!K$13:K$16,$X119),"")</f>
        <v/>
      </c>
      <c r="BB119" s="103" t="str">
        <f>IF($X119&gt;0,INDEX('CostModel Coef'!L$13:L$16,$X119),"")</f>
        <v/>
      </c>
      <c r="BC119" s="103" t="str">
        <f>IF($X119&gt;0,INDEX('CostModel Coef'!M$13:M$16,$X119),"")</f>
        <v/>
      </c>
      <c r="BD119" s="103" t="str">
        <f>IF($X119&gt;0,INDEX('CostModel Coef'!N$13:N$16,$X119),"")</f>
        <v/>
      </c>
      <c r="BE119" s="103" t="str">
        <f>IF($X119&gt;0,INDEX('CostModel Coef'!O$13:O$16,$X119),"")</f>
        <v/>
      </c>
      <c r="BF119" s="103" t="str">
        <f>IF($X119&gt;0,INDEX('CostModel Coef'!P$13:P$16,$X119),"")</f>
        <v/>
      </c>
      <c r="BG119" s="103" t="str">
        <f>IF($X119&gt;0,INDEX('CostModel Coef'!Q$13:Q$16,$X119),"")</f>
        <v/>
      </c>
      <c r="BH119" s="103" t="str">
        <f>IF($X119&gt;0,INDEX('CostModel Coef'!R$13:R$16,$X119),"")</f>
        <v/>
      </c>
      <c r="BI119" s="103" t="str">
        <f>IF($X119&gt;0,INDEX('CostModel Coef'!S$13:S$16,$X119),"")</f>
        <v/>
      </c>
      <c r="BJ119" s="103" t="str">
        <f>IF($X119&gt;0,INDEX('CostModel Coef'!T$13:T$16,$X119),"")</f>
        <v/>
      </c>
      <c r="BK119" s="103" t="str">
        <f>IF($X119&gt;0,INDEX('CostModel Coef'!U$13:U$16,$X119),"")</f>
        <v/>
      </c>
      <c r="BL119" s="103" t="str">
        <f>IF($X119&gt;0,INDEX('CostModel Coef'!V$13:V$16,$X119),"")</f>
        <v/>
      </c>
      <c r="BM119" s="103" t="str">
        <f>IF($X119&gt;0,INDEX('CostModel Coef'!W$13:W$16,$X119),"")</f>
        <v/>
      </c>
      <c r="BN119" s="103" t="str">
        <f>IF($X119&gt;0,INDEX('CostModel Coef'!X$13:X$16,$X119),"")</f>
        <v/>
      </c>
      <c r="BO119" s="103"/>
      <c r="BP119" s="119">
        <v>2000</v>
      </c>
      <c r="BQ119" s="103"/>
      <c r="BR119" s="103"/>
      <c r="BS119" s="119" t="str">
        <f t="shared" si="34"/>
        <v/>
      </c>
      <c r="BT119" s="174">
        <f t="shared" si="26"/>
        <v>-1</v>
      </c>
      <c r="BU119" s="113" t="str">
        <f t="shared" si="36"/>
        <v>OOS</v>
      </c>
      <c r="BV119" s="108" t="str">
        <f t="shared" si="37"/>
        <v>OOS</v>
      </c>
      <c r="BW119" s="108" t="str">
        <f t="shared" si="38"/>
        <v>OOS</v>
      </c>
      <c r="BX119" s="108" t="str">
        <f t="shared" si="39"/>
        <v>OOS</v>
      </c>
      <c r="BY119" s="108" t="str">
        <f t="shared" si="40"/>
        <v>OOS</v>
      </c>
      <c r="BZ119" s="108"/>
      <c r="CA119" s="119" t="str">
        <f t="shared" si="41"/>
        <v/>
      </c>
      <c r="CB119" s="174">
        <f t="shared" si="32"/>
        <v>-1</v>
      </c>
      <c r="CC119" s="113" t="str">
        <f t="shared" si="42"/>
        <v/>
      </c>
      <c r="CD119" s="108" t="str">
        <f t="shared" si="43"/>
        <v/>
      </c>
      <c r="CE119" s="108" t="str">
        <f t="shared" si="44"/>
        <v/>
      </c>
      <c r="CF119" s="108" t="str">
        <f t="shared" si="45"/>
        <v/>
      </c>
      <c r="CG119" s="108" t="str">
        <f t="shared" si="46"/>
        <v/>
      </c>
      <c r="CH119" s="103"/>
      <c r="CI119" s="119" t="str">
        <f t="shared" si="35"/>
        <v/>
      </c>
      <c r="CJ119" s="174">
        <f t="shared" si="33"/>
        <v>-1</v>
      </c>
      <c r="CK119" s="113" t="str">
        <f t="shared" si="47"/>
        <v/>
      </c>
      <c r="CL119" s="108" t="str">
        <f t="shared" si="48"/>
        <v/>
      </c>
      <c r="CM119" s="108" t="str">
        <f t="shared" si="49"/>
        <v/>
      </c>
      <c r="CN119" s="108" t="str">
        <f t="shared" si="50"/>
        <v/>
      </c>
      <c r="CO119" s="108" t="str">
        <f t="shared" si="51"/>
        <v/>
      </c>
    </row>
    <row r="120" spans="1:93">
      <c r="A120" s="103" t="s">
        <v>392</v>
      </c>
      <c r="B120" s="103" t="s">
        <v>174</v>
      </c>
      <c r="C120" s="103" t="s">
        <v>153</v>
      </c>
      <c r="D120" s="250" t="s">
        <v>153</v>
      </c>
      <c r="E120" s="250"/>
      <c r="F120" s="182">
        <v>9020</v>
      </c>
      <c r="G120" s="250" t="s">
        <v>347</v>
      </c>
      <c r="H120" s="250">
        <v>62</v>
      </c>
      <c r="I120" s="250"/>
      <c r="J120" s="250"/>
      <c r="K120" s="250"/>
      <c r="L120" s="250" t="s">
        <v>61</v>
      </c>
      <c r="M120" s="250">
        <v>62</v>
      </c>
      <c r="N120" s="250"/>
      <c r="O120" s="250"/>
      <c r="P120" s="250" t="s">
        <v>153</v>
      </c>
      <c r="Q120" s="250"/>
      <c r="R120" s="250"/>
      <c r="S120" s="250"/>
      <c r="T120" s="250" t="s">
        <v>155</v>
      </c>
      <c r="U120" s="103" t="s">
        <v>393</v>
      </c>
      <c r="V120" s="106" t="s">
        <v>157</v>
      </c>
      <c r="W120" s="103" t="s">
        <v>158</v>
      </c>
      <c r="X120" s="103">
        <f>IFERROR(MATCH(W120,'CostModel Coef'!$C$9:$C$12,0),0)</f>
        <v>0</v>
      </c>
      <c r="Y120" s="103"/>
      <c r="Z120" s="103" t="str">
        <f>IF($X120&gt;0,INDEX('CostModel Coef'!D$9:D$12,$X120),"")</f>
        <v/>
      </c>
      <c r="AA120" s="103" t="str">
        <f>IF($X120&gt;0,INDEX('CostModel Coef'!E$9:E$12,$X120),"")</f>
        <v/>
      </c>
      <c r="AB120" s="103" t="str">
        <f>IF($X120&gt;0,INDEX('CostModel Coef'!F$9:F$12,$X120),"")</f>
        <v/>
      </c>
      <c r="AC120" s="103" t="str">
        <f>IF($X120&gt;0,INDEX('CostModel Coef'!G$9:G$12,$X120),"")</f>
        <v/>
      </c>
      <c r="AD120" s="103" t="str">
        <f>IF($X120&gt;0,INDEX('CostModel Coef'!H$9:H$12,$X120),"")</f>
        <v/>
      </c>
      <c r="AE120" s="103" t="str">
        <f>IF($X120&gt;0,INDEX('CostModel Coef'!J$9:J$12,$X120),"")</f>
        <v/>
      </c>
      <c r="AF120" s="103" t="str">
        <f>IF($X120&gt;0,INDEX('CostModel Coef'!K$9:K$12,$X120),"")</f>
        <v/>
      </c>
      <c r="AG120" s="103" t="str">
        <f>IF($X120&gt;0,INDEX('CostModel Coef'!L$9:L$12,$X120),"")</f>
        <v/>
      </c>
      <c r="AH120" s="103" t="str">
        <f>IF($X120&gt;0,INDEX('CostModel Coef'!M$9:M$12,$X120),"")</f>
        <v/>
      </c>
      <c r="AI120" s="103" t="str">
        <f>IF($X120&gt;0,INDEX('CostModel Coef'!N$9:N$12,$X120),"")</f>
        <v/>
      </c>
      <c r="AJ120" s="103" t="str">
        <f>IF($X120&gt;0,INDEX('CostModel Coef'!Q$9:Q$12,$X120),"")</f>
        <v/>
      </c>
      <c r="AK120" s="103" t="str">
        <f>IF($X120&gt;0,INDEX('CostModel Coef'!T$9:T$12,$X120),"")</f>
        <v/>
      </c>
      <c r="AL120" s="103"/>
      <c r="AM120" s="108" t="str">
        <f t="shared" si="27"/>
        <v/>
      </c>
      <c r="AN120" s="108" t="str">
        <f t="shared" si="28"/>
        <v/>
      </c>
      <c r="AO120" s="108" t="str">
        <f t="shared" si="29"/>
        <v/>
      </c>
      <c r="AP120" s="108" t="str">
        <f t="shared" si="30"/>
        <v/>
      </c>
      <c r="AQ120" s="108" t="str">
        <f t="shared" si="31"/>
        <v/>
      </c>
      <c r="AR120" s="108"/>
      <c r="AS120" s="108"/>
      <c r="AT120" s="103" t="str">
        <f>IF($X120&gt;0,INDEX('CostModel Coef'!D$13:D$16,$X120),"")</f>
        <v/>
      </c>
      <c r="AU120" s="103" t="str">
        <f>IF($X120&gt;0,INDEX('CostModel Coef'!E$13:E$16,$X120),"")</f>
        <v/>
      </c>
      <c r="AV120" s="103" t="str">
        <f>IF($X120&gt;0,INDEX('CostModel Coef'!F$13:F$16,$X120),"")</f>
        <v/>
      </c>
      <c r="AW120" s="103" t="str">
        <f>IF($X120&gt;0,INDEX('CostModel Coef'!G$13:G$16,$X120),"")</f>
        <v/>
      </c>
      <c r="AX120" s="103" t="str">
        <f>IF($X120&gt;0,INDEX('CostModel Coef'!H$13:H$16,$X120),"")</f>
        <v/>
      </c>
      <c r="AY120" s="103" t="str">
        <f>IF($X120&gt;0,INDEX('CostModel Coef'!I$13:I$16,$X120),"")</f>
        <v/>
      </c>
      <c r="AZ120" s="103" t="str">
        <f>IF($X120&gt;0,INDEX('CostModel Coef'!J$13:J$16,$X120),"")</f>
        <v/>
      </c>
      <c r="BA120" s="103" t="str">
        <f>IF($X120&gt;0,INDEX('CostModel Coef'!K$13:K$16,$X120),"")</f>
        <v/>
      </c>
      <c r="BB120" s="103" t="str">
        <f>IF($X120&gt;0,INDEX('CostModel Coef'!L$13:L$16,$X120),"")</f>
        <v/>
      </c>
      <c r="BC120" s="103" t="str">
        <f>IF($X120&gt;0,INDEX('CostModel Coef'!M$13:M$16,$X120),"")</f>
        <v/>
      </c>
      <c r="BD120" s="103" t="str">
        <f>IF($X120&gt;0,INDEX('CostModel Coef'!N$13:N$16,$X120),"")</f>
        <v/>
      </c>
      <c r="BE120" s="103" t="str">
        <f>IF($X120&gt;0,INDEX('CostModel Coef'!O$13:O$16,$X120),"")</f>
        <v/>
      </c>
      <c r="BF120" s="103" t="str">
        <f>IF($X120&gt;0,INDEX('CostModel Coef'!P$13:P$16,$X120),"")</f>
        <v/>
      </c>
      <c r="BG120" s="103" t="str">
        <f>IF($X120&gt;0,INDEX('CostModel Coef'!Q$13:Q$16,$X120),"")</f>
        <v/>
      </c>
      <c r="BH120" s="103" t="str">
        <f>IF($X120&gt;0,INDEX('CostModel Coef'!R$13:R$16,$X120),"")</f>
        <v/>
      </c>
      <c r="BI120" s="103" t="str">
        <f>IF($X120&gt;0,INDEX('CostModel Coef'!S$13:S$16,$X120),"")</f>
        <v/>
      </c>
      <c r="BJ120" s="103" t="str">
        <f>IF($X120&gt;0,INDEX('CostModel Coef'!T$13:T$16,$X120),"")</f>
        <v/>
      </c>
      <c r="BK120" s="103" t="str">
        <f>IF($X120&gt;0,INDEX('CostModel Coef'!U$13:U$16,$X120),"")</f>
        <v/>
      </c>
      <c r="BL120" s="103" t="str">
        <f>IF($X120&gt;0,INDEX('CostModel Coef'!V$13:V$16,$X120),"")</f>
        <v/>
      </c>
      <c r="BM120" s="103" t="str">
        <f>IF($X120&gt;0,INDEX('CostModel Coef'!W$13:W$16,$X120),"")</f>
        <v/>
      </c>
      <c r="BN120" s="103" t="str">
        <f>IF($X120&gt;0,INDEX('CostModel Coef'!X$13:X$16,$X120),"")</f>
        <v/>
      </c>
      <c r="BO120" s="103"/>
      <c r="BP120" s="119">
        <v>2000</v>
      </c>
      <c r="BQ120" s="103"/>
      <c r="BR120" s="103"/>
      <c r="BS120" s="119" t="str">
        <f t="shared" si="34"/>
        <v/>
      </c>
      <c r="BT120" s="174">
        <f t="shared" si="26"/>
        <v>-1</v>
      </c>
      <c r="BU120" s="113" t="str">
        <f t="shared" si="36"/>
        <v>OOS</v>
      </c>
      <c r="BV120" s="108" t="str">
        <f t="shared" si="37"/>
        <v>OOS</v>
      </c>
      <c r="BW120" s="108" t="str">
        <f t="shared" si="38"/>
        <v>OOS</v>
      </c>
      <c r="BX120" s="108" t="str">
        <f t="shared" si="39"/>
        <v>OOS</v>
      </c>
      <c r="BY120" s="108" t="str">
        <f t="shared" si="40"/>
        <v>OOS</v>
      </c>
      <c r="BZ120" s="108"/>
      <c r="CA120" s="119" t="str">
        <f t="shared" si="41"/>
        <v/>
      </c>
      <c r="CB120" s="174">
        <f t="shared" si="32"/>
        <v>-1</v>
      </c>
      <c r="CC120" s="113" t="str">
        <f t="shared" si="42"/>
        <v/>
      </c>
      <c r="CD120" s="108" t="str">
        <f t="shared" si="43"/>
        <v/>
      </c>
      <c r="CE120" s="108" t="str">
        <f t="shared" si="44"/>
        <v/>
      </c>
      <c r="CF120" s="108" t="str">
        <f t="shared" si="45"/>
        <v/>
      </c>
      <c r="CG120" s="108" t="str">
        <f t="shared" si="46"/>
        <v/>
      </c>
      <c r="CH120" s="103"/>
      <c r="CI120" s="119" t="str">
        <f t="shared" si="35"/>
        <v/>
      </c>
      <c r="CJ120" s="174">
        <f t="shared" si="33"/>
        <v>-1</v>
      </c>
      <c r="CK120" s="113" t="str">
        <f t="shared" si="47"/>
        <v/>
      </c>
      <c r="CL120" s="108" t="str">
        <f t="shared" si="48"/>
        <v/>
      </c>
      <c r="CM120" s="108" t="str">
        <f t="shared" si="49"/>
        <v/>
      </c>
      <c r="CN120" s="108" t="str">
        <f t="shared" si="50"/>
        <v/>
      </c>
      <c r="CO120" s="108" t="str">
        <f t="shared" si="51"/>
        <v/>
      </c>
    </row>
    <row r="121" spans="1:93">
      <c r="A121" s="103" t="s">
        <v>394</v>
      </c>
      <c r="B121" s="103" t="s">
        <v>174</v>
      </c>
      <c r="C121" s="103" t="s">
        <v>153</v>
      </c>
      <c r="D121" s="250" t="s">
        <v>153</v>
      </c>
      <c r="E121" s="250"/>
      <c r="F121" s="182">
        <v>9020</v>
      </c>
      <c r="G121" s="250" t="s">
        <v>347</v>
      </c>
      <c r="H121" s="250">
        <v>65</v>
      </c>
      <c r="I121" s="250"/>
      <c r="J121" s="250"/>
      <c r="K121" s="250"/>
      <c r="L121" s="250" t="s">
        <v>61</v>
      </c>
      <c r="M121" s="250">
        <v>65</v>
      </c>
      <c r="N121" s="250"/>
      <c r="O121" s="250"/>
      <c r="P121" s="250" t="s">
        <v>153</v>
      </c>
      <c r="Q121" s="250"/>
      <c r="R121" s="250"/>
      <c r="S121" s="250"/>
      <c r="T121" s="250" t="s">
        <v>155</v>
      </c>
      <c r="U121" s="103" t="s">
        <v>395</v>
      </c>
      <c r="V121" s="106" t="s">
        <v>157</v>
      </c>
      <c r="W121" s="103" t="s">
        <v>158</v>
      </c>
      <c r="X121" s="103">
        <f>IFERROR(MATCH(W121,'CostModel Coef'!$C$9:$C$12,0),0)</f>
        <v>0</v>
      </c>
      <c r="Y121" s="103"/>
      <c r="Z121" s="103" t="str">
        <f>IF($X121&gt;0,INDEX('CostModel Coef'!D$9:D$12,$X121),"")</f>
        <v/>
      </c>
      <c r="AA121" s="103" t="str">
        <f>IF($X121&gt;0,INDEX('CostModel Coef'!E$9:E$12,$X121),"")</f>
        <v/>
      </c>
      <c r="AB121" s="103" t="str">
        <f>IF($X121&gt;0,INDEX('CostModel Coef'!F$9:F$12,$X121),"")</f>
        <v/>
      </c>
      <c r="AC121" s="103" t="str">
        <f>IF($X121&gt;0,INDEX('CostModel Coef'!G$9:G$12,$X121),"")</f>
        <v/>
      </c>
      <c r="AD121" s="103" t="str">
        <f>IF($X121&gt;0,INDEX('CostModel Coef'!H$9:H$12,$X121),"")</f>
        <v/>
      </c>
      <c r="AE121" s="103" t="str">
        <f>IF($X121&gt;0,INDEX('CostModel Coef'!J$9:J$12,$X121),"")</f>
        <v/>
      </c>
      <c r="AF121" s="103" t="str">
        <f>IF($X121&gt;0,INDEX('CostModel Coef'!K$9:K$12,$X121),"")</f>
        <v/>
      </c>
      <c r="AG121" s="103" t="str">
        <f>IF($X121&gt;0,INDEX('CostModel Coef'!L$9:L$12,$X121),"")</f>
        <v/>
      </c>
      <c r="AH121" s="103" t="str">
        <f>IF($X121&gt;0,INDEX('CostModel Coef'!M$9:M$12,$X121),"")</f>
        <v/>
      </c>
      <c r="AI121" s="103" t="str">
        <f>IF($X121&gt;0,INDEX('CostModel Coef'!N$9:N$12,$X121),"")</f>
        <v/>
      </c>
      <c r="AJ121" s="103" t="str">
        <f>IF($X121&gt;0,INDEX('CostModel Coef'!Q$9:Q$12,$X121),"")</f>
        <v/>
      </c>
      <c r="AK121" s="103" t="str">
        <f>IF($X121&gt;0,INDEX('CostModel Coef'!T$9:T$12,$X121),"")</f>
        <v/>
      </c>
      <c r="AL121" s="103"/>
      <c r="AM121" s="108" t="str">
        <f t="shared" si="27"/>
        <v/>
      </c>
      <c r="AN121" s="108" t="str">
        <f t="shared" si="28"/>
        <v/>
      </c>
      <c r="AO121" s="108" t="str">
        <f t="shared" si="29"/>
        <v/>
      </c>
      <c r="AP121" s="108" t="str">
        <f t="shared" si="30"/>
        <v/>
      </c>
      <c r="AQ121" s="108" t="str">
        <f t="shared" si="31"/>
        <v/>
      </c>
      <c r="AR121" s="108"/>
      <c r="AS121" s="108"/>
      <c r="AT121" s="103" t="str">
        <f>IF($X121&gt;0,INDEX('CostModel Coef'!D$13:D$16,$X121),"")</f>
        <v/>
      </c>
      <c r="AU121" s="103" t="str">
        <f>IF($X121&gt;0,INDEX('CostModel Coef'!E$13:E$16,$X121),"")</f>
        <v/>
      </c>
      <c r="AV121" s="103" t="str">
        <f>IF($X121&gt;0,INDEX('CostModel Coef'!F$13:F$16,$X121),"")</f>
        <v/>
      </c>
      <c r="AW121" s="103" t="str">
        <f>IF($X121&gt;0,INDEX('CostModel Coef'!G$13:G$16,$X121),"")</f>
        <v/>
      </c>
      <c r="AX121" s="103" t="str">
        <f>IF($X121&gt;0,INDEX('CostModel Coef'!H$13:H$16,$X121),"")</f>
        <v/>
      </c>
      <c r="AY121" s="103" t="str">
        <f>IF($X121&gt;0,INDEX('CostModel Coef'!I$13:I$16,$X121),"")</f>
        <v/>
      </c>
      <c r="AZ121" s="103" t="str">
        <f>IF($X121&gt;0,INDEX('CostModel Coef'!J$13:J$16,$X121),"")</f>
        <v/>
      </c>
      <c r="BA121" s="103" t="str">
        <f>IF($X121&gt;0,INDEX('CostModel Coef'!K$13:K$16,$X121),"")</f>
        <v/>
      </c>
      <c r="BB121" s="103" t="str">
        <f>IF($X121&gt;0,INDEX('CostModel Coef'!L$13:L$16,$X121),"")</f>
        <v/>
      </c>
      <c r="BC121" s="103" t="str">
        <f>IF($X121&gt;0,INDEX('CostModel Coef'!M$13:M$16,$X121),"")</f>
        <v/>
      </c>
      <c r="BD121" s="103" t="str">
        <f>IF($X121&gt;0,INDEX('CostModel Coef'!N$13:N$16,$X121),"")</f>
        <v/>
      </c>
      <c r="BE121" s="103" t="str">
        <f>IF($X121&gt;0,INDEX('CostModel Coef'!O$13:O$16,$X121),"")</f>
        <v/>
      </c>
      <c r="BF121" s="103" t="str">
        <f>IF($X121&gt;0,INDEX('CostModel Coef'!P$13:P$16,$X121),"")</f>
        <v/>
      </c>
      <c r="BG121" s="103" t="str">
        <f>IF($X121&gt;0,INDEX('CostModel Coef'!Q$13:Q$16,$X121),"")</f>
        <v/>
      </c>
      <c r="BH121" s="103" t="str">
        <f>IF($X121&gt;0,INDEX('CostModel Coef'!R$13:R$16,$X121),"")</f>
        <v/>
      </c>
      <c r="BI121" s="103" t="str">
        <f>IF($X121&gt;0,INDEX('CostModel Coef'!S$13:S$16,$X121),"")</f>
        <v/>
      </c>
      <c r="BJ121" s="103" t="str">
        <f>IF($X121&gt;0,INDEX('CostModel Coef'!T$13:T$16,$X121),"")</f>
        <v/>
      </c>
      <c r="BK121" s="103" t="str">
        <f>IF($X121&gt;0,INDEX('CostModel Coef'!U$13:U$16,$X121),"")</f>
        <v/>
      </c>
      <c r="BL121" s="103" t="str">
        <f>IF($X121&gt;0,INDEX('CostModel Coef'!V$13:V$16,$X121),"")</f>
        <v/>
      </c>
      <c r="BM121" s="103" t="str">
        <f>IF($X121&gt;0,INDEX('CostModel Coef'!W$13:W$16,$X121),"")</f>
        <v/>
      </c>
      <c r="BN121" s="103" t="str">
        <f>IF($X121&gt;0,INDEX('CostModel Coef'!X$13:X$16,$X121),"")</f>
        <v/>
      </c>
      <c r="BO121" s="103"/>
      <c r="BP121" s="119">
        <v>2000</v>
      </c>
      <c r="BQ121" s="103"/>
      <c r="BR121" s="103"/>
      <c r="BS121" s="119" t="str">
        <f t="shared" si="34"/>
        <v/>
      </c>
      <c r="BT121" s="174">
        <f t="shared" si="26"/>
        <v>-1</v>
      </c>
      <c r="BU121" s="113" t="str">
        <f t="shared" si="36"/>
        <v>OOS</v>
      </c>
      <c r="BV121" s="108" t="str">
        <f t="shared" si="37"/>
        <v>OOS</v>
      </c>
      <c r="BW121" s="108" t="str">
        <f t="shared" si="38"/>
        <v>OOS</v>
      </c>
      <c r="BX121" s="108" t="str">
        <f t="shared" si="39"/>
        <v>OOS</v>
      </c>
      <c r="BY121" s="108" t="str">
        <f t="shared" si="40"/>
        <v>OOS</v>
      </c>
      <c r="BZ121" s="108"/>
      <c r="CA121" s="119" t="str">
        <f t="shared" si="41"/>
        <v/>
      </c>
      <c r="CB121" s="174">
        <f t="shared" si="32"/>
        <v>-1</v>
      </c>
      <c r="CC121" s="113" t="str">
        <f t="shared" si="42"/>
        <v/>
      </c>
      <c r="CD121" s="108" t="str">
        <f t="shared" si="43"/>
        <v/>
      </c>
      <c r="CE121" s="108" t="str">
        <f t="shared" si="44"/>
        <v/>
      </c>
      <c r="CF121" s="108" t="str">
        <f t="shared" si="45"/>
        <v/>
      </c>
      <c r="CG121" s="108" t="str">
        <f t="shared" si="46"/>
        <v/>
      </c>
      <c r="CH121" s="103"/>
      <c r="CI121" s="119" t="str">
        <f t="shared" si="35"/>
        <v/>
      </c>
      <c r="CJ121" s="174">
        <f t="shared" si="33"/>
        <v>-1</v>
      </c>
      <c r="CK121" s="113" t="str">
        <f t="shared" si="47"/>
        <v/>
      </c>
      <c r="CL121" s="108" t="str">
        <f t="shared" si="48"/>
        <v/>
      </c>
      <c r="CM121" s="108" t="str">
        <f t="shared" si="49"/>
        <v/>
      </c>
      <c r="CN121" s="108" t="str">
        <f t="shared" si="50"/>
        <v/>
      </c>
      <c r="CO121" s="108" t="str">
        <f t="shared" si="51"/>
        <v/>
      </c>
    </row>
    <row r="122" spans="1:93">
      <c r="A122" s="103" t="s">
        <v>396</v>
      </c>
      <c r="B122" s="103" t="s">
        <v>174</v>
      </c>
      <c r="C122" s="103" t="s">
        <v>153</v>
      </c>
      <c r="D122" s="250" t="s">
        <v>153</v>
      </c>
      <c r="E122" s="250"/>
      <c r="F122" s="182">
        <v>9020</v>
      </c>
      <c r="G122" s="250" t="s">
        <v>347</v>
      </c>
      <c r="H122" s="250">
        <v>70</v>
      </c>
      <c r="I122" s="250"/>
      <c r="J122" s="250"/>
      <c r="K122" s="250"/>
      <c r="L122" s="250" t="s">
        <v>61</v>
      </c>
      <c r="M122" s="250">
        <v>70</v>
      </c>
      <c r="N122" s="250"/>
      <c r="O122" s="250"/>
      <c r="P122" s="250" t="s">
        <v>153</v>
      </c>
      <c r="Q122" s="250"/>
      <c r="R122" s="250"/>
      <c r="S122" s="250"/>
      <c r="T122" s="250" t="s">
        <v>155</v>
      </c>
      <c r="U122" s="103" t="s">
        <v>397</v>
      </c>
      <c r="V122" s="106" t="s">
        <v>157</v>
      </c>
      <c r="W122" s="103" t="s">
        <v>158</v>
      </c>
      <c r="X122" s="103">
        <f>IFERROR(MATCH(W122,'CostModel Coef'!$C$9:$C$12,0),0)</f>
        <v>0</v>
      </c>
      <c r="Y122" s="103"/>
      <c r="Z122" s="103" t="str">
        <f>IF($X122&gt;0,INDEX('CostModel Coef'!D$9:D$12,$X122),"")</f>
        <v/>
      </c>
      <c r="AA122" s="103" t="str">
        <f>IF($X122&gt;0,INDEX('CostModel Coef'!E$9:E$12,$X122),"")</f>
        <v/>
      </c>
      <c r="AB122" s="103" t="str">
        <f>IF($X122&gt;0,INDEX('CostModel Coef'!F$9:F$12,$X122),"")</f>
        <v/>
      </c>
      <c r="AC122" s="103" t="str">
        <f>IF($X122&gt;0,INDEX('CostModel Coef'!G$9:G$12,$X122),"")</f>
        <v/>
      </c>
      <c r="AD122" s="103" t="str">
        <f>IF($X122&gt;0,INDEX('CostModel Coef'!H$9:H$12,$X122),"")</f>
        <v/>
      </c>
      <c r="AE122" s="103" t="str">
        <f>IF($X122&gt;0,INDEX('CostModel Coef'!J$9:J$12,$X122),"")</f>
        <v/>
      </c>
      <c r="AF122" s="103" t="str">
        <f>IF($X122&gt;0,INDEX('CostModel Coef'!K$9:K$12,$X122),"")</f>
        <v/>
      </c>
      <c r="AG122" s="103" t="str">
        <f>IF($X122&gt;0,INDEX('CostModel Coef'!L$9:L$12,$X122),"")</f>
        <v/>
      </c>
      <c r="AH122" s="103" t="str">
        <f>IF($X122&gt;0,INDEX('CostModel Coef'!M$9:M$12,$X122),"")</f>
        <v/>
      </c>
      <c r="AI122" s="103" t="str">
        <f>IF($X122&gt;0,INDEX('CostModel Coef'!N$9:N$12,$X122),"")</f>
        <v/>
      </c>
      <c r="AJ122" s="103" t="str">
        <f>IF($X122&gt;0,INDEX('CostModel Coef'!Q$9:Q$12,$X122),"")</f>
        <v/>
      </c>
      <c r="AK122" s="103" t="str">
        <f>IF($X122&gt;0,INDEX('CostModel Coef'!T$9:T$12,$X122),"")</f>
        <v/>
      </c>
      <c r="AL122" s="103"/>
      <c r="AM122" s="108" t="str">
        <f t="shared" si="27"/>
        <v/>
      </c>
      <c r="AN122" s="108" t="str">
        <f t="shared" si="28"/>
        <v/>
      </c>
      <c r="AO122" s="108" t="str">
        <f t="shared" si="29"/>
        <v/>
      </c>
      <c r="AP122" s="108" t="str">
        <f t="shared" si="30"/>
        <v/>
      </c>
      <c r="AQ122" s="108" t="str">
        <f t="shared" si="31"/>
        <v/>
      </c>
      <c r="AR122" s="108"/>
      <c r="AS122" s="108"/>
      <c r="AT122" s="103" t="str">
        <f>IF($X122&gt;0,INDEX('CostModel Coef'!D$13:D$16,$X122),"")</f>
        <v/>
      </c>
      <c r="AU122" s="103" t="str">
        <f>IF($X122&gt;0,INDEX('CostModel Coef'!E$13:E$16,$X122),"")</f>
        <v/>
      </c>
      <c r="AV122" s="103" t="str">
        <f>IF($X122&gt;0,INDEX('CostModel Coef'!F$13:F$16,$X122),"")</f>
        <v/>
      </c>
      <c r="AW122" s="103" t="str">
        <f>IF($X122&gt;0,INDEX('CostModel Coef'!G$13:G$16,$X122),"")</f>
        <v/>
      </c>
      <c r="AX122" s="103" t="str">
        <f>IF($X122&gt;0,INDEX('CostModel Coef'!H$13:H$16,$X122),"")</f>
        <v/>
      </c>
      <c r="AY122" s="103" t="str">
        <f>IF($X122&gt;0,INDEX('CostModel Coef'!I$13:I$16,$X122),"")</f>
        <v/>
      </c>
      <c r="AZ122" s="103" t="str">
        <f>IF($X122&gt;0,INDEX('CostModel Coef'!J$13:J$16,$X122),"")</f>
        <v/>
      </c>
      <c r="BA122" s="103" t="str">
        <f>IF($X122&gt;0,INDEX('CostModel Coef'!K$13:K$16,$X122),"")</f>
        <v/>
      </c>
      <c r="BB122" s="103" t="str">
        <f>IF($X122&gt;0,INDEX('CostModel Coef'!L$13:L$16,$X122),"")</f>
        <v/>
      </c>
      <c r="BC122" s="103" t="str">
        <f>IF($X122&gt;0,INDEX('CostModel Coef'!M$13:M$16,$X122),"")</f>
        <v/>
      </c>
      <c r="BD122" s="103" t="str">
        <f>IF($X122&gt;0,INDEX('CostModel Coef'!N$13:N$16,$X122),"")</f>
        <v/>
      </c>
      <c r="BE122" s="103" t="str">
        <f>IF($X122&gt;0,INDEX('CostModel Coef'!O$13:O$16,$X122),"")</f>
        <v/>
      </c>
      <c r="BF122" s="103" t="str">
        <f>IF($X122&gt;0,INDEX('CostModel Coef'!P$13:P$16,$X122),"")</f>
        <v/>
      </c>
      <c r="BG122" s="103" t="str">
        <f>IF($X122&gt;0,INDEX('CostModel Coef'!Q$13:Q$16,$X122),"")</f>
        <v/>
      </c>
      <c r="BH122" s="103" t="str">
        <f>IF($X122&gt;0,INDEX('CostModel Coef'!R$13:R$16,$X122),"")</f>
        <v/>
      </c>
      <c r="BI122" s="103" t="str">
        <f>IF($X122&gt;0,INDEX('CostModel Coef'!S$13:S$16,$X122),"")</f>
        <v/>
      </c>
      <c r="BJ122" s="103" t="str">
        <f>IF($X122&gt;0,INDEX('CostModel Coef'!T$13:T$16,$X122),"")</f>
        <v/>
      </c>
      <c r="BK122" s="103" t="str">
        <f>IF($X122&gt;0,INDEX('CostModel Coef'!U$13:U$16,$X122),"")</f>
        <v/>
      </c>
      <c r="BL122" s="103" t="str">
        <f>IF($X122&gt;0,INDEX('CostModel Coef'!V$13:V$16,$X122),"")</f>
        <v/>
      </c>
      <c r="BM122" s="103" t="str">
        <f>IF($X122&gt;0,INDEX('CostModel Coef'!W$13:W$16,$X122),"")</f>
        <v/>
      </c>
      <c r="BN122" s="103" t="str">
        <f>IF($X122&gt;0,INDEX('CostModel Coef'!X$13:X$16,$X122),"")</f>
        <v/>
      </c>
      <c r="BO122" s="103"/>
      <c r="BP122" s="119">
        <v>2000</v>
      </c>
      <c r="BQ122" s="103"/>
      <c r="BR122" s="103"/>
      <c r="BS122" s="119" t="str">
        <f t="shared" si="34"/>
        <v/>
      </c>
      <c r="BT122" s="174">
        <f t="shared" si="26"/>
        <v>-1</v>
      </c>
      <c r="BU122" s="113" t="str">
        <f t="shared" si="36"/>
        <v>OOS</v>
      </c>
      <c r="BV122" s="108" t="str">
        <f t="shared" si="37"/>
        <v>OOS</v>
      </c>
      <c r="BW122" s="108" t="str">
        <f t="shared" si="38"/>
        <v>OOS</v>
      </c>
      <c r="BX122" s="108" t="str">
        <f t="shared" si="39"/>
        <v>OOS</v>
      </c>
      <c r="BY122" s="108" t="str">
        <f t="shared" si="40"/>
        <v>OOS</v>
      </c>
      <c r="BZ122" s="108"/>
      <c r="CA122" s="119" t="str">
        <f t="shared" si="41"/>
        <v/>
      </c>
      <c r="CB122" s="174">
        <f t="shared" si="32"/>
        <v>-1</v>
      </c>
      <c r="CC122" s="113" t="str">
        <f t="shared" si="42"/>
        <v/>
      </c>
      <c r="CD122" s="108" t="str">
        <f t="shared" si="43"/>
        <v/>
      </c>
      <c r="CE122" s="108" t="str">
        <f t="shared" si="44"/>
        <v/>
      </c>
      <c r="CF122" s="108" t="str">
        <f t="shared" si="45"/>
        <v/>
      </c>
      <c r="CG122" s="108" t="str">
        <f t="shared" si="46"/>
        <v/>
      </c>
      <c r="CH122" s="103"/>
      <c r="CI122" s="119" t="str">
        <f t="shared" si="35"/>
        <v/>
      </c>
      <c r="CJ122" s="174">
        <f t="shared" si="33"/>
        <v>-1</v>
      </c>
      <c r="CK122" s="113" t="str">
        <f t="shared" si="47"/>
        <v/>
      </c>
      <c r="CL122" s="108" t="str">
        <f t="shared" si="48"/>
        <v/>
      </c>
      <c r="CM122" s="108" t="str">
        <f t="shared" si="49"/>
        <v/>
      </c>
      <c r="CN122" s="108" t="str">
        <f t="shared" si="50"/>
        <v/>
      </c>
      <c r="CO122" s="108" t="str">
        <f t="shared" si="51"/>
        <v/>
      </c>
    </row>
    <row r="123" spans="1:93">
      <c r="A123" s="103" t="s">
        <v>398</v>
      </c>
      <c r="B123" s="103" t="s">
        <v>174</v>
      </c>
      <c r="C123" s="103" t="s">
        <v>153</v>
      </c>
      <c r="D123" s="250" t="s">
        <v>153</v>
      </c>
      <c r="E123" s="250"/>
      <c r="F123" s="182">
        <v>9020</v>
      </c>
      <c r="G123" s="250" t="s">
        <v>347</v>
      </c>
      <c r="H123" s="250">
        <v>72</v>
      </c>
      <c r="I123" s="250"/>
      <c r="J123" s="250"/>
      <c r="K123" s="250"/>
      <c r="L123" s="250" t="s">
        <v>61</v>
      </c>
      <c r="M123" s="250">
        <v>72</v>
      </c>
      <c r="N123" s="250"/>
      <c r="O123" s="250"/>
      <c r="P123" s="250" t="s">
        <v>153</v>
      </c>
      <c r="Q123" s="250"/>
      <c r="R123" s="250"/>
      <c r="S123" s="250"/>
      <c r="T123" s="250" t="s">
        <v>155</v>
      </c>
      <c r="U123" s="103" t="s">
        <v>399</v>
      </c>
      <c r="V123" s="106" t="s">
        <v>157</v>
      </c>
      <c r="W123" s="103" t="s">
        <v>158</v>
      </c>
      <c r="X123" s="103">
        <f>IFERROR(MATCH(W123,'CostModel Coef'!$C$9:$C$12,0),0)</f>
        <v>0</v>
      </c>
      <c r="Y123" s="103"/>
      <c r="Z123" s="103" t="str">
        <f>IF($X123&gt;0,INDEX('CostModel Coef'!D$9:D$12,$X123),"")</f>
        <v/>
      </c>
      <c r="AA123" s="103" t="str">
        <f>IF($X123&gt;0,INDEX('CostModel Coef'!E$9:E$12,$X123),"")</f>
        <v/>
      </c>
      <c r="AB123" s="103" t="str">
        <f>IF($X123&gt;0,INDEX('CostModel Coef'!F$9:F$12,$X123),"")</f>
        <v/>
      </c>
      <c r="AC123" s="103" t="str">
        <f>IF($X123&gt;0,INDEX('CostModel Coef'!G$9:G$12,$X123),"")</f>
        <v/>
      </c>
      <c r="AD123" s="103" t="str">
        <f>IF($X123&gt;0,INDEX('CostModel Coef'!H$9:H$12,$X123),"")</f>
        <v/>
      </c>
      <c r="AE123" s="103" t="str">
        <f>IF($X123&gt;0,INDEX('CostModel Coef'!J$9:J$12,$X123),"")</f>
        <v/>
      </c>
      <c r="AF123" s="103" t="str">
        <f>IF($X123&gt;0,INDEX('CostModel Coef'!K$9:K$12,$X123),"")</f>
        <v/>
      </c>
      <c r="AG123" s="103" t="str">
        <f>IF($X123&gt;0,INDEX('CostModel Coef'!L$9:L$12,$X123),"")</f>
        <v/>
      </c>
      <c r="AH123" s="103" t="str">
        <f>IF($X123&gt;0,INDEX('CostModel Coef'!M$9:M$12,$X123),"")</f>
        <v/>
      </c>
      <c r="AI123" s="103" t="str">
        <f>IF($X123&gt;0,INDEX('CostModel Coef'!N$9:N$12,$X123),"")</f>
        <v/>
      </c>
      <c r="AJ123" s="103" t="str">
        <f>IF($X123&gt;0,INDEX('CostModel Coef'!Q$9:Q$12,$X123),"")</f>
        <v/>
      </c>
      <c r="AK123" s="103" t="str">
        <f>IF($X123&gt;0,INDEX('CostModel Coef'!T$9:T$12,$X123),"")</f>
        <v/>
      </c>
      <c r="AL123" s="103"/>
      <c r="AM123" s="108" t="str">
        <f t="shared" si="27"/>
        <v/>
      </c>
      <c r="AN123" s="108" t="str">
        <f t="shared" si="28"/>
        <v/>
      </c>
      <c r="AO123" s="108" t="str">
        <f t="shared" si="29"/>
        <v/>
      </c>
      <c r="AP123" s="108" t="str">
        <f t="shared" si="30"/>
        <v/>
      </c>
      <c r="AQ123" s="108" t="str">
        <f t="shared" si="31"/>
        <v/>
      </c>
      <c r="AR123" s="108"/>
      <c r="AS123" s="108"/>
      <c r="AT123" s="103" t="str">
        <f>IF($X123&gt;0,INDEX('CostModel Coef'!D$13:D$16,$X123),"")</f>
        <v/>
      </c>
      <c r="AU123" s="103" t="str">
        <f>IF($X123&gt;0,INDEX('CostModel Coef'!E$13:E$16,$X123),"")</f>
        <v/>
      </c>
      <c r="AV123" s="103" t="str">
        <f>IF($X123&gt;0,INDEX('CostModel Coef'!F$13:F$16,$X123),"")</f>
        <v/>
      </c>
      <c r="AW123" s="103" t="str">
        <f>IF($X123&gt;0,INDEX('CostModel Coef'!G$13:G$16,$X123),"")</f>
        <v/>
      </c>
      <c r="AX123" s="103" t="str">
        <f>IF($X123&gt;0,INDEX('CostModel Coef'!H$13:H$16,$X123),"")</f>
        <v/>
      </c>
      <c r="AY123" s="103" t="str">
        <f>IF($X123&gt;0,INDEX('CostModel Coef'!I$13:I$16,$X123),"")</f>
        <v/>
      </c>
      <c r="AZ123" s="103" t="str">
        <f>IF($X123&gt;0,INDEX('CostModel Coef'!J$13:J$16,$X123),"")</f>
        <v/>
      </c>
      <c r="BA123" s="103" t="str">
        <f>IF($X123&gt;0,INDEX('CostModel Coef'!K$13:K$16,$X123),"")</f>
        <v/>
      </c>
      <c r="BB123" s="103" t="str">
        <f>IF($X123&gt;0,INDEX('CostModel Coef'!L$13:L$16,$X123),"")</f>
        <v/>
      </c>
      <c r="BC123" s="103" t="str">
        <f>IF($X123&gt;0,INDEX('CostModel Coef'!M$13:M$16,$X123),"")</f>
        <v/>
      </c>
      <c r="BD123" s="103" t="str">
        <f>IF($X123&gt;0,INDEX('CostModel Coef'!N$13:N$16,$X123),"")</f>
        <v/>
      </c>
      <c r="BE123" s="103" t="str">
        <f>IF($X123&gt;0,INDEX('CostModel Coef'!O$13:O$16,$X123),"")</f>
        <v/>
      </c>
      <c r="BF123" s="103" t="str">
        <f>IF($X123&gt;0,INDEX('CostModel Coef'!P$13:P$16,$X123),"")</f>
        <v/>
      </c>
      <c r="BG123" s="103" t="str">
        <f>IF($X123&gt;0,INDEX('CostModel Coef'!Q$13:Q$16,$X123),"")</f>
        <v/>
      </c>
      <c r="BH123" s="103" t="str">
        <f>IF($X123&gt;0,INDEX('CostModel Coef'!R$13:R$16,$X123),"")</f>
        <v/>
      </c>
      <c r="BI123" s="103" t="str">
        <f>IF($X123&gt;0,INDEX('CostModel Coef'!S$13:S$16,$X123),"")</f>
        <v/>
      </c>
      <c r="BJ123" s="103" t="str">
        <f>IF($X123&gt;0,INDEX('CostModel Coef'!T$13:T$16,$X123),"")</f>
        <v/>
      </c>
      <c r="BK123" s="103" t="str">
        <f>IF($X123&gt;0,INDEX('CostModel Coef'!U$13:U$16,$X123),"")</f>
        <v/>
      </c>
      <c r="BL123" s="103" t="str">
        <f>IF($X123&gt;0,INDEX('CostModel Coef'!V$13:V$16,$X123),"")</f>
        <v/>
      </c>
      <c r="BM123" s="103" t="str">
        <f>IF($X123&gt;0,INDEX('CostModel Coef'!W$13:W$16,$X123),"")</f>
        <v/>
      </c>
      <c r="BN123" s="103" t="str">
        <f>IF($X123&gt;0,INDEX('CostModel Coef'!X$13:X$16,$X123),"")</f>
        <v/>
      </c>
      <c r="BO123" s="103"/>
      <c r="BP123" s="119">
        <v>2000</v>
      </c>
      <c r="BQ123" s="103"/>
      <c r="BR123" s="103"/>
      <c r="BS123" s="119" t="str">
        <f t="shared" si="34"/>
        <v/>
      </c>
      <c r="BT123" s="174">
        <f t="shared" si="26"/>
        <v>-1</v>
      </c>
      <c r="BU123" s="113" t="str">
        <f t="shared" si="36"/>
        <v>OOS</v>
      </c>
      <c r="BV123" s="108" t="str">
        <f t="shared" si="37"/>
        <v>OOS</v>
      </c>
      <c r="BW123" s="108" t="str">
        <f t="shared" si="38"/>
        <v>OOS</v>
      </c>
      <c r="BX123" s="108" t="str">
        <f t="shared" si="39"/>
        <v>OOS</v>
      </c>
      <c r="BY123" s="108" t="str">
        <f t="shared" si="40"/>
        <v>OOS</v>
      </c>
      <c r="BZ123" s="108"/>
      <c r="CA123" s="119" t="str">
        <f t="shared" si="41"/>
        <v/>
      </c>
      <c r="CB123" s="174">
        <f t="shared" si="32"/>
        <v>-1</v>
      </c>
      <c r="CC123" s="113" t="str">
        <f t="shared" si="42"/>
        <v/>
      </c>
      <c r="CD123" s="108" t="str">
        <f t="shared" si="43"/>
        <v/>
      </c>
      <c r="CE123" s="108" t="str">
        <f t="shared" si="44"/>
        <v/>
      </c>
      <c r="CF123" s="108" t="str">
        <f t="shared" si="45"/>
        <v/>
      </c>
      <c r="CG123" s="108" t="str">
        <f t="shared" si="46"/>
        <v/>
      </c>
      <c r="CH123" s="103"/>
      <c r="CI123" s="119" t="str">
        <f t="shared" si="35"/>
        <v/>
      </c>
      <c r="CJ123" s="174">
        <f t="shared" si="33"/>
        <v>-1</v>
      </c>
      <c r="CK123" s="113" t="str">
        <f t="shared" si="47"/>
        <v/>
      </c>
      <c r="CL123" s="108" t="str">
        <f t="shared" si="48"/>
        <v/>
      </c>
      <c r="CM123" s="108" t="str">
        <f t="shared" si="49"/>
        <v/>
      </c>
      <c r="CN123" s="108" t="str">
        <f t="shared" si="50"/>
        <v/>
      </c>
      <c r="CO123" s="108" t="str">
        <f t="shared" si="51"/>
        <v/>
      </c>
    </row>
    <row r="124" spans="1:93">
      <c r="A124" s="103" t="s">
        <v>400</v>
      </c>
      <c r="B124" s="103" t="s">
        <v>174</v>
      </c>
      <c r="C124" s="103" t="s">
        <v>153</v>
      </c>
      <c r="D124" s="250" t="s">
        <v>153</v>
      </c>
      <c r="E124" s="250"/>
      <c r="F124" s="182">
        <v>9020</v>
      </c>
      <c r="G124" s="250" t="s">
        <v>347</v>
      </c>
      <c r="H124" s="250">
        <v>79</v>
      </c>
      <c r="I124" s="250"/>
      <c r="J124" s="250"/>
      <c r="K124" s="250"/>
      <c r="L124" s="250" t="s">
        <v>61</v>
      </c>
      <c r="M124" s="250">
        <v>79</v>
      </c>
      <c r="N124" s="250"/>
      <c r="O124" s="250"/>
      <c r="P124" s="250" t="s">
        <v>153</v>
      </c>
      <c r="Q124" s="250"/>
      <c r="R124" s="250"/>
      <c r="S124" s="250"/>
      <c r="T124" s="250" t="s">
        <v>155</v>
      </c>
      <c r="U124" s="103" t="s">
        <v>401</v>
      </c>
      <c r="V124" s="106" t="s">
        <v>157</v>
      </c>
      <c r="W124" s="103" t="s">
        <v>158</v>
      </c>
      <c r="X124" s="103">
        <f>IFERROR(MATCH(W124,'CostModel Coef'!$C$9:$C$12,0),0)</f>
        <v>0</v>
      </c>
      <c r="Y124" s="103"/>
      <c r="Z124" s="103" t="str">
        <f>IF($X124&gt;0,INDEX('CostModel Coef'!D$9:D$12,$X124),"")</f>
        <v/>
      </c>
      <c r="AA124" s="103" t="str">
        <f>IF($X124&gt;0,INDEX('CostModel Coef'!E$9:E$12,$X124),"")</f>
        <v/>
      </c>
      <c r="AB124" s="103" t="str">
        <f>IF($X124&gt;0,INDEX('CostModel Coef'!F$9:F$12,$X124),"")</f>
        <v/>
      </c>
      <c r="AC124" s="103" t="str">
        <f>IF($X124&gt;0,INDEX('CostModel Coef'!G$9:G$12,$X124),"")</f>
        <v/>
      </c>
      <c r="AD124" s="103" t="str">
        <f>IF($X124&gt;0,INDEX('CostModel Coef'!H$9:H$12,$X124),"")</f>
        <v/>
      </c>
      <c r="AE124" s="103" t="str">
        <f>IF($X124&gt;0,INDEX('CostModel Coef'!J$9:J$12,$X124),"")</f>
        <v/>
      </c>
      <c r="AF124" s="103" t="str">
        <f>IF($X124&gt;0,INDEX('CostModel Coef'!K$9:K$12,$X124),"")</f>
        <v/>
      </c>
      <c r="AG124" s="103" t="str">
        <f>IF($X124&gt;0,INDEX('CostModel Coef'!L$9:L$12,$X124),"")</f>
        <v/>
      </c>
      <c r="AH124" s="103" t="str">
        <f>IF($X124&gt;0,INDEX('CostModel Coef'!M$9:M$12,$X124),"")</f>
        <v/>
      </c>
      <c r="AI124" s="103" t="str">
        <f>IF($X124&gt;0,INDEX('CostModel Coef'!N$9:N$12,$X124),"")</f>
        <v/>
      </c>
      <c r="AJ124" s="103" t="str">
        <f>IF($X124&gt;0,INDEX('CostModel Coef'!Q$9:Q$12,$X124),"")</f>
        <v/>
      </c>
      <c r="AK124" s="103" t="str">
        <f>IF($X124&gt;0,INDEX('CostModel Coef'!T$9:T$12,$X124),"")</f>
        <v/>
      </c>
      <c r="AL124" s="103"/>
      <c r="AM124" s="108" t="str">
        <f t="shared" si="27"/>
        <v/>
      </c>
      <c r="AN124" s="108" t="str">
        <f t="shared" si="28"/>
        <v/>
      </c>
      <c r="AO124" s="108" t="str">
        <f t="shared" si="29"/>
        <v/>
      </c>
      <c r="AP124" s="108" t="str">
        <f t="shared" si="30"/>
        <v/>
      </c>
      <c r="AQ124" s="108" t="str">
        <f t="shared" si="31"/>
        <v/>
      </c>
      <c r="AR124" s="108"/>
      <c r="AS124" s="108"/>
      <c r="AT124" s="103" t="str">
        <f>IF($X124&gt;0,INDEX('CostModel Coef'!D$13:D$16,$X124),"")</f>
        <v/>
      </c>
      <c r="AU124" s="103" t="str">
        <f>IF($X124&gt;0,INDEX('CostModel Coef'!E$13:E$16,$X124),"")</f>
        <v/>
      </c>
      <c r="AV124" s="103" t="str">
        <f>IF($X124&gt;0,INDEX('CostModel Coef'!F$13:F$16,$X124),"")</f>
        <v/>
      </c>
      <c r="AW124" s="103" t="str">
        <f>IF($X124&gt;0,INDEX('CostModel Coef'!G$13:G$16,$X124),"")</f>
        <v/>
      </c>
      <c r="AX124" s="103" t="str">
        <f>IF($X124&gt;0,INDEX('CostModel Coef'!H$13:H$16,$X124),"")</f>
        <v/>
      </c>
      <c r="AY124" s="103" t="str">
        <f>IF($X124&gt;0,INDEX('CostModel Coef'!I$13:I$16,$X124),"")</f>
        <v/>
      </c>
      <c r="AZ124" s="103" t="str">
        <f>IF($X124&gt;0,INDEX('CostModel Coef'!J$13:J$16,$X124),"")</f>
        <v/>
      </c>
      <c r="BA124" s="103" t="str">
        <f>IF($X124&gt;0,INDEX('CostModel Coef'!K$13:K$16,$X124),"")</f>
        <v/>
      </c>
      <c r="BB124" s="103" t="str">
        <f>IF($X124&gt;0,INDEX('CostModel Coef'!L$13:L$16,$X124),"")</f>
        <v/>
      </c>
      <c r="BC124" s="103" t="str">
        <f>IF($X124&gt;0,INDEX('CostModel Coef'!M$13:M$16,$X124),"")</f>
        <v/>
      </c>
      <c r="BD124" s="103" t="str">
        <f>IF($X124&gt;0,INDEX('CostModel Coef'!N$13:N$16,$X124),"")</f>
        <v/>
      </c>
      <c r="BE124" s="103" t="str">
        <f>IF($X124&gt;0,INDEX('CostModel Coef'!O$13:O$16,$X124),"")</f>
        <v/>
      </c>
      <c r="BF124" s="103" t="str">
        <f>IF($X124&gt;0,INDEX('CostModel Coef'!P$13:P$16,$X124),"")</f>
        <v/>
      </c>
      <c r="BG124" s="103" t="str">
        <f>IF($X124&gt;0,INDEX('CostModel Coef'!Q$13:Q$16,$X124),"")</f>
        <v/>
      </c>
      <c r="BH124" s="103" t="str">
        <f>IF($X124&gt;0,INDEX('CostModel Coef'!R$13:R$16,$X124),"")</f>
        <v/>
      </c>
      <c r="BI124" s="103" t="str">
        <f>IF($X124&gt;0,INDEX('CostModel Coef'!S$13:S$16,$X124),"")</f>
        <v/>
      </c>
      <c r="BJ124" s="103" t="str">
        <f>IF($X124&gt;0,INDEX('CostModel Coef'!T$13:T$16,$X124),"")</f>
        <v/>
      </c>
      <c r="BK124" s="103" t="str">
        <f>IF($X124&gt;0,INDEX('CostModel Coef'!U$13:U$16,$X124),"")</f>
        <v/>
      </c>
      <c r="BL124" s="103" t="str">
        <f>IF($X124&gt;0,INDEX('CostModel Coef'!V$13:V$16,$X124),"")</f>
        <v/>
      </c>
      <c r="BM124" s="103" t="str">
        <f>IF($X124&gt;0,INDEX('CostModel Coef'!W$13:W$16,$X124),"")</f>
        <v/>
      </c>
      <c r="BN124" s="103" t="str">
        <f>IF($X124&gt;0,INDEX('CostModel Coef'!X$13:X$16,$X124),"")</f>
        <v/>
      </c>
      <c r="BO124" s="103"/>
      <c r="BP124" s="119">
        <v>2000</v>
      </c>
      <c r="BQ124" s="103"/>
      <c r="BR124" s="103"/>
      <c r="BS124" s="119" t="str">
        <f t="shared" si="34"/>
        <v/>
      </c>
      <c r="BT124" s="174">
        <f t="shared" si="26"/>
        <v>-1</v>
      </c>
      <c r="BU124" s="113" t="str">
        <f t="shared" si="36"/>
        <v>OOS</v>
      </c>
      <c r="BV124" s="108" t="str">
        <f t="shared" si="37"/>
        <v>OOS</v>
      </c>
      <c r="BW124" s="108" t="str">
        <f t="shared" si="38"/>
        <v>OOS</v>
      </c>
      <c r="BX124" s="108" t="str">
        <f t="shared" si="39"/>
        <v>OOS</v>
      </c>
      <c r="BY124" s="108" t="str">
        <f t="shared" si="40"/>
        <v>OOS</v>
      </c>
      <c r="BZ124" s="108"/>
      <c r="CA124" s="119" t="str">
        <f t="shared" si="41"/>
        <v/>
      </c>
      <c r="CB124" s="174">
        <f t="shared" si="32"/>
        <v>-1</v>
      </c>
      <c r="CC124" s="113" t="str">
        <f t="shared" si="42"/>
        <v/>
      </c>
      <c r="CD124" s="108" t="str">
        <f t="shared" si="43"/>
        <v/>
      </c>
      <c r="CE124" s="108" t="str">
        <f t="shared" si="44"/>
        <v/>
      </c>
      <c r="CF124" s="108" t="str">
        <f t="shared" si="45"/>
        <v/>
      </c>
      <c r="CG124" s="108" t="str">
        <f t="shared" si="46"/>
        <v/>
      </c>
      <c r="CH124" s="103"/>
      <c r="CI124" s="119" t="str">
        <f t="shared" si="35"/>
        <v/>
      </c>
      <c r="CJ124" s="174">
        <f t="shared" si="33"/>
        <v>-1</v>
      </c>
      <c r="CK124" s="113" t="str">
        <f t="shared" si="47"/>
        <v/>
      </c>
      <c r="CL124" s="108" t="str">
        <f t="shared" si="48"/>
        <v/>
      </c>
      <c r="CM124" s="108" t="str">
        <f t="shared" si="49"/>
        <v/>
      </c>
      <c r="CN124" s="108" t="str">
        <f t="shared" si="50"/>
        <v/>
      </c>
      <c r="CO124" s="108" t="str">
        <f t="shared" si="51"/>
        <v/>
      </c>
    </row>
    <row r="125" spans="1:93">
      <c r="A125" s="103" t="s">
        <v>402</v>
      </c>
      <c r="B125" s="103" t="s">
        <v>174</v>
      </c>
      <c r="C125" s="103" t="s">
        <v>153</v>
      </c>
      <c r="D125" s="250" t="s">
        <v>153</v>
      </c>
      <c r="E125" s="250"/>
      <c r="F125" s="182">
        <v>9020</v>
      </c>
      <c r="G125" s="250" t="s">
        <v>347</v>
      </c>
      <c r="H125" s="250">
        <v>81</v>
      </c>
      <c r="I125" s="250"/>
      <c r="J125" s="250"/>
      <c r="K125" s="250"/>
      <c r="L125" s="250" t="s">
        <v>61</v>
      </c>
      <c r="M125" s="250">
        <v>81</v>
      </c>
      <c r="N125" s="250"/>
      <c r="O125" s="250"/>
      <c r="P125" s="250" t="s">
        <v>153</v>
      </c>
      <c r="Q125" s="250"/>
      <c r="R125" s="250"/>
      <c r="S125" s="250"/>
      <c r="T125" s="250" t="s">
        <v>155</v>
      </c>
      <c r="U125" s="103" t="s">
        <v>403</v>
      </c>
      <c r="V125" s="106" t="s">
        <v>157</v>
      </c>
      <c r="W125" s="103" t="s">
        <v>158</v>
      </c>
      <c r="X125" s="103">
        <f>IFERROR(MATCH(W125,'CostModel Coef'!$C$9:$C$12,0),0)</f>
        <v>0</v>
      </c>
      <c r="Y125" s="103"/>
      <c r="Z125" s="103" t="str">
        <f>IF($X125&gt;0,INDEX('CostModel Coef'!D$9:D$12,$X125),"")</f>
        <v/>
      </c>
      <c r="AA125" s="103" t="str">
        <f>IF($X125&gt;0,INDEX('CostModel Coef'!E$9:E$12,$X125),"")</f>
        <v/>
      </c>
      <c r="AB125" s="103" t="str">
        <f>IF($X125&gt;0,INDEX('CostModel Coef'!F$9:F$12,$X125),"")</f>
        <v/>
      </c>
      <c r="AC125" s="103" t="str">
        <f>IF($X125&gt;0,INDEX('CostModel Coef'!G$9:G$12,$X125),"")</f>
        <v/>
      </c>
      <c r="AD125" s="103" t="str">
        <f>IF($X125&gt;0,INDEX('CostModel Coef'!H$9:H$12,$X125),"")</f>
        <v/>
      </c>
      <c r="AE125" s="103" t="str">
        <f>IF($X125&gt;0,INDEX('CostModel Coef'!J$9:J$12,$X125),"")</f>
        <v/>
      </c>
      <c r="AF125" s="103" t="str">
        <f>IF($X125&gt;0,INDEX('CostModel Coef'!K$9:K$12,$X125),"")</f>
        <v/>
      </c>
      <c r="AG125" s="103" t="str">
        <f>IF($X125&gt;0,INDEX('CostModel Coef'!L$9:L$12,$X125),"")</f>
        <v/>
      </c>
      <c r="AH125" s="103" t="str">
        <f>IF($X125&gt;0,INDEX('CostModel Coef'!M$9:M$12,$X125),"")</f>
        <v/>
      </c>
      <c r="AI125" s="103" t="str">
        <f>IF($X125&gt;0,INDEX('CostModel Coef'!N$9:N$12,$X125),"")</f>
        <v/>
      </c>
      <c r="AJ125" s="103" t="str">
        <f>IF($X125&gt;0,INDEX('CostModel Coef'!Q$9:Q$12,$X125),"")</f>
        <v/>
      </c>
      <c r="AK125" s="103" t="str">
        <f>IF($X125&gt;0,INDEX('CostModel Coef'!T$9:T$12,$X125),"")</f>
        <v/>
      </c>
      <c r="AL125" s="103"/>
      <c r="AM125" s="108" t="str">
        <f t="shared" si="27"/>
        <v/>
      </c>
      <c r="AN125" s="108" t="str">
        <f t="shared" si="28"/>
        <v/>
      </c>
      <c r="AO125" s="108" t="str">
        <f t="shared" si="29"/>
        <v/>
      </c>
      <c r="AP125" s="108" t="str">
        <f t="shared" si="30"/>
        <v/>
      </c>
      <c r="AQ125" s="108" t="str">
        <f t="shared" si="31"/>
        <v/>
      </c>
      <c r="AR125" s="108"/>
      <c r="AS125" s="108"/>
      <c r="AT125" s="103" t="str">
        <f>IF($X125&gt;0,INDEX('CostModel Coef'!D$13:D$16,$X125),"")</f>
        <v/>
      </c>
      <c r="AU125" s="103" t="str">
        <f>IF($X125&gt;0,INDEX('CostModel Coef'!E$13:E$16,$X125),"")</f>
        <v/>
      </c>
      <c r="AV125" s="103" t="str">
        <f>IF($X125&gt;0,INDEX('CostModel Coef'!F$13:F$16,$X125),"")</f>
        <v/>
      </c>
      <c r="AW125" s="103" t="str">
        <f>IF($X125&gt;0,INDEX('CostModel Coef'!G$13:G$16,$X125),"")</f>
        <v/>
      </c>
      <c r="AX125" s="103" t="str">
        <f>IF($X125&gt;0,INDEX('CostModel Coef'!H$13:H$16,$X125),"")</f>
        <v/>
      </c>
      <c r="AY125" s="103" t="str">
        <f>IF($X125&gt;0,INDEX('CostModel Coef'!I$13:I$16,$X125),"")</f>
        <v/>
      </c>
      <c r="AZ125" s="103" t="str">
        <f>IF($X125&gt;0,INDEX('CostModel Coef'!J$13:J$16,$X125),"")</f>
        <v/>
      </c>
      <c r="BA125" s="103" t="str">
        <f>IF($X125&gt;0,INDEX('CostModel Coef'!K$13:K$16,$X125),"")</f>
        <v/>
      </c>
      <c r="BB125" s="103" t="str">
        <f>IF($X125&gt;0,INDEX('CostModel Coef'!L$13:L$16,$X125),"")</f>
        <v/>
      </c>
      <c r="BC125" s="103" t="str">
        <f>IF($X125&gt;0,INDEX('CostModel Coef'!M$13:M$16,$X125),"")</f>
        <v/>
      </c>
      <c r="BD125" s="103" t="str">
        <f>IF($X125&gt;0,INDEX('CostModel Coef'!N$13:N$16,$X125),"")</f>
        <v/>
      </c>
      <c r="BE125" s="103" t="str">
        <f>IF($X125&gt;0,INDEX('CostModel Coef'!O$13:O$16,$X125),"")</f>
        <v/>
      </c>
      <c r="BF125" s="103" t="str">
        <f>IF($X125&gt;0,INDEX('CostModel Coef'!P$13:P$16,$X125),"")</f>
        <v/>
      </c>
      <c r="BG125" s="103" t="str">
        <f>IF($X125&gt;0,INDEX('CostModel Coef'!Q$13:Q$16,$X125),"")</f>
        <v/>
      </c>
      <c r="BH125" s="103" t="str">
        <f>IF($X125&gt;0,INDEX('CostModel Coef'!R$13:R$16,$X125),"")</f>
        <v/>
      </c>
      <c r="BI125" s="103" t="str">
        <f>IF($X125&gt;0,INDEX('CostModel Coef'!S$13:S$16,$X125),"")</f>
        <v/>
      </c>
      <c r="BJ125" s="103" t="str">
        <f>IF($X125&gt;0,INDEX('CostModel Coef'!T$13:T$16,$X125),"")</f>
        <v/>
      </c>
      <c r="BK125" s="103" t="str">
        <f>IF($X125&gt;0,INDEX('CostModel Coef'!U$13:U$16,$X125),"")</f>
        <v/>
      </c>
      <c r="BL125" s="103" t="str">
        <f>IF($X125&gt;0,INDEX('CostModel Coef'!V$13:V$16,$X125),"")</f>
        <v/>
      </c>
      <c r="BM125" s="103" t="str">
        <f>IF($X125&gt;0,INDEX('CostModel Coef'!W$13:W$16,$X125),"")</f>
        <v/>
      </c>
      <c r="BN125" s="103" t="str">
        <f>IF($X125&gt;0,INDEX('CostModel Coef'!X$13:X$16,$X125),"")</f>
        <v/>
      </c>
      <c r="BO125" s="103"/>
      <c r="BP125" s="119">
        <v>2000</v>
      </c>
      <c r="BQ125" s="103"/>
      <c r="BR125" s="103"/>
      <c r="BS125" s="119" t="str">
        <f t="shared" si="34"/>
        <v/>
      </c>
      <c r="BT125" s="174">
        <f t="shared" si="26"/>
        <v>-1</v>
      </c>
      <c r="BU125" s="113" t="str">
        <f t="shared" si="36"/>
        <v>OOS</v>
      </c>
      <c r="BV125" s="108" t="str">
        <f t="shared" si="37"/>
        <v>OOS</v>
      </c>
      <c r="BW125" s="108" t="str">
        <f t="shared" si="38"/>
        <v>OOS</v>
      </c>
      <c r="BX125" s="108" t="str">
        <f t="shared" si="39"/>
        <v>OOS</v>
      </c>
      <c r="BY125" s="108" t="str">
        <f t="shared" si="40"/>
        <v>OOS</v>
      </c>
      <c r="BZ125" s="108"/>
      <c r="CA125" s="119" t="str">
        <f t="shared" si="41"/>
        <v/>
      </c>
      <c r="CB125" s="174">
        <f t="shared" si="32"/>
        <v>-1</v>
      </c>
      <c r="CC125" s="113" t="str">
        <f t="shared" si="42"/>
        <v/>
      </c>
      <c r="CD125" s="108" t="str">
        <f t="shared" si="43"/>
        <v/>
      </c>
      <c r="CE125" s="108" t="str">
        <f t="shared" si="44"/>
        <v/>
      </c>
      <c r="CF125" s="108" t="str">
        <f t="shared" si="45"/>
        <v/>
      </c>
      <c r="CG125" s="108" t="str">
        <f t="shared" si="46"/>
        <v/>
      </c>
      <c r="CH125" s="103"/>
      <c r="CI125" s="119" t="str">
        <f t="shared" si="35"/>
        <v/>
      </c>
      <c r="CJ125" s="174">
        <f t="shared" si="33"/>
        <v>-1</v>
      </c>
      <c r="CK125" s="113" t="str">
        <f t="shared" si="47"/>
        <v/>
      </c>
      <c r="CL125" s="108" t="str">
        <f t="shared" si="48"/>
        <v/>
      </c>
      <c r="CM125" s="108" t="str">
        <f t="shared" si="49"/>
        <v/>
      </c>
      <c r="CN125" s="108" t="str">
        <f t="shared" si="50"/>
        <v/>
      </c>
      <c r="CO125" s="108" t="str">
        <f t="shared" si="51"/>
        <v/>
      </c>
    </row>
    <row r="126" spans="1:93">
      <c r="A126" s="103" t="s">
        <v>404</v>
      </c>
      <c r="B126" s="103" t="s">
        <v>174</v>
      </c>
      <c r="C126" s="103" t="s">
        <v>153</v>
      </c>
      <c r="D126" s="250" t="s">
        <v>153</v>
      </c>
      <c r="E126" s="250"/>
      <c r="F126" s="182">
        <v>9020</v>
      </c>
      <c r="G126" s="250" t="s">
        <v>347</v>
      </c>
      <c r="H126" s="250">
        <v>82</v>
      </c>
      <c r="I126" s="250"/>
      <c r="J126" s="250"/>
      <c r="K126" s="250"/>
      <c r="L126" s="250" t="s">
        <v>61</v>
      </c>
      <c r="M126" s="250">
        <v>82</v>
      </c>
      <c r="N126" s="250"/>
      <c r="O126" s="250"/>
      <c r="P126" s="250" t="s">
        <v>153</v>
      </c>
      <c r="Q126" s="250"/>
      <c r="R126" s="250"/>
      <c r="S126" s="250"/>
      <c r="T126" s="250" t="s">
        <v>155</v>
      </c>
      <c r="U126" s="103" t="s">
        <v>405</v>
      </c>
      <c r="V126" s="106" t="s">
        <v>157</v>
      </c>
      <c r="W126" s="103" t="s">
        <v>158</v>
      </c>
      <c r="X126" s="103">
        <f>IFERROR(MATCH(W126,'CostModel Coef'!$C$9:$C$12,0),0)</f>
        <v>0</v>
      </c>
      <c r="Y126" s="103"/>
      <c r="Z126" s="103" t="str">
        <f>IF($X126&gt;0,INDEX('CostModel Coef'!D$9:D$12,$X126),"")</f>
        <v/>
      </c>
      <c r="AA126" s="103" t="str">
        <f>IF($X126&gt;0,INDEX('CostModel Coef'!E$9:E$12,$X126),"")</f>
        <v/>
      </c>
      <c r="AB126" s="103" t="str">
        <f>IF($X126&gt;0,INDEX('CostModel Coef'!F$9:F$12,$X126),"")</f>
        <v/>
      </c>
      <c r="AC126" s="103" t="str">
        <f>IF($X126&gt;0,INDEX('CostModel Coef'!G$9:G$12,$X126),"")</f>
        <v/>
      </c>
      <c r="AD126" s="103" t="str">
        <f>IF($X126&gt;0,INDEX('CostModel Coef'!H$9:H$12,$X126),"")</f>
        <v/>
      </c>
      <c r="AE126" s="103" t="str">
        <f>IF($X126&gt;0,INDEX('CostModel Coef'!J$9:J$12,$X126),"")</f>
        <v/>
      </c>
      <c r="AF126" s="103" t="str">
        <f>IF($X126&gt;0,INDEX('CostModel Coef'!K$9:K$12,$X126),"")</f>
        <v/>
      </c>
      <c r="AG126" s="103" t="str">
        <f>IF($X126&gt;0,INDEX('CostModel Coef'!L$9:L$12,$X126),"")</f>
        <v/>
      </c>
      <c r="AH126" s="103" t="str">
        <f>IF($X126&gt;0,INDEX('CostModel Coef'!M$9:M$12,$X126),"")</f>
        <v/>
      </c>
      <c r="AI126" s="103" t="str">
        <f>IF($X126&gt;0,INDEX('CostModel Coef'!N$9:N$12,$X126),"")</f>
        <v/>
      </c>
      <c r="AJ126" s="103" t="str">
        <f>IF($X126&gt;0,INDEX('CostModel Coef'!Q$9:Q$12,$X126),"")</f>
        <v/>
      </c>
      <c r="AK126" s="103" t="str">
        <f>IF($X126&gt;0,INDEX('CostModel Coef'!T$9:T$12,$X126),"")</f>
        <v/>
      </c>
      <c r="AL126" s="103"/>
      <c r="AM126" s="108" t="str">
        <f t="shared" si="27"/>
        <v/>
      </c>
      <c r="AN126" s="108" t="str">
        <f t="shared" si="28"/>
        <v/>
      </c>
      <c r="AO126" s="108" t="str">
        <f t="shared" si="29"/>
        <v/>
      </c>
      <c r="AP126" s="108" t="str">
        <f t="shared" si="30"/>
        <v/>
      </c>
      <c r="AQ126" s="108" t="str">
        <f t="shared" si="31"/>
        <v/>
      </c>
      <c r="AR126" s="108"/>
      <c r="AS126" s="108"/>
      <c r="AT126" s="103" t="str">
        <f>IF($X126&gt;0,INDEX('CostModel Coef'!D$13:D$16,$X126),"")</f>
        <v/>
      </c>
      <c r="AU126" s="103" t="str">
        <f>IF($X126&gt;0,INDEX('CostModel Coef'!E$13:E$16,$X126),"")</f>
        <v/>
      </c>
      <c r="AV126" s="103" t="str">
        <f>IF($X126&gt;0,INDEX('CostModel Coef'!F$13:F$16,$X126),"")</f>
        <v/>
      </c>
      <c r="AW126" s="103" t="str">
        <f>IF($X126&gt;0,INDEX('CostModel Coef'!G$13:G$16,$X126),"")</f>
        <v/>
      </c>
      <c r="AX126" s="103" t="str">
        <f>IF($X126&gt;0,INDEX('CostModel Coef'!H$13:H$16,$X126),"")</f>
        <v/>
      </c>
      <c r="AY126" s="103" t="str">
        <f>IF($X126&gt;0,INDEX('CostModel Coef'!I$13:I$16,$X126),"")</f>
        <v/>
      </c>
      <c r="AZ126" s="103" t="str">
        <f>IF($X126&gt;0,INDEX('CostModel Coef'!J$13:J$16,$X126),"")</f>
        <v/>
      </c>
      <c r="BA126" s="103" t="str">
        <f>IF($X126&gt;0,INDEX('CostModel Coef'!K$13:K$16,$X126),"")</f>
        <v/>
      </c>
      <c r="BB126" s="103" t="str">
        <f>IF($X126&gt;0,INDEX('CostModel Coef'!L$13:L$16,$X126),"")</f>
        <v/>
      </c>
      <c r="BC126" s="103" t="str">
        <f>IF($X126&gt;0,INDEX('CostModel Coef'!M$13:M$16,$X126),"")</f>
        <v/>
      </c>
      <c r="BD126" s="103" t="str">
        <f>IF($X126&gt;0,INDEX('CostModel Coef'!N$13:N$16,$X126),"")</f>
        <v/>
      </c>
      <c r="BE126" s="103" t="str">
        <f>IF($X126&gt;0,INDEX('CostModel Coef'!O$13:O$16,$X126),"")</f>
        <v/>
      </c>
      <c r="BF126" s="103" t="str">
        <f>IF($X126&gt;0,INDEX('CostModel Coef'!P$13:P$16,$X126),"")</f>
        <v/>
      </c>
      <c r="BG126" s="103" t="str">
        <f>IF($X126&gt;0,INDEX('CostModel Coef'!Q$13:Q$16,$X126),"")</f>
        <v/>
      </c>
      <c r="BH126" s="103" t="str">
        <f>IF($X126&gt;0,INDEX('CostModel Coef'!R$13:R$16,$X126),"")</f>
        <v/>
      </c>
      <c r="BI126" s="103" t="str">
        <f>IF($X126&gt;0,INDEX('CostModel Coef'!S$13:S$16,$X126),"")</f>
        <v/>
      </c>
      <c r="BJ126" s="103" t="str">
        <f>IF($X126&gt;0,INDEX('CostModel Coef'!T$13:T$16,$X126),"")</f>
        <v/>
      </c>
      <c r="BK126" s="103" t="str">
        <f>IF($X126&gt;0,INDEX('CostModel Coef'!U$13:U$16,$X126),"")</f>
        <v/>
      </c>
      <c r="BL126" s="103" t="str">
        <f>IF($X126&gt;0,INDEX('CostModel Coef'!V$13:V$16,$X126),"")</f>
        <v/>
      </c>
      <c r="BM126" s="103" t="str">
        <f>IF($X126&gt;0,INDEX('CostModel Coef'!W$13:W$16,$X126),"")</f>
        <v/>
      </c>
      <c r="BN126" s="103" t="str">
        <f>IF($X126&gt;0,INDEX('CostModel Coef'!X$13:X$16,$X126),"")</f>
        <v/>
      </c>
      <c r="BO126" s="103"/>
      <c r="BP126" s="119">
        <v>2000</v>
      </c>
      <c r="BQ126" s="103"/>
      <c r="BR126" s="103"/>
      <c r="BS126" s="119" t="str">
        <f t="shared" si="34"/>
        <v/>
      </c>
      <c r="BT126" s="174">
        <f t="shared" si="26"/>
        <v>-1</v>
      </c>
      <c r="BU126" s="113" t="str">
        <f t="shared" si="36"/>
        <v>OOS</v>
      </c>
      <c r="BV126" s="108" t="str">
        <f t="shared" si="37"/>
        <v>OOS</v>
      </c>
      <c r="BW126" s="108" t="str">
        <f t="shared" si="38"/>
        <v>OOS</v>
      </c>
      <c r="BX126" s="108" t="str">
        <f t="shared" si="39"/>
        <v>OOS</v>
      </c>
      <c r="BY126" s="108" t="str">
        <f t="shared" si="40"/>
        <v>OOS</v>
      </c>
      <c r="BZ126" s="108"/>
      <c r="CA126" s="119" t="str">
        <f t="shared" si="41"/>
        <v/>
      </c>
      <c r="CB126" s="174">
        <f t="shared" si="32"/>
        <v>-1</v>
      </c>
      <c r="CC126" s="113" t="str">
        <f t="shared" si="42"/>
        <v/>
      </c>
      <c r="CD126" s="108" t="str">
        <f t="shared" si="43"/>
        <v/>
      </c>
      <c r="CE126" s="108" t="str">
        <f t="shared" si="44"/>
        <v/>
      </c>
      <c r="CF126" s="108" t="str">
        <f t="shared" si="45"/>
        <v/>
      </c>
      <c r="CG126" s="108" t="str">
        <f t="shared" si="46"/>
        <v/>
      </c>
      <c r="CH126" s="103"/>
      <c r="CI126" s="119" t="str">
        <f t="shared" si="35"/>
        <v/>
      </c>
      <c r="CJ126" s="174">
        <f t="shared" si="33"/>
        <v>-1</v>
      </c>
      <c r="CK126" s="113" t="str">
        <f t="shared" si="47"/>
        <v/>
      </c>
      <c r="CL126" s="108" t="str">
        <f t="shared" si="48"/>
        <v/>
      </c>
      <c r="CM126" s="108" t="str">
        <f t="shared" si="49"/>
        <v/>
      </c>
      <c r="CN126" s="108" t="str">
        <f t="shared" si="50"/>
        <v/>
      </c>
      <c r="CO126" s="108" t="str">
        <f t="shared" si="51"/>
        <v/>
      </c>
    </row>
    <row r="127" spans="1:93">
      <c r="A127" s="103" t="s">
        <v>406</v>
      </c>
      <c r="B127" s="103" t="s">
        <v>174</v>
      </c>
      <c r="C127" s="103" t="s">
        <v>153</v>
      </c>
      <c r="D127" s="250" t="s">
        <v>153</v>
      </c>
      <c r="E127" s="250"/>
      <c r="F127" s="182">
        <v>9020</v>
      </c>
      <c r="G127" s="250" t="s">
        <v>347</v>
      </c>
      <c r="H127" s="250">
        <v>99</v>
      </c>
      <c r="I127" s="250"/>
      <c r="J127" s="250"/>
      <c r="K127" s="250"/>
      <c r="L127" s="250" t="s">
        <v>61</v>
      </c>
      <c r="M127" s="250">
        <v>99</v>
      </c>
      <c r="N127" s="250"/>
      <c r="O127" s="250"/>
      <c r="P127" s="250" t="s">
        <v>153</v>
      </c>
      <c r="Q127" s="250"/>
      <c r="R127" s="250"/>
      <c r="S127" s="250"/>
      <c r="T127" s="250" t="s">
        <v>155</v>
      </c>
      <c r="U127" s="103" t="s">
        <v>407</v>
      </c>
      <c r="V127" s="106" t="s">
        <v>157</v>
      </c>
      <c r="W127" s="103" t="s">
        <v>158</v>
      </c>
      <c r="X127" s="103">
        <f>IFERROR(MATCH(W127,'CostModel Coef'!$C$9:$C$12,0),0)</f>
        <v>0</v>
      </c>
      <c r="Y127" s="103"/>
      <c r="Z127" s="103" t="str">
        <f>IF($X127&gt;0,INDEX('CostModel Coef'!D$9:D$12,$X127),"")</f>
        <v/>
      </c>
      <c r="AA127" s="103" t="str">
        <f>IF($X127&gt;0,INDEX('CostModel Coef'!E$9:E$12,$X127),"")</f>
        <v/>
      </c>
      <c r="AB127" s="103" t="str">
        <f>IF($X127&gt;0,INDEX('CostModel Coef'!F$9:F$12,$X127),"")</f>
        <v/>
      </c>
      <c r="AC127" s="103" t="str">
        <f>IF($X127&gt;0,INDEX('CostModel Coef'!G$9:G$12,$X127),"")</f>
        <v/>
      </c>
      <c r="AD127" s="103" t="str">
        <f>IF($X127&gt;0,INDEX('CostModel Coef'!H$9:H$12,$X127),"")</f>
        <v/>
      </c>
      <c r="AE127" s="103" t="str">
        <f>IF($X127&gt;0,INDEX('CostModel Coef'!J$9:J$12,$X127),"")</f>
        <v/>
      </c>
      <c r="AF127" s="103" t="str">
        <f>IF($X127&gt;0,INDEX('CostModel Coef'!K$9:K$12,$X127),"")</f>
        <v/>
      </c>
      <c r="AG127" s="103" t="str">
        <f>IF($X127&gt;0,INDEX('CostModel Coef'!L$9:L$12,$X127),"")</f>
        <v/>
      </c>
      <c r="AH127" s="103" t="str">
        <f>IF($X127&gt;0,INDEX('CostModel Coef'!M$9:M$12,$X127),"")</f>
        <v/>
      </c>
      <c r="AI127" s="103" t="str">
        <f>IF($X127&gt;0,INDEX('CostModel Coef'!N$9:N$12,$X127),"")</f>
        <v/>
      </c>
      <c r="AJ127" s="103" t="str">
        <f>IF($X127&gt;0,INDEX('CostModel Coef'!Q$9:Q$12,$X127),"")</f>
        <v/>
      </c>
      <c r="AK127" s="103" t="str">
        <f>IF($X127&gt;0,INDEX('CostModel Coef'!T$9:T$12,$X127),"")</f>
        <v/>
      </c>
      <c r="AL127" s="103"/>
      <c r="AM127" s="108" t="str">
        <f t="shared" si="27"/>
        <v/>
      </c>
      <c r="AN127" s="108" t="str">
        <f t="shared" si="28"/>
        <v/>
      </c>
      <c r="AO127" s="108" t="str">
        <f t="shared" si="29"/>
        <v/>
      </c>
      <c r="AP127" s="108" t="str">
        <f t="shared" si="30"/>
        <v/>
      </c>
      <c r="AQ127" s="108" t="str">
        <f t="shared" si="31"/>
        <v/>
      </c>
      <c r="AR127" s="108"/>
      <c r="AS127" s="108"/>
      <c r="AT127" s="103" t="str">
        <f>IF($X127&gt;0,INDEX('CostModel Coef'!D$13:D$16,$X127),"")</f>
        <v/>
      </c>
      <c r="AU127" s="103" t="str">
        <f>IF($X127&gt;0,INDEX('CostModel Coef'!E$13:E$16,$X127),"")</f>
        <v/>
      </c>
      <c r="AV127" s="103" t="str">
        <f>IF($X127&gt;0,INDEX('CostModel Coef'!F$13:F$16,$X127),"")</f>
        <v/>
      </c>
      <c r="AW127" s="103" t="str">
        <f>IF($X127&gt;0,INDEX('CostModel Coef'!G$13:G$16,$X127),"")</f>
        <v/>
      </c>
      <c r="AX127" s="103" t="str">
        <f>IF($X127&gt;0,INDEX('CostModel Coef'!H$13:H$16,$X127),"")</f>
        <v/>
      </c>
      <c r="AY127" s="103" t="str">
        <f>IF($X127&gt;0,INDEX('CostModel Coef'!I$13:I$16,$X127),"")</f>
        <v/>
      </c>
      <c r="AZ127" s="103" t="str">
        <f>IF($X127&gt;0,INDEX('CostModel Coef'!J$13:J$16,$X127),"")</f>
        <v/>
      </c>
      <c r="BA127" s="103" t="str">
        <f>IF($X127&gt;0,INDEX('CostModel Coef'!K$13:K$16,$X127),"")</f>
        <v/>
      </c>
      <c r="BB127" s="103" t="str">
        <f>IF($X127&gt;0,INDEX('CostModel Coef'!L$13:L$16,$X127),"")</f>
        <v/>
      </c>
      <c r="BC127" s="103" t="str">
        <f>IF($X127&gt;0,INDEX('CostModel Coef'!M$13:M$16,$X127),"")</f>
        <v/>
      </c>
      <c r="BD127" s="103" t="str">
        <f>IF($X127&gt;0,INDEX('CostModel Coef'!N$13:N$16,$X127),"")</f>
        <v/>
      </c>
      <c r="BE127" s="103" t="str">
        <f>IF($X127&gt;0,INDEX('CostModel Coef'!O$13:O$16,$X127),"")</f>
        <v/>
      </c>
      <c r="BF127" s="103" t="str">
        <f>IF($X127&gt;0,INDEX('CostModel Coef'!P$13:P$16,$X127),"")</f>
        <v/>
      </c>
      <c r="BG127" s="103" t="str">
        <f>IF($X127&gt;0,INDEX('CostModel Coef'!Q$13:Q$16,$X127),"")</f>
        <v/>
      </c>
      <c r="BH127" s="103" t="str">
        <f>IF($X127&gt;0,INDEX('CostModel Coef'!R$13:R$16,$X127),"")</f>
        <v/>
      </c>
      <c r="BI127" s="103" t="str">
        <f>IF($X127&gt;0,INDEX('CostModel Coef'!S$13:S$16,$X127),"")</f>
        <v/>
      </c>
      <c r="BJ127" s="103" t="str">
        <f>IF($X127&gt;0,INDEX('CostModel Coef'!T$13:T$16,$X127),"")</f>
        <v/>
      </c>
      <c r="BK127" s="103" t="str">
        <f>IF($X127&gt;0,INDEX('CostModel Coef'!U$13:U$16,$X127),"")</f>
        <v/>
      </c>
      <c r="BL127" s="103" t="str">
        <f>IF($X127&gt;0,INDEX('CostModel Coef'!V$13:V$16,$X127),"")</f>
        <v/>
      </c>
      <c r="BM127" s="103" t="str">
        <f>IF($X127&gt;0,INDEX('CostModel Coef'!W$13:W$16,$X127),"")</f>
        <v/>
      </c>
      <c r="BN127" s="103" t="str">
        <f>IF($X127&gt;0,INDEX('CostModel Coef'!X$13:X$16,$X127),"")</f>
        <v/>
      </c>
      <c r="BO127" s="103"/>
      <c r="BP127" s="119">
        <v>2000</v>
      </c>
      <c r="BQ127" s="103"/>
      <c r="BR127" s="103"/>
      <c r="BS127" s="119" t="str">
        <f t="shared" si="34"/>
        <v/>
      </c>
      <c r="BT127" s="174">
        <f t="shared" si="26"/>
        <v>-1</v>
      </c>
      <c r="BU127" s="113" t="str">
        <f t="shared" si="36"/>
        <v>OOS</v>
      </c>
      <c r="BV127" s="108" t="str">
        <f t="shared" si="37"/>
        <v>OOS</v>
      </c>
      <c r="BW127" s="108" t="str">
        <f t="shared" si="38"/>
        <v>OOS</v>
      </c>
      <c r="BX127" s="108" t="str">
        <f t="shared" si="39"/>
        <v>OOS</v>
      </c>
      <c r="BY127" s="108" t="str">
        <f t="shared" si="40"/>
        <v>OOS</v>
      </c>
      <c r="BZ127" s="108"/>
      <c r="CA127" s="119" t="str">
        <f t="shared" si="41"/>
        <v/>
      </c>
      <c r="CB127" s="174">
        <f t="shared" si="32"/>
        <v>-1</v>
      </c>
      <c r="CC127" s="113" t="str">
        <f t="shared" si="42"/>
        <v/>
      </c>
      <c r="CD127" s="108" t="str">
        <f t="shared" si="43"/>
        <v/>
      </c>
      <c r="CE127" s="108" t="str">
        <f t="shared" si="44"/>
        <v/>
      </c>
      <c r="CF127" s="108" t="str">
        <f t="shared" si="45"/>
        <v/>
      </c>
      <c r="CG127" s="108" t="str">
        <f t="shared" si="46"/>
        <v/>
      </c>
      <c r="CH127" s="103"/>
      <c r="CI127" s="119" t="str">
        <f t="shared" si="35"/>
        <v/>
      </c>
      <c r="CJ127" s="174">
        <f t="shared" si="33"/>
        <v>-1</v>
      </c>
      <c r="CK127" s="113" t="str">
        <f t="shared" si="47"/>
        <v/>
      </c>
      <c r="CL127" s="108" t="str">
        <f t="shared" si="48"/>
        <v/>
      </c>
      <c r="CM127" s="108" t="str">
        <f t="shared" si="49"/>
        <v/>
      </c>
      <c r="CN127" s="108" t="str">
        <f t="shared" si="50"/>
        <v/>
      </c>
      <c r="CO127" s="108" t="str">
        <f t="shared" si="51"/>
        <v/>
      </c>
    </row>
    <row r="128" spans="1:93">
      <c r="A128" s="103" t="s">
        <v>408</v>
      </c>
      <c r="B128" s="103" t="s">
        <v>174</v>
      </c>
      <c r="C128" s="103" t="s">
        <v>152</v>
      </c>
      <c r="D128" s="250" t="s">
        <v>153</v>
      </c>
      <c r="E128" s="250">
        <v>82</v>
      </c>
      <c r="F128" s="182">
        <v>9020</v>
      </c>
      <c r="G128" s="250" t="s">
        <v>175</v>
      </c>
      <c r="H128" s="250">
        <v>100</v>
      </c>
      <c r="I128" s="250"/>
      <c r="J128" s="250"/>
      <c r="K128" s="250"/>
      <c r="L128" s="250" t="s">
        <v>61</v>
      </c>
      <c r="M128" s="250">
        <v>100</v>
      </c>
      <c r="N128" s="250" t="s">
        <v>176</v>
      </c>
      <c r="O128" s="250"/>
      <c r="P128" s="250" t="s">
        <v>153</v>
      </c>
      <c r="Q128" s="250"/>
      <c r="R128" s="250"/>
      <c r="S128" s="250"/>
      <c r="T128" s="250" t="s">
        <v>155</v>
      </c>
      <c r="U128" s="103" t="s">
        <v>409</v>
      </c>
      <c r="V128" s="106" t="s">
        <v>157</v>
      </c>
      <c r="W128" s="103" t="s">
        <v>158</v>
      </c>
      <c r="X128" s="103">
        <f>IFERROR(MATCH(W128,'CostModel Coef'!$C$9:$C$12,0),0)</f>
        <v>0</v>
      </c>
      <c r="Y128" s="103"/>
      <c r="Z128" s="103" t="str">
        <f>IF($X128&gt;0,INDEX('CostModel Coef'!D$9:D$12,$X128),"")</f>
        <v/>
      </c>
      <c r="AA128" s="103" t="str">
        <f>IF($X128&gt;0,INDEX('CostModel Coef'!E$9:E$12,$X128),"")</f>
        <v/>
      </c>
      <c r="AB128" s="103" t="str">
        <f>IF($X128&gt;0,INDEX('CostModel Coef'!F$9:F$12,$X128),"")</f>
        <v/>
      </c>
      <c r="AC128" s="103" t="str">
        <f>IF($X128&gt;0,INDEX('CostModel Coef'!G$9:G$12,$X128),"")</f>
        <v/>
      </c>
      <c r="AD128" s="103" t="str">
        <f>IF($X128&gt;0,INDEX('CostModel Coef'!H$9:H$12,$X128),"")</f>
        <v/>
      </c>
      <c r="AE128" s="103" t="str">
        <f>IF($X128&gt;0,INDEX('CostModel Coef'!J$9:J$12,$X128),"")</f>
        <v/>
      </c>
      <c r="AF128" s="103" t="str">
        <f>IF($X128&gt;0,INDEX('CostModel Coef'!K$9:K$12,$X128),"")</f>
        <v/>
      </c>
      <c r="AG128" s="103" t="str">
        <f>IF($X128&gt;0,INDEX('CostModel Coef'!L$9:L$12,$X128),"")</f>
        <v/>
      </c>
      <c r="AH128" s="103" t="str">
        <f>IF($X128&gt;0,INDEX('CostModel Coef'!M$9:M$12,$X128),"")</f>
        <v/>
      </c>
      <c r="AI128" s="103" t="str">
        <f>IF($X128&gt;0,INDEX('CostModel Coef'!N$9:N$12,$X128),"")</f>
        <v/>
      </c>
      <c r="AJ128" s="103" t="str">
        <f>IF($X128&gt;0,INDEX('CostModel Coef'!Q$9:Q$12,$X128),"")</f>
        <v/>
      </c>
      <c r="AK128" s="103" t="str">
        <f>IF($X128&gt;0,INDEX('CostModel Coef'!T$9:T$12,$X128),"")</f>
        <v/>
      </c>
      <c r="AL128" s="103"/>
      <c r="AM128" s="108" t="str">
        <f t="shared" si="27"/>
        <v/>
      </c>
      <c r="AN128" s="108" t="str">
        <f t="shared" si="28"/>
        <v/>
      </c>
      <c r="AO128" s="108" t="str">
        <f t="shared" si="29"/>
        <v/>
      </c>
      <c r="AP128" s="108" t="str">
        <f t="shared" si="30"/>
        <v/>
      </c>
      <c r="AQ128" s="108" t="str">
        <f t="shared" si="31"/>
        <v/>
      </c>
      <c r="AR128" s="108"/>
      <c r="AS128" s="108"/>
      <c r="AT128" s="103" t="str">
        <f>IF($X128&gt;0,INDEX('CostModel Coef'!D$13:D$16,$X128),"")</f>
        <v/>
      </c>
      <c r="AU128" s="103" t="str">
        <f>IF($X128&gt;0,INDEX('CostModel Coef'!E$13:E$16,$X128),"")</f>
        <v/>
      </c>
      <c r="AV128" s="103" t="str">
        <f>IF($X128&gt;0,INDEX('CostModel Coef'!F$13:F$16,$X128),"")</f>
        <v/>
      </c>
      <c r="AW128" s="103" t="str">
        <f>IF($X128&gt;0,INDEX('CostModel Coef'!G$13:G$16,$X128),"")</f>
        <v/>
      </c>
      <c r="AX128" s="103" t="str">
        <f>IF($X128&gt;0,INDEX('CostModel Coef'!H$13:H$16,$X128),"")</f>
        <v/>
      </c>
      <c r="AY128" s="103" t="str">
        <f>IF($X128&gt;0,INDEX('CostModel Coef'!I$13:I$16,$X128),"")</f>
        <v/>
      </c>
      <c r="AZ128" s="103" t="str">
        <f>IF($X128&gt;0,INDEX('CostModel Coef'!J$13:J$16,$X128),"")</f>
        <v/>
      </c>
      <c r="BA128" s="103" t="str">
        <f>IF($X128&gt;0,INDEX('CostModel Coef'!K$13:K$16,$X128),"")</f>
        <v/>
      </c>
      <c r="BB128" s="103" t="str">
        <f>IF($X128&gt;0,INDEX('CostModel Coef'!L$13:L$16,$X128),"")</f>
        <v/>
      </c>
      <c r="BC128" s="103" t="str">
        <f>IF($X128&gt;0,INDEX('CostModel Coef'!M$13:M$16,$X128),"")</f>
        <v/>
      </c>
      <c r="BD128" s="103" t="str">
        <f>IF($X128&gt;0,INDEX('CostModel Coef'!N$13:N$16,$X128),"")</f>
        <v/>
      </c>
      <c r="BE128" s="103" t="str">
        <f>IF($X128&gt;0,INDEX('CostModel Coef'!O$13:O$16,$X128),"")</f>
        <v/>
      </c>
      <c r="BF128" s="103" t="str">
        <f>IF($X128&gt;0,INDEX('CostModel Coef'!P$13:P$16,$X128),"")</f>
        <v/>
      </c>
      <c r="BG128" s="103" t="str">
        <f>IF($X128&gt;0,INDEX('CostModel Coef'!Q$13:Q$16,$X128),"")</f>
        <v/>
      </c>
      <c r="BH128" s="103" t="str">
        <f>IF($X128&gt;0,INDEX('CostModel Coef'!R$13:R$16,$X128),"")</f>
        <v/>
      </c>
      <c r="BI128" s="103" t="str">
        <f>IF($X128&gt;0,INDEX('CostModel Coef'!S$13:S$16,$X128),"")</f>
        <v/>
      </c>
      <c r="BJ128" s="103" t="str">
        <f>IF($X128&gt;0,INDEX('CostModel Coef'!T$13:T$16,$X128),"")</f>
        <v/>
      </c>
      <c r="BK128" s="103" t="str">
        <f>IF($X128&gt;0,INDEX('CostModel Coef'!U$13:U$16,$X128),"")</f>
        <v/>
      </c>
      <c r="BL128" s="103" t="str">
        <f>IF($X128&gt;0,INDEX('CostModel Coef'!V$13:V$16,$X128),"")</f>
        <v/>
      </c>
      <c r="BM128" s="103" t="str">
        <f>IF($X128&gt;0,INDEX('CostModel Coef'!W$13:W$16,$X128),"")</f>
        <v/>
      </c>
      <c r="BN128" s="103" t="str">
        <f>IF($X128&gt;0,INDEX('CostModel Coef'!X$13:X$16,$X128),"")</f>
        <v/>
      </c>
      <c r="BO128" s="103"/>
      <c r="BP128" s="119">
        <v>2000</v>
      </c>
      <c r="BQ128" s="103"/>
      <c r="BR128" s="103"/>
      <c r="BS128" s="119" t="str">
        <f t="shared" si="34"/>
        <v/>
      </c>
      <c r="BT128" s="174">
        <f t="shared" si="26"/>
        <v>-1</v>
      </c>
      <c r="BU128" s="113" t="str">
        <f t="shared" si="36"/>
        <v>OOS</v>
      </c>
      <c r="BV128" s="108" t="str">
        <f t="shared" si="37"/>
        <v>OOS</v>
      </c>
      <c r="BW128" s="108" t="str">
        <f t="shared" si="38"/>
        <v>OOS</v>
      </c>
      <c r="BX128" s="108" t="str">
        <f t="shared" si="39"/>
        <v>OOS</v>
      </c>
      <c r="BY128" s="108" t="str">
        <f t="shared" si="40"/>
        <v>OOS</v>
      </c>
      <c r="BZ128" s="108"/>
      <c r="CA128" s="119" t="str">
        <f t="shared" si="41"/>
        <v/>
      </c>
      <c r="CB128" s="174">
        <f t="shared" si="32"/>
        <v>-1</v>
      </c>
      <c r="CC128" s="113" t="str">
        <f t="shared" si="42"/>
        <v/>
      </c>
      <c r="CD128" s="108" t="str">
        <f t="shared" si="43"/>
        <v/>
      </c>
      <c r="CE128" s="108" t="str">
        <f t="shared" si="44"/>
        <v/>
      </c>
      <c r="CF128" s="108" t="str">
        <f t="shared" si="45"/>
        <v/>
      </c>
      <c r="CG128" s="108" t="str">
        <f t="shared" si="46"/>
        <v/>
      </c>
      <c r="CH128" s="103"/>
      <c r="CI128" s="119" t="str">
        <f t="shared" si="35"/>
        <v/>
      </c>
      <c r="CJ128" s="174">
        <f t="shared" si="33"/>
        <v>-1</v>
      </c>
      <c r="CK128" s="113" t="str">
        <f t="shared" si="47"/>
        <v/>
      </c>
      <c r="CL128" s="108" t="str">
        <f t="shared" si="48"/>
        <v/>
      </c>
      <c r="CM128" s="108" t="str">
        <f t="shared" si="49"/>
        <v/>
      </c>
      <c r="CN128" s="108" t="str">
        <f t="shared" si="50"/>
        <v/>
      </c>
      <c r="CO128" s="108" t="str">
        <f t="shared" si="51"/>
        <v/>
      </c>
    </row>
    <row r="129" spans="1:93">
      <c r="A129" s="103" t="s">
        <v>410</v>
      </c>
      <c r="B129" s="103" t="s">
        <v>174</v>
      </c>
      <c r="C129" s="103" t="s">
        <v>153</v>
      </c>
      <c r="D129" s="250" t="s">
        <v>153</v>
      </c>
      <c r="E129" s="250"/>
      <c r="F129" s="182">
        <v>9020</v>
      </c>
      <c r="G129" s="250" t="s">
        <v>175</v>
      </c>
      <c r="H129" s="250">
        <v>11</v>
      </c>
      <c r="I129" s="250"/>
      <c r="J129" s="250"/>
      <c r="K129" s="250"/>
      <c r="L129" s="250" t="s">
        <v>61</v>
      </c>
      <c r="M129" s="250">
        <v>11</v>
      </c>
      <c r="N129" s="250" t="s">
        <v>176</v>
      </c>
      <c r="O129" s="250"/>
      <c r="P129" s="250" t="s">
        <v>153</v>
      </c>
      <c r="Q129" s="250"/>
      <c r="R129" s="250"/>
      <c r="S129" s="250"/>
      <c r="T129" s="250" t="s">
        <v>155</v>
      </c>
      <c r="U129" s="103" t="s">
        <v>411</v>
      </c>
      <c r="V129" s="106" t="s">
        <v>157</v>
      </c>
      <c r="W129" s="103" t="s">
        <v>158</v>
      </c>
      <c r="X129" s="103">
        <f>IFERROR(MATCH(W129,'CostModel Coef'!$C$9:$C$12,0),0)</f>
        <v>0</v>
      </c>
      <c r="Y129" s="103"/>
      <c r="Z129" s="103" t="str">
        <f>IF($X129&gt;0,INDEX('CostModel Coef'!D$9:D$12,$X129),"")</f>
        <v/>
      </c>
      <c r="AA129" s="103" t="str">
        <f>IF($X129&gt;0,INDEX('CostModel Coef'!E$9:E$12,$X129),"")</f>
        <v/>
      </c>
      <c r="AB129" s="103" t="str">
        <f>IF($X129&gt;0,INDEX('CostModel Coef'!F$9:F$12,$X129),"")</f>
        <v/>
      </c>
      <c r="AC129" s="103" t="str">
        <f>IF($X129&gt;0,INDEX('CostModel Coef'!G$9:G$12,$X129),"")</f>
        <v/>
      </c>
      <c r="AD129" s="103" t="str">
        <f>IF($X129&gt;0,INDEX('CostModel Coef'!H$9:H$12,$X129),"")</f>
        <v/>
      </c>
      <c r="AE129" s="103" t="str">
        <f>IF($X129&gt;0,INDEX('CostModel Coef'!J$9:J$12,$X129),"")</f>
        <v/>
      </c>
      <c r="AF129" s="103" t="str">
        <f>IF($X129&gt;0,INDEX('CostModel Coef'!K$9:K$12,$X129),"")</f>
        <v/>
      </c>
      <c r="AG129" s="103" t="str">
        <f>IF($X129&gt;0,INDEX('CostModel Coef'!L$9:L$12,$X129),"")</f>
        <v/>
      </c>
      <c r="AH129" s="103" t="str">
        <f>IF($X129&gt;0,INDEX('CostModel Coef'!M$9:M$12,$X129),"")</f>
        <v/>
      </c>
      <c r="AI129" s="103" t="str">
        <f>IF($X129&gt;0,INDEX('CostModel Coef'!N$9:N$12,$X129),"")</f>
        <v/>
      </c>
      <c r="AJ129" s="103" t="str">
        <f>IF($X129&gt;0,INDEX('CostModel Coef'!Q$9:Q$12,$X129),"")</f>
        <v/>
      </c>
      <c r="AK129" s="103" t="str">
        <f>IF($X129&gt;0,INDEX('CostModel Coef'!T$9:T$12,$X129),"")</f>
        <v/>
      </c>
      <c r="AL129" s="103"/>
      <c r="AM129" s="108" t="str">
        <f t="shared" si="27"/>
        <v/>
      </c>
      <c r="AN129" s="108" t="str">
        <f t="shared" si="28"/>
        <v/>
      </c>
      <c r="AO129" s="108" t="str">
        <f t="shared" si="29"/>
        <v/>
      </c>
      <c r="AP129" s="108" t="str">
        <f t="shared" si="30"/>
        <v/>
      </c>
      <c r="AQ129" s="108" t="str">
        <f t="shared" si="31"/>
        <v/>
      </c>
      <c r="AR129" s="108"/>
      <c r="AS129" s="108"/>
      <c r="AT129" s="103" t="str">
        <f>IF($X129&gt;0,INDEX('CostModel Coef'!D$13:D$16,$X129),"")</f>
        <v/>
      </c>
      <c r="AU129" s="103" t="str">
        <f>IF($X129&gt;0,INDEX('CostModel Coef'!E$13:E$16,$X129),"")</f>
        <v/>
      </c>
      <c r="AV129" s="103" t="str">
        <f>IF($X129&gt;0,INDEX('CostModel Coef'!F$13:F$16,$X129),"")</f>
        <v/>
      </c>
      <c r="AW129" s="103" t="str">
        <f>IF($X129&gt;0,INDEX('CostModel Coef'!G$13:G$16,$X129),"")</f>
        <v/>
      </c>
      <c r="AX129" s="103" t="str">
        <f>IF($X129&gt;0,INDEX('CostModel Coef'!H$13:H$16,$X129),"")</f>
        <v/>
      </c>
      <c r="AY129" s="103" t="str">
        <f>IF($X129&gt;0,INDEX('CostModel Coef'!I$13:I$16,$X129),"")</f>
        <v/>
      </c>
      <c r="AZ129" s="103" t="str">
        <f>IF($X129&gt;0,INDEX('CostModel Coef'!J$13:J$16,$X129),"")</f>
        <v/>
      </c>
      <c r="BA129" s="103" t="str">
        <f>IF($X129&gt;0,INDEX('CostModel Coef'!K$13:K$16,$X129),"")</f>
        <v/>
      </c>
      <c r="BB129" s="103" t="str">
        <f>IF($X129&gt;0,INDEX('CostModel Coef'!L$13:L$16,$X129),"")</f>
        <v/>
      </c>
      <c r="BC129" s="103" t="str">
        <f>IF($X129&gt;0,INDEX('CostModel Coef'!M$13:M$16,$X129),"")</f>
        <v/>
      </c>
      <c r="BD129" s="103" t="str">
        <f>IF($X129&gt;0,INDEX('CostModel Coef'!N$13:N$16,$X129),"")</f>
        <v/>
      </c>
      <c r="BE129" s="103" t="str">
        <f>IF($X129&gt;0,INDEX('CostModel Coef'!O$13:O$16,$X129),"")</f>
        <v/>
      </c>
      <c r="BF129" s="103" t="str">
        <f>IF($X129&gt;0,INDEX('CostModel Coef'!P$13:P$16,$X129),"")</f>
        <v/>
      </c>
      <c r="BG129" s="103" t="str">
        <f>IF($X129&gt;0,INDEX('CostModel Coef'!Q$13:Q$16,$X129),"")</f>
        <v/>
      </c>
      <c r="BH129" s="103" t="str">
        <f>IF($X129&gt;0,INDEX('CostModel Coef'!R$13:R$16,$X129),"")</f>
        <v/>
      </c>
      <c r="BI129" s="103" t="str">
        <f>IF($X129&gt;0,INDEX('CostModel Coef'!S$13:S$16,$X129),"")</f>
        <v/>
      </c>
      <c r="BJ129" s="103" t="str">
        <f>IF($X129&gt;0,INDEX('CostModel Coef'!T$13:T$16,$X129),"")</f>
        <v/>
      </c>
      <c r="BK129" s="103" t="str">
        <f>IF($X129&gt;0,INDEX('CostModel Coef'!U$13:U$16,$X129),"")</f>
        <v/>
      </c>
      <c r="BL129" s="103" t="str">
        <f>IF($X129&gt;0,INDEX('CostModel Coef'!V$13:V$16,$X129),"")</f>
        <v/>
      </c>
      <c r="BM129" s="103" t="str">
        <f>IF($X129&gt;0,INDEX('CostModel Coef'!W$13:W$16,$X129),"")</f>
        <v/>
      </c>
      <c r="BN129" s="103" t="str">
        <f>IF($X129&gt;0,INDEX('CostModel Coef'!X$13:X$16,$X129),"")</f>
        <v/>
      </c>
      <c r="BO129" s="103"/>
      <c r="BP129" s="119">
        <v>2000</v>
      </c>
      <c r="BQ129" s="103"/>
      <c r="BR129" s="103"/>
      <c r="BS129" s="119" t="str">
        <f t="shared" si="34"/>
        <v/>
      </c>
      <c r="BT129" s="174">
        <f t="shared" si="26"/>
        <v>-1</v>
      </c>
      <c r="BU129" s="113" t="str">
        <f t="shared" si="36"/>
        <v>OOS</v>
      </c>
      <c r="BV129" s="108" t="str">
        <f t="shared" si="37"/>
        <v>OOS</v>
      </c>
      <c r="BW129" s="108" t="str">
        <f t="shared" si="38"/>
        <v>OOS</v>
      </c>
      <c r="BX129" s="108" t="str">
        <f t="shared" si="39"/>
        <v>OOS</v>
      </c>
      <c r="BY129" s="108" t="str">
        <f t="shared" si="40"/>
        <v>OOS</v>
      </c>
      <c r="BZ129" s="108"/>
      <c r="CA129" s="119" t="str">
        <f t="shared" si="41"/>
        <v/>
      </c>
      <c r="CB129" s="174">
        <f t="shared" si="32"/>
        <v>-1</v>
      </c>
      <c r="CC129" s="113" t="str">
        <f t="shared" si="42"/>
        <v/>
      </c>
      <c r="CD129" s="108" t="str">
        <f t="shared" si="43"/>
        <v/>
      </c>
      <c r="CE129" s="108" t="str">
        <f t="shared" si="44"/>
        <v/>
      </c>
      <c r="CF129" s="108" t="str">
        <f t="shared" si="45"/>
        <v/>
      </c>
      <c r="CG129" s="108" t="str">
        <f t="shared" si="46"/>
        <v/>
      </c>
      <c r="CH129" s="103"/>
      <c r="CI129" s="119" t="str">
        <f t="shared" si="35"/>
        <v/>
      </c>
      <c r="CJ129" s="174">
        <f t="shared" si="33"/>
        <v>-1</v>
      </c>
      <c r="CK129" s="113" t="str">
        <f t="shared" si="47"/>
        <v/>
      </c>
      <c r="CL129" s="108" t="str">
        <f t="shared" si="48"/>
        <v/>
      </c>
      <c r="CM129" s="108" t="str">
        <f t="shared" si="49"/>
        <v/>
      </c>
      <c r="CN129" s="108" t="str">
        <f t="shared" si="50"/>
        <v/>
      </c>
      <c r="CO129" s="108" t="str">
        <f t="shared" si="51"/>
        <v/>
      </c>
    </row>
    <row r="130" spans="1:93">
      <c r="A130" s="103" t="s">
        <v>412</v>
      </c>
      <c r="B130" s="103" t="s">
        <v>174</v>
      </c>
      <c r="C130" s="103" t="s">
        <v>153</v>
      </c>
      <c r="D130" s="250" t="s">
        <v>153</v>
      </c>
      <c r="E130" s="250"/>
      <c r="F130" s="182">
        <v>9020</v>
      </c>
      <c r="G130" s="250" t="s">
        <v>175</v>
      </c>
      <c r="H130" s="250">
        <v>13</v>
      </c>
      <c r="I130" s="250"/>
      <c r="J130" s="250"/>
      <c r="K130" s="250"/>
      <c r="L130" s="250" t="s">
        <v>61</v>
      </c>
      <c r="M130" s="250">
        <v>13</v>
      </c>
      <c r="N130" s="250" t="s">
        <v>176</v>
      </c>
      <c r="O130" s="250"/>
      <c r="P130" s="250" t="s">
        <v>153</v>
      </c>
      <c r="Q130" s="250"/>
      <c r="R130" s="250"/>
      <c r="S130" s="250"/>
      <c r="T130" s="250" t="s">
        <v>155</v>
      </c>
      <c r="U130" s="103" t="s">
        <v>413</v>
      </c>
      <c r="V130" s="106" t="s">
        <v>157</v>
      </c>
      <c r="W130" s="103" t="s">
        <v>158</v>
      </c>
      <c r="X130" s="103">
        <f>IFERROR(MATCH(W130,'CostModel Coef'!$C$9:$C$12,0),0)</f>
        <v>0</v>
      </c>
      <c r="Y130" s="103"/>
      <c r="Z130" s="103" t="str">
        <f>IF($X130&gt;0,INDEX('CostModel Coef'!D$9:D$12,$X130),"")</f>
        <v/>
      </c>
      <c r="AA130" s="103" t="str">
        <f>IF($X130&gt;0,INDEX('CostModel Coef'!E$9:E$12,$X130),"")</f>
        <v/>
      </c>
      <c r="AB130" s="103" t="str">
        <f>IF($X130&gt;0,INDEX('CostModel Coef'!F$9:F$12,$X130),"")</f>
        <v/>
      </c>
      <c r="AC130" s="103" t="str">
        <f>IF($X130&gt;0,INDEX('CostModel Coef'!G$9:G$12,$X130),"")</f>
        <v/>
      </c>
      <c r="AD130" s="103" t="str">
        <f>IF($X130&gt;0,INDEX('CostModel Coef'!H$9:H$12,$X130),"")</f>
        <v/>
      </c>
      <c r="AE130" s="103" t="str">
        <f>IF($X130&gt;0,INDEX('CostModel Coef'!J$9:J$12,$X130),"")</f>
        <v/>
      </c>
      <c r="AF130" s="103" t="str">
        <f>IF($X130&gt;0,INDEX('CostModel Coef'!K$9:K$12,$X130),"")</f>
        <v/>
      </c>
      <c r="AG130" s="103" t="str">
        <f>IF($X130&gt;0,INDEX('CostModel Coef'!L$9:L$12,$X130),"")</f>
        <v/>
      </c>
      <c r="AH130" s="103" t="str">
        <f>IF($X130&gt;0,INDEX('CostModel Coef'!M$9:M$12,$X130),"")</f>
        <v/>
      </c>
      <c r="AI130" s="103" t="str">
        <f>IF($X130&gt;0,INDEX('CostModel Coef'!N$9:N$12,$X130),"")</f>
        <v/>
      </c>
      <c r="AJ130" s="103" t="str">
        <f>IF($X130&gt;0,INDEX('CostModel Coef'!Q$9:Q$12,$X130),"")</f>
        <v/>
      </c>
      <c r="AK130" s="103" t="str">
        <f>IF($X130&gt;0,INDEX('CostModel Coef'!T$9:T$12,$X130),"")</f>
        <v/>
      </c>
      <c r="AL130" s="103"/>
      <c r="AM130" s="108" t="str">
        <f t="shared" si="27"/>
        <v/>
      </c>
      <c r="AN130" s="108" t="str">
        <f t="shared" si="28"/>
        <v/>
      </c>
      <c r="AO130" s="108" t="str">
        <f t="shared" si="29"/>
        <v/>
      </c>
      <c r="AP130" s="108" t="str">
        <f t="shared" si="30"/>
        <v/>
      </c>
      <c r="AQ130" s="108" t="str">
        <f t="shared" si="31"/>
        <v/>
      </c>
      <c r="AR130" s="108"/>
      <c r="AS130" s="108"/>
      <c r="AT130" s="103" t="str">
        <f>IF($X130&gt;0,INDEX('CostModel Coef'!D$13:D$16,$X130),"")</f>
        <v/>
      </c>
      <c r="AU130" s="103" t="str">
        <f>IF($X130&gt;0,INDEX('CostModel Coef'!E$13:E$16,$X130),"")</f>
        <v/>
      </c>
      <c r="AV130" s="103" t="str">
        <f>IF($X130&gt;0,INDEX('CostModel Coef'!F$13:F$16,$X130),"")</f>
        <v/>
      </c>
      <c r="AW130" s="103" t="str">
        <f>IF($X130&gt;0,INDEX('CostModel Coef'!G$13:G$16,$X130),"")</f>
        <v/>
      </c>
      <c r="AX130" s="103" t="str">
        <f>IF($X130&gt;0,INDEX('CostModel Coef'!H$13:H$16,$X130),"")</f>
        <v/>
      </c>
      <c r="AY130" s="103" t="str">
        <f>IF($X130&gt;0,INDEX('CostModel Coef'!I$13:I$16,$X130),"")</f>
        <v/>
      </c>
      <c r="AZ130" s="103" t="str">
        <f>IF($X130&gt;0,INDEX('CostModel Coef'!J$13:J$16,$X130),"")</f>
        <v/>
      </c>
      <c r="BA130" s="103" t="str">
        <f>IF($X130&gt;0,INDEX('CostModel Coef'!K$13:K$16,$X130),"")</f>
        <v/>
      </c>
      <c r="BB130" s="103" t="str">
        <f>IF($X130&gt;0,INDEX('CostModel Coef'!L$13:L$16,$X130),"")</f>
        <v/>
      </c>
      <c r="BC130" s="103" t="str">
        <f>IF($X130&gt;0,INDEX('CostModel Coef'!M$13:M$16,$X130),"")</f>
        <v/>
      </c>
      <c r="BD130" s="103" t="str">
        <f>IF($X130&gt;0,INDEX('CostModel Coef'!N$13:N$16,$X130),"")</f>
        <v/>
      </c>
      <c r="BE130" s="103" t="str">
        <f>IF($X130&gt;0,INDEX('CostModel Coef'!O$13:O$16,$X130),"")</f>
        <v/>
      </c>
      <c r="BF130" s="103" t="str">
        <f>IF($X130&gt;0,INDEX('CostModel Coef'!P$13:P$16,$X130),"")</f>
        <v/>
      </c>
      <c r="BG130" s="103" t="str">
        <f>IF($X130&gt;0,INDEX('CostModel Coef'!Q$13:Q$16,$X130),"")</f>
        <v/>
      </c>
      <c r="BH130" s="103" t="str">
        <f>IF($X130&gt;0,INDEX('CostModel Coef'!R$13:R$16,$X130),"")</f>
        <v/>
      </c>
      <c r="BI130" s="103" t="str">
        <f>IF($X130&gt;0,INDEX('CostModel Coef'!S$13:S$16,$X130),"")</f>
        <v/>
      </c>
      <c r="BJ130" s="103" t="str">
        <f>IF($X130&gt;0,INDEX('CostModel Coef'!T$13:T$16,$X130),"")</f>
        <v/>
      </c>
      <c r="BK130" s="103" t="str">
        <f>IF($X130&gt;0,INDEX('CostModel Coef'!U$13:U$16,$X130),"")</f>
        <v/>
      </c>
      <c r="BL130" s="103" t="str">
        <f>IF($X130&gt;0,INDEX('CostModel Coef'!V$13:V$16,$X130),"")</f>
        <v/>
      </c>
      <c r="BM130" s="103" t="str">
        <f>IF($X130&gt;0,INDEX('CostModel Coef'!W$13:W$16,$X130),"")</f>
        <v/>
      </c>
      <c r="BN130" s="103" t="str">
        <f>IF($X130&gt;0,INDEX('CostModel Coef'!X$13:X$16,$X130),"")</f>
        <v/>
      </c>
      <c r="BO130" s="103"/>
      <c r="BP130" s="119">
        <v>2000</v>
      </c>
      <c r="BQ130" s="103"/>
      <c r="BR130" s="103"/>
      <c r="BS130" s="119" t="str">
        <f t="shared" si="34"/>
        <v/>
      </c>
      <c r="BT130" s="174">
        <f t="shared" si="26"/>
        <v>-1</v>
      </c>
      <c r="BU130" s="113" t="str">
        <f t="shared" si="36"/>
        <v>OOS</v>
      </c>
      <c r="BV130" s="108" t="str">
        <f t="shared" si="37"/>
        <v>OOS</v>
      </c>
      <c r="BW130" s="108" t="str">
        <f t="shared" si="38"/>
        <v>OOS</v>
      </c>
      <c r="BX130" s="108" t="str">
        <f t="shared" si="39"/>
        <v>OOS</v>
      </c>
      <c r="BY130" s="108" t="str">
        <f t="shared" si="40"/>
        <v>OOS</v>
      </c>
      <c r="BZ130" s="108"/>
      <c r="CA130" s="119" t="str">
        <f t="shared" si="41"/>
        <v/>
      </c>
      <c r="CB130" s="174">
        <f t="shared" si="32"/>
        <v>-1</v>
      </c>
      <c r="CC130" s="113" t="str">
        <f t="shared" si="42"/>
        <v/>
      </c>
      <c r="CD130" s="108" t="str">
        <f t="shared" si="43"/>
        <v/>
      </c>
      <c r="CE130" s="108" t="str">
        <f t="shared" si="44"/>
        <v/>
      </c>
      <c r="CF130" s="108" t="str">
        <f t="shared" si="45"/>
        <v/>
      </c>
      <c r="CG130" s="108" t="str">
        <f t="shared" si="46"/>
        <v/>
      </c>
      <c r="CH130" s="103"/>
      <c r="CI130" s="119" t="str">
        <f t="shared" si="35"/>
        <v/>
      </c>
      <c r="CJ130" s="174">
        <f t="shared" si="33"/>
        <v>-1</v>
      </c>
      <c r="CK130" s="113" t="str">
        <f t="shared" si="47"/>
        <v/>
      </c>
      <c r="CL130" s="108" t="str">
        <f t="shared" si="48"/>
        <v/>
      </c>
      <c r="CM130" s="108" t="str">
        <f t="shared" si="49"/>
        <v/>
      </c>
      <c r="CN130" s="108" t="str">
        <f t="shared" si="50"/>
        <v/>
      </c>
      <c r="CO130" s="108" t="str">
        <f t="shared" si="51"/>
        <v/>
      </c>
    </row>
    <row r="131" spans="1:93">
      <c r="A131" s="103" t="s">
        <v>414</v>
      </c>
      <c r="B131" s="103" t="s">
        <v>174</v>
      </c>
      <c r="C131" s="103" t="s">
        <v>153</v>
      </c>
      <c r="D131" s="250" t="s">
        <v>153</v>
      </c>
      <c r="E131" s="250"/>
      <c r="F131" s="182">
        <v>9020</v>
      </c>
      <c r="G131" s="250" t="s">
        <v>175</v>
      </c>
      <c r="H131" s="250">
        <v>14</v>
      </c>
      <c r="I131" s="250"/>
      <c r="J131" s="250"/>
      <c r="K131" s="250"/>
      <c r="L131" s="250" t="s">
        <v>61</v>
      </c>
      <c r="M131" s="250">
        <v>14</v>
      </c>
      <c r="N131" s="250" t="s">
        <v>176</v>
      </c>
      <c r="O131" s="250"/>
      <c r="P131" s="250" t="s">
        <v>153</v>
      </c>
      <c r="Q131" s="250"/>
      <c r="R131" s="250"/>
      <c r="S131" s="250"/>
      <c r="T131" s="250" t="s">
        <v>155</v>
      </c>
      <c r="U131" s="103" t="s">
        <v>415</v>
      </c>
      <c r="V131" s="106" t="s">
        <v>157</v>
      </c>
      <c r="W131" s="103" t="s">
        <v>158</v>
      </c>
      <c r="X131" s="103">
        <f>IFERROR(MATCH(W131,'CostModel Coef'!$C$9:$C$12,0),0)</f>
        <v>0</v>
      </c>
      <c r="Y131" s="103"/>
      <c r="Z131" s="103" t="str">
        <f>IF($X131&gt;0,INDEX('CostModel Coef'!D$9:D$12,$X131),"")</f>
        <v/>
      </c>
      <c r="AA131" s="103" t="str">
        <f>IF($X131&gt;0,INDEX('CostModel Coef'!E$9:E$12,$X131),"")</f>
        <v/>
      </c>
      <c r="AB131" s="103" t="str">
        <f>IF($X131&gt;0,INDEX('CostModel Coef'!F$9:F$12,$X131),"")</f>
        <v/>
      </c>
      <c r="AC131" s="103" t="str">
        <f>IF($X131&gt;0,INDEX('CostModel Coef'!G$9:G$12,$X131),"")</f>
        <v/>
      </c>
      <c r="AD131" s="103" t="str">
        <f>IF($X131&gt;0,INDEX('CostModel Coef'!H$9:H$12,$X131),"")</f>
        <v/>
      </c>
      <c r="AE131" s="103" t="str">
        <f>IF($X131&gt;0,INDEX('CostModel Coef'!J$9:J$12,$X131),"")</f>
        <v/>
      </c>
      <c r="AF131" s="103" t="str">
        <f>IF($X131&gt;0,INDEX('CostModel Coef'!K$9:K$12,$X131),"")</f>
        <v/>
      </c>
      <c r="AG131" s="103" t="str">
        <f>IF($X131&gt;0,INDEX('CostModel Coef'!L$9:L$12,$X131),"")</f>
        <v/>
      </c>
      <c r="AH131" s="103" t="str">
        <f>IF($X131&gt;0,INDEX('CostModel Coef'!M$9:M$12,$X131),"")</f>
        <v/>
      </c>
      <c r="AI131" s="103" t="str">
        <f>IF($X131&gt;0,INDEX('CostModel Coef'!N$9:N$12,$X131),"")</f>
        <v/>
      </c>
      <c r="AJ131" s="103" t="str">
        <f>IF($X131&gt;0,INDEX('CostModel Coef'!Q$9:Q$12,$X131),"")</f>
        <v/>
      </c>
      <c r="AK131" s="103" t="str">
        <f>IF($X131&gt;0,INDEX('CostModel Coef'!T$9:T$12,$X131),"")</f>
        <v/>
      </c>
      <c r="AL131" s="103"/>
      <c r="AM131" s="108" t="str">
        <f t="shared" si="27"/>
        <v/>
      </c>
      <c r="AN131" s="108" t="str">
        <f t="shared" si="28"/>
        <v/>
      </c>
      <c r="AO131" s="108" t="str">
        <f t="shared" si="29"/>
        <v/>
      </c>
      <c r="AP131" s="108" t="str">
        <f t="shared" si="30"/>
        <v/>
      </c>
      <c r="AQ131" s="108" t="str">
        <f t="shared" si="31"/>
        <v/>
      </c>
      <c r="AR131" s="108"/>
      <c r="AS131" s="108"/>
      <c r="AT131" s="103" t="str">
        <f>IF($X131&gt;0,INDEX('CostModel Coef'!D$13:D$16,$X131),"")</f>
        <v/>
      </c>
      <c r="AU131" s="103" t="str">
        <f>IF($X131&gt;0,INDEX('CostModel Coef'!E$13:E$16,$X131),"")</f>
        <v/>
      </c>
      <c r="AV131" s="103" t="str">
        <f>IF($X131&gt;0,INDEX('CostModel Coef'!F$13:F$16,$X131),"")</f>
        <v/>
      </c>
      <c r="AW131" s="103" t="str">
        <f>IF($X131&gt;0,INDEX('CostModel Coef'!G$13:G$16,$X131),"")</f>
        <v/>
      </c>
      <c r="AX131" s="103" t="str">
        <f>IF($X131&gt;0,INDEX('CostModel Coef'!H$13:H$16,$X131),"")</f>
        <v/>
      </c>
      <c r="AY131" s="103" t="str">
        <f>IF($X131&gt;0,INDEX('CostModel Coef'!I$13:I$16,$X131),"")</f>
        <v/>
      </c>
      <c r="AZ131" s="103" t="str">
        <f>IF($X131&gt;0,INDEX('CostModel Coef'!J$13:J$16,$X131),"")</f>
        <v/>
      </c>
      <c r="BA131" s="103" t="str">
        <f>IF($X131&gt;0,INDEX('CostModel Coef'!K$13:K$16,$X131),"")</f>
        <v/>
      </c>
      <c r="BB131" s="103" t="str">
        <f>IF($X131&gt;0,INDEX('CostModel Coef'!L$13:L$16,$X131),"")</f>
        <v/>
      </c>
      <c r="BC131" s="103" t="str">
        <f>IF($X131&gt;0,INDEX('CostModel Coef'!M$13:M$16,$X131),"")</f>
        <v/>
      </c>
      <c r="BD131" s="103" t="str">
        <f>IF($X131&gt;0,INDEX('CostModel Coef'!N$13:N$16,$X131),"")</f>
        <v/>
      </c>
      <c r="BE131" s="103" t="str">
        <f>IF($X131&gt;0,INDEX('CostModel Coef'!O$13:O$16,$X131),"")</f>
        <v/>
      </c>
      <c r="BF131" s="103" t="str">
        <f>IF($X131&gt;0,INDEX('CostModel Coef'!P$13:P$16,$X131),"")</f>
        <v/>
      </c>
      <c r="BG131" s="103" t="str">
        <f>IF($X131&gt;0,INDEX('CostModel Coef'!Q$13:Q$16,$X131),"")</f>
        <v/>
      </c>
      <c r="BH131" s="103" t="str">
        <f>IF($X131&gt;0,INDEX('CostModel Coef'!R$13:R$16,$X131),"")</f>
        <v/>
      </c>
      <c r="BI131" s="103" t="str">
        <f>IF($X131&gt;0,INDEX('CostModel Coef'!S$13:S$16,$X131),"")</f>
        <v/>
      </c>
      <c r="BJ131" s="103" t="str">
        <f>IF($X131&gt;0,INDEX('CostModel Coef'!T$13:T$16,$X131),"")</f>
        <v/>
      </c>
      <c r="BK131" s="103" t="str">
        <f>IF($X131&gt;0,INDEX('CostModel Coef'!U$13:U$16,$X131),"")</f>
        <v/>
      </c>
      <c r="BL131" s="103" t="str">
        <f>IF($X131&gt;0,INDEX('CostModel Coef'!V$13:V$16,$X131),"")</f>
        <v/>
      </c>
      <c r="BM131" s="103" t="str">
        <f>IF($X131&gt;0,INDEX('CostModel Coef'!W$13:W$16,$X131),"")</f>
        <v/>
      </c>
      <c r="BN131" s="103" t="str">
        <f>IF($X131&gt;0,INDEX('CostModel Coef'!X$13:X$16,$X131),"")</f>
        <v/>
      </c>
      <c r="BO131" s="103"/>
      <c r="BP131" s="119">
        <v>2000</v>
      </c>
      <c r="BQ131" s="103"/>
      <c r="BR131" s="103"/>
      <c r="BS131" s="119" t="str">
        <f t="shared" si="34"/>
        <v/>
      </c>
      <c r="BT131" s="174">
        <f t="shared" si="26"/>
        <v>-1</v>
      </c>
      <c r="BU131" s="113" t="str">
        <f t="shared" si="36"/>
        <v>OOS</v>
      </c>
      <c r="BV131" s="108" t="str">
        <f t="shared" si="37"/>
        <v>OOS</v>
      </c>
      <c r="BW131" s="108" t="str">
        <f t="shared" si="38"/>
        <v>OOS</v>
      </c>
      <c r="BX131" s="108" t="str">
        <f t="shared" si="39"/>
        <v>OOS</v>
      </c>
      <c r="BY131" s="108" t="str">
        <f t="shared" si="40"/>
        <v>OOS</v>
      </c>
      <c r="BZ131" s="108"/>
      <c r="CA131" s="119" t="str">
        <f t="shared" si="41"/>
        <v/>
      </c>
      <c r="CB131" s="174">
        <f t="shared" si="32"/>
        <v>-1</v>
      </c>
      <c r="CC131" s="113" t="str">
        <f t="shared" si="42"/>
        <v/>
      </c>
      <c r="CD131" s="108" t="str">
        <f t="shared" si="43"/>
        <v/>
      </c>
      <c r="CE131" s="108" t="str">
        <f t="shared" si="44"/>
        <v/>
      </c>
      <c r="CF131" s="108" t="str">
        <f t="shared" si="45"/>
        <v/>
      </c>
      <c r="CG131" s="108" t="str">
        <f t="shared" si="46"/>
        <v/>
      </c>
      <c r="CH131" s="103"/>
      <c r="CI131" s="119" t="str">
        <f t="shared" si="35"/>
        <v/>
      </c>
      <c r="CJ131" s="174">
        <f t="shared" si="33"/>
        <v>-1</v>
      </c>
      <c r="CK131" s="113" t="str">
        <f t="shared" si="47"/>
        <v/>
      </c>
      <c r="CL131" s="108" t="str">
        <f t="shared" si="48"/>
        <v/>
      </c>
      <c r="CM131" s="108" t="str">
        <f t="shared" si="49"/>
        <v/>
      </c>
      <c r="CN131" s="108" t="str">
        <f t="shared" si="50"/>
        <v/>
      </c>
      <c r="CO131" s="108" t="str">
        <f t="shared" si="51"/>
        <v/>
      </c>
    </row>
    <row r="132" spans="1:93">
      <c r="A132" s="103" t="s">
        <v>416</v>
      </c>
      <c r="B132" s="103" t="s">
        <v>174</v>
      </c>
      <c r="C132" s="103" t="s">
        <v>152</v>
      </c>
      <c r="D132" s="250" t="s">
        <v>153</v>
      </c>
      <c r="E132" s="250">
        <v>82</v>
      </c>
      <c r="F132" s="182">
        <v>9020</v>
      </c>
      <c r="G132" s="250" t="s">
        <v>175</v>
      </c>
      <c r="H132" s="250">
        <v>150</v>
      </c>
      <c r="I132" s="250"/>
      <c r="J132" s="250"/>
      <c r="K132" s="250"/>
      <c r="L132" s="250" t="s">
        <v>61</v>
      </c>
      <c r="M132" s="250">
        <v>150</v>
      </c>
      <c r="N132" s="250" t="s">
        <v>176</v>
      </c>
      <c r="O132" s="250"/>
      <c r="P132" s="250" t="s">
        <v>153</v>
      </c>
      <c r="Q132" s="250"/>
      <c r="R132" s="250"/>
      <c r="S132" s="250"/>
      <c r="T132" s="250" t="s">
        <v>155</v>
      </c>
      <c r="U132" s="103" t="s">
        <v>417</v>
      </c>
      <c r="V132" s="106" t="s">
        <v>157</v>
      </c>
      <c r="W132" s="103" t="s">
        <v>158</v>
      </c>
      <c r="X132" s="103">
        <f>IFERROR(MATCH(W132,'CostModel Coef'!$C$9:$C$12,0),0)</f>
        <v>0</v>
      </c>
      <c r="Y132" s="103"/>
      <c r="Z132" s="103" t="str">
        <f>IF($X132&gt;0,INDEX('CostModel Coef'!D$9:D$12,$X132),"")</f>
        <v/>
      </c>
      <c r="AA132" s="103" t="str">
        <f>IF($X132&gt;0,INDEX('CostModel Coef'!E$9:E$12,$X132),"")</f>
        <v/>
      </c>
      <c r="AB132" s="103" t="str">
        <f>IF($X132&gt;0,INDEX('CostModel Coef'!F$9:F$12,$X132),"")</f>
        <v/>
      </c>
      <c r="AC132" s="103" t="str">
        <f>IF($X132&gt;0,INDEX('CostModel Coef'!G$9:G$12,$X132),"")</f>
        <v/>
      </c>
      <c r="AD132" s="103" t="str">
        <f>IF($X132&gt;0,INDEX('CostModel Coef'!H$9:H$12,$X132),"")</f>
        <v/>
      </c>
      <c r="AE132" s="103" t="str">
        <f>IF($X132&gt;0,INDEX('CostModel Coef'!J$9:J$12,$X132),"")</f>
        <v/>
      </c>
      <c r="AF132" s="103" t="str">
        <f>IF($X132&gt;0,INDEX('CostModel Coef'!K$9:K$12,$X132),"")</f>
        <v/>
      </c>
      <c r="AG132" s="103" t="str">
        <f>IF($X132&gt;0,INDEX('CostModel Coef'!L$9:L$12,$X132),"")</f>
        <v/>
      </c>
      <c r="AH132" s="103" t="str">
        <f>IF($X132&gt;0,INDEX('CostModel Coef'!M$9:M$12,$X132),"")</f>
        <v/>
      </c>
      <c r="AI132" s="103" t="str">
        <f>IF($X132&gt;0,INDEX('CostModel Coef'!N$9:N$12,$X132),"")</f>
        <v/>
      </c>
      <c r="AJ132" s="103" t="str">
        <f>IF($X132&gt;0,INDEX('CostModel Coef'!Q$9:Q$12,$X132),"")</f>
        <v/>
      </c>
      <c r="AK132" s="103" t="str">
        <f>IF($X132&gt;0,INDEX('CostModel Coef'!T$9:T$12,$X132),"")</f>
        <v/>
      </c>
      <c r="AL132" s="103"/>
      <c r="AM132" s="108" t="str">
        <f t="shared" si="27"/>
        <v/>
      </c>
      <c r="AN132" s="108" t="str">
        <f t="shared" si="28"/>
        <v/>
      </c>
      <c r="AO132" s="108" t="str">
        <f t="shared" si="29"/>
        <v/>
      </c>
      <c r="AP132" s="108" t="str">
        <f t="shared" si="30"/>
        <v/>
      </c>
      <c r="AQ132" s="108" t="str">
        <f t="shared" si="31"/>
        <v/>
      </c>
      <c r="AR132" s="108"/>
      <c r="AS132" s="108"/>
      <c r="AT132" s="103" t="str">
        <f>IF($X132&gt;0,INDEX('CostModel Coef'!D$13:D$16,$X132),"")</f>
        <v/>
      </c>
      <c r="AU132" s="103" t="str">
        <f>IF($X132&gt;0,INDEX('CostModel Coef'!E$13:E$16,$X132),"")</f>
        <v/>
      </c>
      <c r="AV132" s="103" t="str">
        <f>IF($X132&gt;0,INDEX('CostModel Coef'!F$13:F$16,$X132),"")</f>
        <v/>
      </c>
      <c r="AW132" s="103" t="str">
        <f>IF($X132&gt;0,INDEX('CostModel Coef'!G$13:G$16,$X132),"")</f>
        <v/>
      </c>
      <c r="AX132" s="103" t="str">
        <f>IF($X132&gt;0,INDEX('CostModel Coef'!H$13:H$16,$X132),"")</f>
        <v/>
      </c>
      <c r="AY132" s="103" t="str">
        <f>IF($X132&gt;0,INDEX('CostModel Coef'!I$13:I$16,$X132),"")</f>
        <v/>
      </c>
      <c r="AZ132" s="103" t="str">
        <f>IF($X132&gt;0,INDEX('CostModel Coef'!J$13:J$16,$X132),"")</f>
        <v/>
      </c>
      <c r="BA132" s="103" t="str">
        <f>IF($X132&gt;0,INDEX('CostModel Coef'!K$13:K$16,$X132),"")</f>
        <v/>
      </c>
      <c r="BB132" s="103" t="str">
        <f>IF($X132&gt;0,INDEX('CostModel Coef'!L$13:L$16,$X132),"")</f>
        <v/>
      </c>
      <c r="BC132" s="103" t="str">
        <f>IF($X132&gt;0,INDEX('CostModel Coef'!M$13:M$16,$X132),"")</f>
        <v/>
      </c>
      <c r="BD132" s="103" t="str">
        <f>IF($X132&gt;0,INDEX('CostModel Coef'!N$13:N$16,$X132),"")</f>
        <v/>
      </c>
      <c r="BE132" s="103" t="str">
        <f>IF($X132&gt;0,INDEX('CostModel Coef'!O$13:O$16,$X132),"")</f>
        <v/>
      </c>
      <c r="BF132" s="103" t="str">
        <f>IF($X132&gt;0,INDEX('CostModel Coef'!P$13:P$16,$X132),"")</f>
        <v/>
      </c>
      <c r="BG132" s="103" t="str">
        <f>IF($X132&gt;0,INDEX('CostModel Coef'!Q$13:Q$16,$X132),"")</f>
        <v/>
      </c>
      <c r="BH132" s="103" t="str">
        <f>IF($X132&gt;0,INDEX('CostModel Coef'!R$13:R$16,$X132),"")</f>
        <v/>
      </c>
      <c r="BI132" s="103" t="str">
        <f>IF($X132&gt;0,INDEX('CostModel Coef'!S$13:S$16,$X132),"")</f>
        <v/>
      </c>
      <c r="BJ132" s="103" t="str">
        <f>IF($X132&gt;0,INDEX('CostModel Coef'!T$13:T$16,$X132),"")</f>
        <v/>
      </c>
      <c r="BK132" s="103" t="str">
        <f>IF($X132&gt;0,INDEX('CostModel Coef'!U$13:U$16,$X132),"")</f>
        <v/>
      </c>
      <c r="BL132" s="103" t="str">
        <f>IF($X132&gt;0,INDEX('CostModel Coef'!V$13:V$16,$X132),"")</f>
        <v/>
      </c>
      <c r="BM132" s="103" t="str">
        <f>IF($X132&gt;0,INDEX('CostModel Coef'!W$13:W$16,$X132),"")</f>
        <v/>
      </c>
      <c r="BN132" s="103" t="str">
        <f>IF($X132&gt;0,INDEX('CostModel Coef'!X$13:X$16,$X132),"")</f>
        <v/>
      </c>
      <c r="BO132" s="103"/>
      <c r="BP132" s="119">
        <v>2000</v>
      </c>
      <c r="BQ132" s="103"/>
      <c r="BR132" s="103"/>
      <c r="BS132" s="119" t="str">
        <f t="shared" si="34"/>
        <v/>
      </c>
      <c r="BT132" s="174">
        <f t="shared" si="26"/>
        <v>-1</v>
      </c>
      <c r="BU132" s="113" t="str">
        <f t="shared" si="36"/>
        <v>OOS</v>
      </c>
      <c r="BV132" s="108" t="str">
        <f t="shared" si="37"/>
        <v>OOS</v>
      </c>
      <c r="BW132" s="108" t="str">
        <f t="shared" si="38"/>
        <v>OOS</v>
      </c>
      <c r="BX132" s="108" t="str">
        <f t="shared" si="39"/>
        <v>OOS</v>
      </c>
      <c r="BY132" s="108" t="str">
        <f t="shared" si="40"/>
        <v>OOS</v>
      </c>
      <c r="BZ132" s="108"/>
      <c r="CA132" s="119" t="str">
        <f t="shared" si="41"/>
        <v/>
      </c>
      <c r="CB132" s="174">
        <f t="shared" si="32"/>
        <v>-1</v>
      </c>
      <c r="CC132" s="113" t="str">
        <f t="shared" si="42"/>
        <v/>
      </c>
      <c r="CD132" s="108" t="str">
        <f t="shared" si="43"/>
        <v/>
      </c>
      <c r="CE132" s="108" t="str">
        <f t="shared" si="44"/>
        <v/>
      </c>
      <c r="CF132" s="108" t="str">
        <f t="shared" si="45"/>
        <v/>
      </c>
      <c r="CG132" s="108" t="str">
        <f t="shared" si="46"/>
        <v/>
      </c>
      <c r="CH132" s="103"/>
      <c r="CI132" s="119" t="str">
        <f t="shared" si="35"/>
        <v/>
      </c>
      <c r="CJ132" s="174">
        <f t="shared" si="33"/>
        <v>-1</v>
      </c>
      <c r="CK132" s="113" t="str">
        <f t="shared" si="47"/>
        <v/>
      </c>
      <c r="CL132" s="108" t="str">
        <f t="shared" si="48"/>
        <v/>
      </c>
      <c r="CM132" s="108" t="str">
        <f t="shared" si="49"/>
        <v/>
      </c>
      <c r="CN132" s="108" t="str">
        <f t="shared" si="50"/>
        <v/>
      </c>
      <c r="CO132" s="108" t="str">
        <f t="shared" si="51"/>
        <v/>
      </c>
    </row>
    <row r="133" spans="1:93">
      <c r="A133" s="103" t="s">
        <v>418</v>
      </c>
      <c r="B133" s="103" t="s">
        <v>174</v>
      </c>
      <c r="C133" s="103" t="s">
        <v>153</v>
      </c>
      <c r="D133" s="250" t="s">
        <v>153</v>
      </c>
      <c r="E133" s="250"/>
      <c r="F133" s="182">
        <v>9020</v>
      </c>
      <c r="G133" s="250" t="s">
        <v>175</v>
      </c>
      <c r="H133" s="250">
        <v>15</v>
      </c>
      <c r="I133" s="250"/>
      <c r="J133" s="250"/>
      <c r="K133" s="250"/>
      <c r="L133" s="250" t="s">
        <v>61</v>
      </c>
      <c r="M133" s="250">
        <v>15</v>
      </c>
      <c r="N133" s="250" t="s">
        <v>176</v>
      </c>
      <c r="O133" s="250"/>
      <c r="P133" s="250" t="s">
        <v>153</v>
      </c>
      <c r="Q133" s="250"/>
      <c r="R133" s="250"/>
      <c r="S133" s="250"/>
      <c r="T133" s="250" t="s">
        <v>155</v>
      </c>
      <c r="U133" s="103" t="s">
        <v>419</v>
      </c>
      <c r="V133" s="106" t="s">
        <v>157</v>
      </c>
      <c r="W133" s="103" t="s">
        <v>158</v>
      </c>
      <c r="X133" s="103">
        <f>IFERROR(MATCH(W133,'CostModel Coef'!$C$9:$C$12,0),0)</f>
        <v>0</v>
      </c>
      <c r="Y133" s="103"/>
      <c r="Z133" s="103" t="str">
        <f>IF($X133&gt;0,INDEX('CostModel Coef'!D$9:D$12,$X133),"")</f>
        <v/>
      </c>
      <c r="AA133" s="103" t="str">
        <f>IF($X133&gt;0,INDEX('CostModel Coef'!E$9:E$12,$X133),"")</f>
        <v/>
      </c>
      <c r="AB133" s="103" t="str">
        <f>IF($X133&gt;0,INDEX('CostModel Coef'!F$9:F$12,$X133),"")</f>
        <v/>
      </c>
      <c r="AC133" s="103" t="str">
        <f>IF($X133&gt;0,INDEX('CostModel Coef'!G$9:G$12,$X133),"")</f>
        <v/>
      </c>
      <c r="AD133" s="103" t="str">
        <f>IF($X133&gt;0,INDEX('CostModel Coef'!H$9:H$12,$X133),"")</f>
        <v/>
      </c>
      <c r="AE133" s="103" t="str">
        <f>IF($X133&gt;0,INDEX('CostModel Coef'!J$9:J$12,$X133),"")</f>
        <v/>
      </c>
      <c r="AF133" s="103" t="str">
        <f>IF($X133&gt;0,INDEX('CostModel Coef'!K$9:K$12,$X133),"")</f>
        <v/>
      </c>
      <c r="AG133" s="103" t="str">
        <f>IF($X133&gt;0,INDEX('CostModel Coef'!L$9:L$12,$X133),"")</f>
        <v/>
      </c>
      <c r="AH133" s="103" t="str">
        <f>IF($X133&gt;0,INDEX('CostModel Coef'!M$9:M$12,$X133),"")</f>
        <v/>
      </c>
      <c r="AI133" s="103" t="str">
        <f>IF($X133&gt;0,INDEX('CostModel Coef'!N$9:N$12,$X133),"")</f>
        <v/>
      </c>
      <c r="AJ133" s="103" t="str">
        <f>IF($X133&gt;0,INDEX('CostModel Coef'!Q$9:Q$12,$X133),"")</f>
        <v/>
      </c>
      <c r="AK133" s="103" t="str">
        <f>IF($X133&gt;0,INDEX('CostModel Coef'!T$9:T$12,$X133),"")</f>
        <v/>
      </c>
      <c r="AL133" s="103"/>
      <c r="AM133" s="108" t="str">
        <f t="shared" si="27"/>
        <v/>
      </c>
      <c r="AN133" s="108" t="str">
        <f t="shared" si="28"/>
        <v/>
      </c>
      <c r="AO133" s="108" t="str">
        <f t="shared" si="29"/>
        <v/>
      </c>
      <c r="AP133" s="108" t="str">
        <f t="shared" si="30"/>
        <v/>
      </c>
      <c r="AQ133" s="108" t="str">
        <f t="shared" si="31"/>
        <v/>
      </c>
      <c r="AR133" s="108"/>
      <c r="AS133" s="108"/>
      <c r="AT133" s="103" t="str">
        <f>IF($X133&gt;0,INDEX('CostModel Coef'!D$13:D$16,$X133),"")</f>
        <v/>
      </c>
      <c r="AU133" s="103" t="str">
        <f>IF($X133&gt;0,INDEX('CostModel Coef'!E$13:E$16,$X133),"")</f>
        <v/>
      </c>
      <c r="AV133" s="103" t="str">
        <f>IF($X133&gt;0,INDEX('CostModel Coef'!F$13:F$16,$X133),"")</f>
        <v/>
      </c>
      <c r="AW133" s="103" t="str">
        <f>IF($X133&gt;0,INDEX('CostModel Coef'!G$13:G$16,$X133),"")</f>
        <v/>
      </c>
      <c r="AX133" s="103" t="str">
        <f>IF($X133&gt;0,INDEX('CostModel Coef'!H$13:H$16,$X133),"")</f>
        <v/>
      </c>
      <c r="AY133" s="103" t="str">
        <f>IF($X133&gt;0,INDEX('CostModel Coef'!I$13:I$16,$X133),"")</f>
        <v/>
      </c>
      <c r="AZ133" s="103" t="str">
        <f>IF($X133&gt;0,INDEX('CostModel Coef'!J$13:J$16,$X133),"")</f>
        <v/>
      </c>
      <c r="BA133" s="103" t="str">
        <f>IF($X133&gt;0,INDEX('CostModel Coef'!K$13:K$16,$X133),"")</f>
        <v/>
      </c>
      <c r="BB133" s="103" t="str">
        <f>IF($X133&gt;0,INDEX('CostModel Coef'!L$13:L$16,$X133),"")</f>
        <v/>
      </c>
      <c r="BC133" s="103" t="str">
        <f>IF($X133&gt;0,INDEX('CostModel Coef'!M$13:M$16,$X133),"")</f>
        <v/>
      </c>
      <c r="BD133" s="103" t="str">
        <f>IF($X133&gt;0,INDEX('CostModel Coef'!N$13:N$16,$X133),"")</f>
        <v/>
      </c>
      <c r="BE133" s="103" t="str">
        <f>IF($X133&gt;0,INDEX('CostModel Coef'!O$13:O$16,$X133),"")</f>
        <v/>
      </c>
      <c r="BF133" s="103" t="str">
        <f>IF($X133&gt;0,INDEX('CostModel Coef'!P$13:P$16,$X133),"")</f>
        <v/>
      </c>
      <c r="BG133" s="103" t="str">
        <f>IF($X133&gt;0,INDEX('CostModel Coef'!Q$13:Q$16,$X133),"")</f>
        <v/>
      </c>
      <c r="BH133" s="103" t="str">
        <f>IF($X133&gt;0,INDEX('CostModel Coef'!R$13:R$16,$X133),"")</f>
        <v/>
      </c>
      <c r="BI133" s="103" t="str">
        <f>IF($X133&gt;0,INDEX('CostModel Coef'!S$13:S$16,$X133),"")</f>
        <v/>
      </c>
      <c r="BJ133" s="103" t="str">
        <f>IF($X133&gt;0,INDEX('CostModel Coef'!T$13:T$16,$X133),"")</f>
        <v/>
      </c>
      <c r="BK133" s="103" t="str">
        <f>IF($X133&gt;0,INDEX('CostModel Coef'!U$13:U$16,$X133),"")</f>
        <v/>
      </c>
      <c r="BL133" s="103" t="str">
        <f>IF($X133&gt;0,INDEX('CostModel Coef'!V$13:V$16,$X133),"")</f>
        <v/>
      </c>
      <c r="BM133" s="103" t="str">
        <f>IF($X133&gt;0,INDEX('CostModel Coef'!W$13:W$16,$X133),"")</f>
        <v/>
      </c>
      <c r="BN133" s="103" t="str">
        <f>IF($X133&gt;0,INDEX('CostModel Coef'!X$13:X$16,$X133),"")</f>
        <v/>
      </c>
      <c r="BO133" s="103"/>
      <c r="BP133" s="119">
        <v>2000</v>
      </c>
      <c r="BQ133" s="103"/>
      <c r="BR133" s="103"/>
      <c r="BS133" s="119" t="str">
        <f t="shared" si="34"/>
        <v/>
      </c>
      <c r="BT133" s="174">
        <f t="shared" si="26"/>
        <v>-1</v>
      </c>
      <c r="BU133" s="113" t="str">
        <f t="shared" si="36"/>
        <v>OOS</v>
      </c>
      <c r="BV133" s="108" t="str">
        <f t="shared" si="37"/>
        <v>OOS</v>
      </c>
      <c r="BW133" s="108" t="str">
        <f t="shared" si="38"/>
        <v>OOS</v>
      </c>
      <c r="BX133" s="108" t="str">
        <f t="shared" si="39"/>
        <v>OOS</v>
      </c>
      <c r="BY133" s="108" t="str">
        <f t="shared" si="40"/>
        <v>OOS</v>
      </c>
      <c r="BZ133" s="108"/>
      <c r="CA133" s="119" t="str">
        <f t="shared" si="41"/>
        <v/>
      </c>
      <c r="CB133" s="174">
        <f t="shared" si="32"/>
        <v>-1</v>
      </c>
      <c r="CC133" s="113" t="str">
        <f t="shared" si="42"/>
        <v/>
      </c>
      <c r="CD133" s="108" t="str">
        <f t="shared" si="43"/>
        <v/>
      </c>
      <c r="CE133" s="108" t="str">
        <f t="shared" si="44"/>
        <v/>
      </c>
      <c r="CF133" s="108" t="str">
        <f t="shared" si="45"/>
        <v/>
      </c>
      <c r="CG133" s="108" t="str">
        <f t="shared" si="46"/>
        <v/>
      </c>
      <c r="CH133" s="103"/>
      <c r="CI133" s="119" t="str">
        <f t="shared" si="35"/>
        <v/>
      </c>
      <c r="CJ133" s="174">
        <f t="shared" si="33"/>
        <v>-1</v>
      </c>
      <c r="CK133" s="113" t="str">
        <f t="shared" si="47"/>
        <v/>
      </c>
      <c r="CL133" s="108" t="str">
        <f t="shared" si="48"/>
        <v/>
      </c>
      <c r="CM133" s="108" t="str">
        <f t="shared" si="49"/>
        <v/>
      </c>
      <c r="CN133" s="108" t="str">
        <f t="shared" si="50"/>
        <v/>
      </c>
      <c r="CO133" s="108" t="str">
        <f t="shared" si="51"/>
        <v/>
      </c>
    </row>
    <row r="134" spans="1:93">
      <c r="A134" s="103" t="s">
        <v>420</v>
      </c>
      <c r="B134" s="103" t="s">
        <v>174</v>
      </c>
      <c r="C134" s="103" t="s">
        <v>153</v>
      </c>
      <c r="D134" s="250" t="s">
        <v>153</v>
      </c>
      <c r="E134" s="250"/>
      <c r="F134" s="182">
        <v>9020</v>
      </c>
      <c r="G134" s="250" t="s">
        <v>175</v>
      </c>
      <c r="H134" s="250">
        <v>18</v>
      </c>
      <c r="I134" s="250"/>
      <c r="J134" s="250"/>
      <c r="K134" s="250"/>
      <c r="L134" s="250" t="s">
        <v>61</v>
      </c>
      <c r="M134" s="250">
        <v>18</v>
      </c>
      <c r="N134" s="250" t="s">
        <v>176</v>
      </c>
      <c r="O134" s="250"/>
      <c r="P134" s="250" t="s">
        <v>153</v>
      </c>
      <c r="Q134" s="250"/>
      <c r="R134" s="250"/>
      <c r="S134" s="250"/>
      <c r="T134" s="250" t="s">
        <v>155</v>
      </c>
      <c r="U134" s="103" t="s">
        <v>421</v>
      </c>
      <c r="V134" s="106" t="s">
        <v>157</v>
      </c>
      <c r="W134" s="103" t="s">
        <v>158</v>
      </c>
      <c r="X134" s="103">
        <f>IFERROR(MATCH(W134,'CostModel Coef'!$C$9:$C$12,0),0)</f>
        <v>0</v>
      </c>
      <c r="Y134" s="103"/>
      <c r="Z134" s="103" t="str">
        <f>IF($X134&gt;0,INDEX('CostModel Coef'!D$9:D$12,$X134),"")</f>
        <v/>
      </c>
      <c r="AA134" s="103" t="str">
        <f>IF($X134&gt;0,INDEX('CostModel Coef'!E$9:E$12,$X134),"")</f>
        <v/>
      </c>
      <c r="AB134" s="103" t="str">
        <f>IF($X134&gt;0,INDEX('CostModel Coef'!F$9:F$12,$X134),"")</f>
        <v/>
      </c>
      <c r="AC134" s="103" t="str">
        <f>IF($X134&gt;0,INDEX('CostModel Coef'!G$9:G$12,$X134),"")</f>
        <v/>
      </c>
      <c r="AD134" s="103" t="str">
        <f>IF($X134&gt;0,INDEX('CostModel Coef'!H$9:H$12,$X134),"")</f>
        <v/>
      </c>
      <c r="AE134" s="103" t="str">
        <f>IF($X134&gt;0,INDEX('CostModel Coef'!J$9:J$12,$X134),"")</f>
        <v/>
      </c>
      <c r="AF134" s="103" t="str">
        <f>IF($X134&gt;0,INDEX('CostModel Coef'!K$9:K$12,$X134),"")</f>
        <v/>
      </c>
      <c r="AG134" s="103" t="str">
        <f>IF($X134&gt;0,INDEX('CostModel Coef'!L$9:L$12,$X134),"")</f>
        <v/>
      </c>
      <c r="AH134" s="103" t="str">
        <f>IF($X134&gt;0,INDEX('CostModel Coef'!M$9:M$12,$X134),"")</f>
        <v/>
      </c>
      <c r="AI134" s="103" t="str">
        <f>IF($X134&gt;0,INDEX('CostModel Coef'!N$9:N$12,$X134),"")</f>
        <v/>
      </c>
      <c r="AJ134" s="103" t="str">
        <f>IF($X134&gt;0,INDEX('CostModel Coef'!Q$9:Q$12,$X134),"")</f>
        <v/>
      </c>
      <c r="AK134" s="103" t="str">
        <f>IF($X134&gt;0,INDEX('CostModel Coef'!T$9:T$12,$X134),"")</f>
        <v/>
      </c>
      <c r="AL134" s="103"/>
      <c r="AM134" s="108" t="str">
        <f t="shared" si="27"/>
        <v/>
      </c>
      <c r="AN134" s="108" t="str">
        <f t="shared" si="28"/>
        <v/>
      </c>
      <c r="AO134" s="108" t="str">
        <f t="shared" si="29"/>
        <v/>
      </c>
      <c r="AP134" s="108" t="str">
        <f t="shared" si="30"/>
        <v/>
      </c>
      <c r="AQ134" s="108" t="str">
        <f t="shared" si="31"/>
        <v/>
      </c>
      <c r="AR134" s="108"/>
      <c r="AS134" s="108"/>
      <c r="AT134" s="103" t="str">
        <f>IF($X134&gt;0,INDEX('CostModel Coef'!D$13:D$16,$X134),"")</f>
        <v/>
      </c>
      <c r="AU134" s="103" t="str">
        <f>IF($X134&gt;0,INDEX('CostModel Coef'!E$13:E$16,$X134),"")</f>
        <v/>
      </c>
      <c r="AV134" s="103" t="str">
        <f>IF($X134&gt;0,INDEX('CostModel Coef'!F$13:F$16,$X134),"")</f>
        <v/>
      </c>
      <c r="AW134" s="103" t="str">
        <f>IF($X134&gt;0,INDEX('CostModel Coef'!G$13:G$16,$X134),"")</f>
        <v/>
      </c>
      <c r="AX134" s="103" t="str">
        <f>IF($X134&gt;0,INDEX('CostModel Coef'!H$13:H$16,$X134),"")</f>
        <v/>
      </c>
      <c r="AY134" s="103" t="str">
        <f>IF($X134&gt;0,INDEX('CostModel Coef'!I$13:I$16,$X134),"")</f>
        <v/>
      </c>
      <c r="AZ134" s="103" t="str">
        <f>IF($X134&gt;0,INDEX('CostModel Coef'!J$13:J$16,$X134),"")</f>
        <v/>
      </c>
      <c r="BA134" s="103" t="str">
        <f>IF($X134&gt;0,INDEX('CostModel Coef'!K$13:K$16,$X134),"")</f>
        <v/>
      </c>
      <c r="BB134" s="103" t="str">
        <f>IF($X134&gt;0,INDEX('CostModel Coef'!L$13:L$16,$X134),"")</f>
        <v/>
      </c>
      <c r="BC134" s="103" t="str">
        <f>IF($X134&gt;0,INDEX('CostModel Coef'!M$13:M$16,$X134),"")</f>
        <v/>
      </c>
      <c r="BD134" s="103" t="str">
        <f>IF($X134&gt;0,INDEX('CostModel Coef'!N$13:N$16,$X134),"")</f>
        <v/>
      </c>
      <c r="BE134" s="103" t="str">
        <f>IF($X134&gt;0,INDEX('CostModel Coef'!O$13:O$16,$X134),"")</f>
        <v/>
      </c>
      <c r="BF134" s="103" t="str">
        <f>IF($X134&gt;0,INDEX('CostModel Coef'!P$13:P$16,$X134),"")</f>
        <v/>
      </c>
      <c r="BG134" s="103" t="str">
        <f>IF($X134&gt;0,INDEX('CostModel Coef'!Q$13:Q$16,$X134),"")</f>
        <v/>
      </c>
      <c r="BH134" s="103" t="str">
        <f>IF($X134&gt;0,INDEX('CostModel Coef'!R$13:R$16,$X134),"")</f>
        <v/>
      </c>
      <c r="BI134" s="103" t="str">
        <f>IF($X134&gt;0,INDEX('CostModel Coef'!S$13:S$16,$X134),"")</f>
        <v/>
      </c>
      <c r="BJ134" s="103" t="str">
        <f>IF($X134&gt;0,INDEX('CostModel Coef'!T$13:T$16,$X134),"")</f>
        <v/>
      </c>
      <c r="BK134" s="103" t="str">
        <f>IF($X134&gt;0,INDEX('CostModel Coef'!U$13:U$16,$X134),"")</f>
        <v/>
      </c>
      <c r="BL134" s="103" t="str">
        <f>IF($X134&gt;0,INDEX('CostModel Coef'!V$13:V$16,$X134),"")</f>
        <v/>
      </c>
      <c r="BM134" s="103" t="str">
        <f>IF($X134&gt;0,INDEX('CostModel Coef'!W$13:W$16,$X134),"")</f>
        <v/>
      </c>
      <c r="BN134" s="103" t="str">
        <f>IF($X134&gt;0,INDEX('CostModel Coef'!X$13:X$16,$X134),"")</f>
        <v/>
      </c>
      <c r="BO134" s="103"/>
      <c r="BP134" s="119">
        <v>2000</v>
      </c>
      <c r="BQ134" s="103"/>
      <c r="BR134" s="103"/>
      <c r="BS134" s="119" t="str">
        <f t="shared" si="34"/>
        <v/>
      </c>
      <c r="BT134" s="174">
        <f t="shared" si="26"/>
        <v>-1</v>
      </c>
      <c r="BU134" s="113" t="str">
        <f t="shared" si="36"/>
        <v>OOS</v>
      </c>
      <c r="BV134" s="108" t="str">
        <f t="shared" si="37"/>
        <v>OOS</v>
      </c>
      <c r="BW134" s="108" t="str">
        <f t="shared" si="38"/>
        <v>OOS</v>
      </c>
      <c r="BX134" s="108" t="str">
        <f t="shared" si="39"/>
        <v>OOS</v>
      </c>
      <c r="BY134" s="108" t="str">
        <f t="shared" si="40"/>
        <v>OOS</v>
      </c>
      <c r="BZ134" s="108"/>
      <c r="CA134" s="119" t="str">
        <f t="shared" si="41"/>
        <v/>
      </c>
      <c r="CB134" s="174">
        <f t="shared" si="32"/>
        <v>-1</v>
      </c>
      <c r="CC134" s="113" t="str">
        <f t="shared" si="42"/>
        <v/>
      </c>
      <c r="CD134" s="108" t="str">
        <f t="shared" si="43"/>
        <v/>
      </c>
      <c r="CE134" s="108" t="str">
        <f t="shared" si="44"/>
        <v/>
      </c>
      <c r="CF134" s="108" t="str">
        <f t="shared" si="45"/>
        <v/>
      </c>
      <c r="CG134" s="108" t="str">
        <f t="shared" si="46"/>
        <v/>
      </c>
      <c r="CH134" s="103"/>
      <c r="CI134" s="119" t="str">
        <f t="shared" si="35"/>
        <v/>
      </c>
      <c r="CJ134" s="174">
        <f t="shared" si="33"/>
        <v>-1</v>
      </c>
      <c r="CK134" s="113" t="str">
        <f t="shared" si="47"/>
        <v/>
      </c>
      <c r="CL134" s="108" t="str">
        <f t="shared" si="48"/>
        <v/>
      </c>
      <c r="CM134" s="108" t="str">
        <f t="shared" si="49"/>
        <v/>
      </c>
      <c r="CN134" s="108" t="str">
        <f t="shared" si="50"/>
        <v/>
      </c>
      <c r="CO134" s="108" t="str">
        <f t="shared" si="51"/>
        <v/>
      </c>
    </row>
    <row r="135" spans="1:93">
      <c r="A135" s="103" t="s">
        <v>422</v>
      </c>
      <c r="B135" s="103" t="s">
        <v>174</v>
      </c>
      <c r="C135" s="103" t="s">
        <v>153</v>
      </c>
      <c r="D135" s="250" t="s">
        <v>153</v>
      </c>
      <c r="E135" s="250"/>
      <c r="F135" s="182">
        <v>9020</v>
      </c>
      <c r="G135" s="250" t="s">
        <v>175</v>
      </c>
      <c r="H135" s="250">
        <v>19</v>
      </c>
      <c r="I135" s="250"/>
      <c r="J135" s="250"/>
      <c r="K135" s="250"/>
      <c r="L135" s="250" t="s">
        <v>61</v>
      </c>
      <c r="M135" s="250">
        <v>19</v>
      </c>
      <c r="N135" s="250" t="s">
        <v>176</v>
      </c>
      <c r="O135" s="250"/>
      <c r="P135" s="250" t="s">
        <v>153</v>
      </c>
      <c r="Q135" s="250"/>
      <c r="R135" s="250"/>
      <c r="S135" s="250"/>
      <c r="T135" s="250" t="s">
        <v>155</v>
      </c>
      <c r="U135" s="103" t="s">
        <v>423</v>
      </c>
      <c r="V135" s="106" t="s">
        <v>157</v>
      </c>
      <c r="W135" s="103" t="s">
        <v>158</v>
      </c>
      <c r="X135" s="103">
        <f>IFERROR(MATCH(W135,'CostModel Coef'!$C$9:$C$12,0),0)</f>
        <v>0</v>
      </c>
      <c r="Y135" s="103"/>
      <c r="Z135" s="103" t="str">
        <f>IF($X135&gt;0,INDEX('CostModel Coef'!D$9:D$12,$X135),"")</f>
        <v/>
      </c>
      <c r="AA135" s="103" t="str">
        <f>IF($X135&gt;0,INDEX('CostModel Coef'!E$9:E$12,$X135),"")</f>
        <v/>
      </c>
      <c r="AB135" s="103" t="str">
        <f>IF($X135&gt;0,INDEX('CostModel Coef'!F$9:F$12,$X135),"")</f>
        <v/>
      </c>
      <c r="AC135" s="103" t="str">
        <f>IF($X135&gt;0,INDEX('CostModel Coef'!G$9:G$12,$X135),"")</f>
        <v/>
      </c>
      <c r="AD135" s="103" t="str">
        <f>IF($X135&gt;0,INDEX('CostModel Coef'!H$9:H$12,$X135),"")</f>
        <v/>
      </c>
      <c r="AE135" s="103" t="str">
        <f>IF($X135&gt;0,INDEX('CostModel Coef'!J$9:J$12,$X135),"")</f>
        <v/>
      </c>
      <c r="AF135" s="103" t="str">
        <f>IF($X135&gt;0,INDEX('CostModel Coef'!K$9:K$12,$X135),"")</f>
        <v/>
      </c>
      <c r="AG135" s="103" t="str">
        <f>IF($X135&gt;0,INDEX('CostModel Coef'!L$9:L$12,$X135),"")</f>
        <v/>
      </c>
      <c r="AH135" s="103" t="str">
        <f>IF($X135&gt;0,INDEX('CostModel Coef'!M$9:M$12,$X135),"")</f>
        <v/>
      </c>
      <c r="AI135" s="103" t="str">
        <f>IF($X135&gt;0,INDEX('CostModel Coef'!N$9:N$12,$X135),"")</f>
        <v/>
      </c>
      <c r="AJ135" s="103" t="str">
        <f>IF($X135&gt;0,INDEX('CostModel Coef'!Q$9:Q$12,$X135),"")</f>
        <v/>
      </c>
      <c r="AK135" s="103" t="str">
        <f>IF($X135&gt;0,INDEX('CostModel Coef'!T$9:T$12,$X135),"")</f>
        <v/>
      </c>
      <c r="AL135" s="103"/>
      <c r="AM135" s="108" t="str">
        <f t="shared" si="27"/>
        <v/>
      </c>
      <c r="AN135" s="108" t="str">
        <f t="shared" si="28"/>
        <v/>
      </c>
      <c r="AO135" s="108" t="str">
        <f t="shared" si="29"/>
        <v/>
      </c>
      <c r="AP135" s="108" t="str">
        <f t="shared" si="30"/>
        <v/>
      </c>
      <c r="AQ135" s="108" t="str">
        <f t="shared" si="31"/>
        <v/>
      </c>
      <c r="AR135" s="108"/>
      <c r="AS135" s="108"/>
      <c r="AT135" s="103" t="str">
        <f>IF($X135&gt;0,INDEX('CostModel Coef'!D$13:D$16,$X135),"")</f>
        <v/>
      </c>
      <c r="AU135" s="103" t="str">
        <f>IF($X135&gt;0,INDEX('CostModel Coef'!E$13:E$16,$X135),"")</f>
        <v/>
      </c>
      <c r="AV135" s="103" t="str">
        <f>IF($X135&gt;0,INDEX('CostModel Coef'!F$13:F$16,$X135),"")</f>
        <v/>
      </c>
      <c r="AW135" s="103" t="str">
        <f>IF($X135&gt;0,INDEX('CostModel Coef'!G$13:G$16,$X135),"")</f>
        <v/>
      </c>
      <c r="AX135" s="103" t="str">
        <f>IF($X135&gt;0,INDEX('CostModel Coef'!H$13:H$16,$X135),"")</f>
        <v/>
      </c>
      <c r="AY135" s="103" t="str">
        <f>IF($X135&gt;0,INDEX('CostModel Coef'!I$13:I$16,$X135),"")</f>
        <v/>
      </c>
      <c r="AZ135" s="103" t="str">
        <f>IF($X135&gt;0,INDEX('CostModel Coef'!J$13:J$16,$X135),"")</f>
        <v/>
      </c>
      <c r="BA135" s="103" t="str">
        <f>IF($X135&gt;0,INDEX('CostModel Coef'!K$13:K$16,$X135),"")</f>
        <v/>
      </c>
      <c r="BB135" s="103" t="str">
        <f>IF($X135&gt;0,INDEX('CostModel Coef'!L$13:L$16,$X135),"")</f>
        <v/>
      </c>
      <c r="BC135" s="103" t="str">
        <f>IF($X135&gt;0,INDEX('CostModel Coef'!M$13:M$16,$X135),"")</f>
        <v/>
      </c>
      <c r="BD135" s="103" t="str">
        <f>IF($X135&gt;0,INDEX('CostModel Coef'!N$13:N$16,$X135),"")</f>
        <v/>
      </c>
      <c r="BE135" s="103" t="str">
        <f>IF($X135&gt;0,INDEX('CostModel Coef'!O$13:O$16,$X135),"")</f>
        <v/>
      </c>
      <c r="BF135" s="103" t="str">
        <f>IF($X135&gt;0,INDEX('CostModel Coef'!P$13:P$16,$X135),"")</f>
        <v/>
      </c>
      <c r="BG135" s="103" t="str">
        <f>IF($X135&gt;0,INDEX('CostModel Coef'!Q$13:Q$16,$X135),"")</f>
        <v/>
      </c>
      <c r="BH135" s="103" t="str">
        <f>IF($X135&gt;0,INDEX('CostModel Coef'!R$13:R$16,$X135),"")</f>
        <v/>
      </c>
      <c r="BI135" s="103" t="str">
        <f>IF($X135&gt;0,INDEX('CostModel Coef'!S$13:S$16,$X135),"")</f>
        <v/>
      </c>
      <c r="BJ135" s="103" t="str">
        <f>IF($X135&gt;0,INDEX('CostModel Coef'!T$13:T$16,$X135),"")</f>
        <v/>
      </c>
      <c r="BK135" s="103" t="str">
        <f>IF($X135&gt;0,INDEX('CostModel Coef'!U$13:U$16,$X135),"")</f>
        <v/>
      </c>
      <c r="BL135" s="103" t="str">
        <f>IF($X135&gt;0,INDEX('CostModel Coef'!V$13:V$16,$X135),"")</f>
        <v/>
      </c>
      <c r="BM135" s="103" t="str">
        <f>IF($X135&gt;0,INDEX('CostModel Coef'!W$13:W$16,$X135),"")</f>
        <v/>
      </c>
      <c r="BN135" s="103" t="str">
        <f>IF($X135&gt;0,INDEX('CostModel Coef'!X$13:X$16,$X135),"")</f>
        <v/>
      </c>
      <c r="BO135" s="103"/>
      <c r="BP135" s="119">
        <v>2000</v>
      </c>
      <c r="BQ135" s="103"/>
      <c r="BR135" s="103"/>
      <c r="BS135" s="119" t="str">
        <f t="shared" si="34"/>
        <v/>
      </c>
      <c r="BT135" s="174">
        <f t="shared" si="26"/>
        <v>-1</v>
      </c>
      <c r="BU135" s="113" t="str">
        <f t="shared" si="36"/>
        <v>OOS</v>
      </c>
      <c r="BV135" s="108" t="str">
        <f t="shared" si="37"/>
        <v>OOS</v>
      </c>
      <c r="BW135" s="108" t="str">
        <f t="shared" si="38"/>
        <v>OOS</v>
      </c>
      <c r="BX135" s="108" t="str">
        <f t="shared" si="39"/>
        <v>OOS</v>
      </c>
      <c r="BY135" s="108" t="str">
        <f t="shared" si="40"/>
        <v>OOS</v>
      </c>
      <c r="BZ135" s="108"/>
      <c r="CA135" s="119" t="str">
        <f t="shared" si="41"/>
        <v/>
      </c>
      <c r="CB135" s="174">
        <f t="shared" si="32"/>
        <v>-1</v>
      </c>
      <c r="CC135" s="113" t="str">
        <f t="shared" si="42"/>
        <v/>
      </c>
      <c r="CD135" s="108" t="str">
        <f t="shared" si="43"/>
        <v/>
      </c>
      <c r="CE135" s="108" t="str">
        <f t="shared" si="44"/>
        <v/>
      </c>
      <c r="CF135" s="108" t="str">
        <f t="shared" si="45"/>
        <v/>
      </c>
      <c r="CG135" s="108" t="str">
        <f t="shared" si="46"/>
        <v/>
      </c>
      <c r="CH135" s="103"/>
      <c r="CI135" s="119" t="str">
        <f t="shared" si="35"/>
        <v/>
      </c>
      <c r="CJ135" s="174">
        <f t="shared" si="33"/>
        <v>-1</v>
      </c>
      <c r="CK135" s="113" t="str">
        <f t="shared" si="47"/>
        <v/>
      </c>
      <c r="CL135" s="108" t="str">
        <f t="shared" si="48"/>
        <v/>
      </c>
      <c r="CM135" s="108" t="str">
        <f t="shared" si="49"/>
        <v/>
      </c>
      <c r="CN135" s="108" t="str">
        <f t="shared" si="50"/>
        <v/>
      </c>
      <c r="CO135" s="108" t="str">
        <f t="shared" si="51"/>
        <v/>
      </c>
    </row>
    <row r="136" spans="1:93">
      <c r="A136" s="103" t="s">
        <v>424</v>
      </c>
      <c r="B136" s="103" t="s">
        <v>174</v>
      </c>
      <c r="C136" s="103" t="s">
        <v>153</v>
      </c>
      <c r="D136" s="250" t="s">
        <v>153</v>
      </c>
      <c r="E136" s="250"/>
      <c r="F136" s="182">
        <v>9020</v>
      </c>
      <c r="G136" s="250" t="s">
        <v>175</v>
      </c>
      <c r="H136" s="250">
        <v>20</v>
      </c>
      <c r="I136" s="250"/>
      <c r="J136" s="250"/>
      <c r="K136" s="250"/>
      <c r="L136" s="250" t="s">
        <v>61</v>
      </c>
      <c r="M136" s="250">
        <v>20</v>
      </c>
      <c r="N136" s="250" t="s">
        <v>176</v>
      </c>
      <c r="O136" s="250"/>
      <c r="P136" s="250" t="s">
        <v>153</v>
      </c>
      <c r="Q136" s="250"/>
      <c r="R136" s="250"/>
      <c r="S136" s="250"/>
      <c r="T136" s="250" t="s">
        <v>155</v>
      </c>
      <c r="U136" s="103" t="s">
        <v>425</v>
      </c>
      <c r="V136" s="106" t="s">
        <v>157</v>
      </c>
      <c r="W136" s="103" t="s">
        <v>158</v>
      </c>
      <c r="X136" s="103">
        <f>IFERROR(MATCH(W136,'CostModel Coef'!$C$9:$C$12,0),0)</f>
        <v>0</v>
      </c>
      <c r="Y136" s="103"/>
      <c r="Z136" s="103" t="str">
        <f>IF($X136&gt;0,INDEX('CostModel Coef'!D$9:D$12,$X136),"")</f>
        <v/>
      </c>
      <c r="AA136" s="103" t="str">
        <f>IF($X136&gt;0,INDEX('CostModel Coef'!E$9:E$12,$X136),"")</f>
        <v/>
      </c>
      <c r="AB136" s="103" t="str">
        <f>IF($X136&gt;0,INDEX('CostModel Coef'!F$9:F$12,$X136),"")</f>
        <v/>
      </c>
      <c r="AC136" s="103" t="str">
        <f>IF($X136&gt;0,INDEX('CostModel Coef'!G$9:G$12,$X136),"")</f>
        <v/>
      </c>
      <c r="AD136" s="103" t="str">
        <f>IF($X136&gt;0,INDEX('CostModel Coef'!H$9:H$12,$X136),"")</f>
        <v/>
      </c>
      <c r="AE136" s="103" t="str">
        <f>IF($X136&gt;0,INDEX('CostModel Coef'!J$9:J$12,$X136),"")</f>
        <v/>
      </c>
      <c r="AF136" s="103" t="str">
        <f>IF($X136&gt;0,INDEX('CostModel Coef'!K$9:K$12,$X136),"")</f>
        <v/>
      </c>
      <c r="AG136" s="103" t="str">
        <f>IF($X136&gt;0,INDEX('CostModel Coef'!L$9:L$12,$X136),"")</f>
        <v/>
      </c>
      <c r="AH136" s="103" t="str">
        <f>IF($X136&gt;0,INDEX('CostModel Coef'!M$9:M$12,$X136),"")</f>
        <v/>
      </c>
      <c r="AI136" s="103" t="str">
        <f>IF($X136&gt;0,INDEX('CostModel Coef'!N$9:N$12,$X136),"")</f>
        <v/>
      </c>
      <c r="AJ136" s="103" t="str">
        <f>IF($X136&gt;0,INDEX('CostModel Coef'!Q$9:Q$12,$X136),"")</f>
        <v/>
      </c>
      <c r="AK136" s="103" t="str">
        <f>IF($X136&gt;0,INDEX('CostModel Coef'!T$9:T$12,$X136),"")</f>
        <v/>
      </c>
      <c r="AL136" s="103"/>
      <c r="AM136" s="108" t="str">
        <f t="shared" si="27"/>
        <v/>
      </c>
      <c r="AN136" s="108" t="str">
        <f t="shared" si="28"/>
        <v/>
      </c>
      <c r="AO136" s="108" t="str">
        <f t="shared" si="29"/>
        <v/>
      </c>
      <c r="AP136" s="108" t="str">
        <f t="shared" si="30"/>
        <v/>
      </c>
      <c r="AQ136" s="108" t="str">
        <f t="shared" si="31"/>
        <v/>
      </c>
      <c r="AR136" s="108"/>
      <c r="AS136" s="108"/>
      <c r="AT136" s="103" t="str">
        <f>IF($X136&gt;0,INDEX('CostModel Coef'!D$13:D$16,$X136),"")</f>
        <v/>
      </c>
      <c r="AU136" s="103" t="str">
        <f>IF($X136&gt;0,INDEX('CostModel Coef'!E$13:E$16,$X136),"")</f>
        <v/>
      </c>
      <c r="AV136" s="103" t="str">
        <f>IF($X136&gt;0,INDEX('CostModel Coef'!F$13:F$16,$X136),"")</f>
        <v/>
      </c>
      <c r="AW136" s="103" t="str">
        <f>IF($X136&gt;0,INDEX('CostModel Coef'!G$13:G$16,$X136),"")</f>
        <v/>
      </c>
      <c r="AX136" s="103" t="str">
        <f>IF($X136&gt;0,INDEX('CostModel Coef'!H$13:H$16,$X136),"")</f>
        <v/>
      </c>
      <c r="AY136" s="103" t="str">
        <f>IF($X136&gt;0,INDEX('CostModel Coef'!I$13:I$16,$X136),"")</f>
        <v/>
      </c>
      <c r="AZ136" s="103" t="str">
        <f>IF($X136&gt;0,INDEX('CostModel Coef'!J$13:J$16,$X136),"")</f>
        <v/>
      </c>
      <c r="BA136" s="103" t="str">
        <f>IF($X136&gt;0,INDEX('CostModel Coef'!K$13:K$16,$X136),"")</f>
        <v/>
      </c>
      <c r="BB136" s="103" t="str">
        <f>IF($X136&gt;0,INDEX('CostModel Coef'!L$13:L$16,$X136),"")</f>
        <v/>
      </c>
      <c r="BC136" s="103" t="str">
        <f>IF($X136&gt;0,INDEX('CostModel Coef'!M$13:M$16,$X136),"")</f>
        <v/>
      </c>
      <c r="BD136" s="103" t="str">
        <f>IF($X136&gt;0,INDEX('CostModel Coef'!N$13:N$16,$X136),"")</f>
        <v/>
      </c>
      <c r="BE136" s="103" t="str">
        <f>IF($X136&gt;0,INDEX('CostModel Coef'!O$13:O$16,$X136),"")</f>
        <v/>
      </c>
      <c r="BF136" s="103" t="str">
        <f>IF($X136&gt;0,INDEX('CostModel Coef'!P$13:P$16,$X136),"")</f>
        <v/>
      </c>
      <c r="BG136" s="103" t="str">
        <f>IF($X136&gt;0,INDEX('CostModel Coef'!Q$13:Q$16,$X136),"")</f>
        <v/>
      </c>
      <c r="BH136" s="103" t="str">
        <f>IF($X136&gt;0,INDEX('CostModel Coef'!R$13:R$16,$X136),"")</f>
        <v/>
      </c>
      <c r="BI136" s="103" t="str">
        <f>IF($X136&gt;0,INDEX('CostModel Coef'!S$13:S$16,$X136),"")</f>
        <v/>
      </c>
      <c r="BJ136" s="103" t="str">
        <f>IF($X136&gt;0,INDEX('CostModel Coef'!T$13:T$16,$X136),"")</f>
        <v/>
      </c>
      <c r="BK136" s="103" t="str">
        <f>IF($X136&gt;0,INDEX('CostModel Coef'!U$13:U$16,$X136),"")</f>
        <v/>
      </c>
      <c r="BL136" s="103" t="str">
        <f>IF($X136&gt;0,INDEX('CostModel Coef'!V$13:V$16,$X136),"")</f>
        <v/>
      </c>
      <c r="BM136" s="103" t="str">
        <f>IF($X136&gt;0,INDEX('CostModel Coef'!W$13:W$16,$X136),"")</f>
        <v/>
      </c>
      <c r="BN136" s="103" t="str">
        <f>IF($X136&gt;0,INDEX('CostModel Coef'!X$13:X$16,$X136),"")</f>
        <v/>
      </c>
      <c r="BO136" s="103"/>
      <c r="BP136" s="119">
        <v>2000</v>
      </c>
      <c r="BQ136" s="103"/>
      <c r="BR136" s="103"/>
      <c r="BS136" s="119" t="str">
        <f t="shared" si="34"/>
        <v/>
      </c>
      <c r="BT136" s="174">
        <f t="shared" ref="BT136:BT199" si="52">IF(X136=2,ROUND(M136*$BX$4,0),IF(OR(X136=1,X136=3,X136=4),ROUND(M136*$BX$5,0),-1))</f>
        <v>-1</v>
      </c>
      <c r="BU136" s="113" t="str">
        <f t="shared" si="36"/>
        <v>OOS</v>
      </c>
      <c r="BV136" s="108" t="str">
        <f t="shared" si="37"/>
        <v>OOS</v>
      </c>
      <c r="BW136" s="108" t="str">
        <f t="shared" si="38"/>
        <v>OOS</v>
      </c>
      <c r="BX136" s="108" t="str">
        <f t="shared" si="39"/>
        <v>OOS</v>
      </c>
      <c r="BY136" s="108" t="str">
        <f t="shared" si="40"/>
        <v>OOS</v>
      </c>
      <c r="BZ136" s="108"/>
      <c r="CA136" s="119" t="str">
        <f t="shared" si="41"/>
        <v/>
      </c>
      <c r="CB136" s="174">
        <f t="shared" si="32"/>
        <v>-1</v>
      </c>
      <c r="CC136" s="113" t="str">
        <f t="shared" si="42"/>
        <v/>
      </c>
      <c r="CD136" s="108" t="str">
        <f t="shared" si="43"/>
        <v/>
      </c>
      <c r="CE136" s="108" t="str">
        <f t="shared" si="44"/>
        <v/>
      </c>
      <c r="CF136" s="108" t="str">
        <f t="shared" si="45"/>
        <v/>
      </c>
      <c r="CG136" s="108" t="str">
        <f t="shared" si="46"/>
        <v/>
      </c>
      <c r="CH136" s="103"/>
      <c r="CI136" s="119" t="str">
        <f t="shared" si="35"/>
        <v/>
      </c>
      <c r="CJ136" s="174">
        <f t="shared" si="33"/>
        <v>-1</v>
      </c>
      <c r="CK136" s="113" t="str">
        <f t="shared" si="47"/>
        <v/>
      </c>
      <c r="CL136" s="108" t="str">
        <f t="shared" si="48"/>
        <v/>
      </c>
      <c r="CM136" s="108" t="str">
        <f t="shared" si="49"/>
        <v/>
      </c>
      <c r="CN136" s="108" t="str">
        <f t="shared" si="50"/>
        <v/>
      </c>
      <c r="CO136" s="108" t="str">
        <f t="shared" si="51"/>
        <v/>
      </c>
    </row>
    <row r="137" spans="1:93">
      <c r="A137" s="103" t="s">
        <v>426</v>
      </c>
      <c r="B137" s="103" t="s">
        <v>174</v>
      </c>
      <c r="C137" s="103" t="s">
        <v>153</v>
      </c>
      <c r="D137" s="250" t="s">
        <v>153</v>
      </c>
      <c r="E137" s="250"/>
      <c r="F137" s="182">
        <v>9020</v>
      </c>
      <c r="G137" s="250" t="s">
        <v>175</v>
      </c>
      <c r="H137" s="250">
        <v>22</v>
      </c>
      <c r="I137" s="250"/>
      <c r="J137" s="250"/>
      <c r="K137" s="250"/>
      <c r="L137" s="250" t="s">
        <v>61</v>
      </c>
      <c r="M137" s="250">
        <v>22</v>
      </c>
      <c r="N137" s="250" t="s">
        <v>176</v>
      </c>
      <c r="O137" s="250"/>
      <c r="P137" s="250" t="s">
        <v>153</v>
      </c>
      <c r="Q137" s="250"/>
      <c r="R137" s="250"/>
      <c r="S137" s="250"/>
      <c r="T137" s="250" t="s">
        <v>155</v>
      </c>
      <c r="U137" s="103" t="s">
        <v>427</v>
      </c>
      <c r="V137" s="106" t="s">
        <v>157</v>
      </c>
      <c r="W137" s="103" t="s">
        <v>158</v>
      </c>
      <c r="X137" s="103">
        <f>IFERROR(MATCH(W137,'CostModel Coef'!$C$9:$C$12,0),0)</f>
        <v>0</v>
      </c>
      <c r="Y137" s="103"/>
      <c r="Z137" s="103" t="str">
        <f>IF($X137&gt;0,INDEX('CostModel Coef'!D$9:D$12,$X137),"")</f>
        <v/>
      </c>
      <c r="AA137" s="103" t="str">
        <f>IF($X137&gt;0,INDEX('CostModel Coef'!E$9:E$12,$X137),"")</f>
        <v/>
      </c>
      <c r="AB137" s="103" t="str">
        <f>IF($X137&gt;0,INDEX('CostModel Coef'!F$9:F$12,$X137),"")</f>
        <v/>
      </c>
      <c r="AC137" s="103" t="str">
        <f>IF($X137&gt;0,INDEX('CostModel Coef'!G$9:G$12,$X137),"")</f>
        <v/>
      </c>
      <c r="AD137" s="103" t="str">
        <f>IF($X137&gt;0,INDEX('CostModel Coef'!H$9:H$12,$X137),"")</f>
        <v/>
      </c>
      <c r="AE137" s="103" t="str">
        <f>IF($X137&gt;0,INDEX('CostModel Coef'!J$9:J$12,$X137),"")</f>
        <v/>
      </c>
      <c r="AF137" s="103" t="str">
        <f>IF($X137&gt;0,INDEX('CostModel Coef'!K$9:K$12,$X137),"")</f>
        <v/>
      </c>
      <c r="AG137" s="103" t="str">
        <f>IF($X137&gt;0,INDEX('CostModel Coef'!L$9:L$12,$X137),"")</f>
        <v/>
      </c>
      <c r="AH137" s="103" t="str">
        <f>IF($X137&gt;0,INDEX('CostModel Coef'!M$9:M$12,$X137),"")</f>
        <v/>
      </c>
      <c r="AI137" s="103" t="str">
        <f>IF($X137&gt;0,INDEX('CostModel Coef'!N$9:N$12,$X137),"")</f>
        <v/>
      </c>
      <c r="AJ137" s="103" t="str">
        <f>IF($X137&gt;0,INDEX('CostModel Coef'!Q$9:Q$12,$X137),"")</f>
        <v/>
      </c>
      <c r="AK137" s="103" t="str">
        <f>IF($X137&gt;0,INDEX('CostModel Coef'!T$9:T$12,$X137),"")</f>
        <v/>
      </c>
      <c r="AL137" s="103"/>
      <c r="AM137" s="108" t="str">
        <f t="shared" ref="AM137:AM200" si="53">IF($X137&gt;0,SUM(Z137,AA137,AB137,IF(C137="A",AC137,0),IF(Q137="Y",AG137,0),IF(OR(G137="Yes",G137="Cont"),AH137,0),F137/1000*AI137,H137*AJ137,IF(H137&gt;25,(H137-25)*AK137)+AF137),"")</f>
        <v/>
      </c>
      <c r="AN137" s="108" t="str">
        <f t="shared" ref="AN137:AN200" si="54">IF($X137&gt;0,SUM(Z137,AA137,AB137,IF(C137="A",AC137,0),IF(Q137="Y",AG137,0),IF(OR(G137="Yes",G137="Cont"),AH137,0),F137/1000*AI137,H137*AJ137,IF(H137&gt;25,(H137-25)*AK137)),"")</f>
        <v/>
      </c>
      <c r="AO137" s="108" t="str">
        <f t="shared" ref="AO137:AO200" si="55">IF($X137&gt;0,SUM(Z137,AA137,AB137,IF(C137="A",AC137,0),IF(Q137="Y",AG137,0),IF(OR(G137="Yes",G137="Cont"),AH137,0),F137/1000*AI137,H137*AJ137,IF(H137&gt;25,(H137-25)*AK137)+AD137),"")</f>
        <v/>
      </c>
      <c r="AP137" s="108" t="str">
        <f t="shared" ref="AP137:AP200" si="56">IF($X137&gt;0,SUM(Z137,AA137,AB137,IF(C137="A",AC137,0),IF(Q137="Y",AG137,0),IF(OR(G137="Yes",G137="Cont"),AH137,0),F137/1000*AI137,H137*AJ137,IF(H137&gt;25,(H137-25)*AK137)+AD137),"")</f>
        <v/>
      </c>
      <c r="AQ137" s="108" t="str">
        <f t="shared" ref="AQ137:AQ200" si="57">IF($X137&gt;0,SUM(Z137,AA137,AB137,IF(C137="A",AC137,0),IF(Q137="Y",AG137,0),IF(OR(G137="Yes",G137="Cont"),AH137,0),F137/1000*AI137,H137*AJ137,IF(H137&gt;25,(H137-25)*AK137)+AD137+AE137),"")</f>
        <v/>
      </c>
      <c r="AR137" s="108"/>
      <c r="AS137" s="108"/>
      <c r="AT137" s="103" t="str">
        <f>IF($X137&gt;0,INDEX('CostModel Coef'!D$13:D$16,$X137),"")</f>
        <v/>
      </c>
      <c r="AU137" s="103" t="str">
        <f>IF($X137&gt;0,INDEX('CostModel Coef'!E$13:E$16,$X137),"")</f>
        <v/>
      </c>
      <c r="AV137" s="103" t="str">
        <f>IF($X137&gt;0,INDEX('CostModel Coef'!F$13:F$16,$X137),"")</f>
        <v/>
      </c>
      <c r="AW137" s="103" t="str">
        <f>IF($X137&gt;0,INDEX('CostModel Coef'!G$13:G$16,$X137),"")</f>
        <v/>
      </c>
      <c r="AX137" s="103" t="str">
        <f>IF($X137&gt;0,INDEX('CostModel Coef'!H$13:H$16,$X137),"")</f>
        <v/>
      </c>
      <c r="AY137" s="103" t="str">
        <f>IF($X137&gt;0,INDEX('CostModel Coef'!I$13:I$16,$X137),"")</f>
        <v/>
      </c>
      <c r="AZ137" s="103" t="str">
        <f>IF($X137&gt;0,INDEX('CostModel Coef'!J$13:J$16,$X137),"")</f>
        <v/>
      </c>
      <c r="BA137" s="103" t="str">
        <f>IF($X137&gt;0,INDEX('CostModel Coef'!K$13:K$16,$X137),"")</f>
        <v/>
      </c>
      <c r="BB137" s="103" t="str">
        <f>IF($X137&gt;0,INDEX('CostModel Coef'!L$13:L$16,$X137),"")</f>
        <v/>
      </c>
      <c r="BC137" s="103" t="str">
        <f>IF($X137&gt;0,INDEX('CostModel Coef'!M$13:M$16,$X137),"")</f>
        <v/>
      </c>
      <c r="BD137" s="103" t="str">
        <f>IF($X137&gt;0,INDEX('CostModel Coef'!N$13:N$16,$X137),"")</f>
        <v/>
      </c>
      <c r="BE137" s="103" t="str">
        <f>IF($X137&gt;0,INDEX('CostModel Coef'!O$13:O$16,$X137),"")</f>
        <v/>
      </c>
      <c r="BF137" s="103" t="str">
        <f>IF($X137&gt;0,INDEX('CostModel Coef'!P$13:P$16,$X137),"")</f>
        <v/>
      </c>
      <c r="BG137" s="103" t="str">
        <f>IF($X137&gt;0,INDEX('CostModel Coef'!Q$13:Q$16,$X137),"")</f>
        <v/>
      </c>
      <c r="BH137" s="103" t="str">
        <f>IF($X137&gt;0,INDEX('CostModel Coef'!R$13:R$16,$X137),"")</f>
        <v/>
      </c>
      <c r="BI137" s="103" t="str">
        <f>IF($X137&gt;0,INDEX('CostModel Coef'!S$13:S$16,$X137),"")</f>
        <v/>
      </c>
      <c r="BJ137" s="103" t="str">
        <f>IF($X137&gt;0,INDEX('CostModel Coef'!T$13:T$16,$X137),"")</f>
        <v/>
      </c>
      <c r="BK137" s="103" t="str">
        <f>IF($X137&gt;0,INDEX('CostModel Coef'!U$13:U$16,$X137),"")</f>
        <v/>
      </c>
      <c r="BL137" s="103" t="str">
        <f>IF($X137&gt;0,INDEX('CostModel Coef'!V$13:V$16,$X137),"")</f>
        <v/>
      </c>
      <c r="BM137" s="103" t="str">
        <f>IF($X137&gt;0,INDEX('CostModel Coef'!W$13:W$16,$X137),"")</f>
        <v/>
      </c>
      <c r="BN137" s="103" t="str">
        <f>IF($X137&gt;0,INDEX('CostModel Coef'!X$13:X$16,$X137),"")</f>
        <v/>
      </c>
      <c r="BO137" s="103"/>
      <c r="BP137" s="119">
        <v>2000</v>
      </c>
      <c r="BQ137" s="103"/>
      <c r="BR137" s="103"/>
      <c r="BS137" s="119" t="str">
        <f t="shared" si="34"/>
        <v/>
      </c>
      <c r="BT137" s="174">
        <f t="shared" si="52"/>
        <v>-1</v>
      </c>
      <c r="BU137" s="113" t="str">
        <f t="shared" si="36"/>
        <v>OOS</v>
      </c>
      <c r="BV137" s="108" t="str">
        <f t="shared" si="37"/>
        <v>OOS</v>
      </c>
      <c r="BW137" s="108" t="str">
        <f t="shared" si="38"/>
        <v>OOS</v>
      </c>
      <c r="BX137" s="108" t="str">
        <f t="shared" si="39"/>
        <v>OOS</v>
      </c>
      <c r="BY137" s="108" t="str">
        <f t="shared" si="40"/>
        <v>OOS</v>
      </c>
      <c r="BZ137" s="108"/>
      <c r="CA137" s="119" t="str">
        <f t="shared" si="41"/>
        <v/>
      </c>
      <c r="CB137" s="174">
        <f t="shared" ref="CB137:CB200" si="58">IF(OR(X137=1,X137=2,X137=3),ROUND(M137*4.07,0),-1)</f>
        <v>-1</v>
      </c>
      <c r="CC137" s="113" t="str">
        <f t="shared" si="42"/>
        <v/>
      </c>
      <c r="CD137" s="108" t="str">
        <f t="shared" si="43"/>
        <v/>
      </c>
      <c r="CE137" s="108" t="str">
        <f t="shared" si="44"/>
        <v/>
      </c>
      <c r="CF137" s="108" t="str">
        <f t="shared" si="45"/>
        <v/>
      </c>
      <c r="CG137" s="108" t="str">
        <f t="shared" si="46"/>
        <v/>
      </c>
      <c r="CH137" s="103"/>
      <c r="CI137" s="119" t="str">
        <f t="shared" si="35"/>
        <v/>
      </c>
      <c r="CJ137" s="174">
        <f t="shared" ref="CJ137:CJ200" si="59">IF(OR(X137=1,X137=3,X137=4),ROUND(M137*3.47,0),-1)</f>
        <v>-1</v>
      </c>
      <c r="CK137" s="113" t="str">
        <f t="shared" si="47"/>
        <v/>
      </c>
      <c r="CL137" s="108" t="str">
        <f t="shared" si="48"/>
        <v/>
      </c>
      <c r="CM137" s="108" t="str">
        <f t="shared" si="49"/>
        <v/>
      </c>
      <c r="CN137" s="108" t="str">
        <f t="shared" si="50"/>
        <v/>
      </c>
      <c r="CO137" s="108" t="str">
        <f t="shared" si="51"/>
        <v/>
      </c>
    </row>
    <row r="138" spans="1:93">
      <c r="A138" s="103" t="s">
        <v>428</v>
      </c>
      <c r="B138" s="103" t="s">
        <v>174</v>
      </c>
      <c r="C138" s="103" t="s">
        <v>153</v>
      </c>
      <c r="D138" s="250" t="s">
        <v>153</v>
      </c>
      <c r="E138" s="250"/>
      <c r="F138" s="182">
        <v>9020</v>
      </c>
      <c r="G138" s="250" t="s">
        <v>175</v>
      </c>
      <c r="H138" s="250">
        <v>23</v>
      </c>
      <c r="I138" s="250"/>
      <c r="J138" s="250"/>
      <c r="K138" s="250"/>
      <c r="L138" s="250" t="s">
        <v>61</v>
      </c>
      <c r="M138" s="250">
        <v>23</v>
      </c>
      <c r="N138" s="250" t="s">
        <v>176</v>
      </c>
      <c r="O138" s="250"/>
      <c r="P138" s="250" t="s">
        <v>153</v>
      </c>
      <c r="Q138" s="250"/>
      <c r="R138" s="250"/>
      <c r="S138" s="250"/>
      <c r="T138" s="250" t="s">
        <v>155</v>
      </c>
      <c r="U138" s="103" t="s">
        <v>429</v>
      </c>
      <c r="V138" s="106" t="s">
        <v>157</v>
      </c>
      <c r="W138" s="103" t="s">
        <v>158</v>
      </c>
      <c r="X138" s="103">
        <f>IFERROR(MATCH(W138,'CostModel Coef'!$C$9:$C$12,0),0)</f>
        <v>0</v>
      </c>
      <c r="Y138" s="103"/>
      <c r="Z138" s="103" t="str">
        <f>IF($X138&gt;0,INDEX('CostModel Coef'!D$9:D$12,$X138),"")</f>
        <v/>
      </c>
      <c r="AA138" s="103" t="str">
        <f>IF($X138&gt;0,INDEX('CostModel Coef'!E$9:E$12,$X138),"")</f>
        <v/>
      </c>
      <c r="AB138" s="103" t="str">
        <f>IF($X138&gt;0,INDEX('CostModel Coef'!F$9:F$12,$X138),"")</f>
        <v/>
      </c>
      <c r="AC138" s="103" t="str">
        <f>IF($X138&gt;0,INDEX('CostModel Coef'!G$9:G$12,$X138),"")</f>
        <v/>
      </c>
      <c r="AD138" s="103" t="str">
        <f>IF($X138&gt;0,INDEX('CostModel Coef'!H$9:H$12,$X138),"")</f>
        <v/>
      </c>
      <c r="AE138" s="103" t="str">
        <f>IF($X138&gt;0,INDEX('CostModel Coef'!J$9:J$12,$X138),"")</f>
        <v/>
      </c>
      <c r="AF138" s="103" t="str">
        <f>IF($X138&gt;0,INDEX('CostModel Coef'!K$9:K$12,$X138),"")</f>
        <v/>
      </c>
      <c r="AG138" s="103" t="str">
        <f>IF($X138&gt;0,INDEX('CostModel Coef'!L$9:L$12,$X138),"")</f>
        <v/>
      </c>
      <c r="AH138" s="103" t="str">
        <f>IF($X138&gt;0,INDEX('CostModel Coef'!M$9:M$12,$X138),"")</f>
        <v/>
      </c>
      <c r="AI138" s="103" t="str">
        <f>IF($X138&gt;0,INDEX('CostModel Coef'!N$9:N$12,$X138),"")</f>
        <v/>
      </c>
      <c r="AJ138" s="103" t="str">
        <f>IF($X138&gt;0,INDEX('CostModel Coef'!Q$9:Q$12,$X138),"")</f>
        <v/>
      </c>
      <c r="AK138" s="103" t="str">
        <f>IF($X138&gt;0,INDEX('CostModel Coef'!T$9:T$12,$X138),"")</f>
        <v/>
      </c>
      <c r="AL138" s="103"/>
      <c r="AM138" s="108" t="str">
        <f t="shared" si="53"/>
        <v/>
      </c>
      <c r="AN138" s="108" t="str">
        <f t="shared" si="54"/>
        <v/>
      </c>
      <c r="AO138" s="108" t="str">
        <f t="shared" si="55"/>
        <v/>
      </c>
      <c r="AP138" s="108" t="str">
        <f t="shared" si="56"/>
        <v/>
      </c>
      <c r="AQ138" s="108" t="str">
        <f t="shared" si="57"/>
        <v/>
      </c>
      <c r="AR138" s="108"/>
      <c r="AS138" s="108"/>
      <c r="AT138" s="103" t="str">
        <f>IF($X138&gt;0,INDEX('CostModel Coef'!D$13:D$16,$X138),"")</f>
        <v/>
      </c>
      <c r="AU138" s="103" t="str">
        <f>IF($X138&gt;0,INDEX('CostModel Coef'!E$13:E$16,$X138),"")</f>
        <v/>
      </c>
      <c r="AV138" s="103" t="str">
        <f>IF($X138&gt;0,INDEX('CostModel Coef'!F$13:F$16,$X138),"")</f>
        <v/>
      </c>
      <c r="AW138" s="103" t="str">
        <f>IF($X138&gt;0,INDEX('CostModel Coef'!G$13:G$16,$X138),"")</f>
        <v/>
      </c>
      <c r="AX138" s="103" t="str">
        <f>IF($X138&gt;0,INDEX('CostModel Coef'!H$13:H$16,$X138),"")</f>
        <v/>
      </c>
      <c r="AY138" s="103" t="str">
        <f>IF($X138&gt;0,INDEX('CostModel Coef'!I$13:I$16,$X138),"")</f>
        <v/>
      </c>
      <c r="AZ138" s="103" t="str">
        <f>IF($X138&gt;0,INDEX('CostModel Coef'!J$13:J$16,$X138),"")</f>
        <v/>
      </c>
      <c r="BA138" s="103" t="str">
        <f>IF($X138&gt;0,INDEX('CostModel Coef'!K$13:K$16,$X138),"")</f>
        <v/>
      </c>
      <c r="BB138" s="103" t="str">
        <f>IF($X138&gt;0,INDEX('CostModel Coef'!L$13:L$16,$X138),"")</f>
        <v/>
      </c>
      <c r="BC138" s="103" t="str">
        <f>IF($X138&gt;0,INDEX('CostModel Coef'!M$13:M$16,$X138),"")</f>
        <v/>
      </c>
      <c r="BD138" s="103" t="str">
        <f>IF($X138&gt;0,INDEX('CostModel Coef'!N$13:N$16,$X138),"")</f>
        <v/>
      </c>
      <c r="BE138" s="103" t="str">
        <f>IF($X138&gt;0,INDEX('CostModel Coef'!O$13:O$16,$X138),"")</f>
        <v/>
      </c>
      <c r="BF138" s="103" t="str">
        <f>IF($X138&gt;0,INDEX('CostModel Coef'!P$13:P$16,$X138),"")</f>
        <v/>
      </c>
      <c r="BG138" s="103" t="str">
        <f>IF($X138&gt;0,INDEX('CostModel Coef'!Q$13:Q$16,$X138),"")</f>
        <v/>
      </c>
      <c r="BH138" s="103" t="str">
        <f>IF($X138&gt;0,INDEX('CostModel Coef'!R$13:R$16,$X138),"")</f>
        <v/>
      </c>
      <c r="BI138" s="103" t="str">
        <f>IF($X138&gt;0,INDEX('CostModel Coef'!S$13:S$16,$X138),"")</f>
        <v/>
      </c>
      <c r="BJ138" s="103" t="str">
        <f>IF($X138&gt;0,INDEX('CostModel Coef'!T$13:T$16,$X138),"")</f>
        <v/>
      </c>
      <c r="BK138" s="103" t="str">
        <f>IF($X138&gt;0,INDEX('CostModel Coef'!U$13:U$16,$X138),"")</f>
        <v/>
      </c>
      <c r="BL138" s="103" t="str">
        <f>IF($X138&gt;0,INDEX('CostModel Coef'!V$13:V$16,$X138),"")</f>
        <v/>
      </c>
      <c r="BM138" s="103" t="str">
        <f>IF($X138&gt;0,INDEX('CostModel Coef'!W$13:W$16,$X138),"")</f>
        <v/>
      </c>
      <c r="BN138" s="103" t="str">
        <f>IF($X138&gt;0,INDEX('CostModel Coef'!X$13:X$16,$X138),"")</f>
        <v/>
      </c>
      <c r="BO138" s="103"/>
      <c r="BP138" s="119">
        <v>2000</v>
      </c>
      <c r="BQ138" s="103"/>
      <c r="BR138" s="103"/>
      <c r="BS138" s="119" t="str">
        <f t="shared" si="34"/>
        <v/>
      </c>
      <c r="BT138" s="174">
        <f t="shared" si="52"/>
        <v>-1</v>
      </c>
      <c r="BU138" s="113" t="str">
        <f t="shared" si="36"/>
        <v>OOS</v>
      </c>
      <c r="BV138" s="108" t="str">
        <f t="shared" si="37"/>
        <v>OOS</v>
      </c>
      <c r="BW138" s="108" t="str">
        <f t="shared" si="38"/>
        <v>OOS</v>
      </c>
      <c r="BX138" s="108" t="str">
        <f t="shared" si="39"/>
        <v>OOS</v>
      </c>
      <c r="BY138" s="108" t="str">
        <f t="shared" si="40"/>
        <v>OOS</v>
      </c>
      <c r="BZ138" s="108"/>
      <c r="CA138" s="119" t="str">
        <f t="shared" si="41"/>
        <v/>
      </c>
      <c r="CB138" s="174">
        <f t="shared" si="58"/>
        <v>-1</v>
      </c>
      <c r="CC138" s="113" t="str">
        <f t="shared" si="42"/>
        <v/>
      </c>
      <c r="CD138" s="108" t="str">
        <f t="shared" si="43"/>
        <v/>
      </c>
      <c r="CE138" s="108" t="str">
        <f t="shared" si="44"/>
        <v/>
      </c>
      <c r="CF138" s="108" t="str">
        <f t="shared" si="45"/>
        <v/>
      </c>
      <c r="CG138" s="108" t="str">
        <f t="shared" si="46"/>
        <v/>
      </c>
      <c r="CH138" s="103"/>
      <c r="CI138" s="119" t="str">
        <f t="shared" si="35"/>
        <v/>
      </c>
      <c r="CJ138" s="174">
        <f t="shared" si="59"/>
        <v>-1</v>
      </c>
      <c r="CK138" s="113" t="str">
        <f t="shared" si="47"/>
        <v/>
      </c>
      <c r="CL138" s="108" t="str">
        <f t="shared" si="48"/>
        <v/>
      </c>
      <c r="CM138" s="108" t="str">
        <f t="shared" si="49"/>
        <v/>
      </c>
      <c r="CN138" s="108" t="str">
        <f t="shared" si="50"/>
        <v/>
      </c>
      <c r="CO138" s="108" t="str">
        <f t="shared" si="51"/>
        <v/>
      </c>
    </row>
    <row r="139" spans="1:93">
      <c r="A139" s="103" t="s">
        <v>430</v>
      </c>
      <c r="B139" s="103" t="s">
        <v>174</v>
      </c>
      <c r="C139" s="103" t="s">
        <v>153</v>
      </c>
      <c r="D139" s="250" t="s">
        <v>153</v>
      </c>
      <c r="E139" s="250"/>
      <c r="F139" s="182">
        <v>9020</v>
      </c>
      <c r="G139" s="250" t="s">
        <v>175</v>
      </c>
      <c r="H139" s="250">
        <v>24</v>
      </c>
      <c r="I139" s="250"/>
      <c r="J139" s="250"/>
      <c r="K139" s="250"/>
      <c r="L139" s="250" t="s">
        <v>61</v>
      </c>
      <c r="M139" s="250">
        <v>24</v>
      </c>
      <c r="N139" s="250" t="s">
        <v>176</v>
      </c>
      <c r="O139" s="250"/>
      <c r="P139" s="250" t="s">
        <v>153</v>
      </c>
      <c r="Q139" s="250"/>
      <c r="R139" s="250"/>
      <c r="S139" s="250"/>
      <c r="T139" s="250" t="s">
        <v>155</v>
      </c>
      <c r="U139" s="103" t="s">
        <v>431</v>
      </c>
      <c r="V139" s="106" t="s">
        <v>157</v>
      </c>
      <c r="W139" s="103" t="s">
        <v>158</v>
      </c>
      <c r="X139" s="103">
        <f>IFERROR(MATCH(W139,'CostModel Coef'!$C$9:$C$12,0),0)</f>
        <v>0</v>
      </c>
      <c r="Y139" s="103"/>
      <c r="Z139" s="103" t="str">
        <f>IF($X139&gt;0,INDEX('CostModel Coef'!D$9:D$12,$X139),"")</f>
        <v/>
      </c>
      <c r="AA139" s="103" t="str">
        <f>IF($X139&gt;0,INDEX('CostModel Coef'!E$9:E$12,$X139),"")</f>
        <v/>
      </c>
      <c r="AB139" s="103" t="str">
        <f>IF($X139&gt;0,INDEX('CostModel Coef'!F$9:F$12,$X139),"")</f>
        <v/>
      </c>
      <c r="AC139" s="103" t="str">
        <f>IF($X139&gt;0,INDEX('CostModel Coef'!G$9:G$12,$X139),"")</f>
        <v/>
      </c>
      <c r="AD139" s="103" t="str">
        <f>IF($X139&gt;0,INDEX('CostModel Coef'!H$9:H$12,$X139),"")</f>
        <v/>
      </c>
      <c r="AE139" s="103" t="str">
        <f>IF($X139&gt;0,INDEX('CostModel Coef'!J$9:J$12,$X139),"")</f>
        <v/>
      </c>
      <c r="AF139" s="103" t="str">
        <f>IF($X139&gt;0,INDEX('CostModel Coef'!K$9:K$12,$X139),"")</f>
        <v/>
      </c>
      <c r="AG139" s="103" t="str">
        <f>IF($X139&gt;0,INDEX('CostModel Coef'!L$9:L$12,$X139),"")</f>
        <v/>
      </c>
      <c r="AH139" s="103" t="str">
        <f>IF($X139&gt;0,INDEX('CostModel Coef'!M$9:M$12,$X139),"")</f>
        <v/>
      </c>
      <c r="AI139" s="103" t="str">
        <f>IF($X139&gt;0,INDEX('CostModel Coef'!N$9:N$12,$X139),"")</f>
        <v/>
      </c>
      <c r="AJ139" s="103" t="str">
        <f>IF($X139&gt;0,INDEX('CostModel Coef'!Q$9:Q$12,$X139),"")</f>
        <v/>
      </c>
      <c r="AK139" s="103" t="str">
        <f>IF($X139&gt;0,INDEX('CostModel Coef'!T$9:T$12,$X139),"")</f>
        <v/>
      </c>
      <c r="AL139" s="103"/>
      <c r="AM139" s="108" t="str">
        <f t="shared" si="53"/>
        <v/>
      </c>
      <c r="AN139" s="108" t="str">
        <f t="shared" si="54"/>
        <v/>
      </c>
      <c r="AO139" s="108" t="str">
        <f t="shared" si="55"/>
        <v/>
      </c>
      <c r="AP139" s="108" t="str">
        <f t="shared" si="56"/>
        <v/>
      </c>
      <c r="AQ139" s="108" t="str">
        <f t="shared" si="57"/>
        <v/>
      </c>
      <c r="AR139" s="108"/>
      <c r="AS139" s="108"/>
      <c r="AT139" s="103" t="str">
        <f>IF($X139&gt;0,INDEX('CostModel Coef'!D$13:D$16,$X139),"")</f>
        <v/>
      </c>
      <c r="AU139" s="103" t="str">
        <f>IF($X139&gt;0,INDEX('CostModel Coef'!E$13:E$16,$X139),"")</f>
        <v/>
      </c>
      <c r="AV139" s="103" t="str">
        <f>IF($X139&gt;0,INDEX('CostModel Coef'!F$13:F$16,$X139),"")</f>
        <v/>
      </c>
      <c r="AW139" s="103" t="str">
        <f>IF($X139&gt;0,INDEX('CostModel Coef'!G$13:G$16,$X139),"")</f>
        <v/>
      </c>
      <c r="AX139" s="103" t="str">
        <f>IF($X139&gt;0,INDEX('CostModel Coef'!H$13:H$16,$X139),"")</f>
        <v/>
      </c>
      <c r="AY139" s="103" t="str">
        <f>IF($X139&gt;0,INDEX('CostModel Coef'!I$13:I$16,$X139),"")</f>
        <v/>
      </c>
      <c r="AZ139" s="103" t="str">
        <f>IF($X139&gt;0,INDEX('CostModel Coef'!J$13:J$16,$X139),"")</f>
        <v/>
      </c>
      <c r="BA139" s="103" t="str">
        <f>IF($X139&gt;0,INDEX('CostModel Coef'!K$13:K$16,$X139),"")</f>
        <v/>
      </c>
      <c r="BB139" s="103" t="str">
        <f>IF($X139&gt;0,INDEX('CostModel Coef'!L$13:L$16,$X139),"")</f>
        <v/>
      </c>
      <c r="BC139" s="103" t="str">
        <f>IF($X139&gt;0,INDEX('CostModel Coef'!M$13:M$16,$X139),"")</f>
        <v/>
      </c>
      <c r="BD139" s="103" t="str">
        <f>IF($X139&gt;0,INDEX('CostModel Coef'!N$13:N$16,$X139),"")</f>
        <v/>
      </c>
      <c r="BE139" s="103" t="str">
        <f>IF($X139&gt;0,INDEX('CostModel Coef'!O$13:O$16,$X139),"")</f>
        <v/>
      </c>
      <c r="BF139" s="103" t="str">
        <f>IF($X139&gt;0,INDEX('CostModel Coef'!P$13:P$16,$X139),"")</f>
        <v/>
      </c>
      <c r="BG139" s="103" t="str">
        <f>IF($X139&gt;0,INDEX('CostModel Coef'!Q$13:Q$16,$X139),"")</f>
        <v/>
      </c>
      <c r="BH139" s="103" t="str">
        <f>IF($X139&gt;0,INDEX('CostModel Coef'!R$13:R$16,$X139),"")</f>
        <v/>
      </c>
      <c r="BI139" s="103" t="str">
        <f>IF($X139&gt;0,INDEX('CostModel Coef'!S$13:S$16,$X139),"")</f>
        <v/>
      </c>
      <c r="BJ139" s="103" t="str">
        <f>IF($X139&gt;0,INDEX('CostModel Coef'!T$13:T$16,$X139),"")</f>
        <v/>
      </c>
      <c r="BK139" s="103" t="str">
        <f>IF($X139&gt;0,INDEX('CostModel Coef'!U$13:U$16,$X139),"")</f>
        <v/>
      </c>
      <c r="BL139" s="103" t="str">
        <f>IF($X139&gt;0,INDEX('CostModel Coef'!V$13:V$16,$X139),"")</f>
        <v/>
      </c>
      <c r="BM139" s="103" t="str">
        <f>IF($X139&gt;0,INDEX('CostModel Coef'!W$13:W$16,$X139),"")</f>
        <v/>
      </c>
      <c r="BN139" s="103" t="str">
        <f>IF($X139&gt;0,INDEX('CostModel Coef'!X$13:X$16,$X139),"")</f>
        <v/>
      </c>
      <c r="BO139" s="103"/>
      <c r="BP139" s="119">
        <v>2000</v>
      </c>
      <c r="BQ139" s="103"/>
      <c r="BR139" s="103"/>
      <c r="BS139" s="119" t="str">
        <f t="shared" si="34"/>
        <v/>
      </c>
      <c r="BT139" s="174">
        <f t="shared" si="52"/>
        <v>-1</v>
      </c>
      <c r="BU139" s="113" t="str">
        <f t="shared" si="36"/>
        <v>OOS</v>
      </c>
      <c r="BV139" s="108" t="str">
        <f t="shared" si="37"/>
        <v>OOS</v>
      </c>
      <c r="BW139" s="108" t="str">
        <f t="shared" si="38"/>
        <v>OOS</v>
      </c>
      <c r="BX139" s="108" t="str">
        <f t="shared" si="39"/>
        <v>OOS</v>
      </c>
      <c r="BY139" s="108" t="str">
        <f t="shared" si="40"/>
        <v>OOS</v>
      </c>
      <c r="BZ139" s="108"/>
      <c r="CA139" s="119" t="str">
        <f t="shared" si="41"/>
        <v/>
      </c>
      <c r="CB139" s="174">
        <f t="shared" si="58"/>
        <v>-1</v>
      </c>
      <c r="CC139" s="113" t="str">
        <f t="shared" si="42"/>
        <v/>
      </c>
      <c r="CD139" s="108" t="str">
        <f t="shared" si="43"/>
        <v/>
      </c>
      <c r="CE139" s="108" t="str">
        <f t="shared" si="44"/>
        <v/>
      </c>
      <c r="CF139" s="108" t="str">
        <f t="shared" si="45"/>
        <v/>
      </c>
      <c r="CG139" s="108" t="str">
        <f t="shared" si="46"/>
        <v/>
      </c>
      <c r="CH139" s="103"/>
      <c r="CI139" s="119" t="str">
        <f t="shared" si="35"/>
        <v/>
      </c>
      <c r="CJ139" s="174">
        <f t="shared" si="59"/>
        <v>-1</v>
      </c>
      <c r="CK139" s="113" t="str">
        <f t="shared" si="47"/>
        <v/>
      </c>
      <c r="CL139" s="108" t="str">
        <f t="shared" si="48"/>
        <v/>
      </c>
      <c r="CM139" s="108" t="str">
        <f t="shared" si="49"/>
        <v/>
      </c>
      <c r="CN139" s="108" t="str">
        <f t="shared" si="50"/>
        <v/>
      </c>
      <c r="CO139" s="108" t="str">
        <f t="shared" si="51"/>
        <v/>
      </c>
    </row>
    <row r="140" spans="1:93">
      <c r="A140" s="103" t="s">
        <v>432</v>
      </c>
      <c r="B140" s="103" t="s">
        <v>174</v>
      </c>
      <c r="C140" s="103" t="s">
        <v>153</v>
      </c>
      <c r="D140" s="250" t="s">
        <v>153</v>
      </c>
      <c r="E140" s="250"/>
      <c r="F140" s="182">
        <v>9020</v>
      </c>
      <c r="G140" s="250" t="s">
        <v>175</v>
      </c>
      <c r="H140" s="250">
        <v>25</v>
      </c>
      <c r="I140" s="250"/>
      <c r="J140" s="250"/>
      <c r="K140" s="250"/>
      <c r="L140" s="250" t="s">
        <v>61</v>
      </c>
      <c r="M140" s="250">
        <v>25</v>
      </c>
      <c r="N140" s="250" t="s">
        <v>176</v>
      </c>
      <c r="O140" s="250"/>
      <c r="P140" s="250" t="s">
        <v>153</v>
      </c>
      <c r="Q140" s="250"/>
      <c r="R140" s="250"/>
      <c r="S140" s="250"/>
      <c r="T140" s="250" t="s">
        <v>155</v>
      </c>
      <c r="U140" s="103" t="s">
        <v>433</v>
      </c>
      <c r="V140" s="106" t="s">
        <v>157</v>
      </c>
      <c r="W140" s="103" t="s">
        <v>158</v>
      </c>
      <c r="X140" s="103">
        <f>IFERROR(MATCH(W140,'CostModel Coef'!$C$9:$C$12,0),0)</f>
        <v>0</v>
      </c>
      <c r="Y140" s="103"/>
      <c r="Z140" s="103" t="str">
        <f>IF($X140&gt;0,INDEX('CostModel Coef'!D$9:D$12,$X140),"")</f>
        <v/>
      </c>
      <c r="AA140" s="103" t="str">
        <f>IF($X140&gt;0,INDEX('CostModel Coef'!E$9:E$12,$X140),"")</f>
        <v/>
      </c>
      <c r="AB140" s="103" t="str">
        <f>IF($X140&gt;0,INDEX('CostModel Coef'!F$9:F$12,$X140),"")</f>
        <v/>
      </c>
      <c r="AC140" s="103" t="str">
        <f>IF($X140&gt;0,INDEX('CostModel Coef'!G$9:G$12,$X140),"")</f>
        <v/>
      </c>
      <c r="AD140" s="103" t="str">
        <f>IF($X140&gt;0,INDEX('CostModel Coef'!H$9:H$12,$X140),"")</f>
        <v/>
      </c>
      <c r="AE140" s="103" t="str">
        <f>IF($X140&gt;0,INDEX('CostModel Coef'!J$9:J$12,$X140),"")</f>
        <v/>
      </c>
      <c r="AF140" s="103" t="str">
        <f>IF($X140&gt;0,INDEX('CostModel Coef'!K$9:K$12,$X140),"")</f>
        <v/>
      </c>
      <c r="AG140" s="103" t="str">
        <f>IF($X140&gt;0,INDEX('CostModel Coef'!L$9:L$12,$X140),"")</f>
        <v/>
      </c>
      <c r="AH140" s="103" t="str">
        <f>IF($X140&gt;0,INDEX('CostModel Coef'!M$9:M$12,$X140),"")</f>
        <v/>
      </c>
      <c r="AI140" s="103" t="str">
        <f>IF($X140&gt;0,INDEX('CostModel Coef'!N$9:N$12,$X140),"")</f>
        <v/>
      </c>
      <c r="AJ140" s="103" t="str">
        <f>IF($X140&gt;0,INDEX('CostModel Coef'!Q$9:Q$12,$X140),"")</f>
        <v/>
      </c>
      <c r="AK140" s="103" t="str">
        <f>IF($X140&gt;0,INDEX('CostModel Coef'!T$9:T$12,$X140),"")</f>
        <v/>
      </c>
      <c r="AL140" s="103"/>
      <c r="AM140" s="108" t="str">
        <f t="shared" si="53"/>
        <v/>
      </c>
      <c r="AN140" s="108" t="str">
        <f t="shared" si="54"/>
        <v/>
      </c>
      <c r="AO140" s="108" t="str">
        <f t="shared" si="55"/>
        <v/>
      </c>
      <c r="AP140" s="108" t="str">
        <f t="shared" si="56"/>
        <v/>
      </c>
      <c r="AQ140" s="108" t="str">
        <f t="shared" si="57"/>
        <v/>
      </c>
      <c r="AR140" s="108"/>
      <c r="AS140" s="108"/>
      <c r="AT140" s="103" t="str">
        <f>IF($X140&gt;0,INDEX('CostModel Coef'!D$13:D$16,$X140),"")</f>
        <v/>
      </c>
      <c r="AU140" s="103" t="str">
        <f>IF($X140&gt;0,INDEX('CostModel Coef'!E$13:E$16,$X140),"")</f>
        <v/>
      </c>
      <c r="AV140" s="103" t="str">
        <f>IF($X140&gt;0,INDEX('CostModel Coef'!F$13:F$16,$X140),"")</f>
        <v/>
      </c>
      <c r="AW140" s="103" t="str">
        <f>IF($X140&gt;0,INDEX('CostModel Coef'!G$13:G$16,$X140),"")</f>
        <v/>
      </c>
      <c r="AX140" s="103" t="str">
        <f>IF($X140&gt;0,INDEX('CostModel Coef'!H$13:H$16,$X140),"")</f>
        <v/>
      </c>
      <c r="AY140" s="103" t="str">
        <f>IF($X140&gt;0,INDEX('CostModel Coef'!I$13:I$16,$X140),"")</f>
        <v/>
      </c>
      <c r="AZ140" s="103" t="str">
        <f>IF($X140&gt;0,INDEX('CostModel Coef'!J$13:J$16,$X140),"")</f>
        <v/>
      </c>
      <c r="BA140" s="103" t="str">
        <f>IF($X140&gt;0,INDEX('CostModel Coef'!K$13:K$16,$X140),"")</f>
        <v/>
      </c>
      <c r="BB140" s="103" t="str">
        <f>IF($X140&gt;0,INDEX('CostModel Coef'!L$13:L$16,$X140),"")</f>
        <v/>
      </c>
      <c r="BC140" s="103" t="str">
        <f>IF($X140&gt;0,INDEX('CostModel Coef'!M$13:M$16,$X140),"")</f>
        <v/>
      </c>
      <c r="BD140" s="103" t="str">
        <f>IF($X140&gt;0,INDEX('CostModel Coef'!N$13:N$16,$X140),"")</f>
        <v/>
      </c>
      <c r="BE140" s="103" t="str">
        <f>IF($X140&gt;0,INDEX('CostModel Coef'!O$13:O$16,$X140),"")</f>
        <v/>
      </c>
      <c r="BF140" s="103" t="str">
        <f>IF($X140&gt;0,INDEX('CostModel Coef'!P$13:P$16,$X140),"")</f>
        <v/>
      </c>
      <c r="BG140" s="103" t="str">
        <f>IF($X140&gt;0,INDEX('CostModel Coef'!Q$13:Q$16,$X140),"")</f>
        <v/>
      </c>
      <c r="BH140" s="103" t="str">
        <f>IF($X140&gt;0,INDEX('CostModel Coef'!R$13:R$16,$X140),"")</f>
        <v/>
      </c>
      <c r="BI140" s="103" t="str">
        <f>IF($X140&gt;0,INDEX('CostModel Coef'!S$13:S$16,$X140),"")</f>
        <v/>
      </c>
      <c r="BJ140" s="103" t="str">
        <f>IF($X140&gt;0,INDEX('CostModel Coef'!T$13:T$16,$X140),"")</f>
        <v/>
      </c>
      <c r="BK140" s="103" t="str">
        <f>IF($X140&gt;0,INDEX('CostModel Coef'!U$13:U$16,$X140),"")</f>
        <v/>
      </c>
      <c r="BL140" s="103" t="str">
        <f>IF($X140&gt;0,INDEX('CostModel Coef'!V$13:V$16,$X140),"")</f>
        <v/>
      </c>
      <c r="BM140" s="103" t="str">
        <f>IF($X140&gt;0,INDEX('CostModel Coef'!W$13:W$16,$X140),"")</f>
        <v/>
      </c>
      <c r="BN140" s="103" t="str">
        <f>IF($X140&gt;0,INDEX('CostModel Coef'!X$13:X$16,$X140),"")</f>
        <v/>
      </c>
      <c r="BO140" s="103"/>
      <c r="BP140" s="119">
        <v>2000</v>
      </c>
      <c r="BQ140" s="103"/>
      <c r="BR140" s="103"/>
      <c r="BS140" s="119" t="str">
        <f t="shared" si="34"/>
        <v/>
      </c>
      <c r="BT140" s="174">
        <f t="shared" si="52"/>
        <v>-1</v>
      </c>
      <c r="BU140" s="113" t="str">
        <f t="shared" si="36"/>
        <v>OOS</v>
      </c>
      <c r="BV140" s="108" t="str">
        <f t="shared" si="37"/>
        <v>OOS</v>
      </c>
      <c r="BW140" s="108" t="str">
        <f t="shared" si="38"/>
        <v>OOS</v>
      </c>
      <c r="BX140" s="108" t="str">
        <f t="shared" si="39"/>
        <v>OOS</v>
      </c>
      <c r="BY140" s="108" t="str">
        <f t="shared" si="40"/>
        <v>OOS</v>
      </c>
      <c r="BZ140" s="108"/>
      <c r="CA140" s="119" t="str">
        <f t="shared" si="41"/>
        <v/>
      </c>
      <c r="CB140" s="174">
        <f t="shared" si="58"/>
        <v>-1</v>
      </c>
      <c r="CC140" s="113" t="str">
        <f t="shared" si="42"/>
        <v/>
      </c>
      <c r="CD140" s="108" t="str">
        <f t="shared" si="43"/>
        <v/>
      </c>
      <c r="CE140" s="108" t="str">
        <f t="shared" si="44"/>
        <v/>
      </c>
      <c r="CF140" s="108" t="str">
        <f t="shared" si="45"/>
        <v/>
      </c>
      <c r="CG140" s="108" t="str">
        <f t="shared" si="46"/>
        <v/>
      </c>
      <c r="CH140" s="103"/>
      <c r="CI140" s="119" t="str">
        <f t="shared" si="35"/>
        <v/>
      </c>
      <c r="CJ140" s="174">
        <f t="shared" si="59"/>
        <v>-1</v>
      </c>
      <c r="CK140" s="113" t="str">
        <f t="shared" si="47"/>
        <v/>
      </c>
      <c r="CL140" s="108" t="str">
        <f t="shared" si="48"/>
        <v/>
      </c>
      <c r="CM140" s="108" t="str">
        <f t="shared" si="49"/>
        <v/>
      </c>
      <c r="CN140" s="108" t="str">
        <f t="shared" si="50"/>
        <v/>
      </c>
      <c r="CO140" s="108" t="str">
        <f t="shared" si="51"/>
        <v/>
      </c>
    </row>
    <row r="141" spans="1:93">
      <c r="A141" s="103" t="s">
        <v>434</v>
      </c>
      <c r="B141" s="103" t="s">
        <v>174</v>
      </c>
      <c r="C141" s="103" t="s">
        <v>153</v>
      </c>
      <c r="D141" s="250" t="s">
        <v>153</v>
      </c>
      <c r="E141" s="250"/>
      <c r="F141" s="182">
        <v>9020</v>
      </c>
      <c r="G141" s="250" t="s">
        <v>175</v>
      </c>
      <c r="H141" s="250">
        <v>26</v>
      </c>
      <c r="I141" s="250"/>
      <c r="J141" s="250"/>
      <c r="K141" s="250"/>
      <c r="L141" s="250" t="s">
        <v>61</v>
      </c>
      <c r="M141" s="250">
        <v>26</v>
      </c>
      <c r="N141" s="250" t="s">
        <v>176</v>
      </c>
      <c r="O141" s="250"/>
      <c r="P141" s="250" t="s">
        <v>153</v>
      </c>
      <c r="Q141" s="250"/>
      <c r="R141" s="250"/>
      <c r="S141" s="250"/>
      <c r="T141" s="250" t="s">
        <v>155</v>
      </c>
      <c r="U141" s="103" t="s">
        <v>435</v>
      </c>
      <c r="V141" s="106" t="s">
        <v>157</v>
      </c>
      <c r="W141" s="103" t="s">
        <v>158</v>
      </c>
      <c r="X141" s="103">
        <f>IFERROR(MATCH(W141,'CostModel Coef'!$C$9:$C$12,0),0)</f>
        <v>0</v>
      </c>
      <c r="Y141" s="103"/>
      <c r="Z141" s="103" t="str">
        <f>IF($X141&gt;0,INDEX('CostModel Coef'!D$9:D$12,$X141),"")</f>
        <v/>
      </c>
      <c r="AA141" s="103" t="str">
        <f>IF($X141&gt;0,INDEX('CostModel Coef'!E$9:E$12,$X141),"")</f>
        <v/>
      </c>
      <c r="AB141" s="103" t="str">
        <f>IF($X141&gt;0,INDEX('CostModel Coef'!F$9:F$12,$X141),"")</f>
        <v/>
      </c>
      <c r="AC141" s="103" t="str">
        <f>IF($X141&gt;0,INDEX('CostModel Coef'!G$9:G$12,$X141),"")</f>
        <v/>
      </c>
      <c r="AD141" s="103" t="str">
        <f>IF($X141&gt;0,INDEX('CostModel Coef'!H$9:H$12,$X141),"")</f>
        <v/>
      </c>
      <c r="AE141" s="103" t="str">
        <f>IF($X141&gt;0,INDEX('CostModel Coef'!J$9:J$12,$X141),"")</f>
        <v/>
      </c>
      <c r="AF141" s="103" t="str">
        <f>IF($X141&gt;0,INDEX('CostModel Coef'!K$9:K$12,$X141),"")</f>
        <v/>
      </c>
      <c r="AG141" s="103" t="str">
        <f>IF($X141&gt;0,INDEX('CostModel Coef'!L$9:L$12,$X141),"")</f>
        <v/>
      </c>
      <c r="AH141" s="103" t="str">
        <f>IF($X141&gt;0,INDEX('CostModel Coef'!M$9:M$12,$X141),"")</f>
        <v/>
      </c>
      <c r="AI141" s="103" t="str">
        <f>IF($X141&gt;0,INDEX('CostModel Coef'!N$9:N$12,$X141),"")</f>
        <v/>
      </c>
      <c r="AJ141" s="103" t="str">
        <f>IF($X141&gt;0,INDEX('CostModel Coef'!Q$9:Q$12,$X141),"")</f>
        <v/>
      </c>
      <c r="AK141" s="103" t="str">
        <f>IF($X141&gt;0,INDEX('CostModel Coef'!T$9:T$12,$X141),"")</f>
        <v/>
      </c>
      <c r="AL141" s="103"/>
      <c r="AM141" s="108" t="str">
        <f t="shared" si="53"/>
        <v/>
      </c>
      <c r="AN141" s="108" t="str">
        <f t="shared" si="54"/>
        <v/>
      </c>
      <c r="AO141" s="108" t="str">
        <f t="shared" si="55"/>
        <v/>
      </c>
      <c r="AP141" s="108" t="str">
        <f t="shared" si="56"/>
        <v/>
      </c>
      <c r="AQ141" s="108" t="str">
        <f t="shared" si="57"/>
        <v/>
      </c>
      <c r="AR141" s="108"/>
      <c r="AS141" s="108"/>
      <c r="AT141" s="103" t="str">
        <f>IF($X141&gt;0,INDEX('CostModel Coef'!D$13:D$16,$X141),"")</f>
        <v/>
      </c>
      <c r="AU141" s="103" t="str">
        <f>IF($X141&gt;0,INDEX('CostModel Coef'!E$13:E$16,$X141),"")</f>
        <v/>
      </c>
      <c r="AV141" s="103" t="str">
        <f>IF($X141&gt;0,INDEX('CostModel Coef'!F$13:F$16,$X141),"")</f>
        <v/>
      </c>
      <c r="AW141" s="103" t="str">
        <f>IF($X141&gt;0,INDEX('CostModel Coef'!G$13:G$16,$X141),"")</f>
        <v/>
      </c>
      <c r="AX141" s="103" t="str">
        <f>IF($X141&gt;0,INDEX('CostModel Coef'!H$13:H$16,$X141),"")</f>
        <v/>
      </c>
      <c r="AY141" s="103" t="str">
        <f>IF($X141&gt;0,INDEX('CostModel Coef'!I$13:I$16,$X141),"")</f>
        <v/>
      </c>
      <c r="AZ141" s="103" t="str">
        <f>IF($X141&gt;0,INDEX('CostModel Coef'!J$13:J$16,$X141),"")</f>
        <v/>
      </c>
      <c r="BA141" s="103" t="str">
        <f>IF($X141&gt;0,INDEX('CostModel Coef'!K$13:K$16,$X141),"")</f>
        <v/>
      </c>
      <c r="BB141" s="103" t="str">
        <f>IF($X141&gt;0,INDEX('CostModel Coef'!L$13:L$16,$X141),"")</f>
        <v/>
      </c>
      <c r="BC141" s="103" t="str">
        <f>IF($X141&gt;0,INDEX('CostModel Coef'!M$13:M$16,$X141),"")</f>
        <v/>
      </c>
      <c r="BD141" s="103" t="str">
        <f>IF($X141&gt;0,INDEX('CostModel Coef'!N$13:N$16,$X141),"")</f>
        <v/>
      </c>
      <c r="BE141" s="103" t="str">
        <f>IF($X141&gt;0,INDEX('CostModel Coef'!O$13:O$16,$X141),"")</f>
        <v/>
      </c>
      <c r="BF141" s="103" t="str">
        <f>IF($X141&gt;0,INDEX('CostModel Coef'!P$13:P$16,$X141),"")</f>
        <v/>
      </c>
      <c r="BG141" s="103" t="str">
        <f>IF($X141&gt;0,INDEX('CostModel Coef'!Q$13:Q$16,$X141),"")</f>
        <v/>
      </c>
      <c r="BH141" s="103" t="str">
        <f>IF($X141&gt;0,INDEX('CostModel Coef'!R$13:R$16,$X141),"")</f>
        <v/>
      </c>
      <c r="BI141" s="103" t="str">
        <f>IF($X141&gt;0,INDEX('CostModel Coef'!S$13:S$16,$X141),"")</f>
        <v/>
      </c>
      <c r="BJ141" s="103" t="str">
        <f>IF($X141&gt;0,INDEX('CostModel Coef'!T$13:T$16,$X141),"")</f>
        <v/>
      </c>
      <c r="BK141" s="103" t="str">
        <f>IF($X141&gt;0,INDEX('CostModel Coef'!U$13:U$16,$X141),"")</f>
        <v/>
      </c>
      <c r="BL141" s="103" t="str">
        <f>IF($X141&gt;0,INDEX('CostModel Coef'!V$13:V$16,$X141),"")</f>
        <v/>
      </c>
      <c r="BM141" s="103" t="str">
        <f>IF($X141&gt;0,INDEX('CostModel Coef'!W$13:W$16,$X141),"")</f>
        <v/>
      </c>
      <c r="BN141" s="103" t="str">
        <f>IF($X141&gt;0,INDEX('CostModel Coef'!X$13:X$16,$X141),"")</f>
        <v/>
      </c>
      <c r="BO141" s="103"/>
      <c r="BP141" s="119">
        <v>2000</v>
      </c>
      <c r="BQ141" s="103"/>
      <c r="BR141" s="103"/>
      <c r="BS141" s="119" t="str">
        <f t="shared" si="34"/>
        <v/>
      </c>
      <c r="BT141" s="174">
        <f t="shared" si="52"/>
        <v>-1</v>
      </c>
      <c r="BU141" s="113" t="str">
        <f t="shared" si="36"/>
        <v>OOS</v>
      </c>
      <c r="BV141" s="108" t="str">
        <f t="shared" si="37"/>
        <v>OOS</v>
      </c>
      <c r="BW141" s="108" t="str">
        <f t="shared" si="38"/>
        <v>OOS</v>
      </c>
      <c r="BX141" s="108" t="str">
        <f t="shared" si="39"/>
        <v>OOS</v>
      </c>
      <c r="BY141" s="108" t="str">
        <f t="shared" si="40"/>
        <v>OOS</v>
      </c>
      <c r="BZ141" s="108"/>
      <c r="CA141" s="119" t="str">
        <f t="shared" si="41"/>
        <v/>
      </c>
      <c r="CB141" s="174">
        <f t="shared" si="58"/>
        <v>-1</v>
      </c>
      <c r="CC141" s="113" t="str">
        <f t="shared" si="42"/>
        <v/>
      </c>
      <c r="CD141" s="108" t="str">
        <f t="shared" si="43"/>
        <v/>
      </c>
      <c r="CE141" s="108" t="str">
        <f t="shared" si="44"/>
        <v/>
      </c>
      <c r="CF141" s="108" t="str">
        <f t="shared" si="45"/>
        <v/>
      </c>
      <c r="CG141" s="108" t="str">
        <f t="shared" si="46"/>
        <v/>
      </c>
      <c r="CH141" s="103"/>
      <c r="CI141" s="119" t="str">
        <f t="shared" si="35"/>
        <v/>
      </c>
      <c r="CJ141" s="174">
        <f t="shared" si="59"/>
        <v>-1</v>
      </c>
      <c r="CK141" s="113" t="str">
        <f t="shared" si="47"/>
        <v/>
      </c>
      <c r="CL141" s="108" t="str">
        <f t="shared" si="48"/>
        <v/>
      </c>
      <c r="CM141" s="108" t="str">
        <f t="shared" si="49"/>
        <v/>
      </c>
      <c r="CN141" s="108" t="str">
        <f t="shared" si="50"/>
        <v/>
      </c>
      <c r="CO141" s="108" t="str">
        <f t="shared" si="51"/>
        <v/>
      </c>
    </row>
    <row r="142" spans="1:93">
      <c r="A142" s="103" t="s">
        <v>436</v>
      </c>
      <c r="B142" s="103" t="s">
        <v>174</v>
      </c>
      <c r="C142" s="103" t="s">
        <v>153</v>
      </c>
      <c r="D142" s="250" t="s">
        <v>153</v>
      </c>
      <c r="E142" s="250"/>
      <c r="F142" s="182">
        <v>9020</v>
      </c>
      <c r="G142" s="250" t="s">
        <v>175</v>
      </c>
      <c r="H142" s="250">
        <v>27</v>
      </c>
      <c r="I142" s="250"/>
      <c r="J142" s="250"/>
      <c r="K142" s="250"/>
      <c r="L142" s="250" t="s">
        <v>61</v>
      </c>
      <c r="M142" s="250">
        <v>27</v>
      </c>
      <c r="N142" s="250" t="s">
        <v>176</v>
      </c>
      <c r="O142" s="250"/>
      <c r="P142" s="250" t="s">
        <v>153</v>
      </c>
      <c r="Q142" s="250"/>
      <c r="R142" s="250"/>
      <c r="S142" s="250"/>
      <c r="T142" s="250" t="s">
        <v>155</v>
      </c>
      <c r="U142" s="103" t="s">
        <v>437</v>
      </c>
      <c r="V142" s="106" t="s">
        <v>157</v>
      </c>
      <c r="W142" s="103" t="s">
        <v>158</v>
      </c>
      <c r="X142" s="103">
        <f>IFERROR(MATCH(W142,'CostModel Coef'!$C$9:$C$12,0),0)</f>
        <v>0</v>
      </c>
      <c r="Y142" s="103"/>
      <c r="Z142" s="103" t="str">
        <f>IF($X142&gt;0,INDEX('CostModel Coef'!D$9:D$12,$X142),"")</f>
        <v/>
      </c>
      <c r="AA142" s="103" t="str">
        <f>IF($X142&gt;0,INDEX('CostModel Coef'!E$9:E$12,$X142),"")</f>
        <v/>
      </c>
      <c r="AB142" s="103" t="str">
        <f>IF($X142&gt;0,INDEX('CostModel Coef'!F$9:F$12,$X142),"")</f>
        <v/>
      </c>
      <c r="AC142" s="103" t="str">
        <f>IF($X142&gt;0,INDEX('CostModel Coef'!G$9:G$12,$X142),"")</f>
        <v/>
      </c>
      <c r="AD142" s="103" t="str">
        <f>IF($X142&gt;0,INDEX('CostModel Coef'!H$9:H$12,$X142),"")</f>
        <v/>
      </c>
      <c r="AE142" s="103" t="str">
        <f>IF($X142&gt;0,INDEX('CostModel Coef'!J$9:J$12,$X142),"")</f>
        <v/>
      </c>
      <c r="AF142" s="103" t="str">
        <f>IF($X142&gt;0,INDEX('CostModel Coef'!K$9:K$12,$X142),"")</f>
        <v/>
      </c>
      <c r="AG142" s="103" t="str">
        <f>IF($X142&gt;0,INDEX('CostModel Coef'!L$9:L$12,$X142),"")</f>
        <v/>
      </c>
      <c r="AH142" s="103" t="str">
        <f>IF($X142&gt;0,INDEX('CostModel Coef'!M$9:M$12,$X142),"")</f>
        <v/>
      </c>
      <c r="AI142" s="103" t="str">
        <f>IF($X142&gt;0,INDEX('CostModel Coef'!N$9:N$12,$X142),"")</f>
        <v/>
      </c>
      <c r="AJ142" s="103" t="str">
        <f>IF($X142&gt;0,INDEX('CostModel Coef'!Q$9:Q$12,$X142),"")</f>
        <v/>
      </c>
      <c r="AK142" s="103" t="str">
        <f>IF($X142&gt;0,INDEX('CostModel Coef'!T$9:T$12,$X142),"")</f>
        <v/>
      </c>
      <c r="AL142" s="103"/>
      <c r="AM142" s="108" t="str">
        <f t="shared" si="53"/>
        <v/>
      </c>
      <c r="AN142" s="108" t="str">
        <f t="shared" si="54"/>
        <v/>
      </c>
      <c r="AO142" s="108" t="str">
        <f t="shared" si="55"/>
        <v/>
      </c>
      <c r="AP142" s="108" t="str">
        <f t="shared" si="56"/>
        <v/>
      </c>
      <c r="AQ142" s="108" t="str">
        <f t="shared" si="57"/>
        <v/>
      </c>
      <c r="AR142" s="108"/>
      <c r="AS142" s="108"/>
      <c r="AT142" s="103" t="str">
        <f>IF($X142&gt;0,INDEX('CostModel Coef'!D$13:D$16,$X142),"")</f>
        <v/>
      </c>
      <c r="AU142" s="103" t="str">
        <f>IF($X142&gt;0,INDEX('CostModel Coef'!E$13:E$16,$X142),"")</f>
        <v/>
      </c>
      <c r="AV142" s="103" t="str">
        <f>IF($X142&gt;0,INDEX('CostModel Coef'!F$13:F$16,$X142),"")</f>
        <v/>
      </c>
      <c r="AW142" s="103" t="str">
        <f>IF($X142&gt;0,INDEX('CostModel Coef'!G$13:G$16,$X142),"")</f>
        <v/>
      </c>
      <c r="AX142" s="103" t="str">
        <f>IF($X142&gt;0,INDEX('CostModel Coef'!H$13:H$16,$X142),"")</f>
        <v/>
      </c>
      <c r="AY142" s="103" t="str">
        <f>IF($X142&gt;0,INDEX('CostModel Coef'!I$13:I$16,$X142),"")</f>
        <v/>
      </c>
      <c r="AZ142" s="103" t="str">
        <f>IF($X142&gt;0,INDEX('CostModel Coef'!J$13:J$16,$X142),"")</f>
        <v/>
      </c>
      <c r="BA142" s="103" t="str">
        <f>IF($X142&gt;0,INDEX('CostModel Coef'!K$13:K$16,$X142),"")</f>
        <v/>
      </c>
      <c r="BB142" s="103" t="str">
        <f>IF($X142&gt;0,INDEX('CostModel Coef'!L$13:L$16,$X142),"")</f>
        <v/>
      </c>
      <c r="BC142" s="103" t="str">
        <f>IF($X142&gt;0,INDEX('CostModel Coef'!M$13:M$16,$X142),"")</f>
        <v/>
      </c>
      <c r="BD142" s="103" t="str">
        <f>IF($X142&gt;0,INDEX('CostModel Coef'!N$13:N$16,$X142),"")</f>
        <v/>
      </c>
      <c r="BE142" s="103" t="str">
        <f>IF($X142&gt;0,INDEX('CostModel Coef'!O$13:O$16,$X142),"")</f>
        <v/>
      </c>
      <c r="BF142" s="103" t="str">
        <f>IF($X142&gt;0,INDEX('CostModel Coef'!P$13:P$16,$X142),"")</f>
        <v/>
      </c>
      <c r="BG142" s="103" t="str">
        <f>IF($X142&gt;0,INDEX('CostModel Coef'!Q$13:Q$16,$X142),"")</f>
        <v/>
      </c>
      <c r="BH142" s="103" t="str">
        <f>IF($X142&gt;0,INDEX('CostModel Coef'!R$13:R$16,$X142),"")</f>
        <v/>
      </c>
      <c r="BI142" s="103" t="str">
        <f>IF($X142&gt;0,INDEX('CostModel Coef'!S$13:S$16,$X142),"")</f>
        <v/>
      </c>
      <c r="BJ142" s="103" t="str">
        <f>IF($X142&gt;0,INDEX('CostModel Coef'!T$13:T$16,$X142),"")</f>
        <v/>
      </c>
      <c r="BK142" s="103" t="str">
        <f>IF($X142&gt;0,INDEX('CostModel Coef'!U$13:U$16,$X142),"")</f>
        <v/>
      </c>
      <c r="BL142" s="103" t="str">
        <f>IF($X142&gt;0,INDEX('CostModel Coef'!V$13:V$16,$X142),"")</f>
        <v/>
      </c>
      <c r="BM142" s="103" t="str">
        <f>IF($X142&gt;0,INDEX('CostModel Coef'!W$13:W$16,$X142),"")</f>
        <v/>
      </c>
      <c r="BN142" s="103" t="str">
        <f>IF($X142&gt;0,INDEX('CostModel Coef'!X$13:X$16,$X142),"")</f>
        <v/>
      </c>
      <c r="BO142" s="103"/>
      <c r="BP142" s="119">
        <v>2000</v>
      </c>
      <c r="BQ142" s="103"/>
      <c r="BR142" s="103"/>
      <c r="BS142" s="119" t="str">
        <f t="shared" si="34"/>
        <v/>
      </c>
      <c r="BT142" s="174">
        <f t="shared" si="52"/>
        <v>-1</v>
      </c>
      <c r="BU142" s="113" t="str">
        <f t="shared" si="36"/>
        <v>OOS</v>
      </c>
      <c r="BV142" s="108" t="str">
        <f t="shared" si="37"/>
        <v>OOS</v>
      </c>
      <c r="BW142" s="108" t="str">
        <f t="shared" si="38"/>
        <v>OOS</v>
      </c>
      <c r="BX142" s="108" t="str">
        <f t="shared" si="39"/>
        <v>OOS</v>
      </c>
      <c r="BY142" s="108" t="str">
        <f t="shared" si="40"/>
        <v>OOS</v>
      </c>
      <c r="BZ142" s="108"/>
      <c r="CA142" s="119" t="str">
        <f t="shared" si="41"/>
        <v/>
      </c>
      <c r="CB142" s="174">
        <f t="shared" si="58"/>
        <v>-1</v>
      </c>
      <c r="CC142" s="113" t="str">
        <f t="shared" si="42"/>
        <v/>
      </c>
      <c r="CD142" s="108" t="str">
        <f t="shared" si="43"/>
        <v/>
      </c>
      <c r="CE142" s="108" t="str">
        <f t="shared" si="44"/>
        <v/>
      </c>
      <c r="CF142" s="108" t="str">
        <f t="shared" si="45"/>
        <v/>
      </c>
      <c r="CG142" s="108" t="str">
        <f t="shared" si="46"/>
        <v/>
      </c>
      <c r="CH142" s="103"/>
      <c r="CI142" s="119" t="str">
        <f t="shared" si="35"/>
        <v/>
      </c>
      <c r="CJ142" s="174">
        <f t="shared" si="59"/>
        <v>-1</v>
      </c>
      <c r="CK142" s="113" t="str">
        <f t="shared" si="47"/>
        <v/>
      </c>
      <c r="CL142" s="108" t="str">
        <f t="shared" si="48"/>
        <v/>
      </c>
      <c r="CM142" s="108" t="str">
        <f t="shared" si="49"/>
        <v/>
      </c>
      <c r="CN142" s="108" t="str">
        <f t="shared" si="50"/>
        <v/>
      </c>
      <c r="CO142" s="108" t="str">
        <f t="shared" si="51"/>
        <v/>
      </c>
    </row>
    <row r="143" spans="1:93">
      <c r="A143" s="103" t="s">
        <v>438</v>
      </c>
      <c r="B143" s="103" t="s">
        <v>174</v>
      </c>
      <c r="C143" s="103" t="s">
        <v>152</v>
      </c>
      <c r="D143" s="250" t="s">
        <v>153</v>
      </c>
      <c r="E143" s="250">
        <v>82</v>
      </c>
      <c r="F143" s="182">
        <v>9020</v>
      </c>
      <c r="G143" s="250" t="s">
        <v>175</v>
      </c>
      <c r="H143" s="250">
        <v>40</v>
      </c>
      <c r="I143" s="250"/>
      <c r="J143" s="250"/>
      <c r="K143" s="250"/>
      <c r="L143" s="250" t="s">
        <v>61</v>
      </c>
      <c r="M143" s="250">
        <v>40</v>
      </c>
      <c r="N143" s="250" t="s">
        <v>176</v>
      </c>
      <c r="O143" s="250"/>
      <c r="P143" s="250" t="s">
        <v>153</v>
      </c>
      <c r="Q143" s="250"/>
      <c r="R143" s="250"/>
      <c r="S143" s="250"/>
      <c r="T143" s="250" t="s">
        <v>155</v>
      </c>
      <c r="U143" s="103" t="s">
        <v>439</v>
      </c>
      <c r="V143" s="106" t="s">
        <v>157</v>
      </c>
      <c r="W143" s="103" t="s">
        <v>158</v>
      </c>
      <c r="X143" s="103">
        <f>IFERROR(MATCH(W143,'CostModel Coef'!$C$9:$C$12,0),0)</f>
        <v>0</v>
      </c>
      <c r="Y143" s="103"/>
      <c r="Z143" s="103" t="str">
        <f>IF($X143&gt;0,INDEX('CostModel Coef'!D$9:D$12,$X143),"")</f>
        <v/>
      </c>
      <c r="AA143" s="103" t="str">
        <f>IF($X143&gt;0,INDEX('CostModel Coef'!E$9:E$12,$X143),"")</f>
        <v/>
      </c>
      <c r="AB143" s="103" t="str">
        <f>IF($X143&gt;0,INDEX('CostModel Coef'!F$9:F$12,$X143),"")</f>
        <v/>
      </c>
      <c r="AC143" s="103" t="str">
        <f>IF($X143&gt;0,INDEX('CostModel Coef'!G$9:G$12,$X143),"")</f>
        <v/>
      </c>
      <c r="AD143" s="103" t="str">
        <f>IF($X143&gt;0,INDEX('CostModel Coef'!H$9:H$12,$X143),"")</f>
        <v/>
      </c>
      <c r="AE143" s="103" t="str">
        <f>IF($X143&gt;0,INDEX('CostModel Coef'!J$9:J$12,$X143),"")</f>
        <v/>
      </c>
      <c r="AF143" s="103" t="str">
        <f>IF($X143&gt;0,INDEX('CostModel Coef'!K$9:K$12,$X143),"")</f>
        <v/>
      </c>
      <c r="AG143" s="103" t="str">
        <f>IF($X143&gt;0,INDEX('CostModel Coef'!L$9:L$12,$X143),"")</f>
        <v/>
      </c>
      <c r="AH143" s="103" t="str">
        <f>IF($X143&gt;0,INDEX('CostModel Coef'!M$9:M$12,$X143),"")</f>
        <v/>
      </c>
      <c r="AI143" s="103" t="str">
        <f>IF($X143&gt;0,INDEX('CostModel Coef'!N$9:N$12,$X143),"")</f>
        <v/>
      </c>
      <c r="AJ143" s="103" t="str">
        <f>IF($X143&gt;0,INDEX('CostModel Coef'!Q$9:Q$12,$X143),"")</f>
        <v/>
      </c>
      <c r="AK143" s="103" t="str">
        <f>IF($X143&gt;0,INDEX('CostModel Coef'!T$9:T$12,$X143),"")</f>
        <v/>
      </c>
      <c r="AL143" s="103"/>
      <c r="AM143" s="108" t="str">
        <f t="shared" si="53"/>
        <v/>
      </c>
      <c r="AN143" s="108" t="str">
        <f t="shared" si="54"/>
        <v/>
      </c>
      <c r="AO143" s="108" t="str">
        <f t="shared" si="55"/>
        <v/>
      </c>
      <c r="AP143" s="108" t="str">
        <f t="shared" si="56"/>
        <v/>
      </c>
      <c r="AQ143" s="108" t="str">
        <f t="shared" si="57"/>
        <v/>
      </c>
      <c r="AR143" s="108"/>
      <c r="AS143" s="108"/>
      <c r="AT143" s="103" t="str">
        <f>IF($X143&gt;0,INDEX('CostModel Coef'!D$13:D$16,$X143),"")</f>
        <v/>
      </c>
      <c r="AU143" s="103" t="str">
        <f>IF($X143&gt;0,INDEX('CostModel Coef'!E$13:E$16,$X143),"")</f>
        <v/>
      </c>
      <c r="AV143" s="103" t="str">
        <f>IF($X143&gt;0,INDEX('CostModel Coef'!F$13:F$16,$X143),"")</f>
        <v/>
      </c>
      <c r="AW143" s="103" t="str">
        <f>IF($X143&gt;0,INDEX('CostModel Coef'!G$13:G$16,$X143),"")</f>
        <v/>
      </c>
      <c r="AX143" s="103" t="str">
        <f>IF($X143&gt;0,INDEX('CostModel Coef'!H$13:H$16,$X143),"")</f>
        <v/>
      </c>
      <c r="AY143" s="103" t="str">
        <f>IF($X143&gt;0,INDEX('CostModel Coef'!I$13:I$16,$X143),"")</f>
        <v/>
      </c>
      <c r="AZ143" s="103" t="str">
        <f>IF($X143&gt;0,INDEX('CostModel Coef'!J$13:J$16,$X143),"")</f>
        <v/>
      </c>
      <c r="BA143" s="103" t="str">
        <f>IF($X143&gt;0,INDEX('CostModel Coef'!K$13:K$16,$X143),"")</f>
        <v/>
      </c>
      <c r="BB143" s="103" t="str">
        <f>IF($X143&gt;0,INDEX('CostModel Coef'!L$13:L$16,$X143),"")</f>
        <v/>
      </c>
      <c r="BC143" s="103" t="str">
        <f>IF($X143&gt;0,INDEX('CostModel Coef'!M$13:M$16,$X143),"")</f>
        <v/>
      </c>
      <c r="BD143" s="103" t="str">
        <f>IF($X143&gt;0,INDEX('CostModel Coef'!N$13:N$16,$X143),"")</f>
        <v/>
      </c>
      <c r="BE143" s="103" t="str">
        <f>IF($X143&gt;0,INDEX('CostModel Coef'!O$13:O$16,$X143),"")</f>
        <v/>
      </c>
      <c r="BF143" s="103" t="str">
        <f>IF($X143&gt;0,INDEX('CostModel Coef'!P$13:P$16,$X143),"")</f>
        <v/>
      </c>
      <c r="BG143" s="103" t="str">
        <f>IF($X143&gt;0,INDEX('CostModel Coef'!Q$13:Q$16,$X143),"")</f>
        <v/>
      </c>
      <c r="BH143" s="103" t="str">
        <f>IF($X143&gt;0,INDEX('CostModel Coef'!R$13:R$16,$X143),"")</f>
        <v/>
      </c>
      <c r="BI143" s="103" t="str">
        <f>IF($X143&gt;0,INDEX('CostModel Coef'!S$13:S$16,$X143),"")</f>
        <v/>
      </c>
      <c r="BJ143" s="103" t="str">
        <f>IF($X143&gt;0,INDEX('CostModel Coef'!T$13:T$16,$X143),"")</f>
        <v/>
      </c>
      <c r="BK143" s="103" t="str">
        <f>IF($X143&gt;0,INDEX('CostModel Coef'!U$13:U$16,$X143),"")</f>
        <v/>
      </c>
      <c r="BL143" s="103" t="str">
        <f>IF($X143&gt;0,INDEX('CostModel Coef'!V$13:V$16,$X143),"")</f>
        <v/>
      </c>
      <c r="BM143" s="103" t="str">
        <f>IF($X143&gt;0,INDEX('CostModel Coef'!W$13:W$16,$X143),"")</f>
        <v/>
      </c>
      <c r="BN143" s="103" t="str">
        <f>IF($X143&gt;0,INDEX('CostModel Coef'!X$13:X$16,$X143),"")</f>
        <v/>
      </c>
      <c r="BO143" s="103"/>
      <c r="BP143" s="119">
        <v>2000</v>
      </c>
      <c r="BQ143" s="103"/>
      <c r="BR143" s="103"/>
      <c r="BS143" s="119" t="str">
        <f t="shared" ref="BS143:BS206" si="60">IF(BT143&gt;0,IF(X143=2,$BW$4,$BW$5)&amp;"_"&amp;$A143,"")</f>
        <v/>
      </c>
      <c r="BT143" s="174">
        <f t="shared" si="52"/>
        <v>-1</v>
      </c>
      <c r="BU143" s="113" t="str">
        <f t="shared" si="36"/>
        <v>OOS</v>
      </c>
      <c r="BV143" s="108" t="str">
        <f t="shared" si="37"/>
        <v>OOS</v>
      </c>
      <c r="BW143" s="108" t="str">
        <f t="shared" si="38"/>
        <v>OOS</v>
      </c>
      <c r="BX143" s="108" t="str">
        <f t="shared" si="39"/>
        <v>OOS</v>
      </c>
      <c r="BY143" s="108" t="str">
        <f t="shared" si="40"/>
        <v>OOS</v>
      </c>
      <c r="BZ143" s="108"/>
      <c r="CA143" s="119" t="str">
        <f t="shared" si="41"/>
        <v/>
      </c>
      <c r="CB143" s="174">
        <f t="shared" si="58"/>
        <v>-1</v>
      </c>
      <c r="CC143" s="113" t="str">
        <f t="shared" si="42"/>
        <v/>
      </c>
      <c r="CD143" s="108" t="str">
        <f t="shared" si="43"/>
        <v/>
      </c>
      <c r="CE143" s="108" t="str">
        <f t="shared" si="44"/>
        <v/>
      </c>
      <c r="CF143" s="108" t="str">
        <f t="shared" si="45"/>
        <v/>
      </c>
      <c r="CG143" s="108" t="str">
        <f t="shared" si="46"/>
        <v/>
      </c>
      <c r="CH143" s="103"/>
      <c r="CI143" s="119" t="str">
        <f t="shared" ref="CI143:CI206" si="61">IF(CJ143&gt;0,BW$5&amp;"_"&amp;$A143,"")</f>
        <v/>
      </c>
      <c r="CJ143" s="174">
        <f t="shared" si="59"/>
        <v>-1</v>
      </c>
      <c r="CK143" s="113" t="str">
        <f t="shared" si="47"/>
        <v/>
      </c>
      <c r="CL143" s="108" t="str">
        <f t="shared" si="48"/>
        <v/>
      </c>
      <c r="CM143" s="108" t="str">
        <f t="shared" si="49"/>
        <v/>
      </c>
      <c r="CN143" s="108" t="str">
        <f t="shared" si="50"/>
        <v/>
      </c>
      <c r="CO143" s="108" t="str">
        <f t="shared" si="51"/>
        <v/>
      </c>
    </row>
    <row r="144" spans="1:93">
      <c r="A144" s="103" t="s">
        <v>440</v>
      </c>
      <c r="B144" s="103" t="s">
        <v>174</v>
      </c>
      <c r="C144" s="103" t="s">
        <v>152</v>
      </c>
      <c r="D144" s="250" t="s">
        <v>153</v>
      </c>
      <c r="E144" s="250">
        <v>82</v>
      </c>
      <c r="F144" s="182">
        <v>9020</v>
      </c>
      <c r="G144" s="250" t="s">
        <v>175</v>
      </c>
      <c r="H144" s="250">
        <v>42</v>
      </c>
      <c r="I144" s="250"/>
      <c r="J144" s="250"/>
      <c r="K144" s="250"/>
      <c r="L144" s="250" t="s">
        <v>61</v>
      </c>
      <c r="M144" s="250">
        <v>42</v>
      </c>
      <c r="N144" s="250" t="s">
        <v>176</v>
      </c>
      <c r="O144" s="250"/>
      <c r="P144" s="250" t="s">
        <v>153</v>
      </c>
      <c r="Q144" s="250"/>
      <c r="R144" s="250"/>
      <c r="S144" s="250"/>
      <c r="T144" s="250" t="s">
        <v>155</v>
      </c>
      <c r="U144" s="103" t="s">
        <v>441</v>
      </c>
      <c r="V144" s="106" t="s">
        <v>157</v>
      </c>
      <c r="W144" s="103" t="s">
        <v>158</v>
      </c>
      <c r="X144" s="103">
        <f>IFERROR(MATCH(W144,'CostModel Coef'!$C$9:$C$12,0),0)</f>
        <v>0</v>
      </c>
      <c r="Y144" s="103"/>
      <c r="Z144" s="103" t="str">
        <f>IF($X144&gt;0,INDEX('CostModel Coef'!D$9:D$12,$X144),"")</f>
        <v/>
      </c>
      <c r="AA144" s="103" t="str">
        <f>IF($X144&gt;0,INDEX('CostModel Coef'!E$9:E$12,$X144),"")</f>
        <v/>
      </c>
      <c r="AB144" s="103" t="str">
        <f>IF($X144&gt;0,INDEX('CostModel Coef'!F$9:F$12,$X144),"")</f>
        <v/>
      </c>
      <c r="AC144" s="103" t="str">
        <f>IF($X144&gt;0,INDEX('CostModel Coef'!G$9:G$12,$X144),"")</f>
        <v/>
      </c>
      <c r="AD144" s="103" t="str">
        <f>IF($X144&gt;0,INDEX('CostModel Coef'!H$9:H$12,$X144),"")</f>
        <v/>
      </c>
      <c r="AE144" s="103" t="str">
        <f>IF($X144&gt;0,INDEX('CostModel Coef'!J$9:J$12,$X144),"")</f>
        <v/>
      </c>
      <c r="AF144" s="103" t="str">
        <f>IF($X144&gt;0,INDEX('CostModel Coef'!K$9:K$12,$X144),"")</f>
        <v/>
      </c>
      <c r="AG144" s="103" t="str">
        <f>IF($X144&gt;0,INDEX('CostModel Coef'!L$9:L$12,$X144),"")</f>
        <v/>
      </c>
      <c r="AH144" s="103" t="str">
        <f>IF($X144&gt;0,INDEX('CostModel Coef'!M$9:M$12,$X144),"")</f>
        <v/>
      </c>
      <c r="AI144" s="103" t="str">
        <f>IF($X144&gt;0,INDEX('CostModel Coef'!N$9:N$12,$X144),"")</f>
        <v/>
      </c>
      <c r="AJ144" s="103" t="str">
        <f>IF($X144&gt;0,INDEX('CostModel Coef'!Q$9:Q$12,$X144),"")</f>
        <v/>
      </c>
      <c r="AK144" s="103" t="str">
        <f>IF($X144&gt;0,INDEX('CostModel Coef'!T$9:T$12,$X144),"")</f>
        <v/>
      </c>
      <c r="AL144" s="103"/>
      <c r="AM144" s="108" t="str">
        <f t="shared" si="53"/>
        <v/>
      </c>
      <c r="AN144" s="108" t="str">
        <f t="shared" si="54"/>
        <v/>
      </c>
      <c r="AO144" s="108" t="str">
        <f t="shared" si="55"/>
        <v/>
      </c>
      <c r="AP144" s="108" t="str">
        <f t="shared" si="56"/>
        <v/>
      </c>
      <c r="AQ144" s="108" t="str">
        <f t="shared" si="57"/>
        <v/>
      </c>
      <c r="AR144" s="108"/>
      <c r="AS144" s="108"/>
      <c r="AT144" s="103" t="str">
        <f>IF($X144&gt;0,INDEX('CostModel Coef'!D$13:D$16,$X144),"")</f>
        <v/>
      </c>
      <c r="AU144" s="103" t="str">
        <f>IF($X144&gt;0,INDEX('CostModel Coef'!E$13:E$16,$X144),"")</f>
        <v/>
      </c>
      <c r="AV144" s="103" t="str">
        <f>IF($X144&gt;0,INDEX('CostModel Coef'!F$13:F$16,$X144),"")</f>
        <v/>
      </c>
      <c r="AW144" s="103" t="str">
        <f>IF($X144&gt;0,INDEX('CostModel Coef'!G$13:G$16,$X144),"")</f>
        <v/>
      </c>
      <c r="AX144" s="103" t="str">
        <f>IF($X144&gt;0,INDEX('CostModel Coef'!H$13:H$16,$X144),"")</f>
        <v/>
      </c>
      <c r="AY144" s="103" t="str">
        <f>IF($X144&gt;0,INDEX('CostModel Coef'!I$13:I$16,$X144),"")</f>
        <v/>
      </c>
      <c r="AZ144" s="103" t="str">
        <f>IF($X144&gt;0,INDEX('CostModel Coef'!J$13:J$16,$X144),"")</f>
        <v/>
      </c>
      <c r="BA144" s="103" t="str">
        <f>IF($X144&gt;0,INDEX('CostModel Coef'!K$13:K$16,$X144),"")</f>
        <v/>
      </c>
      <c r="BB144" s="103" t="str">
        <f>IF($X144&gt;0,INDEX('CostModel Coef'!L$13:L$16,$X144),"")</f>
        <v/>
      </c>
      <c r="BC144" s="103" t="str">
        <f>IF($X144&gt;0,INDEX('CostModel Coef'!M$13:M$16,$X144),"")</f>
        <v/>
      </c>
      <c r="BD144" s="103" t="str">
        <f>IF($X144&gt;0,INDEX('CostModel Coef'!N$13:N$16,$X144),"")</f>
        <v/>
      </c>
      <c r="BE144" s="103" t="str">
        <f>IF($X144&gt;0,INDEX('CostModel Coef'!O$13:O$16,$X144),"")</f>
        <v/>
      </c>
      <c r="BF144" s="103" t="str">
        <f>IF($X144&gt;0,INDEX('CostModel Coef'!P$13:P$16,$X144),"")</f>
        <v/>
      </c>
      <c r="BG144" s="103" t="str">
        <f>IF($X144&gt;0,INDEX('CostModel Coef'!Q$13:Q$16,$X144),"")</f>
        <v/>
      </c>
      <c r="BH144" s="103" t="str">
        <f>IF($X144&gt;0,INDEX('CostModel Coef'!R$13:R$16,$X144),"")</f>
        <v/>
      </c>
      <c r="BI144" s="103" t="str">
        <f>IF($X144&gt;0,INDEX('CostModel Coef'!S$13:S$16,$X144),"")</f>
        <v/>
      </c>
      <c r="BJ144" s="103" t="str">
        <f>IF($X144&gt;0,INDEX('CostModel Coef'!T$13:T$16,$X144),"")</f>
        <v/>
      </c>
      <c r="BK144" s="103" t="str">
        <f>IF($X144&gt;0,INDEX('CostModel Coef'!U$13:U$16,$X144),"")</f>
        <v/>
      </c>
      <c r="BL144" s="103" t="str">
        <f>IF($X144&gt;0,INDEX('CostModel Coef'!V$13:V$16,$X144),"")</f>
        <v/>
      </c>
      <c r="BM144" s="103" t="str">
        <f>IF($X144&gt;0,INDEX('CostModel Coef'!W$13:W$16,$X144),"")</f>
        <v/>
      </c>
      <c r="BN144" s="103" t="str">
        <f>IF($X144&gt;0,INDEX('CostModel Coef'!X$13:X$16,$X144),"")</f>
        <v/>
      </c>
      <c r="BO144" s="103"/>
      <c r="BP144" s="119">
        <v>2000</v>
      </c>
      <c r="BQ144" s="103"/>
      <c r="BR144" s="103"/>
      <c r="BS144" s="119" t="str">
        <f t="shared" si="60"/>
        <v/>
      </c>
      <c r="BT144" s="174">
        <f t="shared" si="52"/>
        <v>-1</v>
      </c>
      <c r="BU144" s="113" t="str">
        <f t="shared" ref="BU144:BU207" si="62">IF(AND(BT144&gt;=BH144,BT144&lt;=BI144),SUM($AT144,$AU144,$AV144,IF($Q144="Y",$BB144,0),$BP144/1000*$BD144,BT144*$BG144,IF(BT144&gt;30,(BT144-30)*$BK144,0),IF(BT144&gt;75,(BT144-75)*$BL144,0),IF(BT144&lt;35,$BM144,0),$BA144),"OOS")</f>
        <v>OOS</v>
      </c>
      <c r="BV144" s="108" t="str">
        <f t="shared" ref="BV144:BV207" si="63">IF(AND(BT144&gt;=BH144,BT144&lt;=BI144),SUM($AT144,$AU144,$AV144,IF($Q144="Y",$BB144,0),$BP144/1000*$BD144,BT144*$BG144,IF(BT144&gt;30,(BT144-30)*$BK144,0),IF(BT144&gt;75,(BT144-75)*$BL144,0),IF(BT144&lt;35,$BM144,0)),"OOS")</f>
        <v>OOS</v>
      </c>
      <c r="BW144" s="108" t="str">
        <f t="shared" ref="BW144:BW207" si="64">IF(AND(BT144&gt;=BH144,BT144&lt;=BI144),SUM($AT144,$AU144,$AV144,IF($Q144="Y",$BB144,0),$BP144/1000*$BD144,BT144*$BG144,IF(BT144&gt;30,(BT144-30)*$BK144,0),IF(BT144&gt;75,(BT144-75)*$BL144,0),IF(BT144&lt;35,$BM144,0),$AX144),"OOS")</f>
        <v>OOS</v>
      </c>
      <c r="BX144" s="108" t="str">
        <f t="shared" ref="BX144:BX207" si="65">IF(AND(BT144&gt;=BH144,BT144&lt;=BI144),SUM($AT144,$AU144,$AV144,IF($Q144="Y",$BB144,0),$BP144/1000*$BD144,BT144*$BG144,IF(BT144&gt;30,(BT144-30)*$BK144,0),IF(BT144&gt;75,(BT144-75)*$BL144,0),IF(BT144&lt;35,$BM144,0),$AX144,$AY144),"OOS")</f>
        <v>OOS</v>
      </c>
      <c r="BY144" s="108" t="str">
        <f t="shared" ref="BY144:BY207" si="66">IF(AND(BT144&gt;=BH144,BT144&lt;=BI144),SUM($AT144,$AU144,$AV144,IF($Q144="Y",$BB144,0),$BP144/1000*$BD144,BT144*$BG144,IF(BT144&gt;30,(BT144-30)*$BK144,0),IF(BT144&gt;75,(BT144-75)*$BL144,0),IF(BT144&lt;35,$BM144,0),$AX144,$AY144),"OOS")</f>
        <v>OOS</v>
      </c>
      <c r="BZ144" s="108"/>
      <c r="CA144" s="119" t="str">
        <f t="shared" ref="CA144:CA207" si="67">IF(CB144&gt;0,CD$5&amp;"_"&amp;$A144,"")</f>
        <v/>
      </c>
      <c r="CB144" s="174">
        <f t="shared" si="58"/>
        <v>-1</v>
      </c>
      <c r="CC144" s="113" t="str">
        <f t="shared" ref="CC144:CC207" si="68">IF(AND(CB144&gt;=BH144,CB144&lt;=BI144),SUM($AT144,$AU144,$AV144,IF($Q144="Y",$BB144,0),$BP144/1000*$BD144,CB144*$BG144,IF(CB144&gt;30,(CB144-30)*$BK144,0),IF(CB144&gt;75,(CB144-75)*$BL144,0),IF(CB144&lt;35,$BM144,0),$BA144),"")</f>
        <v/>
      </c>
      <c r="CD144" s="108" t="str">
        <f t="shared" ref="CD144:CD207" si="69">IF(AND(CB144&gt;=BH144,CB144&lt;=BI144),SUM($AT144,$AU144,$AV144,IF($Q144="Y",$BB144,0),$BP144/1000*$BD144,CB144*$BG144,IF(CB144&gt;30,(CB144-30)*$BK144,0),IF(CB144&gt;75,(CB144-75)*$BL144,0),IF(CB144&lt;35,$BM144,0)),"")</f>
        <v/>
      </c>
      <c r="CE144" s="108" t="str">
        <f t="shared" ref="CE144:CE207" si="70">IF(AND(CB144&gt;=BH144,CB144&lt;=BI144),SUM($AT144,$AU144,$AV144,IF($Q144="Y",$BB144,0),$BP144/1000*$BD144,CB144*$BG144,IF(CB144&gt;30,(CB144-30)*$BK144,0),IF(CB144&gt;75,(CB144-75)*$BL144,0),IF(CB144&lt;35,$BM144,0),$AX144),"")</f>
        <v/>
      </c>
      <c r="CF144" s="108" t="str">
        <f t="shared" ref="CF144:CF207" si="71">IF(AND(CB144&gt;=BH144,CB144&lt;=BI144),SUM($AT144,$AU144,$AV144,IF($Q144="Y",$BB144,0),$BP144/1000*$BD144,CB144*$BG144,IF(CB144&gt;30,(CB144-30)*$BK144,0),IF(CB144&gt;75,(CB144-75)*$BL144,0),IF(CB144&lt;35,$BM144,0),$AX144,$AY144),"")</f>
        <v/>
      </c>
      <c r="CG144" s="108" t="str">
        <f t="shared" ref="CG144:CG207" si="72">IF(AND(CB144&gt;=BH144,CB144&lt;=BI144),SUM($AT144,$AU144,$AV144,IF($Q144="Y",$BB144,0),$BP144/1000*$BD144,CB144*$BG144,IF(CB144&gt;30,(CB144-30)*$BK144,0),IF(CB144&gt;75,(CB144-75)*$BL144,0),IF(CB144&lt;35,$BM144,0),$AX144,$AY144),"")</f>
        <v/>
      </c>
      <c r="CH144" s="103"/>
      <c r="CI144" s="119" t="str">
        <f t="shared" si="61"/>
        <v/>
      </c>
      <c r="CJ144" s="174">
        <f t="shared" si="59"/>
        <v>-1</v>
      </c>
      <c r="CK144" s="113" t="str">
        <f t="shared" ref="CK144:CK207" si="73">IF(AND(CJ144&gt;=BH144,CJ144&lt;=BI144),SUM($AT144,$AU144,$AV144,IF($Q144="Y",$BB144,0),$BP144/1000*$BD144,CJ144*$BG144,IF(CJ144&gt;30,(CJ144-30)*$BK144,0),IF(CJ144&gt;75,(CJ144-75)*$BL144,0),IF(CJ144&lt;35,$BM144,0),$BA144),"")</f>
        <v/>
      </c>
      <c r="CL144" s="108" t="str">
        <f t="shared" ref="CL144:CL207" si="74">IF(AND(CJ144&gt;=BH144,CJ144&lt;=BI144),SUM($AT144,$AU144,$AV144,IF($Q144="Y",$BB144,0),$BP144/1000*$BD144,CJ144*$BG144,IF(CJ144&gt;30,(CJ144-30)*$BK144,0),IF(CJ144&gt;75,(CJ144-75)*$BL144,0),IF(CJ144&lt;35,$BM144,0)),"")</f>
        <v/>
      </c>
      <c r="CM144" s="108" t="str">
        <f t="shared" ref="CM144:CM207" si="75">IF(AND(CJ144&gt;=BH144,CJ144&lt;=BI144),SUM($AT144,$AU144,$AV144,IF($Q144="Y",$BB144,0),$BP144/1000*$BD144,CJ144*$BG144,IF(CJ144&gt;30,(CJ144-30)*$BK144,0),IF(CJ144&gt;75,(CJ144-75)*$BL144,0),IF(CJ144&lt;35,$BM144,0),$AX144),"")</f>
        <v/>
      </c>
      <c r="CN144" s="108" t="str">
        <f t="shared" ref="CN144:CN207" si="76">IF(AND(CJ144&gt;=BH144,CJ144&lt;=BI144),SUM($AT144,$AU144,$AV144,IF($Q144="Y",$BB144,0),$BP144/1000*$BD144,CJ144*$BG144,IF(CJ144&gt;30,(CJ144-30)*$BK144,0),IF(CJ144&gt;75,(CJ144-75)*$BL144,0),IF(CJ144&lt;35,$BM144,0),$AX144,$AY144),"")</f>
        <v/>
      </c>
      <c r="CO144" s="108" t="str">
        <f t="shared" ref="CO144:CO207" si="77">IF(AND(CJ144&gt;=BH144,CJ144&lt;=BI144),SUM($AT144,$AU144,$AV144,IF($Q144="Y",$BB144,0),$BP144/1000*$BD144,CJ144*$BG144,IF(CJ144&gt;30,(CJ144-30)*$BK144,0),IF(CJ144&gt;75,(CJ144-75)*$BL144,0),IF(CJ144&lt;35,$BM144,0),$AX144,$AY144),"")</f>
        <v/>
      </c>
    </row>
    <row r="145" spans="1:93">
      <c r="A145" s="103" t="s">
        <v>442</v>
      </c>
      <c r="B145" s="103" t="s">
        <v>174</v>
      </c>
      <c r="C145" s="103" t="s">
        <v>152</v>
      </c>
      <c r="D145" s="250" t="s">
        <v>153</v>
      </c>
      <c r="E145" s="250">
        <v>82</v>
      </c>
      <c r="F145" s="182">
        <v>9020</v>
      </c>
      <c r="G145" s="250" t="s">
        <v>175</v>
      </c>
      <c r="H145" s="250">
        <v>60</v>
      </c>
      <c r="I145" s="250"/>
      <c r="J145" s="250"/>
      <c r="K145" s="250"/>
      <c r="L145" s="250" t="s">
        <v>61</v>
      </c>
      <c r="M145" s="250">
        <v>60</v>
      </c>
      <c r="N145" s="250" t="s">
        <v>176</v>
      </c>
      <c r="O145" s="250"/>
      <c r="P145" s="250" t="s">
        <v>153</v>
      </c>
      <c r="Q145" s="250"/>
      <c r="R145" s="250"/>
      <c r="S145" s="250"/>
      <c r="T145" s="250" t="s">
        <v>155</v>
      </c>
      <c r="U145" s="103" t="s">
        <v>443</v>
      </c>
      <c r="V145" s="106" t="s">
        <v>157</v>
      </c>
      <c r="W145" s="103" t="s">
        <v>158</v>
      </c>
      <c r="X145" s="103">
        <f>IFERROR(MATCH(W145,'CostModel Coef'!$C$9:$C$12,0),0)</f>
        <v>0</v>
      </c>
      <c r="Y145" s="103"/>
      <c r="Z145" s="103" t="str">
        <f>IF($X145&gt;0,INDEX('CostModel Coef'!D$9:D$12,$X145),"")</f>
        <v/>
      </c>
      <c r="AA145" s="103" t="str">
        <f>IF($X145&gt;0,INDEX('CostModel Coef'!E$9:E$12,$X145),"")</f>
        <v/>
      </c>
      <c r="AB145" s="103" t="str">
        <f>IF($X145&gt;0,INDEX('CostModel Coef'!F$9:F$12,$X145),"")</f>
        <v/>
      </c>
      <c r="AC145" s="103" t="str">
        <f>IF($X145&gt;0,INDEX('CostModel Coef'!G$9:G$12,$X145),"")</f>
        <v/>
      </c>
      <c r="AD145" s="103" t="str">
        <f>IF($X145&gt;0,INDEX('CostModel Coef'!H$9:H$12,$X145),"")</f>
        <v/>
      </c>
      <c r="AE145" s="103" t="str">
        <f>IF($X145&gt;0,INDEX('CostModel Coef'!J$9:J$12,$X145),"")</f>
        <v/>
      </c>
      <c r="AF145" s="103" t="str">
        <f>IF($X145&gt;0,INDEX('CostModel Coef'!K$9:K$12,$X145),"")</f>
        <v/>
      </c>
      <c r="AG145" s="103" t="str">
        <f>IF($X145&gt;0,INDEX('CostModel Coef'!L$9:L$12,$X145),"")</f>
        <v/>
      </c>
      <c r="AH145" s="103" t="str">
        <f>IF($X145&gt;0,INDEX('CostModel Coef'!M$9:M$12,$X145),"")</f>
        <v/>
      </c>
      <c r="AI145" s="103" t="str">
        <f>IF($X145&gt;0,INDEX('CostModel Coef'!N$9:N$12,$X145),"")</f>
        <v/>
      </c>
      <c r="AJ145" s="103" t="str">
        <f>IF($X145&gt;0,INDEX('CostModel Coef'!Q$9:Q$12,$X145),"")</f>
        <v/>
      </c>
      <c r="AK145" s="103" t="str">
        <f>IF($X145&gt;0,INDEX('CostModel Coef'!T$9:T$12,$X145),"")</f>
        <v/>
      </c>
      <c r="AL145" s="103"/>
      <c r="AM145" s="108" t="str">
        <f t="shared" si="53"/>
        <v/>
      </c>
      <c r="AN145" s="108" t="str">
        <f t="shared" si="54"/>
        <v/>
      </c>
      <c r="AO145" s="108" t="str">
        <f t="shared" si="55"/>
        <v/>
      </c>
      <c r="AP145" s="108" t="str">
        <f t="shared" si="56"/>
        <v/>
      </c>
      <c r="AQ145" s="108" t="str">
        <f t="shared" si="57"/>
        <v/>
      </c>
      <c r="AR145" s="108"/>
      <c r="AS145" s="108"/>
      <c r="AT145" s="103" t="str">
        <f>IF($X145&gt;0,INDEX('CostModel Coef'!D$13:D$16,$X145),"")</f>
        <v/>
      </c>
      <c r="AU145" s="103" t="str">
        <f>IF($X145&gt;0,INDEX('CostModel Coef'!E$13:E$16,$X145),"")</f>
        <v/>
      </c>
      <c r="AV145" s="103" t="str">
        <f>IF($X145&gt;0,INDEX('CostModel Coef'!F$13:F$16,$X145),"")</f>
        <v/>
      </c>
      <c r="AW145" s="103" t="str">
        <f>IF($X145&gt;0,INDEX('CostModel Coef'!G$13:G$16,$X145),"")</f>
        <v/>
      </c>
      <c r="AX145" s="103" t="str">
        <f>IF($X145&gt;0,INDEX('CostModel Coef'!H$13:H$16,$X145),"")</f>
        <v/>
      </c>
      <c r="AY145" s="103" t="str">
        <f>IF($X145&gt;0,INDEX('CostModel Coef'!I$13:I$16,$X145),"")</f>
        <v/>
      </c>
      <c r="AZ145" s="103" t="str">
        <f>IF($X145&gt;0,INDEX('CostModel Coef'!J$13:J$16,$X145),"")</f>
        <v/>
      </c>
      <c r="BA145" s="103" t="str">
        <f>IF($X145&gt;0,INDEX('CostModel Coef'!K$13:K$16,$X145),"")</f>
        <v/>
      </c>
      <c r="BB145" s="103" t="str">
        <f>IF($X145&gt;0,INDEX('CostModel Coef'!L$13:L$16,$X145),"")</f>
        <v/>
      </c>
      <c r="BC145" s="103" t="str">
        <f>IF($X145&gt;0,INDEX('CostModel Coef'!M$13:M$16,$X145),"")</f>
        <v/>
      </c>
      <c r="BD145" s="103" t="str">
        <f>IF($X145&gt;0,INDEX('CostModel Coef'!N$13:N$16,$X145),"")</f>
        <v/>
      </c>
      <c r="BE145" s="103" t="str">
        <f>IF($X145&gt;0,INDEX('CostModel Coef'!O$13:O$16,$X145),"")</f>
        <v/>
      </c>
      <c r="BF145" s="103" t="str">
        <f>IF($X145&gt;0,INDEX('CostModel Coef'!P$13:P$16,$X145),"")</f>
        <v/>
      </c>
      <c r="BG145" s="103" t="str">
        <f>IF($X145&gt;0,INDEX('CostModel Coef'!Q$13:Q$16,$X145),"")</f>
        <v/>
      </c>
      <c r="BH145" s="103" t="str">
        <f>IF($X145&gt;0,INDEX('CostModel Coef'!R$13:R$16,$X145),"")</f>
        <v/>
      </c>
      <c r="BI145" s="103" t="str">
        <f>IF($X145&gt;0,INDEX('CostModel Coef'!S$13:S$16,$X145),"")</f>
        <v/>
      </c>
      <c r="BJ145" s="103" t="str">
        <f>IF($X145&gt;0,INDEX('CostModel Coef'!T$13:T$16,$X145),"")</f>
        <v/>
      </c>
      <c r="BK145" s="103" t="str">
        <f>IF($X145&gt;0,INDEX('CostModel Coef'!U$13:U$16,$X145),"")</f>
        <v/>
      </c>
      <c r="BL145" s="103" t="str">
        <f>IF($X145&gt;0,INDEX('CostModel Coef'!V$13:V$16,$X145),"")</f>
        <v/>
      </c>
      <c r="BM145" s="103" t="str">
        <f>IF($X145&gt;0,INDEX('CostModel Coef'!W$13:W$16,$X145),"")</f>
        <v/>
      </c>
      <c r="BN145" s="103" t="str">
        <f>IF($X145&gt;0,INDEX('CostModel Coef'!X$13:X$16,$X145),"")</f>
        <v/>
      </c>
      <c r="BO145" s="103"/>
      <c r="BP145" s="119">
        <v>2000</v>
      </c>
      <c r="BQ145" s="103"/>
      <c r="BR145" s="103"/>
      <c r="BS145" s="119" t="str">
        <f t="shared" si="60"/>
        <v/>
      </c>
      <c r="BT145" s="174">
        <f t="shared" si="52"/>
        <v>-1</v>
      </c>
      <c r="BU145" s="113" t="str">
        <f t="shared" si="62"/>
        <v>OOS</v>
      </c>
      <c r="BV145" s="108" t="str">
        <f t="shared" si="63"/>
        <v>OOS</v>
      </c>
      <c r="BW145" s="108" t="str">
        <f t="shared" si="64"/>
        <v>OOS</v>
      </c>
      <c r="BX145" s="108" t="str">
        <f t="shared" si="65"/>
        <v>OOS</v>
      </c>
      <c r="BY145" s="108" t="str">
        <f t="shared" si="66"/>
        <v>OOS</v>
      </c>
      <c r="BZ145" s="108"/>
      <c r="CA145" s="119" t="str">
        <f t="shared" si="67"/>
        <v/>
      </c>
      <c r="CB145" s="174">
        <f t="shared" si="58"/>
        <v>-1</v>
      </c>
      <c r="CC145" s="113" t="str">
        <f t="shared" si="68"/>
        <v/>
      </c>
      <c r="CD145" s="108" t="str">
        <f t="shared" si="69"/>
        <v/>
      </c>
      <c r="CE145" s="108" t="str">
        <f t="shared" si="70"/>
        <v/>
      </c>
      <c r="CF145" s="108" t="str">
        <f t="shared" si="71"/>
        <v/>
      </c>
      <c r="CG145" s="108" t="str">
        <f t="shared" si="72"/>
        <v/>
      </c>
      <c r="CH145" s="103"/>
      <c r="CI145" s="119" t="str">
        <f t="shared" si="61"/>
        <v/>
      </c>
      <c r="CJ145" s="174">
        <f t="shared" si="59"/>
        <v>-1</v>
      </c>
      <c r="CK145" s="113" t="str">
        <f t="shared" si="73"/>
        <v/>
      </c>
      <c r="CL145" s="108" t="str">
        <f t="shared" si="74"/>
        <v/>
      </c>
      <c r="CM145" s="108" t="str">
        <f t="shared" si="75"/>
        <v/>
      </c>
      <c r="CN145" s="108" t="str">
        <f t="shared" si="76"/>
        <v/>
      </c>
      <c r="CO145" s="108" t="str">
        <f t="shared" si="77"/>
        <v/>
      </c>
    </row>
    <row r="146" spans="1:93">
      <c r="A146" s="103" t="s">
        <v>444</v>
      </c>
      <c r="B146" s="103" t="s">
        <v>174</v>
      </c>
      <c r="C146" s="103" t="s">
        <v>152</v>
      </c>
      <c r="D146" s="250" t="s">
        <v>153</v>
      </c>
      <c r="E146" s="250">
        <v>82</v>
      </c>
      <c r="F146" s="182">
        <v>9020</v>
      </c>
      <c r="G146" s="250" t="s">
        <v>175</v>
      </c>
      <c r="H146" s="250">
        <v>80</v>
      </c>
      <c r="I146" s="250"/>
      <c r="J146" s="250"/>
      <c r="K146" s="250"/>
      <c r="L146" s="250" t="s">
        <v>61</v>
      </c>
      <c r="M146" s="250">
        <v>80</v>
      </c>
      <c r="N146" s="250" t="s">
        <v>176</v>
      </c>
      <c r="O146" s="250"/>
      <c r="P146" s="250" t="s">
        <v>153</v>
      </c>
      <c r="Q146" s="250"/>
      <c r="R146" s="250"/>
      <c r="S146" s="250"/>
      <c r="T146" s="250" t="s">
        <v>155</v>
      </c>
      <c r="U146" s="103" t="s">
        <v>445</v>
      </c>
      <c r="V146" s="106" t="s">
        <v>157</v>
      </c>
      <c r="W146" s="103" t="s">
        <v>158</v>
      </c>
      <c r="X146" s="103">
        <f>IFERROR(MATCH(W146,'CostModel Coef'!$C$9:$C$12,0),0)</f>
        <v>0</v>
      </c>
      <c r="Y146" s="103"/>
      <c r="Z146" s="103" t="str">
        <f>IF($X146&gt;0,INDEX('CostModel Coef'!D$9:D$12,$X146),"")</f>
        <v/>
      </c>
      <c r="AA146" s="103" t="str">
        <f>IF($X146&gt;0,INDEX('CostModel Coef'!E$9:E$12,$X146),"")</f>
        <v/>
      </c>
      <c r="AB146" s="103" t="str">
        <f>IF($X146&gt;0,INDEX('CostModel Coef'!F$9:F$12,$X146),"")</f>
        <v/>
      </c>
      <c r="AC146" s="103" t="str">
        <f>IF($X146&gt;0,INDEX('CostModel Coef'!G$9:G$12,$X146),"")</f>
        <v/>
      </c>
      <c r="AD146" s="103" t="str">
        <f>IF($X146&gt;0,INDEX('CostModel Coef'!H$9:H$12,$X146),"")</f>
        <v/>
      </c>
      <c r="AE146" s="103" t="str">
        <f>IF($X146&gt;0,INDEX('CostModel Coef'!J$9:J$12,$X146),"")</f>
        <v/>
      </c>
      <c r="AF146" s="103" t="str">
        <f>IF($X146&gt;0,INDEX('CostModel Coef'!K$9:K$12,$X146),"")</f>
        <v/>
      </c>
      <c r="AG146" s="103" t="str">
        <f>IF($X146&gt;0,INDEX('CostModel Coef'!L$9:L$12,$X146),"")</f>
        <v/>
      </c>
      <c r="AH146" s="103" t="str">
        <f>IF($X146&gt;0,INDEX('CostModel Coef'!M$9:M$12,$X146),"")</f>
        <v/>
      </c>
      <c r="AI146" s="103" t="str">
        <f>IF($X146&gt;0,INDEX('CostModel Coef'!N$9:N$12,$X146),"")</f>
        <v/>
      </c>
      <c r="AJ146" s="103" t="str">
        <f>IF($X146&gt;0,INDEX('CostModel Coef'!Q$9:Q$12,$X146),"")</f>
        <v/>
      </c>
      <c r="AK146" s="103" t="str">
        <f>IF($X146&gt;0,INDEX('CostModel Coef'!T$9:T$12,$X146),"")</f>
        <v/>
      </c>
      <c r="AL146" s="103"/>
      <c r="AM146" s="108" t="str">
        <f t="shared" si="53"/>
        <v/>
      </c>
      <c r="AN146" s="108" t="str">
        <f t="shared" si="54"/>
        <v/>
      </c>
      <c r="AO146" s="108" t="str">
        <f t="shared" si="55"/>
        <v/>
      </c>
      <c r="AP146" s="108" t="str">
        <f t="shared" si="56"/>
        <v/>
      </c>
      <c r="AQ146" s="108" t="str">
        <f t="shared" si="57"/>
        <v/>
      </c>
      <c r="AR146" s="108"/>
      <c r="AS146" s="108"/>
      <c r="AT146" s="103" t="str">
        <f>IF($X146&gt;0,INDEX('CostModel Coef'!D$13:D$16,$X146),"")</f>
        <v/>
      </c>
      <c r="AU146" s="103" t="str">
        <f>IF($X146&gt;0,INDEX('CostModel Coef'!E$13:E$16,$X146),"")</f>
        <v/>
      </c>
      <c r="AV146" s="103" t="str">
        <f>IF($X146&gt;0,INDEX('CostModel Coef'!F$13:F$16,$X146),"")</f>
        <v/>
      </c>
      <c r="AW146" s="103" t="str">
        <f>IF($X146&gt;0,INDEX('CostModel Coef'!G$13:G$16,$X146),"")</f>
        <v/>
      </c>
      <c r="AX146" s="103" t="str">
        <f>IF($X146&gt;0,INDEX('CostModel Coef'!H$13:H$16,$X146),"")</f>
        <v/>
      </c>
      <c r="AY146" s="103" t="str">
        <f>IF($X146&gt;0,INDEX('CostModel Coef'!I$13:I$16,$X146),"")</f>
        <v/>
      </c>
      <c r="AZ146" s="103" t="str">
        <f>IF($X146&gt;0,INDEX('CostModel Coef'!J$13:J$16,$X146),"")</f>
        <v/>
      </c>
      <c r="BA146" s="103" t="str">
        <f>IF($X146&gt;0,INDEX('CostModel Coef'!K$13:K$16,$X146),"")</f>
        <v/>
      </c>
      <c r="BB146" s="103" t="str">
        <f>IF($X146&gt;0,INDEX('CostModel Coef'!L$13:L$16,$X146),"")</f>
        <v/>
      </c>
      <c r="BC146" s="103" t="str">
        <f>IF($X146&gt;0,INDEX('CostModel Coef'!M$13:M$16,$X146),"")</f>
        <v/>
      </c>
      <c r="BD146" s="103" t="str">
        <f>IF($X146&gt;0,INDEX('CostModel Coef'!N$13:N$16,$X146),"")</f>
        <v/>
      </c>
      <c r="BE146" s="103" t="str">
        <f>IF($X146&gt;0,INDEX('CostModel Coef'!O$13:O$16,$X146),"")</f>
        <v/>
      </c>
      <c r="BF146" s="103" t="str">
        <f>IF($X146&gt;0,INDEX('CostModel Coef'!P$13:P$16,$X146),"")</f>
        <v/>
      </c>
      <c r="BG146" s="103" t="str">
        <f>IF($X146&gt;0,INDEX('CostModel Coef'!Q$13:Q$16,$X146),"")</f>
        <v/>
      </c>
      <c r="BH146" s="103" t="str">
        <f>IF($X146&gt;0,INDEX('CostModel Coef'!R$13:R$16,$X146),"")</f>
        <v/>
      </c>
      <c r="BI146" s="103" t="str">
        <f>IF($X146&gt;0,INDEX('CostModel Coef'!S$13:S$16,$X146),"")</f>
        <v/>
      </c>
      <c r="BJ146" s="103" t="str">
        <f>IF($X146&gt;0,INDEX('CostModel Coef'!T$13:T$16,$X146),"")</f>
        <v/>
      </c>
      <c r="BK146" s="103" t="str">
        <f>IF($X146&gt;0,INDEX('CostModel Coef'!U$13:U$16,$X146),"")</f>
        <v/>
      </c>
      <c r="BL146" s="103" t="str">
        <f>IF($X146&gt;0,INDEX('CostModel Coef'!V$13:V$16,$X146),"")</f>
        <v/>
      </c>
      <c r="BM146" s="103" t="str">
        <f>IF($X146&gt;0,INDEX('CostModel Coef'!W$13:W$16,$X146),"")</f>
        <v/>
      </c>
      <c r="BN146" s="103" t="str">
        <f>IF($X146&gt;0,INDEX('CostModel Coef'!X$13:X$16,$X146),"")</f>
        <v/>
      </c>
      <c r="BO146" s="103"/>
      <c r="BP146" s="119">
        <v>2000</v>
      </c>
      <c r="BQ146" s="103"/>
      <c r="BR146" s="103"/>
      <c r="BS146" s="119" t="str">
        <f t="shared" si="60"/>
        <v/>
      </c>
      <c r="BT146" s="174">
        <f t="shared" si="52"/>
        <v>-1</v>
      </c>
      <c r="BU146" s="113" t="str">
        <f t="shared" si="62"/>
        <v>OOS</v>
      </c>
      <c r="BV146" s="108" t="str">
        <f t="shared" si="63"/>
        <v>OOS</v>
      </c>
      <c r="BW146" s="108" t="str">
        <f t="shared" si="64"/>
        <v>OOS</v>
      </c>
      <c r="BX146" s="108" t="str">
        <f t="shared" si="65"/>
        <v>OOS</v>
      </c>
      <c r="BY146" s="108" t="str">
        <f t="shared" si="66"/>
        <v>OOS</v>
      </c>
      <c r="BZ146" s="108"/>
      <c r="CA146" s="119" t="str">
        <f t="shared" si="67"/>
        <v/>
      </c>
      <c r="CB146" s="174">
        <f t="shared" si="58"/>
        <v>-1</v>
      </c>
      <c r="CC146" s="113" t="str">
        <f t="shared" si="68"/>
        <v/>
      </c>
      <c r="CD146" s="108" t="str">
        <f t="shared" si="69"/>
        <v/>
      </c>
      <c r="CE146" s="108" t="str">
        <f t="shared" si="70"/>
        <v/>
      </c>
      <c r="CF146" s="108" t="str">
        <f t="shared" si="71"/>
        <v/>
      </c>
      <c r="CG146" s="108" t="str">
        <f t="shared" si="72"/>
        <v/>
      </c>
      <c r="CH146" s="103"/>
      <c r="CI146" s="119" t="str">
        <f t="shared" si="61"/>
        <v/>
      </c>
      <c r="CJ146" s="174">
        <f t="shared" si="59"/>
        <v>-1</v>
      </c>
      <c r="CK146" s="113" t="str">
        <f t="shared" si="73"/>
        <v/>
      </c>
      <c r="CL146" s="108" t="str">
        <f t="shared" si="74"/>
        <v/>
      </c>
      <c r="CM146" s="108" t="str">
        <f t="shared" si="75"/>
        <v/>
      </c>
      <c r="CN146" s="108" t="str">
        <f t="shared" si="76"/>
        <v/>
      </c>
      <c r="CO146" s="108" t="str">
        <f t="shared" si="77"/>
        <v/>
      </c>
    </row>
    <row r="147" spans="1:93">
      <c r="A147" s="103" t="s">
        <v>446</v>
      </c>
      <c r="B147" s="103" t="s">
        <v>174</v>
      </c>
      <c r="C147" s="103" t="s">
        <v>153</v>
      </c>
      <c r="D147" s="250" t="s">
        <v>153</v>
      </c>
      <c r="E147" s="250"/>
      <c r="F147" s="182">
        <v>9020</v>
      </c>
      <c r="G147" s="250" t="s">
        <v>175</v>
      </c>
      <c r="H147" s="250">
        <v>9</v>
      </c>
      <c r="I147" s="250"/>
      <c r="J147" s="250"/>
      <c r="K147" s="250"/>
      <c r="L147" s="250" t="s">
        <v>61</v>
      </c>
      <c r="M147" s="250">
        <v>9</v>
      </c>
      <c r="N147" s="250" t="s">
        <v>176</v>
      </c>
      <c r="O147" s="250"/>
      <c r="P147" s="250" t="s">
        <v>153</v>
      </c>
      <c r="Q147" s="250"/>
      <c r="R147" s="250"/>
      <c r="S147" s="250"/>
      <c r="T147" s="250" t="s">
        <v>155</v>
      </c>
      <c r="U147" s="103" t="s">
        <v>447</v>
      </c>
      <c r="V147" s="106" t="s">
        <v>157</v>
      </c>
      <c r="W147" s="103" t="s">
        <v>158</v>
      </c>
      <c r="X147" s="103">
        <f>IFERROR(MATCH(W147,'CostModel Coef'!$C$9:$C$12,0),0)</f>
        <v>0</v>
      </c>
      <c r="Y147" s="103"/>
      <c r="Z147" s="103" t="str">
        <f>IF($X147&gt;0,INDEX('CostModel Coef'!D$9:D$12,$X147),"")</f>
        <v/>
      </c>
      <c r="AA147" s="103" t="str">
        <f>IF($X147&gt;0,INDEX('CostModel Coef'!E$9:E$12,$X147),"")</f>
        <v/>
      </c>
      <c r="AB147" s="103" t="str">
        <f>IF($X147&gt;0,INDEX('CostModel Coef'!F$9:F$12,$X147),"")</f>
        <v/>
      </c>
      <c r="AC147" s="103" t="str">
        <f>IF($X147&gt;0,INDEX('CostModel Coef'!G$9:G$12,$X147),"")</f>
        <v/>
      </c>
      <c r="AD147" s="103" t="str">
        <f>IF($X147&gt;0,INDEX('CostModel Coef'!H$9:H$12,$X147),"")</f>
        <v/>
      </c>
      <c r="AE147" s="103" t="str">
        <f>IF($X147&gt;0,INDEX('CostModel Coef'!J$9:J$12,$X147),"")</f>
        <v/>
      </c>
      <c r="AF147" s="103" t="str">
        <f>IF($X147&gt;0,INDEX('CostModel Coef'!K$9:K$12,$X147),"")</f>
        <v/>
      </c>
      <c r="AG147" s="103" t="str">
        <f>IF($X147&gt;0,INDEX('CostModel Coef'!L$9:L$12,$X147),"")</f>
        <v/>
      </c>
      <c r="AH147" s="103" t="str">
        <f>IF($X147&gt;0,INDEX('CostModel Coef'!M$9:M$12,$X147),"")</f>
        <v/>
      </c>
      <c r="AI147" s="103" t="str">
        <f>IF($X147&gt;0,INDEX('CostModel Coef'!N$9:N$12,$X147),"")</f>
        <v/>
      </c>
      <c r="AJ147" s="103" t="str">
        <f>IF($X147&gt;0,INDEX('CostModel Coef'!Q$9:Q$12,$X147),"")</f>
        <v/>
      </c>
      <c r="AK147" s="103" t="str">
        <f>IF($X147&gt;0,INDEX('CostModel Coef'!T$9:T$12,$X147),"")</f>
        <v/>
      </c>
      <c r="AL147" s="103"/>
      <c r="AM147" s="108" t="str">
        <f t="shared" si="53"/>
        <v/>
      </c>
      <c r="AN147" s="108" t="str">
        <f t="shared" si="54"/>
        <v/>
      </c>
      <c r="AO147" s="108" t="str">
        <f t="shared" si="55"/>
        <v/>
      </c>
      <c r="AP147" s="108" t="str">
        <f t="shared" si="56"/>
        <v/>
      </c>
      <c r="AQ147" s="108" t="str">
        <f t="shared" si="57"/>
        <v/>
      </c>
      <c r="AR147" s="108"/>
      <c r="AS147" s="108"/>
      <c r="AT147" s="103" t="str">
        <f>IF($X147&gt;0,INDEX('CostModel Coef'!D$13:D$16,$X147),"")</f>
        <v/>
      </c>
      <c r="AU147" s="103" t="str">
        <f>IF($X147&gt;0,INDEX('CostModel Coef'!E$13:E$16,$X147),"")</f>
        <v/>
      </c>
      <c r="AV147" s="103" t="str">
        <f>IF($X147&gt;0,INDEX('CostModel Coef'!F$13:F$16,$X147),"")</f>
        <v/>
      </c>
      <c r="AW147" s="103" t="str">
        <f>IF($X147&gt;0,INDEX('CostModel Coef'!G$13:G$16,$X147),"")</f>
        <v/>
      </c>
      <c r="AX147" s="103" t="str">
        <f>IF($X147&gt;0,INDEX('CostModel Coef'!H$13:H$16,$X147),"")</f>
        <v/>
      </c>
      <c r="AY147" s="103" t="str">
        <f>IF($X147&gt;0,INDEX('CostModel Coef'!I$13:I$16,$X147),"")</f>
        <v/>
      </c>
      <c r="AZ147" s="103" t="str">
        <f>IF($X147&gt;0,INDEX('CostModel Coef'!J$13:J$16,$X147),"")</f>
        <v/>
      </c>
      <c r="BA147" s="103" t="str">
        <f>IF($X147&gt;0,INDEX('CostModel Coef'!K$13:K$16,$X147),"")</f>
        <v/>
      </c>
      <c r="BB147" s="103" t="str">
        <f>IF($X147&gt;0,INDEX('CostModel Coef'!L$13:L$16,$X147),"")</f>
        <v/>
      </c>
      <c r="BC147" s="103" t="str">
        <f>IF($X147&gt;0,INDEX('CostModel Coef'!M$13:M$16,$X147),"")</f>
        <v/>
      </c>
      <c r="BD147" s="103" t="str">
        <f>IF($X147&gt;0,INDEX('CostModel Coef'!N$13:N$16,$X147),"")</f>
        <v/>
      </c>
      <c r="BE147" s="103" t="str">
        <f>IF($X147&gt;0,INDEX('CostModel Coef'!O$13:O$16,$X147),"")</f>
        <v/>
      </c>
      <c r="BF147" s="103" t="str">
        <f>IF($X147&gt;0,INDEX('CostModel Coef'!P$13:P$16,$X147),"")</f>
        <v/>
      </c>
      <c r="BG147" s="103" t="str">
        <f>IF($X147&gt;0,INDEX('CostModel Coef'!Q$13:Q$16,$X147),"")</f>
        <v/>
      </c>
      <c r="BH147" s="103" t="str">
        <f>IF($X147&gt;0,INDEX('CostModel Coef'!R$13:R$16,$X147),"")</f>
        <v/>
      </c>
      <c r="BI147" s="103" t="str">
        <f>IF($X147&gt;0,INDEX('CostModel Coef'!S$13:S$16,$X147),"")</f>
        <v/>
      </c>
      <c r="BJ147" s="103" t="str">
        <f>IF($X147&gt;0,INDEX('CostModel Coef'!T$13:T$16,$X147),"")</f>
        <v/>
      </c>
      <c r="BK147" s="103" t="str">
        <f>IF($X147&gt;0,INDEX('CostModel Coef'!U$13:U$16,$X147),"")</f>
        <v/>
      </c>
      <c r="BL147" s="103" t="str">
        <f>IF($X147&gt;0,INDEX('CostModel Coef'!V$13:V$16,$X147),"")</f>
        <v/>
      </c>
      <c r="BM147" s="103" t="str">
        <f>IF($X147&gt;0,INDEX('CostModel Coef'!W$13:W$16,$X147),"")</f>
        <v/>
      </c>
      <c r="BN147" s="103" t="str">
        <f>IF($X147&gt;0,INDEX('CostModel Coef'!X$13:X$16,$X147),"")</f>
        <v/>
      </c>
      <c r="BO147" s="103"/>
      <c r="BP147" s="119">
        <v>2000</v>
      </c>
      <c r="BQ147" s="103"/>
      <c r="BR147" s="103"/>
      <c r="BS147" s="119" t="str">
        <f t="shared" si="60"/>
        <v/>
      </c>
      <c r="BT147" s="174">
        <f t="shared" si="52"/>
        <v>-1</v>
      </c>
      <c r="BU147" s="113" t="str">
        <f t="shared" si="62"/>
        <v>OOS</v>
      </c>
      <c r="BV147" s="108" t="str">
        <f t="shared" si="63"/>
        <v>OOS</v>
      </c>
      <c r="BW147" s="108" t="str">
        <f t="shared" si="64"/>
        <v>OOS</v>
      </c>
      <c r="BX147" s="108" t="str">
        <f t="shared" si="65"/>
        <v>OOS</v>
      </c>
      <c r="BY147" s="108" t="str">
        <f t="shared" si="66"/>
        <v>OOS</v>
      </c>
      <c r="BZ147" s="108"/>
      <c r="CA147" s="119" t="str">
        <f t="shared" si="67"/>
        <v/>
      </c>
      <c r="CB147" s="174">
        <f t="shared" si="58"/>
        <v>-1</v>
      </c>
      <c r="CC147" s="113" t="str">
        <f t="shared" si="68"/>
        <v/>
      </c>
      <c r="CD147" s="108" t="str">
        <f t="shared" si="69"/>
        <v/>
      </c>
      <c r="CE147" s="108" t="str">
        <f t="shared" si="70"/>
        <v/>
      </c>
      <c r="CF147" s="108" t="str">
        <f t="shared" si="71"/>
        <v/>
      </c>
      <c r="CG147" s="108" t="str">
        <f t="shared" si="72"/>
        <v/>
      </c>
      <c r="CH147" s="103"/>
      <c r="CI147" s="119" t="str">
        <f t="shared" si="61"/>
        <v/>
      </c>
      <c r="CJ147" s="174">
        <f t="shared" si="59"/>
        <v>-1</v>
      </c>
      <c r="CK147" s="113" t="str">
        <f t="shared" si="73"/>
        <v/>
      </c>
      <c r="CL147" s="108" t="str">
        <f t="shared" si="74"/>
        <v/>
      </c>
      <c r="CM147" s="108" t="str">
        <f t="shared" si="75"/>
        <v/>
      </c>
      <c r="CN147" s="108" t="str">
        <f t="shared" si="76"/>
        <v/>
      </c>
      <c r="CO147" s="108" t="str">
        <f t="shared" si="77"/>
        <v/>
      </c>
    </row>
    <row r="148" spans="1:93">
      <c r="A148" s="103" t="s">
        <v>448</v>
      </c>
      <c r="B148" s="103" t="s">
        <v>174</v>
      </c>
      <c r="C148" s="103" t="s">
        <v>449</v>
      </c>
      <c r="D148" s="250" t="s">
        <v>153</v>
      </c>
      <c r="E148" s="250"/>
      <c r="F148" s="182">
        <v>9020</v>
      </c>
      <c r="G148" s="250" t="s">
        <v>175</v>
      </c>
      <c r="H148" s="250">
        <v>10</v>
      </c>
      <c r="I148" s="250"/>
      <c r="J148" s="250"/>
      <c r="K148" s="250"/>
      <c r="L148" s="250" t="s">
        <v>61</v>
      </c>
      <c r="M148" s="250">
        <v>10</v>
      </c>
      <c r="N148" s="250"/>
      <c r="O148" s="250"/>
      <c r="P148" s="250" t="s">
        <v>153</v>
      </c>
      <c r="Q148" s="250"/>
      <c r="R148" s="250"/>
      <c r="S148" s="250"/>
      <c r="T148" s="250" t="s">
        <v>155</v>
      </c>
      <c r="U148" s="103" t="s">
        <v>450</v>
      </c>
      <c r="V148" s="106" t="s">
        <v>157</v>
      </c>
      <c r="W148" s="103" t="s">
        <v>83</v>
      </c>
      <c r="X148" s="103">
        <f>IFERROR(MATCH(W148,'CostModel Coef'!$C$9:$C$12,0),0)</f>
        <v>3</v>
      </c>
      <c r="Y148" s="103"/>
      <c r="Z148" s="103">
        <f>IF($X148&gt;0,INDEX('CostModel Coef'!D$9:D$12,$X148),"")</f>
        <v>7.31541</v>
      </c>
      <c r="AA148" s="103">
        <f>IF($X148&gt;0,INDEX('CostModel Coef'!E$9:E$12,$X148),"")</f>
        <v>-0.65479011267261533</v>
      </c>
      <c r="AB148" s="103">
        <f>IF($X148&gt;0,INDEX('CostModel Coef'!F$9:F$12,$X148),"")</f>
        <v>1.2575680480638753</v>
      </c>
      <c r="AC148" s="103">
        <f>IF($X148&gt;0,INDEX('CostModel Coef'!G$9:G$12,$X148),"")</f>
        <v>0</v>
      </c>
      <c r="AD148" s="103">
        <f>IF($X148&gt;0,INDEX('CostModel Coef'!H$9:H$12,$X148),"")</f>
        <v>-1.7193799999999999</v>
      </c>
      <c r="AE148" s="103">
        <f>IF($X148&gt;0,INDEX('CostModel Coef'!J$9:J$12,$X148),"")</f>
        <v>-0.61270999999999998</v>
      </c>
      <c r="AF148" s="103">
        <f>IF($X148&gt;0,INDEX('CostModel Coef'!K$9:K$12,$X148),"")</f>
        <v>-0.3</v>
      </c>
      <c r="AG148" s="103">
        <f>IF($X148&gt;0,INDEX('CostModel Coef'!L$9:L$12,$X148),"")</f>
        <v>0</v>
      </c>
      <c r="AH148" s="103">
        <f>IF($X148&gt;0,INDEX('CostModel Coef'!M$9:M$12,$X148),"")</f>
        <v>0</v>
      </c>
      <c r="AI148" s="103">
        <f>IF($X148&gt;0,INDEX('CostModel Coef'!N$9:N$12,$X148),"")</f>
        <v>0</v>
      </c>
      <c r="AJ148" s="103">
        <f>IF($X148&gt;0,INDEX('CostModel Coef'!Q$9:Q$12,$X148),"")</f>
        <v>-2.6200000000000001E-2</v>
      </c>
      <c r="AK148" s="103">
        <f>IF($X148&gt;0,INDEX('CostModel Coef'!T$9:T$12,$X148),"")</f>
        <v>0</v>
      </c>
      <c r="AL148" s="103"/>
      <c r="AM148" s="108">
        <f t="shared" si="53"/>
        <v>7.3561879353912607</v>
      </c>
      <c r="AN148" s="108">
        <f t="shared" si="54"/>
        <v>7.6561879353912605</v>
      </c>
      <c r="AO148" s="108">
        <f t="shared" si="55"/>
        <v>5.9368079353912604</v>
      </c>
      <c r="AP148" s="108">
        <f t="shared" si="56"/>
        <v>5.9368079353912604</v>
      </c>
      <c r="AQ148" s="108">
        <f t="shared" si="57"/>
        <v>5.3240979353912605</v>
      </c>
      <c r="AR148" s="108"/>
      <c r="AS148" s="108"/>
      <c r="AT148" s="103">
        <f>IF($X148&gt;0,INDEX('CostModel Coef'!D$13:D$16,$X148),"")</f>
        <v>2.4649999999999999</v>
      </c>
      <c r="AU148" s="103">
        <f>IF($X148&gt;0,INDEX('CostModel Coef'!E$13:E$16,$X148),"")</f>
        <v>0.30099999999999999</v>
      </c>
      <c r="AV148" s="103">
        <f>IF($X148&gt;0,INDEX('CostModel Coef'!F$13:F$16,$X148),"")</f>
        <v>0.42399999999999999</v>
      </c>
      <c r="AW148" s="103">
        <f>IF($X148&gt;0,INDEX('CostModel Coef'!G$13:G$16,$X148),"")</f>
        <v>0</v>
      </c>
      <c r="AX148" s="103">
        <f>IF($X148&gt;0,INDEX('CostModel Coef'!H$13:H$16,$X148),"")</f>
        <v>-2.5</v>
      </c>
      <c r="AY148" s="103">
        <f>IF($X148&gt;0,INDEX('CostModel Coef'!I$13:I$16,$X148),"")</f>
        <v>-1.46</v>
      </c>
      <c r="AZ148" s="103">
        <f>IF($X148&gt;0,INDEX('CostModel Coef'!J$13:J$16,$X148),"")</f>
        <v>0</v>
      </c>
      <c r="BA148" s="103">
        <f>IF($X148&gt;0,INDEX('CostModel Coef'!K$13:K$16,$X148),"")</f>
        <v>-0.74099999999999999</v>
      </c>
      <c r="BB148" s="103">
        <f>IF($X148&gt;0,INDEX('CostModel Coef'!L$13:L$16,$X148),"")</f>
        <v>0</v>
      </c>
      <c r="BC148" s="103">
        <f>IF($X148&gt;0,INDEX('CostModel Coef'!M$13:M$16,$X148),"")</f>
        <v>0</v>
      </c>
      <c r="BD148" s="103">
        <f>IF($X148&gt;0,INDEX('CostModel Coef'!N$13:N$16,$X148),"")</f>
        <v>0.96650000000000003</v>
      </c>
      <c r="BE148" s="103">
        <f>IF($X148&gt;0,INDEX('CostModel Coef'!O$13:O$16,$X148),"")</f>
        <v>0.75</v>
      </c>
      <c r="BF148" s="103">
        <f>IF($X148&gt;0,INDEX('CostModel Coef'!P$13:P$16,$X148),"")</f>
        <v>15</v>
      </c>
      <c r="BG148" s="103">
        <f>IF($X148&gt;0,INDEX('CostModel Coef'!Q$13:Q$16,$X148),"")</f>
        <v>9.2999999999999992E-3</v>
      </c>
      <c r="BH148" s="103">
        <f>IF($X148&gt;0,INDEX('CostModel Coef'!R$13:R$16,$X148),"")</f>
        <v>3</v>
      </c>
      <c r="BI148" s="103">
        <f>IF($X148&gt;0,INDEX('CostModel Coef'!S$13:S$16,$X148),"")</f>
        <v>150</v>
      </c>
      <c r="BJ148" s="103">
        <f>IF($X148&gt;0,INDEX('CostModel Coef'!T$13:T$16,$X148),"")</f>
        <v>0</v>
      </c>
      <c r="BK148" s="103">
        <f>IF($X148&gt;0,INDEX('CostModel Coef'!U$13:U$16,$X148),"")</f>
        <v>0</v>
      </c>
      <c r="BL148" s="103">
        <f>IF($X148&gt;0,INDEX('CostModel Coef'!V$13:V$16,$X148),"")</f>
        <v>0</v>
      </c>
      <c r="BM148" s="103">
        <f>IF($X148&gt;0,INDEX('CostModel Coef'!W$13:W$16,$X148),"")</f>
        <v>-1.2746999999999999</v>
      </c>
      <c r="BN148" s="103">
        <f>IF($X148&gt;0,INDEX('CostModel Coef'!X$13:X$16,$X148),"")</f>
        <v>0</v>
      </c>
      <c r="BO148" s="103"/>
      <c r="BP148" s="119">
        <v>2000</v>
      </c>
      <c r="BQ148" s="103"/>
      <c r="BR148" s="103"/>
      <c r="BS148" s="119" t="str">
        <f t="shared" si="60"/>
        <v>WRR0347_CFLscw-Glb(10w)</v>
      </c>
      <c r="BT148" s="174">
        <f t="shared" si="52"/>
        <v>35</v>
      </c>
      <c r="BU148" s="113">
        <f t="shared" si="62"/>
        <v>4.7075000000000005</v>
      </c>
      <c r="BV148" s="108">
        <f t="shared" si="63"/>
        <v>5.4485000000000001</v>
      </c>
      <c r="BW148" s="108">
        <f t="shared" si="64"/>
        <v>2.9485000000000001</v>
      </c>
      <c r="BX148" s="108">
        <f t="shared" si="65"/>
        <v>1.4885000000000002</v>
      </c>
      <c r="BY148" s="108">
        <f t="shared" si="66"/>
        <v>1.4885000000000002</v>
      </c>
      <c r="BZ148" s="108"/>
      <c r="CA148" s="119" t="str">
        <f t="shared" si="67"/>
        <v>WRR0407_CFLscw-Glb(10w)</v>
      </c>
      <c r="CB148" s="174">
        <f t="shared" si="58"/>
        <v>41</v>
      </c>
      <c r="CC148" s="113">
        <f t="shared" si="68"/>
        <v>4.763300000000001</v>
      </c>
      <c r="CD148" s="108">
        <f t="shared" si="69"/>
        <v>5.5043000000000006</v>
      </c>
      <c r="CE148" s="108">
        <f t="shared" si="70"/>
        <v>3.0043000000000006</v>
      </c>
      <c r="CF148" s="108">
        <f t="shared" si="71"/>
        <v>1.5443000000000007</v>
      </c>
      <c r="CG148" s="108">
        <f t="shared" si="72"/>
        <v>1.5443000000000007</v>
      </c>
      <c r="CH148" s="103"/>
      <c r="CI148" s="119" t="str">
        <f t="shared" si="61"/>
        <v>WRR0347_CFLscw-Glb(10w)</v>
      </c>
      <c r="CJ148" s="174">
        <f t="shared" si="59"/>
        <v>35</v>
      </c>
      <c r="CK148" s="113">
        <f t="shared" si="73"/>
        <v>4.7075000000000005</v>
      </c>
      <c r="CL148" s="108">
        <f t="shared" si="74"/>
        <v>5.4485000000000001</v>
      </c>
      <c r="CM148" s="108">
        <f t="shared" si="75"/>
        <v>2.9485000000000001</v>
      </c>
      <c r="CN148" s="108">
        <f t="shared" si="76"/>
        <v>1.4885000000000002</v>
      </c>
      <c r="CO148" s="108">
        <f t="shared" si="77"/>
        <v>1.4885000000000002</v>
      </c>
    </row>
    <row r="149" spans="1:93">
      <c r="A149" s="103" t="s">
        <v>451</v>
      </c>
      <c r="B149" s="103" t="s">
        <v>174</v>
      </c>
      <c r="C149" s="103" t="s">
        <v>449</v>
      </c>
      <c r="D149" s="250" t="s">
        <v>153</v>
      </c>
      <c r="E149" s="250"/>
      <c r="F149" s="182">
        <v>9020</v>
      </c>
      <c r="G149" s="250" t="s">
        <v>175</v>
      </c>
      <c r="H149" s="250">
        <v>11</v>
      </c>
      <c r="I149" s="250"/>
      <c r="J149" s="250"/>
      <c r="K149" s="250"/>
      <c r="L149" s="250" t="s">
        <v>61</v>
      </c>
      <c r="M149" s="250">
        <v>11</v>
      </c>
      <c r="N149" s="250"/>
      <c r="O149" s="250"/>
      <c r="P149" s="250" t="s">
        <v>153</v>
      </c>
      <c r="Q149" s="250"/>
      <c r="R149" s="250"/>
      <c r="S149" s="250"/>
      <c r="T149" s="250" t="s">
        <v>155</v>
      </c>
      <c r="U149" s="103" t="s">
        <v>452</v>
      </c>
      <c r="V149" s="106" t="s">
        <v>157</v>
      </c>
      <c r="W149" s="103" t="s">
        <v>83</v>
      </c>
      <c r="X149" s="103">
        <f>IFERROR(MATCH(W149,'CostModel Coef'!$C$9:$C$12,0),0)</f>
        <v>3</v>
      </c>
      <c r="Y149" s="103"/>
      <c r="Z149" s="103">
        <f>IF($X149&gt;0,INDEX('CostModel Coef'!D$9:D$12,$X149),"")</f>
        <v>7.31541</v>
      </c>
      <c r="AA149" s="103">
        <f>IF($X149&gt;0,INDEX('CostModel Coef'!E$9:E$12,$X149),"")</f>
        <v>-0.65479011267261533</v>
      </c>
      <c r="AB149" s="103">
        <f>IF($X149&gt;0,INDEX('CostModel Coef'!F$9:F$12,$X149),"")</f>
        <v>1.2575680480638753</v>
      </c>
      <c r="AC149" s="103">
        <f>IF($X149&gt;0,INDEX('CostModel Coef'!G$9:G$12,$X149),"")</f>
        <v>0</v>
      </c>
      <c r="AD149" s="103">
        <f>IF($X149&gt;0,INDEX('CostModel Coef'!H$9:H$12,$X149),"")</f>
        <v>-1.7193799999999999</v>
      </c>
      <c r="AE149" s="103">
        <f>IF($X149&gt;0,INDEX('CostModel Coef'!J$9:J$12,$X149),"")</f>
        <v>-0.61270999999999998</v>
      </c>
      <c r="AF149" s="103">
        <f>IF($X149&gt;0,INDEX('CostModel Coef'!K$9:K$12,$X149),"")</f>
        <v>-0.3</v>
      </c>
      <c r="AG149" s="103">
        <f>IF($X149&gt;0,INDEX('CostModel Coef'!L$9:L$12,$X149),"")</f>
        <v>0</v>
      </c>
      <c r="AH149" s="103">
        <f>IF($X149&gt;0,INDEX('CostModel Coef'!M$9:M$12,$X149),"")</f>
        <v>0</v>
      </c>
      <c r="AI149" s="103">
        <f>IF($X149&gt;0,INDEX('CostModel Coef'!N$9:N$12,$X149),"")</f>
        <v>0</v>
      </c>
      <c r="AJ149" s="103">
        <f>IF($X149&gt;0,INDEX('CostModel Coef'!Q$9:Q$12,$X149),"")</f>
        <v>-2.6200000000000001E-2</v>
      </c>
      <c r="AK149" s="103">
        <f>IF($X149&gt;0,INDEX('CostModel Coef'!T$9:T$12,$X149),"")</f>
        <v>0</v>
      </c>
      <c r="AL149" s="103"/>
      <c r="AM149" s="108">
        <f t="shared" si="53"/>
        <v>7.3299879353912605</v>
      </c>
      <c r="AN149" s="108">
        <f t="shared" si="54"/>
        <v>7.6299879353912603</v>
      </c>
      <c r="AO149" s="108">
        <f t="shared" si="55"/>
        <v>5.9106079353912602</v>
      </c>
      <c r="AP149" s="108">
        <f t="shared" si="56"/>
        <v>5.9106079353912602</v>
      </c>
      <c r="AQ149" s="108">
        <f t="shared" si="57"/>
        <v>5.2978979353912603</v>
      </c>
      <c r="AR149" s="108"/>
      <c r="AS149" s="108"/>
      <c r="AT149" s="103">
        <f>IF($X149&gt;0,INDEX('CostModel Coef'!D$13:D$16,$X149),"")</f>
        <v>2.4649999999999999</v>
      </c>
      <c r="AU149" s="103">
        <f>IF($X149&gt;0,INDEX('CostModel Coef'!E$13:E$16,$X149),"")</f>
        <v>0.30099999999999999</v>
      </c>
      <c r="AV149" s="103">
        <f>IF($X149&gt;0,INDEX('CostModel Coef'!F$13:F$16,$X149),"")</f>
        <v>0.42399999999999999</v>
      </c>
      <c r="AW149" s="103">
        <f>IF($X149&gt;0,INDEX('CostModel Coef'!G$13:G$16,$X149),"")</f>
        <v>0</v>
      </c>
      <c r="AX149" s="103">
        <f>IF($X149&gt;0,INDEX('CostModel Coef'!H$13:H$16,$X149),"")</f>
        <v>-2.5</v>
      </c>
      <c r="AY149" s="103">
        <f>IF($X149&gt;0,INDEX('CostModel Coef'!I$13:I$16,$X149),"")</f>
        <v>-1.46</v>
      </c>
      <c r="AZ149" s="103">
        <f>IF($X149&gt;0,INDEX('CostModel Coef'!J$13:J$16,$X149),"")</f>
        <v>0</v>
      </c>
      <c r="BA149" s="103">
        <f>IF($X149&gt;0,INDEX('CostModel Coef'!K$13:K$16,$X149),"")</f>
        <v>-0.74099999999999999</v>
      </c>
      <c r="BB149" s="103">
        <f>IF($X149&gt;0,INDEX('CostModel Coef'!L$13:L$16,$X149),"")</f>
        <v>0</v>
      </c>
      <c r="BC149" s="103">
        <f>IF($X149&gt;0,INDEX('CostModel Coef'!M$13:M$16,$X149),"")</f>
        <v>0</v>
      </c>
      <c r="BD149" s="103">
        <f>IF($X149&gt;0,INDEX('CostModel Coef'!N$13:N$16,$X149),"")</f>
        <v>0.96650000000000003</v>
      </c>
      <c r="BE149" s="103">
        <f>IF($X149&gt;0,INDEX('CostModel Coef'!O$13:O$16,$X149),"")</f>
        <v>0.75</v>
      </c>
      <c r="BF149" s="103">
        <f>IF($X149&gt;0,INDEX('CostModel Coef'!P$13:P$16,$X149),"")</f>
        <v>15</v>
      </c>
      <c r="BG149" s="103">
        <f>IF($X149&gt;0,INDEX('CostModel Coef'!Q$13:Q$16,$X149),"")</f>
        <v>9.2999999999999992E-3</v>
      </c>
      <c r="BH149" s="103">
        <f>IF($X149&gt;0,INDEX('CostModel Coef'!R$13:R$16,$X149),"")</f>
        <v>3</v>
      </c>
      <c r="BI149" s="103">
        <f>IF($X149&gt;0,INDEX('CostModel Coef'!S$13:S$16,$X149),"")</f>
        <v>150</v>
      </c>
      <c r="BJ149" s="103">
        <f>IF($X149&gt;0,INDEX('CostModel Coef'!T$13:T$16,$X149),"")</f>
        <v>0</v>
      </c>
      <c r="BK149" s="103">
        <f>IF($X149&gt;0,INDEX('CostModel Coef'!U$13:U$16,$X149),"")</f>
        <v>0</v>
      </c>
      <c r="BL149" s="103">
        <f>IF($X149&gt;0,INDEX('CostModel Coef'!V$13:V$16,$X149),"")</f>
        <v>0</v>
      </c>
      <c r="BM149" s="103">
        <f>IF($X149&gt;0,INDEX('CostModel Coef'!W$13:W$16,$X149),"")</f>
        <v>-1.2746999999999999</v>
      </c>
      <c r="BN149" s="103">
        <f>IF($X149&gt;0,INDEX('CostModel Coef'!X$13:X$16,$X149),"")</f>
        <v>0</v>
      </c>
      <c r="BO149" s="103"/>
      <c r="BP149" s="119">
        <v>2000</v>
      </c>
      <c r="BQ149" s="103"/>
      <c r="BR149" s="103"/>
      <c r="BS149" s="119" t="str">
        <f t="shared" si="60"/>
        <v>WRR0347_CFLscw-Glb(11w)</v>
      </c>
      <c r="BT149" s="174">
        <f t="shared" si="52"/>
        <v>38</v>
      </c>
      <c r="BU149" s="113">
        <f t="shared" si="62"/>
        <v>4.7354000000000003</v>
      </c>
      <c r="BV149" s="108">
        <f t="shared" si="63"/>
        <v>5.4763999999999999</v>
      </c>
      <c r="BW149" s="108">
        <f t="shared" si="64"/>
        <v>2.9763999999999999</v>
      </c>
      <c r="BX149" s="108">
        <f t="shared" si="65"/>
        <v>1.5164</v>
      </c>
      <c r="BY149" s="108">
        <f t="shared" si="66"/>
        <v>1.5164</v>
      </c>
      <c r="BZ149" s="108"/>
      <c r="CA149" s="119" t="str">
        <f t="shared" si="67"/>
        <v>WRR0407_CFLscw-Glb(11w)</v>
      </c>
      <c r="CB149" s="174">
        <f t="shared" si="58"/>
        <v>45</v>
      </c>
      <c r="CC149" s="113">
        <f t="shared" si="68"/>
        <v>4.8005000000000004</v>
      </c>
      <c r="CD149" s="108">
        <f t="shared" si="69"/>
        <v>5.5415000000000001</v>
      </c>
      <c r="CE149" s="108">
        <f t="shared" si="70"/>
        <v>3.0415000000000001</v>
      </c>
      <c r="CF149" s="108">
        <f t="shared" si="71"/>
        <v>1.5815000000000001</v>
      </c>
      <c r="CG149" s="108">
        <f t="shared" si="72"/>
        <v>1.5815000000000001</v>
      </c>
      <c r="CH149" s="103"/>
      <c r="CI149" s="119" t="str">
        <f t="shared" si="61"/>
        <v>WRR0347_CFLscw-Glb(11w)</v>
      </c>
      <c r="CJ149" s="174">
        <f t="shared" si="59"/>
        <v>38</v>
      </c>
      <c r="CK149" s="113">
        <f t="shared" si="73"/>
        <v>4.7354000000000003</v>
      </c>
      <c r="CL149" s="108">
        <f t="shared" si="74"/>
        <v>5.4763999999999999</v>
      </c>
      <c r="CM149" s="108">
        <f t="shared" si="75"/>
        <v>2.9763999999999999</v>
      </c>
      <c r="CN149" s="108">
        <f t="shared" si="76"/>
        <v>1.5164</v>
      </c>
      <c r="CO149" s="108">
        <f t="shared" si="77"/>
        <v>1.5164</v>
      </c>
    </row>
    <row r="150" spans="1:93">
      <c r="A150" s="103" t="s">
        <v>453</v>
      </c>
      <c r="B150" s="103" t="s">
        <v>174</v>
      </c>
      <c r="C150" s="103" t="s">
        <v>449</v>
      </c>
      <c r="D150" s="250" t="s">
        <v>153</v>
      </c>
      <c r="E150" s="250"/>
      <c r="F150" s="182">
        <v>9020</v>
      </c>
      <c r="G150" s="250" t="s">
        <v>175</v>
      </c>
      <c r="H150" s="250">
        <v>12</v>
      </c>
      <c r="I150" s="250"/>
      <c r="J150" s="250"/>
      <c r="K150" s="250"/>
      <c r="L150" s="250" t="s">
        <v>61</v>
      </c>
      <c r="M150" s="250">
        <v>12</v>
      </c>
      <c r="N150" s="250"/>
      <c r="O150" s="250"/>
      <c r="P150" s="250" t="s">
        <v>153</v>
      </c>
      <c r="Q150" s="250"/>
      <c r="R150" s="250"/>
      <c r="S150" s="250"/>
      <c r="T150" s="250" t="s">
        <v>155</v>
      </c>
      <c r="U150" s="103" t="s">
        <v>454</v>
      </c>
      <c r="V150" s="106" t="s">
        <v>157</v>
      </c>
      <c r="W150" s="103" t="s">
        <v>83</v>
      </c>
      <c r="X150" s="103">
        <f>IFERROR(MATCH(W150,'CostModel Coef'!$C$9:$C$12,0),0)</f>
        <v>3</v>
      </c>
      <c r="Y150" s="103"/>
      <c r="Z150" s="103">
        <f>IF($X150&gt;0,INDEX('CostModel Coef'!D$9:D$12,$X150),"")</f>
        <v>7.31541</v>
      </c>
      <c r="AA150" s="103">
        <f>IF($X150&gt;0,INDEX('CostModel Coef'!E$9:E$12,$X150),"")</f>
        <v>-0.65479011267261533</v>
      </c>
      <c r="AB150" s="103">
        <f>IF($X150&gt;0,INDEX('CostModel Coef'!F$9:F$12,$X150),"")</f>
        <v>1.2575680480638753</v>
      </c>
      <c r="AC150" s="103">
        <f>IF($X150&gt;0,INDEX('CostModel Coef'!G$9:G$12,$X150),"")</f>
        <v>0</v>
      </c>
      <c r="AD150" s="103">
        <f>IF($X150&gt;0,INDEX('CostModel Coef'!H$9:H$12,$X150),"")</f>
        <v>-1.7193799999999999</v>
      </c>
      <c r="AE150" s="103">
        <f>IF($X150&gt;0,INDEX('CostModel Coef'!J$9:J$12,$X150),"")</f>
        <v>-0.61270999999999998</v>
      </c>
      <c r="AF150" s="103">
        <f>IF($X150&gt;0,INDEX('CostModel Coef'!K$9:K$12,$X150),"")</f>
        <v>-0.3</v>
      </c>
      <c r="AG150" s="103">
        <f>IF($X150&gt;0,INDEX('CostModel Coef'!L$9:L$12,$X150),"")</f>
        <v>0</v>
      </c>
      <c r="AH150" s="103">
        <f>IF($X150&gt;0,INDEX('CostModel Coef'!M$9:M$12,$X150),"")</f>
        <v>0</v>
      </c>
      <c r="AI150" s="103">
        <f>IF($X150&gt;0,INDEX('CostModel Coef'!N$9:N$12,$X150),"")</f>
        <v>0</v>
      </c>
      <c r="AJ150" s="103">
        <f>IF($X150&gt;0,INDEX('CostModel Coef'!Q$9:Q$12,$X150),"")</f>
        <v>-2.6200000000000001E-2</v>
      </c>
      <c r="AK150" s="103">
        <f>IF($X150&gt;0,INDEX('CostModel Coef'!T$9:T$12,$X150),"")</f>
        <v>0</v>
      </c>
      <c r="AL150" s="103"/>
      <c r="AM150" s="108">
        <f t="shared" si="53"/>
        <v>7.3037879353912603</v>
      </c>
      <c r="AN150" s="108">
        <f t="shared" si="54"/>
        <v>7.6037879353912601</v>
      </c>
      <c r="AO150" s="108">
        <f t="shared" si="55"/>
        <v>5.8844079353912599</v>
      </c>
      <c r="AP150" s="108">
        <f t="shared" si="56"/>
        <v>5.8844079353912599</v>
      </c>
      <c r="AQ150" s="108">
        <f t="shared" si="57"/>
        <v>5.2716979353912601</v>
      </c>
      <c r="AR150" s="108"/>
      <c r="AS150" s="108"/>
      <c r="AT150" s="103">
        <f>IF($X150&gt;0,INDEX('CostModel Coef'!D$13:D$16,$X150),"")</f>
        <v>2.4649999999999999</v>
      </c>
      <c r="AU150" s="103">
        <f>IF($X150&gt;0,INDEX('CostModel Coef'!E$13:E$16,$X150),"")</f>
        <v>0.30099999999999999</v>
      </c>
      <c r="AV150" s="103">
        <f>IF($X150&gt;0,INDEX('CostModel Coef'!F$13:F$16,$X150),"")</f>
        <v>0.42399999999999999</v>
      </c>
      <c r="AW150" s="103">
        <f>IF($X150&gt;0,INDEX('CostModel Coef'!G$13:G$16,$X150),"")</f>
        <v>0</v>
      </c>
      <c r="AX150" s="103">
        <f>IF($X150&gt;0,INDEX('CostModel Coef'!H$13:H$16,$X150),"")</f>
        <v>-2.5</v>
      </c>
      <c r="AY150" s="103">
        <f>IF($X150&gt;0,INDEX('CostModel Coef'!I$13:I$16,$X150),"")</f>
        <v>-1.46</v>
      </c>
      <c r="AZ150" s="103">
        <f>IF($X150&gt;0,INDEX('CostModel Coef'!J$13:J$16,$X150),"")</f>
        <v>0</v>
      </c>
      <c r="BA150" s="103">
        <f>IF($X150&gt;0,INDEX('CostModel Coef'!K$13:K$16,$X150),"")</f>
        <v>-0.74099999999999999</v>
      </c>
      <c r="BB150" s="103">
        <f>IF($X150&gt;0,INDEX('CostModel Coef'!L$13:L$16,$X150),"")</f>
        <v>0</v>
      </c>
      <c r="BC150" s="103">
        <f>IF($X150&gt;0,INDEX('CostModel Coef'!M$13:M$16,$X150),"")</f>
        <v>0</v>
      </c>
      <c r="BD150" s="103">
        <f>IF($X150&gt;0,INDEX('CostModel Coef'!N$13:N$16,$X150),"")</f>
        <v>0.96650000000000003</v>
      </c>
      <c r="BE150" s="103">
        <f>IF($X150&gt;0,INDEX('CostModel Coef'!O$13:O$16,$X150),"")</f>
        <v>0.75</v>
      </c>
      <c r="BF150" s="103">
        <f>IF($X150&gt;0,INDEX('CostModel Coef'!P$13:P$16,$X150),"")</f>
        <v>15</v>
      </c>
      <c r="BG150" s="103">
        <f>IF($X150&gt;0,INDEX('CostModel Coef'!Q$13:Q$16,$X150),"")</f>
        <v>9.2999999999999992E-3</v>
      </c>
      <c r="BH150" s="103">
        <f>IF($X150&gt;0,INDEX('CostModel Coef'!R$13:R$16,$X150),"")</f>
        <v>3</v>
      </c>
      <c r="BI150" s="103">
        <f>IF($X150&gt;0,INDEX('CostModel Coef'!S$13:S$16,$X150),"")</f>
        <v>150</v>
      </c>
      <c r="BJ150" s="103">
        <f>IF($X150&gt;0,INDEX('CostModel Coef'!T$13:T$16,$X150),"")</f>
        <v>0</v>
      </c>
      <c r="BK150" s="103">
        <f>IF($X150&gt;0,INDEX('CostModel Coef'!U$13:U$16,$X150),"")</f>
        <v>0</v>
      </c>
      <c r="BL150" s="103">
        <f>IF($X150&gt;0,INDEX('CostModel Coef'!V$13:V$16,$X150),"")</f>
        <v>0</v>
      </c>
      <c r="BM150" s="103">
        <f>IF($X150&gt;0,INDEX('CostModel Coef'!W$13:W$16,$X150),"")</f>
        <v>-1.2746999999999999</v>
      </c>
      <c r="BN150" s="103">
        <f>IF($X150&gt;0,INDEX('CostModel Coef'!X$13:X$16,$X150),"")</f>
        <v>0</v>
      </c>
      <c r="BO150" s="103"/>
      <c r="BP150" s="119">
        <v>2000</v>
      </c>
      <c r="BQ150" s="103"/>
      <c r="BR150" s="103"/>
      <c r="BS150" s="119" t="str">
        <f t="shared" si="60"/>
        <v>WRR0347_CFLscw-Glb(12w)</v>
      </c>
      <c r="BT150" s="174">
        <f t="shared" si="52"/>
        <v>42</v>
      </c>
      <c r="BU150" s="113">
        <f t="shared" si="62"/>
        <v>4.7726000000000006</v>
      </c>
      <c r="BV150" s="108">
        <f t="shared" si="63"/>
        <v>5.5136000000000003</v>
      </c>
      <c r="BW150" s="108">
        <f t="shared" si="64"/>
        <v>3.0136000000000003</v>
      </c>
      <c r="BX150" s="108">
        <f t="shared" si="65"/>
        <v>1.5536000000000003</v>
      </c>
      <c r="BY150" s="108">
        <f t="shared" si="66"/>
        <v>1.5536000000000003</v>
      </c>
      <c r="BZ150" s="108"/>
      <c r="CA150" s="119" t="str">
        <f t="shared" si="67"/>
        <v>WRR0407_CFLscw-Glb(12w)</v>
      </c>
      <c r="CB150" s="174">
        <f t="shared" si="58"/>
        <v>49</v>
      </c>
      <c r="CC150" s="113">
        <f t="shared" si="68"/>
        <v>4.8377000000000008</v>
      </c>
      <c r="CD150" s="108">
        <f t="shared" si="69"/>
        <v>5.5787000000000004</v>
      </c>
      <c r="CE150" s="108">
        <f t="shared" si="70"/>
        <v>3.0787000000000004</v>
      </c>
      <c r="CF150" s="108">
        <f t="shared" si="71"/>
        <v>1.6187000000000005</v>
      </c>
      <c r="CG150" s="108">
        <f t="shared" si="72"/>
        <v>1.6187000000000005</v>
      </c>
      <c r="CH150" s="103"/>
      <c r="CI150" s="119" t="str">
        <f t="shared" si="61"/>
        <v>WRR0347_CFLscw-Glb(12w)</v>
      </c>
      <c r="CJ150" s="174">
        <f t="shared" si="59"/>
        <v>42</v>
      </c>
      <c r="CK150" s="113">
        <f t="shared" si="73"/>
        <v>4.7726000000000006</v>
      </c>
      <c r="CL150" s="108">
        <f t="shared" si="74"/>
        <v>5.5136000000000003</v>
      </c>
      <c r="CM150" s="108">
        <f t="shared" si="75"/>
        <v>3.0136000000000003</v>
      </c>
      <c r="CN150" s="108">
        <f t="shared" si="76"/>
        <v>1.5536000000000003</v>
      </c>
      <c r="CO150" s="108">
        <f t="shared" si="77"/>
        <v>1.5536000000000003</v>
      </c>
    </row>
    <row r="151" spans="1:93">
      <c r="A151" s="103" t="s">
        <v>455</v>
      </c>
      <c r="B151" s="103" t="s">
        <v>174</v>
      </c>
      <c r="C151" s="103" t="s">
        <v>449</v>
      </c>
      <c r="D151" s="250" t="s">
        <v>153</v>
      </c>
      <c r="E151" s="250"/>
      <c r="F151" s="182">
        <v>9020</v>
      </c>
      <c r="G151" s="250" t="s">
        <v>175</v>
      </c>
      <c r="H151" s="250">
        <v>13</v>
      </c>
      <c r="I151" s="250"/>
      <c r="J151" s="250"/>
      <c r="K151" s="250"/>
      <c r="L151" s="250" t="s">
        <v>61</v>
      </c>
      <c r="M151" s="250">
        <v>13</v>
      </c>
      <c r="N151" s="250"/>
      <c r="O151" s="250"/>
      <c r="P151" s="250" t="s">
        <v>153</v>
      </c>
      <c r="Q151" s="250"/>
      <c r="R151" s="250"/>
      <c r="S151" s="250"/>
      <c r="T151" s="250" t="s">
        <v>155</v>
      </c>
      <c r="U151" s="103" t="s">
        <v>456</v>
      </c>
      <c r="V151" s="106" t="s">
        <v>157</v>
      </c>
      <c r="W151" s="103" t="s">
        <v>83</v>
      </c>
      <c r="X151" s="103">
        <f>IFERROR(MATCH(W151,'CostModel Coef'!$C$9:$C$12,0),0)</f>
        <v>3</v>
      </c>
      <c r="Y151" s="103"/>
      <c r="Z151" s="103">
        <f>IF($X151&gt;0,INDEX('CostModel Coef'!D$9:D$12,$X151),"")</f>
        <v>7.31541</v>
      </c>
      <c r="AA151" s="103">
        <f>IF($X151&gt;0,INDEX('CostModel Coef'!E$9:E$12,$X151),"")</f>
        <v>-0.65479011267261533</v>
      </c>
      <c r="AB151" s="103">
        <f>IF($X151&gt;0,INDEX('CostModel Coef'!F$9:F$12,$X151),"")</f>
        <v>1.2575680480638753</v>
      </c>
      <c r="AC151" s="103">
        <f>IF($X151&gt;0,INDEX('CostModel Coef'!G$9:G$12,$X151),"")</f>
        <v>0</v>
      </c>
      <c r="AD151" s="103">
        <f>IF($X151&gt;0,INDEX('CostModel Coef'!H$9:H$12,$X151),"")</f>
        <v>-1.7193799999999999</v>
      </c>
      <c r="AE151" s="103">
        <f>IF($X151&gt;0,INDEX('CostModel Coef'!J$9:J$12,$X151),"")</f>
        <v>-0.61270999999999998</v>
      </c>
      <c r="AF151" s="103">
        <f>IF($X151&gt;0,INDEX('CostModel Coef'!K$9:K$12,$X151),"")</f>
        <v>-0.3</v>
      </c>
      <c r="AG151" s="103">
        <f>IF($X151&gt;0,INDEX('CostModel Coef'!L$9:L$12,$X151),"")</f>
        <v>0</v>
      </c>
      <c r="AH151" s="103">
        <f>IF($X151&gt;0,INDEX('CostModel Coef'!M$9:M$12,$X151),"")</f>
        <v>0</v>
      </c>
      <c r="AI151" s="103">
        <f>IF($X151&gt;0,INDEX('CostModel Coef'!N$9:N$12,$X151),"")</f>
        <v>0</v>
      </c>
      <c r="AJ151" s="103">
        <f>IF($X151&gt;0,INDEX('CostModel Coef'!Q$9:Q$12,$X151),"")</f>
        <v>-2.6200000000000001E-2</v>
      </c>
      <c r="AK151" s="103">
        <f>IF($X151&gt;0,INDEX('CostModel Coef'!T$9:T$12,$X151),"")</f>
        <v>0</v>
      </c>
      <c r="AL151" s="103"/>
      <c r="AM151" s="108">
        <f t="shared" si="53"/>
        <v>7.27758793539126</v>
      </c>
      <c r="AN151" s="108">
        <f t="shared" si="54"/>
        <v>7.5775879353912599</v>
      </c>
      <c r="AO151" s="108">
        <f t="shared" si="55"/>
        <v>5.8582079353912597</v>
      </c>
      <c r="AP151" s="108">
        <f t="shared" si="56"/>
        <v>5.8582079353912597</v>
      </c>
      <c r="AQ151" s="108">
        <f t="shared" si="57"/>
        <v>5.2454979353912599</v>
      </c>
      <c r="AR151" s="108"/>
      <c r="AS151" s="108"/>
      <c r="AT151" s="103">
        <f>IF($X151&gt;0,INDEX('CostModel Coef'!D$13:D$16,$X151),"")</f>
        <v>2.4649999999999999</v>
      </c>
      <c r="AU151" s="103">
        <f>IF($X151&gt;0,INDEX('CostModel Coef'!E$13:E$16,$X151),"")</f>
        <v>0.30099999999999999</v>
      </c>
      <c r="AV151" s="103">
        <f>IF($X151&gt;0,INDEX('CostModel Coef'!F$13:F$16,$X151),"")</f>
        <v>0.42399999999999999</v>
      </c>
      <c r="AW151" s="103">
        <f>IF($X151&gt;0,INDEX('CostModel Coef'!G$13:G$16,$X151),"")</f>
        <v>0</v>
      </c>
      <c r="AX151" s="103">
        <f>IF($X151&gt;0,INDEX('CostModel Coef'!H$13:H$16,$X151),"")</f>
        <v>-2.5</v>
      </c>
      <c r="AY151" s="103">
        <f>IF($X151&gt;0,INDEX('CostModel Coef'!I$13:I$16,$X151),"")</f>
        <v>-1.46</v>
      </c>
      <c r="AZ151" s="103">
        <f>IF($X151&gt;0,INDEX('CostModel Coef'!J$13:J$16,$X151),"")</f>
        <v>0</v>
      </c>
      <c r="BA151" s="103">
        <f>IF($X151&gt;0,INDEX('CostModel Coef'!K$13:K$16,$X151),"")</f>
        <v>-0.74099999999999999</v>
      </c>
      <c r="BB151" s="103">
        <f>IF($X151&gt;0,INDEX('CostModel Coef'!L$13:L$16,$X151),"")</f>
        <v>0</v>
      </c>
      <c r="BC151" s="103">
        <f>IF($X151&gt;0,INDEX('CostModel Coef'!M$13:M$16,$X151),"")</f>
        <v>0</v>
      </c>
      <c r="BD151" s="103">
        <f>IF($X151&gt;0,INDEX('CostModel Coef'!N$13:N$16,$X151),"")</f>
        <v>0.96650000000000003</v>
      </c>
      <c r="BE151" s="103">
        <f>IF($X151&gt;0,INDEX('CostModel Coef'!O$13:O$16,$X151),"")</f>
        <v>0.75</v>
      </c>
      <c r="BF151" s="103">
        <f>IF($X151&gt;0,INDEX('CostModel Coef'!P$13:P$16,$X151),"")</f>
        <v>15</v>
      </c>
      <c r="BG151" s="103">
        <f>IF($X151&gt;0,INDEX('CostModel Coef'!Q$13:Q$16,$X151),"")</f>
        <v>9.2999999999999992E-3</v>
      </c>
      <c r="BH151" s="103">
        <f>IF($X151&gt;0,INDEX('CostModel Coef'!R$13:R$16,$X151),"")</f>
        <v>3</v>
      </c>
      <c r="BI151" s="103">
        <f>IF($X151&gt;0,INDEX('CostModel Coef'!S$13:S$16,$X151),"")</f>
        <v>150</v>
      </c>
      <c r="BJ151" s="103">
        <f>IF($X151&gt;0,INDEX('CostModel Coef'!T$13:T$16,$X151),"")</f>
        <v>0</v>
      </c>
      <c r="BK151" s="103">
        <f>IF($X151&gt;0,INDEX('CostModel Coef'!U$13:U$16,$X151),"")</f>
        <v>0</v>
      </c>
      <c r="BL151" s="103">
        <f>IF($X151&gt;0,INDEX('CostModel Coef'!V$13:V$16,$X151),"")</f>
        <v>0</v>
      </c>
      <c r="BM151" s="103">
        <f>IF($X151&gt;0,INDEX('CostModel Coef'!W$13:W$16,$X151),"")</f>
        <v>-1.2746999999999999</v>
      </c>
      <c r="BN151" s="103">
        <f>IF($X151&gt;0,INDEX('CostModel Coef'!X$13:X$16,$X151),"")</f>
        <v>0</v>
      </c>
      <c r="BO151" s="103"/>
      <c r="BP151" s="119">
        <v>2000</v>
      </c>
      <c r="BQ151" s="103"/>
      <c r="BR151" s="103"/>
      <c r="BS151" s="119" t="str">
        <f t="shared" si="60"/>
        <v>WRR0347_CFLscw-Glb(13w)</v>
      </c>
      <c r="BT151" s="174">
        <f t="shared" si="52"/>
        <v>45</v>
      </c>
      <c r="BU151" s="113">
        <f t="shared" si="62"/>
        <v>4.8005000000000004</v>
      </c>
      <c r="BV151" s="108">
        <f t="shared" si="63"/>
        <v>5.5415000000000001</v>
      </c>
      <c r="BW151" s="108">
        <f t="shared" si="64"/>
        <v>3.0415000000000001</v>
      </c>
      <c r="BX151" s="108">
        <f t="shared" si="65"/>
        <v>1.5815000000000001</v>
      </c>
      <c r="BY151" s="108">
        <f t="shared" si="66"/>
        <v>1.5815000000000001</v>
      </c>
      <c r="BZ151" s="108"/>
      <c r="CA151" s="119" t="str">
        <f t="shared" si="67"/>
        <v>WRR0407_CFLscw-Glb(13w)</v>
      </c>
      <c r="CB151" s="174">
        <f t="shared" si="58"/>
        <v>53</v>
      </c>
      <c r="CC151" s="113">
        <f t="shared" si="68"/>
        <v>4.8749000000000002</v>
      </c>
      <c r="CD151" s="108">
        <f t="shared" si="69"/>
        <v>5.6158999999999999</v>
      </c>
      <c r="CE151" s="108">
        <f t="shared" si="70"/>
        <v>3.1158999999999999</v>
      </c>
      <c r="CF151" s="108">
        <f t="shared" si="71"/>
        <v>1.6558999999999999</v>
      </c>
      <c r="CG151" s="108">
        <f t="shared" si="72"/>
        <v>1.6558999999999999</v>
      </c>
      <c r="CH151" s="103"/>
      <c r="CI151" s="119" t="str">
        <f t="shared" si="61"/>
        <v>WRR0347_CFLscw-Glb(13w)</v>
      </c>
      <c r="CJ151" s="174">
        <f t="shared" si="59"/>
        <v>45</v>
      </c>
      <c r="CK151" s="113">
        <f t="shared" si="73"/>
        <v>4.8005000000000004</v>
      </c>
      <c r="CL151" s="108">
        <f t="shared" si="74"/>
        <v>5.5415000000000001</v>
      </c>
      <c r="CM151" s="108">
        <f t="shared" si="75"/>
        <v>3.0415000000000001</v>
      </c>
      <c r="CN151" s="108">
        <f t="shared" si="76"/>
        <v>1.5815000000000001</v>
      </c>
      <c r="CO151" s="108">
        <f t="shared" si="77"/>
        <v>1.5815000000000001</v>
      </c>
    </row>
    <row r="152" spans="1:93">
      <c r="A152" s="103" t="s">
        <v>457</v>
      </c>
      <c r="B152" s="103" t="s">
        <v>174</v>
      </c>
      <c r="C152" s="103" t="s">
        <v>449</v>
      </c>
      <c r="D152" s="250" t="s">
        <v>153</v>
      </c>
      <c r="E152" s="250"/>
      <c r="F152" s="182">
        <v>9020</v>
      </c>
      <c r="G152" s="250" t="s">
        <v>175</v>
      </c>
      <c r="H152" s="250">
        <v>14</v>
      </c>
      <c r="I152" s="250"/>
      <c r="J152" s="250"/>
      <c r="K152" s="250"/>
      <c r="L152" s="250" t="s">
        <v>61</v>
      </c>
      <c r="M152" s="250">
        <v>14</v>
      </c>
      <c r="N152" s="250"/>
      <c r="O152" s="250"/>
      <c r="P152" s="250" t="s">
        <v>153</v>
      </c>
      <c r="Q152" s="250"/>
      <c r="R152" s="250"/>
      <c r="S152" s="250"/>
      <c r="T152" s="250" t="s">
        <v>155</v>
      </c>
      <c r="U152" s="103" t="s">
        <v>458</v>
      </c>
      <c r="V152" s="106" t="s">
        <v>157</v>
      </c>
      <c r="W152" s="103" t="s">
        <v>83</v>
      </c>
      <c r="X152" s="103">
        <f>IFERROR(MATCH(W152,'CostModel Coef'!$C$9:$C$12,0),0)</f>
        <v>3</v>
      </c>
      <c r="Y152" s="103"/>
      <c r="Z152" s="103">
        <f>IF($X152&gt;0,INDEX('CostModel Coef'!D$9:D$12,$X152),"")</f>
        <v>7.31541</v>
      </c>
      <c r="AA152" s="103">
        <f>IF($X152&gt;0,INDEX('CostModel Coef'!E$9:E$12,$X152),"")</f>
        <v>-0.65479011267261533</v>
      </c>
      <c r="AB152" s="103">
        <f>IF($X152&gt;0,INDEX('CostModel Coef'!F$9:F$12,$X152),"")</f>
        <v>1.2575680480638753</v>
      </c>
      <c r="AC152" s="103">
        <f>IF($X152&gt;0,INDEX('CostModel Coef'!G$9:G$12,$X152),"")</f>
        <v>0</v>
      </c>
      <c r="AD152" s="103">
        <f>IF($X152&gt;0,INDEX('CostModel Coef'!H$9:H$12,$X152),"")</f>
        <v>-1.7193799999999999</v>
      </c>
      <c r="AE152" s="103">
        <f>IF($X152&gt;0,INDEX('CostModel Coef'!J$9:J$12,$X152),"")</f>
        <v>-0.61270999999999998</v>
      </c>
      <c r="AF152" s="103">
        <f>IF($X152&gt;0,INDEX('CostModel Coef'!K$9:K$12,$X152),"")</f>
        <v>-0.3</v>
      </c>
      <c r="AG152" s="103">
        <f>IF($X152&gt;0,INDEX('CostModel Coef'!L$9:L$12,$X152),"")</f>
        <v>0</v>
      </c>
      <c r="AH152" s="103">
        <f>IF($X152&gt;0,INDEX('CostModel Coef'!M$9:M$12,$X152),"")</f>
        <v>0</v>
      </c>
      <c r="AI152" s="103">
        <f>IF($X152&gt;0,INDEX('CostModel Coef'!N$9:N$12,$X152),"")</f>
        <v>0</v>
      </c>
      <c r="AJ152" s="103">
        <f>IF($X152&gt;0,INDEX('CostModel Coef'!Q$9:Q$12,$X152),"")</f>
        <v>-2.6200000000000001E-2</v>
      </c>
      <c r="AK152" s="103">
        <f>IF($X152&gt;0,INDEX('CostModel Coef'!T$9:T$12,$X152),"")</f>
        <v>0</v>
      </c>
      <c r="AL152" s="103"/>
      <c r="AM152" s="108">
        <f t="shared" si="53"/>
        <v>7.2513879353912598</v>
      </c>
      <c r="AN152" s="108">
        <f t="shared" si="54"/>
        <v>7.5513879353912596</v>
      </c>
      <c r="AO152" s="108">
        <f t="shared" si="55"/>
        <v>5.8320079353912595</v>
      </c>
      <c r="AP152" s="108">
        <f t="shared" si="56"/>
        <v>5.8320079353912595</v>
      </c>
      <c r="AQ152" s="108">
        <f t="shared" si="57"/>
        <v>5.2192979353912596</v>
      </c>
      <c r="AR152" s="108"/>
      <c r="AS152" s="108"/>
      <c r="AT152" s="103">
        <f>IF($X152&gt;0,INDEX('CostModel Coef'!D$13:D$16,$X152),"")</f>
        <v>2.4649999999999999</v>
      </c>
      <c r="AU152" s="103">
        <f>IF($X152&gt;0,INDEX('CostModel Coef'!E$13:E$16,$X152),"")</f>
        <v>0.30099999999999999</v>
      </c>
      <c r="AV152" s="103">
        <f>IF($X152&gt;0,INDEX('CostModel Coef'!F$13:F$16,$X152),"")</f>
        <v>0.42399999999999999</v>
      </c>
      <c r="AW152" s="103">
        <f>IF($X152&gt;0,INDEX('CostModel Coef'!G$13:G$16,$X152),"")</f>
        <v>0</v>
      </c>
      <c r="AX152" s="103">
        <f>IF($X152&gt;0,INDEX('CostModel Coef'!H$13:H$16,$X152),"")</f>
        <v>-2.5</v>
      </c>
      <c r="AY152" s="103">
        <f>IF($X152&gt;0,INDEX('CostModel Coef'!I$13:I$16,$X152),"")</f>
        <v>-1.46</v>
      </c>
      <c r="AZ152" s="103">
        <f>IF($X152&gt;0,INDEX('CostModel Coef'!J$13:J$16,$X152),"")</f>
        <v>0</v>
      </c>
      <c r="BA152" s="103">
        <f>IF($X152&gt;0,INDEX('CostModel Coef'!K$13:K$16,$X152),"")</f>
        <v>-0.74099999999999999</v>
      </c>
      <c r="BB152" s="103">
        <f>IF($X152&gt;0,INDEX('CostModel Coef'!L$13:L$16,$X152),"")</f>
        <v>0</v>
      </c>
      <c r="BC152" s="103">
        <f>IF($X152&gt;0,INDEX('CostModel Coef'!M$13:M$16,$X152),"")</f>
        <v>0</v>
      </c>
      <c r="BD152" s="103">
        <f>IF($X152&gt;0,INDEX('CostModel Coef'!N$13:N$16,$X152),"")</f>
        <v>0.96650000000000003</v>
      </c>
      <c r="BE152" s="103">
        <f>IF($X152&gt;0,INDEX('CostModel Coef'!O$13:O$16,$X152),"")</f>
        <v>0.75</v>
      </c>
      <c r="BF152" s="103">
        <f>IF($X152&gt;0,INDEX('CostModel Coef'!P$13:P$16,$X152),"")</f>
        <v>15</v>
      </c>
      <c r="BG152" s="103">
        <f>IF($X152&gt;0,INDEX('CostModel Coef'!Q$13:Q$16,$X152),"")</f>
        <v>9.2999999999999992E-3</v>
      </c>
      <c r="BH152" s="103">
        <f>IF($X152&gt;0,INDEX('CostModel Coef'!R$13:R$16,$X152),"")</f>
        <v>3</v>
      </c>
      <c r="BI152" s="103">
        <f>IF($X152&gt;0,INDEX('CostModel Coef'!S$13:S$16,$X152),"")</f>
        <v>150</v>
      </c>
      <c r="BJ152" s="103">
        <f>IF($X152&gt;0,INDEX('CostModel Coef'!T$13:T$16,$X152),"")</f>
        <v>0</v>
      </c>
      <c r="BK152" s="103">
        <f>IF($X152&gt;0,INDEX('CostModel Coef'!U$13:U$16,$X152),"")</f>
        <v>0</v>
      </c>
      <c r="BL152" s="103">
        <f>IF($X152&gt;0,INDEX('CostModel Coef'!V$13:V$16,$X152),"")</f>
        <v>0</v>
      </c>
      <c r="BM152" s="103">
        <f>IF($X152&gt;0,INDEX('CostModel Coef'!W$13:W$16,$X152),"")</f>
        <v>-1.2746999999999999</v>
      </c>
      <c r="BN152" s="103">
        <f>IF($X152&gt;0,INDEX('CostModel Coef'!X$13:X$16,$X152),"")</f>
        <v>0</v>
      </c>
      <c r="BO152" s="103"/>
      <c r="BP152" s="119">
        <v>2000</v>
      </c>
      <c r="BQ152" s="103"/>
      <c r="BR152" s="103"/>
      <c r="BS152" s="119" t="str">
        <f t="shared" si="60"/>
        <v>WRR0347_CFLscw-Glb(14w)</v>
      </c>
      <c r="BT152" s="174">
        <f t="shared" si="52"/>
        <v>49</v>
      </c>
      <c r="BU152" s="113">
        <f t="shared" si="62"/>
        <v>4.8377000000000008</v>
      </c>
      <c r="BV152" s="108">
        <f t="shared" si="63"/>
        <v>5.5787000000000004</v>
      </c>
      <c r="BW152" s="108">
        <f t="shared" si="64"/>
        <v>3.0787000000000004</v>
      </c>
      <c r="BX152" s="108">
        <f t="shared" si="65"/>
        <v>1.6187000000000005</v>
      </c>
      <c r="BY152" s="108">
        <f t="shared" si="66"/>
        <v>1.6187000000000005</v>
      </c>
      <c r="BZ152" s="108"/>
      <c r="CA152" s="119" t="str">
        <f t="shared" si="67"/>
        <v>WRR0407_CFLscw-Glb(14w)</v>
      </c>
      <c r="CB152" s="174">
        <f t="shared" si="58"/>
        <v>57</v>
      </c>
      <c r="CC152" s="113">
        <f t="shared" si="68"/>
        <v>4.9121000000000006</v>
      </c>
      <c r="CD152" s="108">
        <f t="shared" si="69"/>
        <v>5.6531000000000002</v>
      </c>
      <c r="CE152" s="108">
        <f t="shared" si="70"/>
        <v>3.1531000000000002</v>
      </c>
      <c r="CF152" s="108">
        <f t="shared" si="71"/>
        <v>1.6931000000000003</v>
      </c>
      <c r="CG152" s="108">
        <f t="shared" si="72"/>
        <v>1.6931000000000003</v>
      </c>
      <c r="CH152" s="103"/>
      <c r="CI152" s="119" t="str">
        <f t="shared" si="61"/>
        <v>WRR0347_CFLscw-Glb(14w)</v>
      </c>
      <c r="CJ152" s="174">
        <f t="shared" si="59"/>
        <v>49</v>
      </c>
      <c r="CK152" s="113">
        <f t="shared" si="73"/>
        <v>4.8377000000000008</v>
      </c>
      <c r="CL152" s="108">
        <f t="shared" si="74"/>
        <v>5.5787000000000004</v>
      </c>
      <c r="CM152" s="108">
        <f t="shared" si="75"/>
        <v>3.0787000000000004</v>
      </c>
      <c r="CN152" s="108">
        <f t="shared" si="76"/>
        <v>1.6187000000000005</v>
      </c>
      <c r="CO152" s="108">
        <f t="shared" si="77"/>
        <v>1.6187000000000005</v>
      </c>
    </row>
    <row r="153" spans="1:93">
      <c r="A153" s="103" t="s">
        <v>459</v>
      </c>
      <c r="B153" s="103" t="s">
        <v>174</v>
      </c>
      <c r="C153" s="103" t="s">
        <v>449</v>
      </c>
      <c r="D153" s="250" t="s">
        <v>153</v>
      </c>
      <c r="E153" s="250"/>
      <c r="F153" s="182">
        <v>9020</v>
      </c>
      <c r="G153" s="250" t="s">
        <v>175</v>
      </c>
      <c r="H153" s="250">
        <v>15</v>
      </c>
      <c r="I153" s="250"/>
      <c r="J153" s="250"/>
      <c r="K153" s="250"/>
      <c r="L153" s="250" t="s">
        <v>61</v>
      </c>
      <c r="M153" s="250">
        <v>15</v>
      </c>
      <c r="N153" s="250"/>
      <c r="O153" s="250"/>
      <c r="P153" s="250" t="s">
        <v>153</v>
      </c>
      <c r="Q153" s="250"/>
      <c r="R153" s="250"/>
      <c r="S153" s="250"/>
      <c r="T153" s="250" t="s">
        <v>155</v>
      </c>
      <c r="U153" s="103" t="s">
        <v>460</v>
      </c>
      <c r="V153" s="106" t="s">
        <v>157</v>
      </c>
      <c r="W153" s="103" t="s">
        <v>83</v>
      </c>
      <c r="X153" s="103">
        <f>IFERROR(MATCH(W153,'CostModel Coef'!$C$9:$C$12,0),0)</f>
        <v>3</v>
      </c>
      <c r="Y153" s="103"/>
      <c r="Z153" s="103">
        <f>IF($X153&gt;0,INDEX('CostModel Coef'!D$9:D$12,$X153),"")</f>
        <v>7.31541</v>
      </c>
      <c r="AA153" s="103">
        <f>IF($X153&gt;0,INDEX('CostModel Coef'!E$9:E$12,$X153),"")</f>
        <v>-0.65479011267261533</v>
      </c>
      <c r="AB153" s="103">
        <f>IF($X153&gt;0,INDEX('CostModel Coef'!F$9:F$12,$X153),"")</f>
        <v>1.2575680480638753</v>
      </c>
      <c r="AC153" s="103">
        <f>IF($X153&gt;0,INDEX('CostModel Coef'!G$9:G$12,$X153),"")</f>
        <v>0</v>
      </c>
      <c r="AD153" s="103">
        <f>IF($X153&gt;0,INDEX('CostModel Coef'!H$9:H$12,$X153),"")</f>
        <v>-1.7193799999999999</v>
      </c>
      <c r="AE153" s="103">
        <f>IF($X153&gt;0,INDEX('CostModel Coef'!J$9:J$12,$X153),"")</f>
        <v>-0.61270999999999998</v>
      </c>
      <c r="AF153" s="103">
        <f>IF($X153&gt;0,INDEX('CostModel Coef'!K$9:K$12,$X153),"")</f>
        <v>-0.3</v>
      </c>
      <c r="AG153" s="103">
        <f>IF($X153&gt;0,INDEX('CostModel Coef'!L$9:L$12,$X153),"")</f>
        <v>0</v>
      </c>
      <c r="AH153" s="103">
        <f>IF($X153&gt;0,INDEX('CostModel Coef'!M$9:M$12,$X153),"")</f>
        <v>0</v>
      </c>
      <c r="AI153" s="103">
        <f>IF($X153&gt;0,INDEX('CostModel Coef'!N$9:N$12,$X153),"")</f>
        <v>0</v>
      </c>
      <c r="AJ153" s="103">
        <f>IF($X153&gt;0,INDEX('CostModel Coef'!Q$9:Q$12,$X153),"")</f>
        <v>-2.6200000000000001E-2</v>
      </c>
      <c r="AK153" s="103">
        <f>IF($X153&gt;0,INDEX('CostModel Coef'!T$9:T$12,$X153),"")</f>
        <v>0</v>
      </c>
      <c r="AL153" s="103"/>
      <c r="AM153" s="108">
        <f t="shared" si="53"/>
        <v>7.2251879353912605</v>
      </c>
      <c r="AN153" s="108">
        <f t="shared" si="54"/>
        <v>7.5251879353912603</v>
      </c>
      <c r="AO153" s="108">
        <f t="shared" si="55"/>
        <v>5.8058079353912602</v>
      </c>
      <c r="AP153" s="108">
        <f t="shared" si="56"/>
        <v>5.8058079353912602</v>
      </c>
      <c r="AQ153" s="108">
        <f t="shared" si="57"/>
        <v>5.1930979353912603</v>
      </c>
      <c r="AR153" s="108"/>
      <c r="AS153" s="108"/>
      <c r="AT153" s="103">
        <f>IF($X153&gt;0,INDEX('CostModel Coef'!D$13:D$16,$X153),"")</f>
        <v>2.4649999999999999</v>
      </c>
      <c r="AU153" s="103">
        <f>IF($X153&gt;0,INDEX('CostModel Coef'!E$13:E$16,$X153),"")</f>
        <v>0.30099999999999999</v>
      </c>
      <c r="AV153" s="103">
        <f>IF($X153&gt;0,INDEX('CostModel Coef'!F$13:F$16,$X153),"")</f>
        <v>0.42399999999999999</v>
      </c>
      <c r="AW153" s="103">
        <f>IF($X153&gt;0,INDEX('CostModel Coef'!G$13:G$16,$X153),"")</f>
        <v>0</v>
      </c>
      <c r="AX153" s="103">
        <f>IF($X153&gt;0,INDEX('CostModel Coef'!H$13:H$16,$X153),"")</f>
        <v>-2.5</v>
      </c>
      <c r="AY153" s="103">
        <f>IF($X153&gt;0,INDEX('CostModel Coef'!I$13:I$16,$X153),"")</f>
        <v>-1.46</v>
      </c>
      <c r="AZ153" s="103">
        <f>IF($X153&gt;0,INDEX('CostModel Coef'!J$13:J$16,$X153),"")</f>
        <v>0</v>
      </c>
      <c r="BA153" s="103">
        <f>IF($X153&gt;0,INDEX('CostModel Coef'!K$13:K$16,$X153),"")</f>
        <v>-0.74099999999999999</v>
      </c>
      <c r="BB153" s="103">
        <f>IF($X153&gt;0,INDEX('CostModel Coef'!L$13:L$16,$X153),"")</f>
        <v>0</v>
      </c>
      <c r="BC153" s="103">
        <f>IF($X153&gt;0,INDEX('CostModel Coef'!M$13:M$16,$X153),"")</f>
        <v>0</v>
      </c>
      <c r="BD153" s="103">
        <f>IF($X153&gt;0,INDEX('CostModel Coef'!N$13:N$16,$X153),"")</f>
        <v>0.96650000000000003</v>
      </c>
      <c r="BE153" s="103">
        <f>IF($X153&gt;0,INDEX('CostModel Coef'!O$13:O$16,$X153),"")</f>
        <v>0.75</v>
      </c>
      <c r="BF153" s="103">
        <f>IF($X153&gt;0,INDEX('CostModel Coef'!P$13:P$16,$X153),"")</f>
        <v>15</v>
      </c>
      <c r="BG153" s="103">
        <f>IF($X153&gt;0,INDEX('CostModel Coef'!Q$13:Q$16,$X153),"")</f>
        <v>9.2999999999999992E-3</v>
      </c>
      <c r="BH153" s="103">
        <f>IF($X153&gt;0,INDEX('CostModel Coef'!R$13:R$16,$X153),"")</f>
        <v>3</v>
      </c>
      <c r="BI153" s="103">
        <f>IF($X153&gt;0,INDEX('CostModel Coef'!S$13:S$16,$X153),"")</f>
        <v>150</v>
      </c>
      <c r="BJ153" s="103">
        <f>IF($X153&gt;0,INDEX('CostModel Coef'!T$13:T$16,$X153),"")</f>
        <v>0</v>
      </c>
      <c r="BK153" s="103">
        <f>IF($X153&gt;0,INDEX('CostModel Coef'!U$13:U$16,$X153),"")</f>
        <v>0</v>
      </c>
      <c r="BL153" s="103">
        <f>IF($X153&gt;0,INDEX('CostModel Coef'!V$13:V$16,$X153),"")</f>
        <v>0</v>
      </c>
      <c r="BM153" s="103">
        <f>IF($X153&gt;0,INDEX('CostModel Coef'!W$13:W$16,$X153),"")</f>
        <v>-1.2746999999999999</v>
      </c>
      <c r="BN153" s="103">
        <f>IF($X153&gt;0,INDEX('CostModel Coef'!X$13:X$16,$X153),"")</f>
        <v>0</v>
      </c>
      <c r="BO153" s="103"/>
      <c r="BP153" s="119">
        <v>2000</v>
      </c>
      <c r="BQ153" s="103"/>
      <c r="BR153" s="103"/>
      <c r="BS153" s="119" t="str">
        <f t="shared" si="60"/>
        <v>WRR0347_CFLscw-Glb(15w)</v>
      </c>
      <c r="BT153" s="174">
        <f t="shared" si="52"/>
        <v>52</v>
      </c>
      <c r="BU153" s="113">
        <f t="shared" si="62"/>
        <v>4.8656000000000006</v>
      </c>
      <c r="BV153" s="108">
        <f t="shared" si="63"/>
        <v>5.6066000000000003</v>
      </c>
      <c r="BW153" s="108">
        <f t="shared" si="64"/>
        <v>3.1066000000000003</v>
      </c>
      <c r="BX153" s="108">
        <f t="shared" si="65"/>
        <v>1.6466000000000003</v>
      </c>
      <c r="BY153" s="108">
        <f t="shared" si="66"/>
        <v>1.6466000000000003</v>
      </c>
      <c r="BZ153" s="108"/>
      <c r="CA153" s="119" t="str">
        <f t="shared" si="67"/>
        <v>WRR0407_CFLscw-Glb(15w)</v>
      </c>
      <c r="CB153" s="174">
        <f t="shared" si="58"/>
        <v>61</v>
      </c>
      <c r="CC153" s="113">
        <f t="shared" si="68"/>
        <v>4.9493000000000009</v>
      </c>
      <c r="CD153" s="108">
        <f t="shared" si="69"/>
        <v>5.6903000000000006</v>
      </c>
      <c r="CE153" s="108">
        <f t="shared" si="70"/>
        <v>3.1903000000000006</v>
      </c>
      <c r="CF153" s="108">
        <f t="shared" si="71"/>
        <v>1.7303000000000006</v>
      </c>
      <c r="CG153" s="108">
        <f t="shared" si="72"/>
        <v>1.7303000000000006</v>
      </c>
      <c r="CH153" s="103"/>
      <c r="CI153" s="119" t="str">
        <f t="shared" si="61"/>
        <v>WRR0347_CFLscw-Glb(15w)</v>
      </c>
      <c r="CJ153" s="174">
        <f t="shared" si="59"/>
        <v>52</v>
      </c>
      <c r="CK153" s="113">
        <f t="shared" si="73"/>
        <v>4.8656000000000006</v>
      </c>
      <c r="CL153" s="108">
        <f t="shared" si="74"/>
        <v>5.6066000000000003</v>
      </c>
      <c r="CM153" s="108">
        <f t="shared" si="75"/>
        <v>3.1066000000000003</v>
      </c>
      <c r="CN153" s="108">
        <f t="shared" si="76"/>
        <v>1.6466000000000003</v>
      </c>
      <c r="CO153" s="108">
        <f t="shared" si="77"/>
        <v>1.6466000000000003</v>
      </c>
    </row>
    <row r="154" spans="1:93">
      <c r="A154" s="103" t="s">
        <v>461</v>
      </c>
      <c r="B154" s="103" t="s">
        <v>174</v>
      </c>
      <c r="C154" s="103" t="s">
        <v>449</v>
      </c>
      <c r="D154" s="250" t="s">
        <v>153</v>
      </c>
      <c r="E154" s="250"/>
      <c r="F154" s="182">
        <v>9020</v>
      </c>
      <c r="G154" s="250" t="s">
        <v>175</v>
      </c>
      <c r="H154" s="250">
        <v>16</v>
      </c>
      <c r="I154" s="250"/>
      <c r="J154" s="250"/>
      <c r="K154" s="250"/>
      <c r="L154" s="250" t="s">
        <v>61</v>
      </c>
      <c r="M154" s="250">
        <v>16</v>
      </c>
      <c r="N154" s="250"/>
      <c r="O154" s="250"/>
      <c r="P154" s="250" t="s">
        <v>153</v>
      </c>
      <c r="Q154" s="250"/>
      <c r="R154" s="250"/>
      <c r="S154" s="250"/>
      <c r="T154" s="250" t="s">
        <v>155</v>
      </c>
      <c r="U154" s="103" t="s">
        <v>462</v>
      </c>
      <c r="V154" s="106" t="s">
        <v>157</v>
      </c>
      <c r="W154" s="103" t="s">
        <v>83</v>
      </c>
      <c r="X154" s="103">
        <f>IFERROR(MATCH(W154,'CostModel Coef'!$C$9:$C$12,0),0)</f>
        <v>3</v>
      </c>
      <c r="Y154" s="103"/>
      <c r="Z154" s="103">
        <f>IF($X154&gt;0,INDEX('CostModel Coef'!D$9:D$12,$X154),"")</f>
        <v>7.31541</v>
      </c>
      <c r="AA154" s="103">
        <f>IF($X154&gt;0,INDEX('CostModel Coef'!E$9:E$12,$X154),"")</f>
        <v>-0.65479011267261533</v>
      </c>
      <c r="AB154" s="103">
        <f>IF($X154&gt;0,INDEX('CostModel Coef'!F$9:F$12,$X154),"")</f>
        <v>1.2575680480638753</v>
      </c>
      <c r="AC154" s="103">
        <f>IF($X154&gt;0,INDEX('CostModel Coef'!G$9:G$12,$X154),"")</f>
        <v>0</v>
      </c>
      <c r="AD154" s="103">
        <f>IF($X154&gt;0,INDEX('CostModel Coef'!H$9:H$12,$X154),"")</f>
        <v>-1.7193799999999999</v>
      </c>
      <c r="AE154" s="103">
        <f>IF($X154&gt;0,INDEX('CostModel Coef'!J$9:J$12,$X154),"")</f>
        <v>-0.61270999999999998</v>
      </c>
      <c r="AF154" s="103">
        <f>IF($X154&gt;0,INDEX('CostModel Coef'!K$9:K$12,$X154),"")</f>
        <v>-0.3</v>
      </c>
      <c r="AG154" s="103">
        <f>IF($X154&gt;0,INDEX('CostModel Coef'!L$9:L$12,$X154),"")</f>
        <v>0</v>
      </c>
      <c r="AH154" s="103">
        <f>IF($X154&gt;0,INDEX('CostModel Coef'!M$9:M$12,$X154),"")</f>
        <v>0</v>
      </c>
      <c r="AI154" s="103">
        <f>IF($X154&gt;0,INDEX('CostModel Coef'!N$9:N$12,$X154),"")</f>
        <v>0</v>
      </c>
      <c r="AJ154" s="103">
        <f>IF($X154&gt;0,INDEX('CostModel Coef'!Q$9:Q$12,$X154),"")</f>
        <v>-2.6200000000000001E-2</v>
      </c>
      <c r="AK154" s="103">
        <f>IF($X154&gt;0,INDEX('CostModel Coef'!T$9:T$12,$X154),"")</f>
        <v>0</v>
      </c>
      <c r="AL154" s="103"/>
      <c r="AM154" s="108">
        <f t="shared" si="53"/>
        <v>7.1989879353912603</v>
      </c>
      <c r="AN154" s="108">
        <f t="shared" si="54"/>
        <v>7.4989879353912601</v>
      </c>
      <c r="AO154" s="108">
        <f t="shared" si="55"/>
        <v>5.7796079353912599</v>
      </c>
      <c r="AP154" s="108">
        <f t="shared" si="56"/>
        <v>5.7796079353912599</v>
      </c>
      <c r="AQ154" s="108">
        <f t="shared" si="57"/>
        <v>5.1668979353912601</v>
      </c>
      <c r="AR154" s="108"/>
      <c r="AS154" s="108"/>
      <c r="AT154" s="103">
        <f>IF($X154&gt;0,INDEX('CostModel Coef'!D$13:D$16,$X154),"")</f>
        <v>2.4649999999999999</v>
      </c>
      <c r="AU154" s="103">
        <f>IF($X154&gt;0,INDEX('CostModel Coef'!E$13:E$16,$X154),"")</f>
        <v>0.30099999999999999</v>
      </c>
      <c r="AV154" s="103">
        <f>IF($X154&gt;0,INDEX('CostModel Coef'!F$13:F$16,$X154),"")</f>
        <v>0.42399999999999999</v>
      </c>
      <c r="AW154" s="103">
        <f>IF($X154&gt;0,INDEX('CostModel Coef'!G$13:G$16,$X154),"")</f>
        <v>0</v>
      </c>
      <c r="AX154" s="103">
        <f>IF($X154&gt;0,INDEX('CostModel Coef'!H$13:H$16,$X154),"")</f>
        <v>-2.5</v>
      </c>
      <c r="AY154" s="103">
        <f>IF($X154&gt;0,INDEX('CostModel Coef'!I$13:I$16,$X154),"")</f>
        <v>-1.46</v>
      </c>
      <c r="AZ154" s="103">
        <f>IF($X154&gt;0,INDEX('CostModel Coef'!J$13:J$16,$X154),"")</f>
        <v>0</v>
      </c>
      <c r="BA154" s="103">
        <f>IF($X154&gt;0,INDEX('CostModel Coef'!K$13:K$16,$X154),"")</f>
        <v>-0.74099999999999999</v>
      </c>
      <c r="BB154" s="103">
        <f>IF($X154&gt;0,INDEX('CostModel Coef'!L$13:L$16,$X154),"")</f>
        <v>0</v>
      </c>
      <c r="BC154" s="103">
        <f>IF($X154&gt;0,INDEX('CostModel Coef'!M$13:M$16,$X154),"")</f>
        <v>0</v>
      </c>
      <c r="BD154" s="103">
        <f>IF($X154&gt;0,INDEX('CostModel Coef'!N$13:N$16,$X154),"")</f>
        <v>0.96650000000000003</v>
      </c>
      <c r="BE154" s="103">
        <f>IF($X154&gt;0,INDEX('CostModel Coef'!O$13:O$16,$X154),"")</f>
        <v>0.75</v>
      </c>
      <c r="BF154" s="103">
        <f>IF($X154&gt;0,INDEX('CostModel Coef'!P$13:P$16,$X154),"")</f>
        <v>15</v>
      </c>
      <c r="BG154" s="103">
        <f>IF($X154&gt;0,INDEX('CostModel Coef'!Q$13:Q$16,$X154),"")</f>
        <v>9.2999999999999992E-3</v>
      </c>
      <c r="BH154" s="103">
        <f>IF($X154&gt;0,INDEX('CostModel Coef'!R$13:R$16,$X154),"")</f>
        <v>3</v>
      </c>
      <c r="BI154" s="103">
        <f>IF($X154&gt;0,INDEX('CostModel Coef'!S$13:S$16,$X154),"")</f>
        <v>150</v>
      </c>
      <c r="BJ154" s="103">
        <f>IF($X154&gt;0,INDEX('CostModel Coef'!T$13:T$16,$X154),"")</f>
        <v>0</v>
      </c>
      <c r="BK154" s="103">
        <f>IF($X154&gt;0,INDEX('CostModel Coef'!U$13:U$16,$X154),"")</f>
        <v>0</v>
      </c>
      <c r="BL154" s="103">
        <f>IF($X154&gt;0,INDEX('CostModel Coef'!V$13:V$16,$X154),"")</f>
        <v>0</v>
      </c>
      <c r="BM154" s="103">
        <f>IF($X154&gt;0,INDEX('CostModel Coef'!W$13:W$16,$X154),"")</f>
        <v>-1.2746999999999999</v>
      </c>
      <c r="BN154" s="103">
        <f>IF($X154&gt;0,INDEX('CostModel Coef'!X$13:X$16,$X154),"")</f>
        <v>0</v>
      </c>
      <c r="BO154" s="103"/>
      <c r="BP154" s="119">
        <v>2000</v>
      </c>
      <c r="BQ154" s="103"/>
      <c r="BR154" s="103"/>
      <c r="BS154" s="119" t="str">
        <f t="shared" si="60"/>
        <v>WRR0347_CFLscw-Glb(16w)</v>
      </c>
      <c r="BT154" s="174">
        <f t="shared" si="52"/>
        <v>56</v>
      </c>
      <c r="BU154" s="113">
        <f t="shared" si="62"/>
        <v>4.9028000000000009</v>
      </c>
      <c r="BV154" s="108">
        <f t="shared" si="63"/>
        <v>5.6438000000000006</v>
      </c>
      <c r="BW154" s="108">
        <f t="shared" si="64"/>
        <v>3.1438000000000006</v>
      </c>
      <c r="BX154" s="108">
        <f t="shared" si="65"/>
        <v>1.6838000000000006</v>
      </c>
      <c r="BY154" s="108">
        <f t="shared" si="66"/>
        <v>1.6838000000000006</v>
      </c>
      <c r="BZ154" s="108"/>
      <c r="CA154" s="119" t="str">
        <f t="shared" si="67"/>
        <v>WRR0407_CFLscw-Glb(16w)</v>
      </c>
      <c r="CB154" s="174">
        <f t="shared" si="58"/>
        <v>65</v>
      </c>
      <c r="CC154" s="113">
        <f t="shared" si="68"/>
        <v>4.9865000000000004</v>
      </c>
      <c r="CD154" s="108">
        <f t="shared" si="69"/>
        <v>5.7275</v>
      </c>
      <c r="CE154" s="108">
        <f t="shared" si="70"/>
        <v>3.2275</v>
      </c>
      <c r="CF154" s="108">
        <f t="shared" si="71"/>
        <v>1.7675000000000001</v>
      </c>
      <c r="CG154" s="108">
        <f t="shared" si="72"/>
        <v>1.7675000000000001</v>
      </c>
      <c r="CH154" s="103"/>
      <c r="CI154" s="119" t="str">
        <f t="shared" si="61"/>
        <v>WRR0347_CFLscw-Glb(16w)</v>
      </c>
      <c r="CJ154" s="174">
        <f t="shared" si="59"/>
        <v>56</v>
      </c>
      <c r="CK154" s="113">
        <f t="shared" si="73"/>
        <v>4.9028000000000009</v>
      </c>
      <c r="CL154" s="108">
        <f t="shared" si="74"/>
        <v>5.6438000000000006</v>
      </c>
      <c r="CM154" s="108">
        <f t="shared" si="75"/>
        <v>3.1438000000000006</v>
      </c>
      <c r="CN154" s="108">
        <f t="shared" si="76"/>
        <v>1.6838000000000006</v>
      </c>
      <c r="CO154" s="108">
        <f t="shared" si="77"/>
        <v>1.6838000000000006</v>
      </c>
    </row>
    <row r="155" spans="1:93">
      <c r="A155" s="103" t="s">
        <v>463</v>
      </c>
      <c r="B155" s="103" t="s">
        <v>174</v>
      </c>
      <c r="C155" s="103" t="s">
        <v>449</v>
      </c>
      <c r="D155" s="250" t="s">
        <v>153</v>
      </c>
      <c r="E155" s="250"/>
      <c r="F155" s="182">
        <v>9020</v>
      </c>
      <c r="G155" s="250" t="s">
        <v>175</v>
      </c>
      <c r="H155" s="250">
        <v>18</v>
      </c>
      <c r="I155" s="250"/>
      <c r="J155" s="250"/>
      <c r="K155" s="250"/>
      <c r="L155" s="250" t="s">
        <v>61</v>
      </c>
      <c r="M155" s="250">
        <v>18</v>
      </c>
      <c r="N155" s="250"/>
      <c r="O155" s="250"/>
      <c r="P155" s="250" t="s">
        <v>153</v>
      </c>
      <c r="Q155" s="250"/>
      <c r="R155" s="250"/>
      <c r="S155" s="250"/>
      <c r="T155" s="250" t="s">
        <v>155</v>
      </c>
      <c r="U155" s="103" t="s">
        <v>464</v>
      </c>
      <c r="V155" s="106" t="s">
        <v>157</v>
      </c>
      <c r="W155" s="103" t="s">
        <v>83</v>
      </c>
      <c r="X155" s="103">
        <f>IFERROR(MATCH(W155,'CostModel Coef'!$C$9:$C$12,0),0)</f>
        <v>3</v>
      </c>
      <c r="Y155" s="103"/>
      <c r="Z155" s="103">
        <f>IF($X155&gt;0,INDEX('CostModel Coef'!D$9:D$12,$X155),"")</f>
        <v>7.31541</v>
      </c>
      <c r="AA155" s="103">
        <f>IF($X155&gt;0,INDEX('CostModel Coef'!E$9:E$12,$X155),"")</f>
        <v>-0.65479011267261533</v>
      </c>
      <c r="AB155" s="103">
        <f>IF($X155&gt;0,INDEX('CostModel Coef'!F$9:F$12,$X155),"")</f>
        <v>1.2575680480638753</v>
      </c>
      <c r="AC155" s="103">
        <f>IF($X155&gt;0,INDEX('CostModel Coef'!G$9:G$12,$X155),"")</f>
        <v>0</v>
      </c>
      <c r="AD155" s="103">
        <f>IF($X155&gt;0,INDEX('CostModel Coef'!H$9:H$12,$X155),"")</f>
        <v>-1.7193799999999999</v>
      </c>
      <c r="AE155" s="103">
        <f>IF($X155&gt;0,INDEX('CostModel Coef'!J$9:J$12,$X155),"")</f>
        <v>-0.61270999999999998</v>
      </c>
      <c r="AF155" s="103">
        <f>IF($X155&gt;0,INDEX('CostModel Coef'!K$9:K$12,$X155),"")</f>
        <v>-0.3</v>
      </c>
      <c r="AG155" s="103">
        <f>IF($X155&gt;0,INDEX('CostModel Coef'!L$9:L$12,$X155),"")</f>
        <v>0</v>
      </c>
      <c r="AH155" s="103">
        <f>IF($X155&gt;0,INDEX('CostModel Coef'!M$9:M$12,$X155),"")</f>
        <v>0</v>
      </c>
      <c r="AI155" s="103">
        <f>IF($X155&gt;0,INDEX('CostModel Coef'!N$9:N$12,$X155),"")</f>
        <v>0</v>
      </c>
      <c r="AJ155" s="103">
        <f>IF($X155&gt;0,INDEX('CostModel Coef'!Q$9:Q$12,$X155),"")</f>
        <v>-2.6200000000000001E-2</v>
      </c>
      <c r="AK155" s="103">
        <f>IF($X155&gt;0,INDEX('CostModel Coef'!T$9:T$12,$X155),"")</f>
        <v>0</v>
      </c>
      <c r="AL155" s="103"/>
      <c r="AM155" s="108">
        <f t="shared" si="53"/>
        <v>7.1465879353912607</v>
      </c>
      <c r="AN155" s="108">
        <f t="shared" si="54"/>
        <v>7.4465879353912605</v>
      </c>
      <c r="AO155" s="108">
        <f t="shared" si="55"/>
        <v>5.7272079353912604</v>
      </c>
      <c r="AP155" s="108">
        <f t="shared" si="56"/>
        <v>5.7272079353912604</v>
      </c>
      <c r="AQ155" s="108">
        <f t="shared" si="57"/>
        <v>5.1144979353912605</v>
      </c>
      <c r="AR155" s="108"/>
      <c r="AS155" s="108"/>
      <c r="AT155" s="103">
        <f>IF($X155&gt;0,INDEX('CostModel Coef'!D$13:D$16,$X155),"")</f>
        <v>2.4649999999999999</v>
      </c>
      <c r="AU155" s="103">
        <f>IF($X155&gt;0,INDEX('CostModel Coef'!E$13:E$16,$X155),"")</f>
        <v>0.30099999999999999</v>
      </c>
      <c r="AV155" s="103">
        <f>IF($X155&gt;0,INDEX('CostModel Coef'!F$13:F$16,$X155),"")</f>
        <v>0.42399999999999999</v>
      </c>
      <c r="AW155" s="103">
        <f>IF($X155&gt;0,INDEX('CostModel Coef'!G$13:G$16,$X155),"")</f>
        <v>0</v>
      </c>
      <c r="AX155" s="103">
        <f>IF($X155&gt;0,INDEX('CostModel Coef'!H$13:H$16,$X155),"")</f>
        <v>-2.5</v>
      </c>
      <c r="AY155" s="103">
        <f>IF($X155&gt;0,INDEX('CostModel Coef'!I$13:I$16,$X155),"")</f>
        <v>-1.46</v>
      </c>
      <c r="AZ155" s="103">
        <f>IF($X155&gt;0,INDEX('CostModel Coef'!J$13:J$16,$X155),"")</f>
        <v>0</v>
      </c>
      <c r="BA155" s="103">
        <f>IF($X155&gt;0,INDEX('CostModel Coef'!K$13:K$16,$X155),"")</f>
        <v>-0.74099999999999999</v>
      </c>
      <c r="BB155" s="103">
        <f>IF($X155&gt;0,INDEX('CostModel Coef'!L$13:L$16,$X155),"")</f>
        <v>0</v>
      </c>
      <c r="BC155" s="103">
        <f>IF($X155&gt;0,INDEX('CostModel Coef'!M$13:M$16,$X155),"")</f>
        <v>0</v>
      </c>
      <c r="BD155" s="103">
        <f>IF($X155&gt;0,INDEX('CostModel Coef'!N$13:N$16,$X155),"")</f>
        <v>0.96650000000000003</v>
      </c>
      <c r="BE155" s="103">
        <f>IF($X155&gt;0,INDEX('CostModel Coef'!O$13:O$16,$X155),"")</f>
        <v>0.75</v>
      </c>
      <c r="BF155" s="103">
        <f>IF($X155&gt;0,INDEX('CostModel Coef'!P$13:P$16,$X155),"")</f>
        <v>15</v>
      </c>
      <c r="BG155" s="103">
        <f>IF($X155&gt;0,INDEX('CostModel Coef'!Q$13:Q$16,$X155),"")</f>
        <v>9.2999999999999992E-3</v>
      </c>
      <c r="BH155" s="103">
        <f>IF($X155&gt;0,INDEX('CostModel Coef'!R$13:R$16,$X155),"")</f>
        <v>3</v>
      </c>
      <c r="BI155" s="103">
        <f>IF($X155&gt;0,INDEX('CostModel Coef'!S$13:S$16,$X155),"")</f>
        <v>150</v>
      </c>
      <c r="BJ155" s="103">
        <f>IF($X155&gt;0,INDEX('CostModel Coef'!T$13:T$16,$X155),"")</f>
        <v>0</v>
      </c>
      <c r="BK155" s="103">
        <f>IF($X155&gt;0,INDEX('CostModel Coef'!U$13:U$16,$X155),"")</f>
        <v>0</v>
      </c>
      <c r="BL155" s="103">
        <f>IF($X155&gt;0,INDEX('CostModel Coef'!V$13:V$16,$X155),"")</f>
        <v>0</v>
      </c>
      <c r="BM155" s="103">
        <f>IF($X155&gt;0,INDEX('CostModel Coef'!W$13:W$16,$X155),"")</f>
        <v>-1.2746999999999999</v>
      </c>
      <c r="BN155" s="103">
        <f>IF($X155&gt;0,INDEX('CostModel Coef'!X$13:X$16,$X155),"")</f>
        <v>0</v>
      </c>
      <c r="BO155" s="103"/>
      <c r="BP155" s="119">
        <v>2000</v>
      </c>
      <c r="BQ155" s="103"/>
      <c r="BR155" s="103"/>
      <c r="BS155" s="119" t="str">
        <f t="shared" si="60"/>
        <v>WRR0347_CFLscw-Glb(18w)</v>
      </c>
      <c r="BT155" s="174">
        <f t="shared" si="52"/>
        <v>62</v>
      </c>
      <c r="BU155" s="113">
        <f t="shared" si="62"/>
        <v>4.9586000000000006</v>
      </c>
      <c r="BV155" s="108">
        <f t="shared" si="63"/>
        <v>5.6996000000000002</v>
      </c>
      <c r="BW155" s="108">
        <f t="shared" si="64"/>
        <v>3.1996000000000002</v>
      </c>
      <c r="BX155" s="108">
        <f t="shared" si="65"/>
        <v>1.7396000000000003</v>
      </c>
      <c r="BY155" s="108">
        <f t="shared" si="66"/>
        <v>1.7396000000000003</v>
      </c>
      <c r="BZ155" s="108"/>
      <c r="CA155" s="119" t="str">
        <f t="shared" si="67"/>
        <v>WRR0407_CFLscw-Glb(18w)</v>
      </c>
      <c r="CB155" s="174">
        <f t="shared" si="58"/>
        <v>73</v>
      </c>
      <c r="CC155" s="113">
        <f t="shared" si="68"/>
        <v>5.0609000000000002</v>
      </c>
      <c r="CD155" s="108">
        <f t="shared" si="69"/>
        <v>5.8018999999999998</v>
      </c>
      <c r="CE155" s="108">
        <f t="shared" si="70"/>
        <v>3.3018999999999998</v>
      </c>
      <c r="CF155" s="108">
        <f t="shared" si="71"/>
        <v>1.8418999999999999</v>
      </c>
      <c r="CG155" s="108">
        <f t="shared" si="72"/>
        <v>1.8418999999999999</v>
      </c>
      <c r="CH155" s="103"/>
      <c r="CI155" s="119" t="str">
        <f t="shared" si="61"/>
        <v>WRR0347_CFLscw-Glb(18w)</v>
      </c>
      <c r="CJ155" s="174">
        <f t="shared" si="59"/>
        <v>62</v>
      </c>
      <c r="CK155" s="113">
        <f t="shared" si="73"/>
        <v>4.9586000000000006</v>
      </c>
      <c r="CL155" s="108">
        <f t="shared" si="74"/>
        <v>5.6996000000000002</v>
      </c>
      <c r="CM155" s="108">
        <f t="shared" si="75"/>
        <v>3.1996000000000002</v>
      </c>
      <c r="CN155" s="108">
        <f t="shared" si="76"/>
        <v>1.7396000000000003</v>
      </c>
      <c r="CO155" s="108">
        <f t="shared" si="77"/>
        <v>1.7396000000000003</v>
      </c>
    </row>
    <row r="156" spans="1:93">
      <c r="A156" s="103" t="s">
        <v>465</v>
      </c>
      <c r="B156" s="103" t="s">
        <v>174</v>
      </c>
      <c r="C156" s="103" t="s">
        <v>449</v>
      </c>
      <c r="D156" s="250" t="s">
        <v>153</v>
      </c>
      <c r="E156" s="250"/>
      <c r="F156" s="182">
        <v>9020</v>
      </c>
      <c r="G156" s="250" t="s">
        <v>175</v>
      </c>
      <c r="H156" s="250">
        <v>19</v>
      </c>
      <c r="I156" s="250"/>
      <c r="J156" s="250"/>
      <c r="K156" s="250"/>
      <c r="L156" s="250" t="s">
        <v>61</v>
      </c>
      <c r="M156" s="250">
        <v>19</v>
      </c>
      <c r="N156" s="250"/>
      <c r="O156" s="250"/>
      <c r="P156" s="250" t="s">
        <v>153</v>
      </c>
      <c r="Q156" s="250"/>
      <c r="R156" s="250"/>
      <c r="S156" s="250"/>
      <c r="T156" s="250" t="s">
        <v>155</v>
      </c>
      <c r="U156" s="103" t="s">
        <v>466</v>
      </c>
      <c r="V156" s="106" t="s">
        <v>157</v>
      </c>
      <c r="W156" s="103" t="s">
        <v>83</v>
      </c>
      <c r="X156" s="103">
        <f>IFERROR(MATCH(W156,'CostModel Coef'!$C$9:$C$12,0),0)</f>
        <v>3</v>
      </c>
      <c r="Y156" s="103"/>
      <c r="Z156" s="103">
        <f>IF($X156&gt;0,INDEX('CostModel Coef'!D$9:D$12,$X156),"")</f>
        <v>7.31541</v>
      </c>
      <c r="AA156" s="103">
        <f>IF($X156&gt;0,INDEX('CostModel Coef'!E$9:E$12,$X156),"")</f>
        <v>-0.65479011267261533</v>
      </c>
      <c r="AB156" s="103">
        <f>IF($X156&gt;0,INDEX('CostModel Coef'!F$9:F$12,$X156),"")</f>
        <v>1.2575680480638753</v>
      </c>
      <c r="AC156" s="103">
        <f>IF($X156&gt;0,INDEX('CostModel Coef'!G$9:G$12,$X156),"")</f>
        <v>0</v>
      </c>
      <c r="AD156" s="103">
        <f>IF($X156&gt;0,INDEX('CostModel Coef'!H$9:H$12,$X156),"")</f>
        <v>-1.7193799999999999</v>
      </c>
      <c r="AE156" s="103">
        <f>IF($X156&gt;0,INDEX('CostModel Coef'!J$9:J$12,$X156),"")</f>
        <v>-0.61270999999999998</v>
      </c>
      <c r="AF156" s="103">
        <f>IF($X156&gt;0,INDEX('CostModel Coef'!K$9:K$12,$X156),"")</f>
        <v>-0.3</v>
      </c>
      <c r="AG156" s="103">
        <f>IF($X156&gt;0,INDEX('CostModel Coef'!L$9:L$12,$X156),"")</f>
        <v>0</v>
      </c>
      <c r="AH156" s="103">
        <f>IF($X156&gt;0,INDEX('CostModel Coef'!M$9:M$12,$X156),"")</f>
        <v>0</v>
      </c>
      <c r="AI156" s="103">
        <f>IF($X156&gt;0,INDEX('CostModel Coef'!N$9:N$12,$X156),"")</f>
        <v>0</v>
      </c>
      <c r="AJ156" s="103">
        <f>IF($X156&gt;0,INDEX('CostModel Coef'!Q$9:Q$12,$X156),"")</f>
        <v>-2.6200000000000001E-2</v>
      </c>
      <c r="AK156" s="103">
        <f>IF($X156&gt;0,INDEX('CostModel Coef'!T$9:T$12,$X156),"")</f>
        <v>0</v>
      </c>
      <c r="AL156" s="103"/>
      <c r="AM156" s="108">
        <f t="shared" si="53"/>
        <v>7.1203879353912605</v>
      </c>
      <c r="AN156" s="108">
        <f t="shared" si="54"/>
        <v>7.4203879353912603</v>
      </c>
      <c r="AO156" s="108">
        <f t="shared" si="55"/>
        <v>5.7010079353912602</v>
      </c>
      <c r="AP156" s="108">
        <f t="shared" si="56"/>
        <v>5.7010079353912602</v>
      </c>
      <c r="AQ156" s="108">
        <f t="shared" si="57"/>
        <v>5.0882979353912603</v>
      </c>
      <c r="AR156" s="108"/>
      <c r="AS156" s="108"/>
      <c r="AT156" s="103">
        <f>IF($X156&gt;0,INDEX('CostModel Coef'!D$13:D$16,$X156),"")</f>
        <v>2.4649999999999999</v>
      </c>
      <c r="AU156" s="103">
        <f>IF($X156&gt;0,INDEX('CostModel Coef'!E$13:E$16,$X156),"")</f>
        <v>0.30099999999999999</v>
      </c>
      <c r="AV156" s="103">
        <f>IF($X156&gt;0,INDEX('CostModel Coef'!F$13:F$16,$X156),"")</f>
        <v>0.42399999999999999</v>
      </c>
      <c r="AW156" s="103">
        <f>IF($X156&gt;0,INDEX('CostModel Coef'!G$13:G$16,$X156),"")</f>
        <v>0</v>
      </c>
      <c r="AX156" s="103">
        <f>IF($X156&gt;0,INDEX('CostModel Coef'!H$13:H$16,$X156),"")</f>
        <v>-2.5</v>
      </c>
      <c r="AY156" s="103">
        <f>IF($X156&gt;0,INDEX('CostModel Coef'!I$13:I$16,$X156),"")</f>
        <v>-1.46</v>
      </c>
      <c r="AZ156" s="103">
        <f>IF($X156&gt;0,INDEX('CostModel Coef'!J$13:J$16,$X156),"")</f>
        <v>0</v>
      </c>
      <c r="BA156" s="103">
        <f>IF($X156&gt;0,INDEX('CostModel Coef'!K$13:K$16,$X156),"")</f>
        <v>-0.74099999999999999</v>
      </c>
      <c r="BB156" s="103">
        <f>IF($X156&gt;0,INDEX('CostModel Coef'!L$13:L$16,$X156),"")</f>
        <v>0</v>
      </c>
      <c r="BC156" s="103">
        <f>IF($X156&gt;0,INDEX('CostModel Coef'!M$13:M$16,$X156),"")</f>
        <v>0</v>
      </c>
      <c r="BD156" s="103">
        <f>IF($X156&gt;0,INDEX('CostModel Coef'!N$13:N$16,$X156),"")</f>
        <v>0.96650000000000003</v>
      </c>
      <c r="BE156" s="103">
        <f>IF($X156&gt;0,INDEX('CostModel Coef'!O$13:O$16,$X156),"")</f>
        <v>0.75</v>
      </c>
      <c r="BF156" s="103">
        <f>IF($X156&gt;0,INDEX('CostModel Coef'!P$13:P$16,$X156),"")</f>
        <v>15</v>
      </c>
      <c r="BG156" s="103">
        <f>IF($X156&gt;0,INDEX('CostModel Coef'!Q$13:Q$16,$X156),"")</f>
        <v>9.2999999999999992E-3</v>
      </c>
      <c r="BH156" s="103">
        <f>IF($X156&gt;0,INDEX('CostModel Coef'!R$13:R$16,$X156),"")</f>
        <v>3</v>
      </c>
      <c r="BI156" s="103">
        <f>IF($X156&gt;0,INDEX('CostModel Coef'!S$13:S$16,$X156),"")</f>
        <v>150</v>
      </c>
      <c r="BJ156" s="103">
        <f>IF($X156&gt;0,INDEX('CostModel Coef'!T$13:T$16,$X156),"")</f>
        <v>0</v>
      </c>
      <c r="BK156" s="103">
        <f>IF($X156&gt;0,INDEX('CostModel Coef'!U$13:U$16,$X156),"")</f>
        <v>0</v>
      </c>
      <c r="BL156" s="103">
        <f>IF($X156&gt;0,INDEX('CostModel Coef'!V$13:V$16,$X156),"")</f>
        <v>0</v>
      </c>
      <c r="BM156" s="103">
        <f>IF($X156&gt;0,INDEX('CostModel Coef'!W$13:W$16,$X156),"")</f>
        <v>-1.2746999999999999</v>
      </c>
      <c r="BN156" s="103">
        <f>IF($X156&gt;0,INDEX('CostModel Coef'!X$13:X$16,$X156),"")</f>
        <v>0</v>
      </c>
      <c r="BO156" s="103"/>
      <c r="BP156" s="119">
        <v>2000</v>
      </c>
      <c r="BQ156" s="103"/>
      <c r="BR156" s="103"/>
      <c r="BS156" s="119" t="str">
        <f t="shared" si="60"/>
        <v>WRR0347_CFLscw-Glb(19w)</v>
      </c>
      <c r="BT156" s="174">
        <f t="shared" si="52"/>
        <v>66</v>
      </c>
      <c r="BU156" s="113">
        <f t="shared" si="62"/>
        <v>4.9958000000000009</v>
      </c>
      <c r="BV156" s="108">
        <f t="shared" si="63"/>
        <v>5.7368000000000006</v>
      </c>
      <c r="BW156" s="108">
        <f t="shared" si="64"/>
        <v>3.2368000000000006</v>
      </c>
      <c r="BX156" s="108">
        <f t="shared" si="65"/>
        <v>1.7768000000000006</v>
      </c>
      <c r="BY156" s="108">
        <f t="shared" si="66"/>
        <v>1.7768000000000006</v>
      </c>
      <c r="BZ156" s="108"/>
      <c r="CA156" s="119" t="str">
        <f t="shared" si="67"/>
        <v>WRR0407_CFLscw-Glb(19w)</v>
      </c>
      <c r="CB156" s="174">
        <f t="shared" si="58"/>
        <v>77</v>
      </c>
      <c r="CC156" s="113">
        <f t="shared" si="68"/>
        <v>5.0981000000000005</v>
      </c>
      <c r="CD156" s="108">
        <f t="shared" si="69"/>
        <v>5.8391000000000002</v>
      </c>
      <c r="CE156" s="108">
        <f t="shared" si="70"/>
        <v>3.3391000000000002</v>
      </c>
      <c r="CF156" s="108">
        <f t="shared" si="71"/>
        <v>1.8791000000000002</v>
      </c>
      <c r="CG156" s="108">
        <f t="shared" si="72"/>
        <v>1.8791000000000002</v>
      </c>
      <c r="CH156" s="103"/>
      <c r="CI156" s="119" t="str">
        <f t="shared" si="61"/>
        <v>WRR0347_CFLscw-Glb(19w)</v>
      </c>
      <c r="CJ156" s="174">
        <f t="shared" si="59"/>
        <v>66</v>
      </c>
      <c r="CK156" s="113">
        <f t="shared" si="73"/>
        <v>4.9958000000000009</v>
      </c>
      <c r="CL156" s="108">
        <f t="shared" si="74"/>
        <v>5.7368000000000006</v>
      </c>
      <c r="CM156" s="108">
        <f t="shared" si="75"/>
        <v>3.2368000000000006</v>
      </c>
      <c r="CN156" s="108">
        <f t="shared" si="76"/>
        <v>1.7768000000000006</v>
      </c>
      <c r="CO156" s="108">
        <f t="shared" si="77"/>
        <v>1.7768000000000006</v>
      </c>
    </row>
    <row r="157" spans="1:93">
      <c r="A157" s="103" t="s">
        <v>467</v>
      </c>
      <c r="B157" s="103" t="s">
        <v>174</v>
      </c>
      <c r="C157" s="103" t="s">
        <v>449</v>
      </c>
      <c r="D157" s="250" t="s">
        <v>153</v>
      </c>
      <c r="E157" s="250"/>
      <c r="F157" s="182">
        <v>9020</v>
      </c>
      <c r="G157" s="250" t="s">
        <v>175</v>
      </c>
      <c r="H157" s="250">
        <v>20</v>
      </c>
      <c r="I157" s="250"/>
      <c r="J157" s="250"/>
      <c r="K157" s="250"/>
      <c r="L157" s="250" t="s">
        <v>61</v>
      </c>
      <c r="M157" s="250">
        <v>20</v>
      </c>
      <c r="N157" s="250"/>
      <c r="O157" s="250"/>
      <c r="P157" s="250" t="s">
        <v>153</v>
      </c>
      <c r="Q157" s="250"/>
      <c r="R157" s="250"/>
      <c r="S157" s="250"/>
      <c r="T157" s="250" t="s">
        <v>155</v>
      </c>
      <c r="U157" s="103" t="s">
        <v>468</v>
      </c>
      <c r="V157" s="106" t="s">
        <v>157</v>
      </c>
      <c r="W157" s="103" t="s">
        <v>83</v>
      </c>
      <c r="X157" s="103">
        <f>IFERROR(MATCH(W157,'CostModel Coef'!$C$9:$C$12,0),0)</f>
        <v>3</v>
      </c>
      <c r="Y157" s="103"/>
      <c r="Z157" s="103">
        <f>IF($X157&gt;0,INDEX('CostModel Coef'!D$9:D$12,$X157),"")</f>
        <v>7.31541</v>
      </c>
      <c r="AA157" s="103">
        <f>IF($X157&gt;0,INDEX('CostModel Coef'!E$9:E$12,$X157),"")</f>
        <v>-0.65479011267261533</v>
      </c>
      <c r="AB157" s="103">
        <f>IF($X157&gt;0,INDEX('CostModel Coef'!F$9:F$12,$X157),"")</f>
        <v>1.2575680480638753</v>
      </c>
      <c r="AC157" s="103">
        <f>IF($X157&gt;0,INDEX('CostModel Coef'!G$9:G$12,$X157),"")</f>
        <v>0</v>
      </c>
      <c r="AD157" s="103">
        <f>IF($X157&gt;0,INDEX('CostModel Coef'!H$9:H$12,$X157),"")</f>
        <v>-1.7193799999999999</v>
      </c>
      <c r="AE157" s="103">
        <f>IF($X157&gt;0,INDEX('CostModel Coef'!J$9:J$12,$X157),"")</f>
        <v>-0.61270999999999998</v>
      </c>
      <c r="AF157" s="103">
        <f>IF($X157&gt;0,INDEX('CostModel Coef'!K$9:K$12,$X157),"")</f>
        <v>-0.3</v>
      </c>
      <c r="AG157" s="103">
        <f>IF($X157&gt;0,INDEX('CostModel Coef'!L$9:L$12,$X157),"")</f>
        <v>0</v>
      </c>
      <c r="AH157" s="103">
        <f>IF($X157&gt;0,INDEX('CostModel Coef'!M$9:M$12,$X157),"")</f>
        <v>0</v>
      </c>
      <c r="AI157" s="103">
        <f>IF($X157&gt;0,INDEX('CostModel Coef'!N$9:N$12,$X157),"")</f>
        <v>0</v>
      </c>
      <c r="AJ157" s="103">
        <f>IF($X157&gt;0,INDEX('CostModel Coef'!Q$9:Q$12,$X157),"")</f>
        <v>-2.6200000000000001E-2</v>
      </c>
      <c r="AK157" s="103">
        <f>IF($X157&gt;0,INDEX('CostModel Coef'!T$9:T$12,$X157),"")</f>
        <v>0</v>
      </c>
      <c r="AL157" s="103"/>
      <c r="AM157" s="108">
        <f t="shared" si="53"/>
        <v>7.0941879353912602</v>
      </c>
      <c r="AN157" s="108">
        <f t="shared" si="54"/>
        <v>7.3941879353912601</v>
      </c>
      <c r="AO157" s="108">
        <f t="shared" si="55"/>
        <v>5.6748079353912599</v>
      </c>
      <c r="AP157" s="108">
        <f t="shared" si="56"/>
        <v>5.6748079353912599</v>
      </c>
      <c r="AQ157" s="108">
        <f t="shared" si="57"/>
        <v>5.0620979353912601</v>
      </c>
      <c r="AR157" s="108"/>
      <c r="AS157" s="108"/>
      <c r="AT157" s="103">
        <f>IF($X157&gt;0,INDEX('CostModel Coef'!D$13:D$16,$X157),"")</f>
        <v>2.4649999999999999</v>
      </c>
      <c r="AU157" s="103">
        <f>IF($X157&gt;0,INDEX('CostModel Coef'!E$13:E$16,$X157),"")</f>
        <v>0.30099999999999999</v>
      </c>
      <c r="AV157" s="103">
        <f>IF($X157&gt;0,INDEX('CostModel Coef'!F$13:F$16,$X157),"")</f>
        <v>0.42399999999999999</v>
      </c>
      <c r="AW157" s="103">
        <f>IF($X157&gt;0,INDEX('CostModel Coef'!G$13:G$16,$X157),"")</f>
        <v>0</v>
      </c>
      <c r="AX157" s="103">
        <f>IF($X157&gt;0,INDEX('CostModel Coef'!H$13:H$16,$X157),"")</f>
        <v>-2.5</v>
      </c>
      <c r="AY157" s="103">
        <f>IF($X157&gt;0,INDEX('CostModel Coef'!I$13:I$16,$X157),"")</f>
        <v>-1.46</v>
      </c>
      <c r="AZ157" s="103">
        <f>IF($X157&gt;0,INDEX('CostModel Coef'!J$13:J$16,$X157),"")</f>
        <v>0</v>
      </c>
      <c r="BA157" s="103">
        <f>IF($X157&gt;0,INDEX('CostModel Coef'!K$13:K$16,$X157),"")</f>
        <v>-0.74099999999999999</v>
      </c>
      <c r="BB157" s="103">
        <f>IF($X157&gt;0,INDEX('CostModel Coef'!L$13:L$16,$X157),"")</f>
        <v>0</v>
      </c>
      <c r="BC157" s="103">
        <f>IF($X157&gt;0,INDEX('CostModel Coef'!M$13:M$16,$X157),"")</f>
        <v>0</v>
      </c>
      <c r="BD157" s="103">
        <f>IF($X157&gt;0,INDEX('CostModel Coef'!N$13:N$16,$X157),"")</f>
        <v>0.96650000000000003</v>
      </c>
      <c r="BE157" s="103">
        <f>IF($X157&gt;0,INDEX('CostModel Coef'!O$13:O$16,$X157),"")</f>
        <v>0.75</v>
      </c>
      <c r="BF157" s="103">
        <f>IF($X157&gt;0,INDEX('CostModel Coef'!P$13:P$16,$X157),"")</f>
        <v>15</v>
      </c>
      <c r="BG157" s="103">
        <f>IF($X157&gt;0,INDEX('CostModel Coef'!Q$13:Q$16,$X157),"")</f>
        <v>9.2999999999999992E-3</v>
      </c>
      <c r="BH157" s="103">
        <f>IF($X157&gt;0,INDEX('CostModel Coef'!R$13:R$16,$X157),"")</f>
        <v>3</v>
      </c>
      <c r="BI157" s="103">
        <f>IF($X157&gt;0,INDEX('CostModel Coef'!S$13:S$16,$X157),"")</f>
        <v>150</v>
      </c>
      <c r="BJ157" s="103">
        <f>IF($X157&gt;0,INDEX('CostModel Coef'!T$13:T$16,$X157),"")</f>
        <v>0</v>
      </c>
      <c r="BK157" s="103">
        <f>IF($X157&gt;0,INDEX('CostModel Coef'!U$13:U$16,$X157),"")</f>
        <v>0</v>
      </c>
      <c r="BL157" s="103">
        <f>IF($X157&gt;0,INDEX('CostModel Coef'!V$13:V$16,$X157),"")</f>
        <v>0</v>
      </c>
      <c r="BM157" s="103">
        <f>IF($X157&gt;0,INDEX('CostModel Coef'!W$13:W$16,$X157),"")</f>
        <v>-1.2746999999999999</v>
      </c>
      <c r="BN157" s="103">
        <f>IF($X157&gt;0,INDEX('CostModel Coef'!X$13:X$16,$X157),"")</f>
        <v>0</v>
      </c>
      <c r="BO157" s="103"/>
      <c r="BP157" s="119">
        <v>2000</v>
      </c>
      <c r="BQ157" s="103"/>
      <c r="BR157" s="103"/>
      <c r="BS157" s="119" t="str">
        <f t="shared" si="60"/>
        <v>WRR0347_CFLscw-Glb(20w)</v>
      </c>
      <c r="BT157" s="174">
        <f t="shared" si="52"/>
        <v>69</v>
      </c>
      <c r="BU157" s="113">
        <f t="shared" si="62"/>
        <v>5.0237000000000007</v>
      </c>
      <c r="BV157" s="108">
        <f t="shared" si="63"/>
        <v>5.7647000000000004</v>
      </c>
      <c r="BW157" s="108">
        <f t="shared" si="64"/>
        <v>3.2647000000000004</v>
      </c>
      <c r="BX157" s="108">
        <f t="shared" si="65"/>
        <v>1.8047000000000004</v>
      </c>
      <c r="BY157" s="108">
        <f t="shared" si="66"/>
        <v>1.8047000000000004</v>
      </c>
      <c r="BZ157" s="108"/>
      <c r="CA157" s="119" t="str">
        <f t="shared" si="67"/>
        <v>WRR0407_CFLscw-Glb(20w)</v>
      </c>
      <c r="CB157" s="174">
        <f t="shared" si="58"/>
        <v>81</v>
      </c>
      <c r="CC157" s="113">
        <f t="shared" si="68"/>
        <v>5.1353000000000009</v>
      </c>
      <c r="CD157" s="108">
        <f t="shared" si="69"/>
        <v>5.8763000000000005</v>
      </c>
      <c r="CE157" s="108">
        <f t="shared" si="70"/>
        <v>3.3763000000000005</v>
      </c>
      <c r="CF157" s="108">
        <f t="shared" si="71"/>
        <v>1.9163000000000006</v>
      </c>
      <c r="CG157" s="108">
        <f t="shared" si="72"/>
        <v>1.9163000000000006</v>
      </c>
      <c r="CH157" s="103"/>
      <c r="CI157" s="119" t="str">
        <f t="shared" si="61"/>
        <v>WRR0347_CFLscw-Glb(20w)</v>
      </c>
      <c r="CJ157" s="174">
        <f t="shared" si="59"/>
        <v>69</v>
      </c>
      <c r="CK157" s="113">
        <f t="shared" si="73"/>
        <v>5.0237000000000007</v>
      </c>
      <c r="CL157" s="108">
        <f t="shared" si="74"/>
        <v>5.7647000000000004</v>
      </c>
      <c r="CM157" s="108">
        <f t="shared" si="75"/>
        <v>3.2647000000000004</v>
      </c>
      <c r="CN157" s="108">
        <f t="shared" si="76"/>
        <v>1.8047000000000004</v>
      </c>
      <c r="CO157" s="108">
        <f t="shared" si="77"/>
        <v>1.8047000000000004</v>
      </c>
    </row>
    <row r="158" spans="1:93">
      <c r="A158" s="103" t="s">
        <v>469</v>
      </c>
      <c r="B158" s="103" t="s">
        <v>174</v>
      </c>
      <c r="C158" s="103" t="s">
        <v>449</v>
      </c>
      <c r="D158" s="250" t="s">
        <v>153</v>
      </c>
      <c r="E158" s="250"/>
      <c r="F158" s="182">
        <v>9020</v>
      </c>
      <c r="G158" s="250" t="s">
        <v>175</v>
      </c>
      <c r="H158" s="250">
        <v>22</v>
      </c>
      <c r="I158" s="250"/>
      <c r="J158" s="250"/>
      <c r="K158" s="250"/>
      <c r="L158" s="250" t="s">
        <v>61</v>
      </c>
      <c r="M158" s="250">
        <v>22</v>
      </c>
      <c r="N158" s="250"/>
      <c r="O158" s="250"/>
      <c r="P158" s="250" t="s">
        <v>153</v>
      </c>
      <c r="Q158" s="250"/>
      <c r="R158" s="250"/>
      <c r="S158" s="250"/>
      <c r="T158" s="250" t="s">
        <v>155</v>
      </c>
      <c r="U158" s="103" t="s">
        <v>470</v>
      </c>
      <c r="V158" s="106" t="s">
        <v>157</v>
      </c>
      <c r="W158" s="103" t="s">
        <v>83</v>
      </c>
      <c r="X158" s="103">
        <f>IFERROR(MATCH(W158,'CostModel Coef'!$C$9:$C$12,0),0)</f>
        <v>3</v>
      </c>
      <c r="Y158" s="103"/>
      <c r="Z158" s="103">
        <f>IF($X158&gt;0,INDEX('CostModel Coef'!D$9:D$12,$X158),"")</f>
        <v>7.31541</v>
      </c>
      <c r="AA158" s="103">
        <f>IF($X158&gt;0,INDEX('CostModel Coef'!E$9:E$12,$X158),"")</f>
        <v>-0.65479011267261533</v>
      </c>
      <c r="AB158" s="103">
        <f>IF($X158&gt;0,INDEX('CostModel Coef'!F$9:F$12,$X158),"")</f>
        <v>1.2575680480638753</v>
      </c>
      <c r="AC158" s="103">
        <f>IF($X158&gt;0,INDEX('CostModel Coef'!G$9:G$12,$X158),"")</f>
        <v>0</v>
      </c>
      <c r="AD158" s="103">
        <f>IF($X158&gt;0,INDEX('CostModel Coef'!H$9:H$12,$X158),"")</f>
        <v>-1.7193799999999999</v>
      </c>
      <c r="AE158" s="103">
        <f>IF($X158&gt;0,INDEX('CostModel Coef'!J$9:J$12,$X158),"")</f>
        <v>-0.61270999999999998</v>
      </c>
      <c r="AF158" s="103">
        <f>IF($X158&gt;0,INDEX('CostModel Coef'!K$9:K$12,$X158),"")</f>
        <v>-0.3</v>
      </c>
      <c r="AG158" s="103">
        <f>IF($X158&gt;0,INDEX('CostModel Coef'!L$9:L$12,$X158),"")</f>
        <v>0</v>
      </c>
      <c r="AH158" s="103">
        <f>IF($X158&gt;0,INDEX('CostModel Coef'!M$9:M$12,$X158),"")</f>
        <v>0</v>
      </c>
      <c r="AI158" s="103">
        <f>IF($X158&gt;0,INDEX('CostModel Coef'!N$9:N$12,$X158),"")</f>
        <v>0</v>
      </c>
      <c r="AJ158" s="103">
        <f>IF($X158&gt;0,INDEX('CostModel Coef'!Q$9:Q$12,$X158),"")</f>
        <v>-2.6200000000000001E-2</v>
      </c>
      <c r="AK158" s="103">
        <f>IF($X158&gt;0,INDEX('CostModel Coef'!T$9:T$12,$X158),"")</f>
        <v>0</v>
      </c>
      <c r="AL158" s="103"/>
      <c r="AM158" s="108">
        <f t="shared" si="53"/>
        <v>7.0417879353912598</v>
      </c>
      <c r="AN158" s="108">
        <f t="shared" si="54"/>
        <v>7.3417879353912596</v>
      </c>
      <c r="AO158" s="108">
        <f t="shared" si="55"/>
        <v>5.6224079353912595</v>
      </c>
      <c r="AP158" s="108">
        <f t="shared" si="56"/>
        <v>5.6224079353912595</v>
      </c>
      <c r="AQ158" s="108">
        <f t="shared" si="57"/>
        <v>5.0096979353912596</v>
      </c>
      <c r="AR158" s="108"/>
      <c r="AS158" s="108"/>
      <c r="AT158" s="103">
        <f>IF($X158&gt;0,INDEX('CostModel Coef'!D$13:D$16,$X158),"")</f>
        <v>2.4649999999999999</v>
      </c>
      <c r="AU158" s="103">
        <f>IF($X158&gt;0,INDEX('CostModel Coef'!E$13:E$16,$X158),"")</f>
        <v>0.30099999999999999</v>
      </c>
      <c r="AV158" s="103">
        <f>IF($X158&gt;0,INDEX('CostModel Coef'!F$13:F$16,$X158),"")</f>
        <v>0.42399999999999999</v>
      </c>
      <c r="AW158" s="103">
        <f>IF($X158&gt;0,INDEX('CostModel Coef'!G$13:G$16,$X158),"")</f>
        <v>0</v>
      </c>
      <c r="AX158" s="103">
        <f>IF($X158&gt;0,INDEX('CostModel Coef'!H$13:H$16,$X158),"")</f>
        <v>-2.5</v>
      </c>
      <c r="AY158" s="103">
        <f>IF($X158&gt;0,INDEX('CostModel Coef'!I$13:I$16,$X158),"")</f>
        <v>-1.46</v>
      </c>
      <c r="AZ158" s="103">
        <f>IF($X158&gt;0,INDEX('CostModel Coef'!J$13:J$16,$X158),"")</f>
        <v>0</v>
      </c>
      <c r="BA158" s="103">
        <f>IF($X158&gt;0,INDEX('CostModel Coef'!K$13:K$16,$X158),"")</f>
        <v>-0.74099999999999999</v>
      </c>
      <c r="BB158" s="103">
        <f>IF($X158&gt;0,INDEX('CostModel Coef'!L$13:L$16,$X158),"")</f>
        <v>0</v>
      </c>
      <c r="BC158" s="103">
        <f>IF($X158&gt;0,INDEX('CostModel Coef'!M$13:M$16,$X158),"")</f>
        <v>0</v>
      </c>
      <c r="BD158" s="103">
        <f>IF($X158&gt;0,INDEX('CostModel Coef'!N$13:N$16,$X158),"")</f>
        <v>0.96650000000000003</v>
      </c>
      <c r="BE158" s="103">
        <f>IF($X158&gt;0,INDEX('CostModel Coef'!O$13:O$16,$X158),"")</f>
        <v>0.75</v>
      </c>
      <c r="BF158" s="103">
        <f>IF($X158&gt;0,INDEX('CostModel Coef'!P$13:P$16,$X158),"")</f>
        <v>15</v>
      </c>
      <c r="BG158" s="103">
        <f>IF($X158&gt;0,INDEX('CostModel Coef'!Q$13:Q$16,$X158),"")</f>
        <v>9.2999999999999992E-3</v>
      </c>
      <c r="BH158" s="103">
        <f>IF($X158&gt;0,INDEX('CostModel Coef'!R$13:R$16,$X158),"")</f>
        <v>3</v>
      </c>
      <c r="BI158" s="103">
        <f>IF($X158&gt;0,INDEX('CostModel Coef'!S$13:S$16,$X158),"")</f>
        <v>150</v>
      </c>
      <c r="BJ158" s="103">
        <f>IF($X158&gt;0,INDEX('CostModel Coef'!T$13:T$16,$X158),"")</f>
        <v>0</v>
      </c>
      <c r="BK158" s="103">
        <f>IF($X158&gt;0,INDEX('CostModel Coef'!U$13:U$16,$X158),"")</f>
        <v>0</v>
      </c>
      <c r="BL158" s="103">
        <f>IF($X158&gt;0,INDEX('CostModel Coef'!V$13:V$16,$X158),"")</f>
        <v>0</v>
      </c>
      <c r="BM158" s="103">
        <f>IF($X158&gt;0,INDEX('CostModel Coef'!W$13:W$16,$X158),"")</f>
        <v>-1.2746999999999999</v>
      </c>
      <c r="BN158" s="103">
        <f>IF($X158&gt;0,INDEX('CostModel Coef'!X$13:X$16,$X158),"")</f>
        <v>0</v>
      </c>
      <c r="BO158" s="103"/>
      <c r="BP158" s="119">
        <v>2000</v>
      </c>
      <c r="BQ158" s="103"/>
      <c r="BR158" s="103"/>
      <c r="BS158" s="119" t="str">
        <f t="shared" si="60"/>
        <v>WRR0347_CFLscw-Glb(22w)</v>
      </c>
      <c r="BT158" s="174">
        <f t="shared" si="52"/>
        <v>76</v>
      </c>
      <c r="BU158" s="113">
        <f t="shared" si="62"/>
        <v>5.0888000000000009</v>
      </c>
      <c r="BV158" s="108">
        <f t="shared" si="63"/>
        <v>5.8298000000000005</v>
      </c>
      <c r="BW158" s="108">
        <f t="shared" si="64"/>
        <v>3.3298000000000005</v>
      </c>
      <c r="BX158" s="108">
        <f t="shared" si="65"/>
        <v>1.8698000000000006</v>
      </c>
      <c r="BY158" s="108">
        <f t="shared" si="66"/>
        <v>1.8698000000000006</v>
      </c>
      <c r="BZ158" s="108"/>
      <c r="CA158" s="119" t="str">
        <f t="shared" si="67"/>
        <v>WRR0407_CFLscw-Glb(22w)</v>
      </c>
      <c r="CB158" s="174">
        <f t="shared" si="58"/>
        <v>90</v>
      </c>
      <c r="CC158" s="113">
        <f t="shared" si="68"/>
        <v>5.2190000000000003</v>
      </c>
      <c r="CD158" s="108">
        <f t="shared" si="69"/>
        <v>5.96</v>
      </c>
      <c r="CE158" s="108">
        <f t="shared" si="70"/>
        <v>3.46</v>
      </c>
      <c r="CF158" s="108">
        <f t="shared" si="71"/>
        <v>2</v>
      </c>
      <c r="CG158" s="108">
        <f t="shared" si="72"/>
        <v>2</v>
      </c>
      <c r="CH158" s="103"/>
      <c r="CI158" s="119" t="str">
        <f t="shared" si="61"/>
        <v>WRR0347_CFLscw-Glb(22w)</v>
      </c>
      <c r="CJ158" s="174">
        <f t="shared" si="59"/>
        <v>76</v>
      </c>
      <c r="CK158" s="113">
        <f t="shared" si="73"/>
        <v>5.0888000000000009</v>
      </c>
      <c r="CL158" s="108">
        <f t="shared" si="74"/>
        <v>5.8298000000000005</v>
      </c>
      <c r="CM158" s="108">
        <f t="shared" si="75"/>
        <v>3.3298000000000005</v>
      </c>
      <c r="CN158" s="108">
        <f t="shared" si="76"/>
        <v>1.8698000000000006</v>
      </c>
      <c r="CO158" s="108">
        <f t="shared" si="77"/>
        <v>1.8698000000000006</v>
      </c>
    </row>
    <row r="159" spans="1:93">
      <c r="A159" s="103" t="s">
        <v>471</v>
      </c>
      <c r="B159" s="103" t="s">
        <v>174</v>
      </c>
      <c r="C159" s="103" t="s">
        <v>449</v>
      </c>
      <c r="D159" s="250" t="s">
        <v>153</v>
      </c>
      <c r="E159" s="250"/>
      <c r="F159" s="182">
        <v>9020</v>
      </c>
      <c r="G159" s="250" t="s">
        <v>175</v>
      </c>
      <c r="H159" s="250">
        <v>23</v>
      </c>
      <c r="I159" s="250"/>
      <c r="J159" s="250"/>
      <c r="K159" s="250"/>
      <c r="L159" s="250" t="s">
        <v>61</v>
      </c>
      <c r="M159" s="250">
        <v>23</v>
      </c>
      <c r="N159" s="250"/>
      <c r="O159" s="250"/>
      <c r="P159" s="250" t="s">
        <v>153</v>
      </c>
      <c r="Q159" s="250"/>
      <c r="R159" s="250"/>
      <c r="S159" s="250"/>
      <c r="T159" s="250" t="s">
        <v>155</v>
      </c>
      <c r="U159" s="103" t="s">
        <v>472</v>
      </c>
      <c r="V159" s="106" t="s">
        <v>157</v>
      </c>
      <c r="W159" s="103" t="s">
        <v>83</v>
      </c>
      <c r="X159" s="103">
        <f>IFERROR(MATCH(W159,'CostModel Coef'!$C$9:$C$12,0),0)</f>
        <v>3</v>
      </c>
      <c r="Y159" s="103"/>
      <c r="Z159" s="103">
        <f>IF($X159&gt;0,INDEX('CostModel Coef'!D$9:D$12,$X159),"")</f>
        <v>7.31541</v>
      </c>
      <c r="AA159" s="103">
        <f>IF($X159&gt;0,INDEX('CostModel Coef'!E$9:E$12,$X159),"")</f>
        <v>-0.65479011267261533</v>
      </c>
      <c r="AB159" s="103">
        <f>IF($X159&gt;0,INDEX('CostModel Coef'!F$9:F$12,$X159),"")</f>
        <v>1.2575680480638753</v>
      </c>
      <c r="AC159" s="103">
        <f>IF($X159&gt;0,INDEX('CostModel Coef'!G$9:G$12,$X159),"")</f>
        <v>0</v>
      </c>
      <c r="AD159" s="103">
        <f>IF($X159&gt;0,INDEX('CostModel Coef'!H$9:H$12,$X159),"")</f>
        <v>-1.7193799999999999</v>
      </c>
      <c r="AE159" s="103">
        <f>IF($X159&gt;0,INDEX('CostModel Coef'!J$9:J$12,$X159),"")</f>
        <v>-0.61270999999999998</v>
      </c>
      <c r="AF159" s="103">
        <f>IF($X159&gt;0,INDEX('CostModel Coef'!K$9:K$12,$X159),"")</f>
        <v>-0.3</v>
      </c>
      <c r="AG159" s="103">
        <f>IF($X159&gt;0,INDEX('CostModel Coef'!L$9:L$12,$X159),"")</f>
        <v>0</v>
      </c>
      <c r="AH159" s="103">
        <f>IF($X159&gt;0,INDEX('CostModel Coef'!M$9:M$12,$X159),"")</f>
        <v>0</v>
      </c>
      <c r="AI159" s="103">
        <f>IF($X159&gt;0,INDEX('CostModel Coef'!N$9:N$12,$X159),"")</f>
        <v>0</v>
      </c>
      <c r="AJ159" s="103">
        <f>IF($X159&gt;0,INDEX('CostModel Coef'!Q$9:Q$12,$X159),"")</f>
        <v>-2.6200000000000001E-2</v>
      </c>
      <c r="AK159" s="103">
        <f>IF($X159&gt;0,INDEX('CostModel Coef'!T$9:T$12,$X159),"")</f>
        <v>0</v>
      </c>
      <c r="AL159" s="103"/>
      <c r="AM159" s="108">
        <f t="shared" si="53"/>
        <v>7.0155879353912605</v>
      </c>
      <c r="AN159" s="108">
        <f t="shared" si="54"/>
        <v>7.3155879353912603</v>
      </c>
      <c r="AO159" s="108">
        <f t="shared" si="55"/>
        <v>5.5962079353912602</v>
      </c>
      <c r="AP159" s="108">
        <f t="shared" si="56"/>
        <v>5.5962079353912602</v>
      </c>
      <c r="AQ159" s="108">
        <f t="shared" si="57"/>
        <v>4.9834979353912603</v>
      </c>
      <c r="AR159" s="108"/>
      <c r="AS159" s="108"/>
      <c r="AT159" s="103">
        <f>IF($X159&gt;0,INDEX('CostModel Coef'!D$13:D$16,$X159),"")</f>
        <v>2.4649999999999999</v>
      </c>
      <c r="AU159" s="103">
        <f>IF($X159&gt;0,INDEX('CostModel Coef'!E$13:E$16,$X159),"")</f>
        <v>0.30099999999999999</v>
      </c>
      <c r="AV159" s="103">
        <f>IF($X159&gt;0,INDEX('CostModel Coef'!F$13:F$16,$X159),"")</f>
        <v>0.42399999999999999</v>
      </c>
      <c r="AW159" s="103">
        <f>IF($X159&gt;0,INDEX('CostModel Coef'!G$13:G$16,$X159),"")</f>
        <v>0</v>
      </c>
      <c r="AX159" s="103">
        <f>IF($X159&gt;0,INDEX('CostModel Coef'!H$13:H$16,$X159),"")</f>
        <v>-2.5</v>
      </c>
      <c r="AY159" s="103">
        <f>IF($X159&gt;0,INDEX('CostModel Coef'!I$13:I$16,$X159),"")</f>
        <v>-1.46</v>
      </c>
      <c r="AZ159" s="103">
        <f>IF($X159&gt;0,INDEX('CostModel Coef'!J$13:J$16,$X159),"")</f>
        <v>0</v>
      </c>
      <c r="BA159" s="103">
        <f>IF($X159&gt;0,INDEX('CostModel Coef'!K$13:K$16,$X159),"")</f>
        <v>-0.74099999999999999</v>
      </c>
      <c r="BB159" s="103">
        <f>IF($X159&gt;0,INDEX('CostModel Coef'!L$13:L$16,$X159),"")</f>
        <v>0</v>
      </c>
      <c r="BC159" s="103">
        <f>IF($X159&gt;0,INDEX('CostModel Coef'!M$13:M$16,$X159),"")</f>
        <v>0</v>
      </c>
      <c r="BD159" s="103">
        <f>IF($X159&gt;0,INDEX('CostModel Coef'!N$13:N$16,$X159),"")</f>
        <v>0.96650000000000003</v>
      </c>
      <c r="BE159" s="103">
        <f>IF($X159&gt;0,INDEX('CostModel Coef'!O$13:O$16,$X159),"")</f>
        <v>0.75</v>
      </c>
      <c r="BF159" s="103">
        <f>IF($X159&gt;0,INDEX('CostModel Coef'!P$13:P$16,$X159),"")</f>
        <v>15</v>
      </c>
      <c r="BG159" s="103">
        <f>IF($X159&gt;0,INDEX('CostModel Coef'!Q$13:Q$16,$X159),"")</f>
        <v>9.2999999999999992E-3</v>
      </c>
      <c r="BH159" s="103">
        <f>IF($X159&gt;0,INDEX('CostModel Coef'!R$13:R$16,$X159),"")</f>
        <v>3</v>
      </c>
      <c r="BI159" s="103">
        <f>IF($X159&gt;0,INDEX('CostModel Coef'!S$13:S$16,$X159),"")</f>
        <v>150</v>
      </c>
      <c r="BJ159" s="103">
        <f>IF($X159&gt;0,INDEX('CostModel Coef'!T$13:T$16,$X159),"")</f>
        <v>0</v>
      </c>
      <c r="BK159" s="103">
        <f>IF($X159&gt;0,INDEX('CostModel Coef'!U$13:U$16,$X159),"")</f>
        <v>0</v>
      </c>
      <c r="BL159" s="103">
        <f>IF($X159&gt;0,INDEX('CostModel Coef'!V$13:V$16,$X159),"")</f>
        <v>0</v>
      </c>
      <c r="BM159" s="103">
        <f>IF($X159&gt;0,INDEX('CostModel Coef'!W$13:W$16,$X159),"")</f>
        <v>-1.2746999999999999</v>
      </c>
      <c r="BN159" s="103">
        <f>IF($X159&gt;0,INDEX('CostModel Coef'!X$13:X$16,$X159),"")</f>
        <v>0</v>
      </c>
      <c r="BO159" s="103"/>
      <c r="BP159" s="119">
        <v>2000</v>
      </c>
      <c r="BQ159" s="103"/>
      <c r="BR159" s="103"/>
      <c r="BS159" s="119" t="str">
        <f t="shared" si="60"/>
        <v>WRR0347_CFLscw-Glb(23w)</v>
      </c>
      <c r="BT159" s="174">
        <f t="shared" si="52"/>
        <v>80</v>
      </c>
      <c r="BU159" s="113">
        <f t="shared" si="62"/>
        <v>5.1260000000000003</v>
      </c>
      <c r="BV159" s="108">
        <f t="shared" si="63"/>
        <v>5.867</v>
      </c>
      <c r="BW159" s="108">
        <f t="shared" si="64"/>
        <v>3.367</v>
      </c>
      <c r="BX159" s="108">
        <f t="shared" si="65"/>
        <v>1.907</v>
      </c>
      <c r="BY159" s="108">
        <f t="shared" si="66"/>
        <v>1.907</v>
      </c>
      <c r="BZ159" s="108"/>
      <c r="CA159" s="119" t="str">
        <f t="shared" si="67"/>
        <v>WRR0407_CFLscw-Glb(23w)</v>
      </c>
      <c r="CB159" s="174">
        <f t="shared" si="58"/>
        <v>94</v>
      </c>
      <c r="CC159" s="113">
        <f t="shared" si="68"/>
        <v>5.2562000000000006</v>
      </c>
      <c r="CD159" s="108">
        <f t="shared" si="69"/>
        <v>5.9972000000000003</v>
      </c>
      <c r="CE159" s="108">
        <f t="shared" si="70"/>
        <v>3.4972000000000003</v>
      </c>
      <c r="CF159" s="108">
        <f t="shared" si="71"/>
        <v>2.0372000000000003</v>
      </c>
      <c r="CG159" s="108">
        <f t="shared" si="72"/>
        <v>2.0372000000000003</v>
      </c>
      <c r="CH159" s="103"/>
      <c r="CI159" s="119" t="str">
        <f t="shared" si="61"/>
        <v>WRR0347_CFLscw-Glb(23w)</v>
      </c>
      <c r="CJ159" s="174">
        <f t="shared" si="59"/>
        <v>80</v>
      </c>
      <c r="CK159" s="113">
        <f t="shared" si="73"/>
        <v>5.1260000000000003</v>
      </c>
      <c r="CL159" s="108">
        <f t="shared" si="74"/>
        <v>5.867</v>
      </c>
      <c r="CM159" s="108">
        <f t="shared" si="75"/>
        <v>3.367</v>
      </c>
      <c r="CN159" s="108">
        <f t="shared" si="76"/>
        <v>1.907</v>
      </c>
      <c r="CO159" s="108">
        <f t="shared" si="77"/>
        <v>1.907</v>
      </c>
    </row>
    <row r="160" spans="1:93">
      <c r="A160" s="103" t="s">
        <v>473</v>
      </c>
      <c r="B160" s="103" t="s">
        <v>174</v>
      </c>
      <c r="C160" s="103" t="s">
        <v>449</v>
      </c>
      <c r="D160" s="250" t="s">
        <v>153</v>
      </c>
      <c r="E160" s="250"/>
      <c r="F160" s="182">
        <v>9020</v>
      </c>
      <c r="G160" s="250" t="s">
        <v>175</v>
      </c>
      <c r="H160" s="250">
        <v>24</v>
      </c>
      <c r="I160" s="250"/>
      <c r="J160" s="250"/>
      <c r="K160" s="250"/>
      <c r="L160" s="250" t="s">
        <v>61</v>
      </c>
      <c r="M160" s="250">
        <v>24</v>
      </c>
      <c r="N160" s="250"/>
      <c r="O160" s="250"/>
      <c r="P160" s="250" t="s">
        <v>153</v>
      </c>
      <c r="Q160" s="250"/>
      <c r="R160" s="250"/>
      <c r="S160" s="250"/>
      <c r="T160" s="250" t="s">
        <v>155</v>
      </c>
      <c r="U160" s="103" t="s">
        <v>474</v>
      </c>
      <c r="V160" s="106" t="s">
        <v>157</v>
      </c>
      <c r="W160" s="103" t="s">
        <v>158</v>
      </c>
      <c r="X160" s="103">
        <f>IFERROR(MATCH(W160,'CostModel Coef'!$C$9:$C$12,0),0)</f>
        <v>0</v>
      </c>
      <c r="Y160" s="103"/>
      <c r="Z160" s="103" t="str">
        <f>IF($X160&gt;0,INDEX('CostModel Coef'!D$9:D$12,$X160),"")</f>
        <v/>
      </c>
      <c r="AA160" s="103" t="str">
        <f>IF($X160&gt;0,INDEX('CostModel Coef'!E$9:E$12,$X160),"")</f>
        <v/>
      </c>
      <c r="AB160" s="103" t="str">
        <f>IF($X160&gt;0,INDEX('CostModel Coef'!F$9:F$12,$X160),"")</f>
        <v/>
      </c>
      <c r="AC160" s="103" t="str">
        <f>IF($X160&gt;0,INDEX('CostModel Coef'!G$9:G$12,$X160),"")</f>
        <v/>
      </c>
      <c r="AD160" s="103" t="str">
        <f>IF($X160&gt;0,INDEX('CostModel Coef'!H$9:H$12,$X160),"")</f>
        <v/>
      </c>
      <c r="AE160" s="103" t="str">
        <f>IF($X160&gt;0,INDEX('CostModel Coef'!J$9:J$12,$X160),"")</f>
        <v/>
      </c>
      <c r="AF160" s="103" t="str">
        <f>IF($X160&gt;0,INDEX('CostModel Coef'!K$9:K$12,$X160),"")</f>
        <v/>
      </c>
      <c r="AG160" s="103" t="str">
        <f>IF($X160&gt;0,INDEX('CostModel Coef'!L$9:L$12,$X160),"")</f>
        <v/>
      </c>
      <c r="AH160" s="103" t="str">
        <f>IF($X160&gt;0,INDEX('CostModel Coef'!M$9:M$12,$X160),"")</f>
        <v/>
      </c>
      <c r="AI160" s="103" t="str">
        <f>IF($X160&gt;0,INDEX('CostModel Coef'!N$9:N$12,$X160),"")</f>
        <v/>
      </c>
      <c r="AJ160" s="103" t="str">
        <f>IF($X160&gt;0,INDEX('CostModel Coef'!Q$9:Q$12,$X160),"")</f>
        <v/>
      </c>
      <c r="AK160" s="103" t="str">
        <f>IF($X160&gt;0,INDEX('CostModel Coef'!T$9:T$12,$X160),"")</f>
        <v/>
      </c>
      <c r="AL160" s="103"/>
      <c r="AM160" s="108" t="str">
        <f t="shared" si="53"/>
        <v/>
      </c>
      <c r="AN160" s="108" t="str">
        <f t="shared" si="54"/>
        <v/>
      </c>
      <c r="AO160" s="108" t="str">
        <f t="shared" si="55"/>
        <v/>
      </c>
      <c r="AP160" s="108" t="str">
        <f t="shared" si="56"/>
        <v/>
      </c>
      <c r="AQ160" s="108" t="str">
        <f t="shared" si="57"/>
        <v/>
      </c>
      <c r="AR160" s="108"/>
      <c r="AS160" s="108"/>
      <c r="AT160" s="103" t="str">
        <f>IF($X160&gt;0,INDEX('CostModel Coef'!D$13:D$16,$X160),"")</f>
        <v/>
      </c>
      <c r="AU160" s="103" t="str">
        <f>IF($X160&gt;0,INDEX('CostModel Coef'!E$13:E$16,$X160),"")</f>
        <v/>
      </c>
      <c r="AV160" s="103" t="str">
        <f>IF($X160&gt;0,INDEX('CostModel Coef'!F$13:F$16,$X160),"")</f>
        <v/>
      </c>
      <c r="AW160" s="103" t="str">
        <f>IF($X160&gt;0,INDEX('CostModel Coef'!G$13:G$16,$X160),"")</f>
        <v/>
      </c>
      <c r="AX160" s="103" t="str">
        <f>IF($X160&gt;0,INDEX('CostModel Coef'!H$13:H$16,$X160),"")</f>
        <v/>
      </c>
      <c r="AY160" s="103" t="str">
        <f>IF($X160&gt;0,INDEX('CostModel Coef'!I$13:I$16,$X160),"")</f>
        <v/>
      </c>
      <c r="AZ160" s="103" t="str">
        <f>IF($X160&gt;0,INDEX('CostModel Coef'!J$13:J$16,$X160),"")</f>
        <v/>
      </c>
      <c r="BA160" s="103" t="str">
        <f>IF($X160&gt;0,INDEX('CostModel Coef'!K$13:K$16,$X160),"")</f>
        <v/>
      </c>
      <c r="BB160" s="103" t="str">
        <f>IF($X160&gt;0,INDEX('CostModel Coef'!L$13:L$16,$X160),"")</f>
        <v/>
      </c>
      <c r="BC160" s="103" t="str">
        <f>IF($X160&gt;0,INDEX('CostModel Coef'!M$13:M$16,$X160),"")</f>
        <v/>
      </c>
      <c r="BD160" s="103" t="str">
        <f>IF($X160&gt;0,INDEX('CostModel Coef'!N$13:N$16,$X160),"")</f>
        <v/>
      </c>
      <c r="BE160" s="103" t="str">
        <f>IF($X160&gt;0,INDEX('CostModel Coef'!O$13:O$16,$X160),"")</f>
        <v/>
      </c>
      <c r="BF160" s="103" t="str">
        <f>IF($X160&gt;0,INDEX('CostModel Coef'!P$13:P$16,$X160),"")</f>
        <v/>
      </c>
      <c r="BG160" s="103" t="str">
        <f>IF($X160&gt;0,INDEX('CostModel Coef'!Q$13:Q$16,$X160),"")</f>
        <v/>
      </c>
      <c r="BH160" s="103" t="str">
        <f>IF($X160&gt;0,INDEX('CostModel Coef'!R$13:R$16,$X160),"")</f>
        <v/>
      </c>
      <c r="BI160" s="103" t="str">
        <f>IF($X160&gt;0,INDEX('CostModel Coef'!S$13:S$16,$X160),"")</f>
        <v/>
      </c>
      <c r="BJ160" s="103" t="str">
        <f>IF($X160&gt;0,INDEX('CostModel Coef'!T$13:T$16,$X160),"")</f>
        <v/>
      </c>
      <c r="BK160" s="103" t="str">
        <f>IF($X160&gt;0,INDEX('CostModel Coef'!U$13:U$16,$X160),"")</f>
        <v/>
      </c>
      <c r="BL160" s="103" t="str">
        <f>IF($X160&gt;0,INDEX('CostModel Coef'!V$13:V$16,$X160),"")</f>
        <v/>
      </c>
      <c r="BM160" s="103" t="str">
        <f>IF($X160&gt;0,INDEX('CostModel Coef'!W$13:W$16,$X160),"")</f>
        <v/>
      </c>
      <c r="BN160" s="103" t="str">
        <f>IF($X160&gt;0,INDEX('CostModel Coef'!X$13:X$16,$X160),"")</f>
        <v/>
      </c>
      <c r="BO160" s="103"/>
      <c r="BP160" s="119">
        <v>2000</v>
      </c>
      <c r="BQ160" s="103"/>
      <c r="BR160" s="103"/>
      <c r="BS160" s="119" t="str">
        <f t="shared" si="60"/>
        <v/>
      </c>
      <c r="BT160" s="174">
        <f t="shared" si="52"/>
        <v>-1</v>
      </c>
      <c r="BU160" s="113" t="str">
        <f t="shared" si="62"/>
        <v>OOS</v>
      </c>
      <c r="BV160" s="108" t="str">
        <f t="shared" si="63"/>
        <v>OOS</v>
      </c>
      <c r="BW160" s="108" t="str">
        <f t="shared" si="64"/>
        <v>OOS</v>
      </c>
      <c r="BX160" s="108" t="str">
        <f t="shared" si="65"/>
        <v>OOS</v>
      </c>
      <c r="BY160" s="108" t="str">
        <f t="shared" si="66"/>
        <v>OOS</v>
      </c>
      <c r="BZ160" s="108"/>
      <c r="CA160" s="119" t="str">
        <f t="shared" si="67"/>
        <v/>
      </c>
      <c r="CB160" s="174">
        <f t="shared" si="58"/>
        <v>-1</v>
      </c>
      <c r="CC160" s="113" t="str">
        <f t="shared" si="68"/>
        <v/>
      </c>
      <c r="CD160" s="108" t="str">
        <f t="shared" si="69"/>
        <v/>
      </c>
      <c r="CE160" s="108" t="str">
        <f t="shared" si="70"/>
        <v/>
      </c>
      <c r="CF160" s="108" t="str">
        <f t="shared" si="71"/>
        <v/>
      </c>
      <c r="CG160" s="108" t="str">
        <f t="shared" si="72"/>
        <v/>
      </c>
      <c r="CH160" s="103"/>
      <c r="CI160" s="119" t="str">
        <f t="shared" si="61"/>
        <v/>
      </c>
      <c r="CJ160" s="174">
        <f t="shared" si="59"/>
        <v>-1</v>
      </c>
      <c r="CK160" s="113" t="str">
        <f t="shared" si="73"/>
        <v/>
      </c>
      <c r="CL160" s="108" t="str">
        <f t="shared" si="74"/>
        <v/>
      </c>
      <c r="CM160" s="108" t="str">
        <f t="shared" si="75"/>
        <v/>
      </c>
      <c r="CN160" s="108" t="str">
        <f t="shared" si="76"/>
        <v/>
      </c>
      <c r="CO160" s="108" t="str">
        <f t="shared" si="77"/>
        <v/>
      </c>
    </row>
    <row r="161" spans="1:93">
      <c r="A161" s="103" t="s">
        <v>475</v>
      </c>
      <c r="B161" s="103" t="s">
        <v>174</v>
      </c>
      <c r="C161" s="103" t="s">
        <v>449</v>
      </c>
      <c r="D161" s="250" t="s">
        <v>153</v>
      </c>
      <c r="E161" s="250"/>
      <c r="F161" s="182">
        <v>9020</v>
      </c>
      <c r="G161" s="250" t="s">
        <v>175</v>
      </c>
      <c r="H161" s="250">
        <v>25</v>
      </c>
      <c r="I161" s="250"/>
      <c r="J161" s="250"/>
      <c r="K161" s="250"/>
      <c r="L161" s="250" t="s">
        <v>61</v>
      </c>
      <c r="M161" s="250">
        <v>25</v>
      </c>
      <c r="N161" s="250"/>
      <c r="O161" s="250"/>
      <c r="P161" s="250" t="s">
        <v>153</v>
      </c>
      <c r="Q161" s="250"/>
      <c r="R161" s="250"/>
      <c r="S161" s="250"/>
      <c r="T161" s="250" t="s">
        <v>155</v>
      </c>
      <c r="U161" s="103" t="s">
        <v>476</v>
      </c>
      <c r="V161" s="106" t="s">
        <v>157</v>
      </c>
      <c r="W161" s="103" t="s">
        <v>158</v>
      </c>
      <c r="X161" s="103">
        <f>IFERROR(MATCH(W161,'CostModel Coef'!$C$9:$C$12,0),0)</f>
        <v>0</v>
      </c>
      <c r="Y161" s="103"/>
      <c r="Z161" s="103" t="str">
        <f>IF($X161&gt;0,INDEX('CostModel Coef'!D$9:D$12,$X161),"")</f>
        <v/>
      </c>
      <c r="AA161" s="103" t="str">
        <f>IF($X161&gt;0,INDEX('CostModel Coef'!E$9:E$12,$X161),"")</f>
        <v/>
      </c>
      <c r="AB161" s="103" t="str">
        <f>IF($X161&gt;0,INDEX('CostModel Coef'!F$9:F$12,$X161),"")</f>
        <v/>
      </c>
      <c r="AC161" s="103" t="str">
        <f>IF($X161&gt;0,INDEX('CostModel Coef'!G$9:G$12,$X161),"")</f>
        <v/>
      </c>
      <c r="AD161" s="103" t="str">
        <f>IF($X161&gt;0,INDEX('CostModel Coef'!H$9:H$12,$X161),"")</f>
        <v/>
      </c>
      <c r="AE161" s="103" t="str">
        <f>IF($X161&gt;0,INDEX('CostModel Coef'!J$9:J$12,$X161),"")</f>
        <v/>
      </c>
      <c r="AF161" s="103" t="str">
        <f>IF($X161&gt;0,INDEX('CostModel Coef'!K$9:K$12,$X161),"")</f>
        <v/>
      </c>
      <c r="AG161" s="103" t="str">
        <f>IF($X161&gt;0,INDEX('CostModel Coef'!L$9:L$12,$X161),"")</f>
        <v/>
      </c>
      <c r="AH161" s="103" t="str">
        <f>IF($X161&gt;0,INDEX('CostModel Coef'!M$9:M$12,$X161),"")</f>
        <v/>
      </c>
      <c r="AI161" s="103" t="str">
        <f>IF($X161&gt;0,INDEX('CostModel Coef'!N$9:N$12,$X161),"")</f>
        <v/>
      </c>
      <c r="AJ161" s="103" t="str">
        <f>IF($X161&gt;0,INDEX('CostModel Coef'!Q$9:Q$12,$X161),"")</f>
        <v/>
      </c>
      <c r="AK161" s="103" t="str">
        <f>IF($X161&gt;0,INDEX('CostModel Coef'!T$9:T$12,$X161),"")</f>
        <v/>
      </c>
      <c r="AL161" s="103"/>
      <c r="AM161" s="108" t="str">
        <f t="shared" si="53"/>
        <v/>
      </c>
      <c r="AN161" s="108" t="str">
        <f t="shared" si="54"/>
        <v/>
      </c>
      <c r="AO161" s="108" t="str">
        <f t="shared" si="55"/>
        <v/>
      </c>
      <c r="AP161" s="108" t="str">
        <f t="shared" si="56"/>
        <v/>
      </c>
      <c r="AQ161" s="108" t="str">
        <f t="shared" si="57"/>
        <v/>
      </c>
      <c r="AR161" s="108"/>
      <c r="AS161" s="108"/>
      <c r="AT161" s="103" t="str">
        <f>IF($X161&gt;0,INDEX('CostModel Coef'!D$13:D$16,$X161),"")</f>
        <v/>
      </c>
      <c r="AU161" s="103" t="str">
        <f>IF($X161&gt;0,INDEX('CostModel Coef'!E$13:E$16,$X161),"")</f>
        <v/>
      </c>
      <c r="AV161" s="103" t="str">
        <f>IF($X161&gt;0,INDEX('CostModel Coef'!F$13:F$16,$X161),"")</f>
        <v/>
      </c>
      <c r="AW161" s="103" t="str">
        <f>IF($X161&gt;0,INDEX('CostModel Coef'!G$13:G$16,$X161),"")</f>
        <v/>
      </c>
      <c r="AX161" s="103" t="str">
        <f>IF($X161&gt;0,INDEX('CostModel Coef'!H$13:H$16,$X161),"")</f>
        <v/>
      </c>
      <c r="AY161" s="103" t="str">
        <f>IF($X161&gt;0,INDEX('CostModel Coef'!I$13:I$16,$X161),"")</f>
        <v/>
      </c>
      <c r="AZ161" s="103" t="str">
        <f>IF($X161&gt;0,INDEX('CostModel Coef'!J$13:J$16,$X161),"")</f>
        <v/>
      </c>
      <c r="BA161" s="103" t="str">
        <f>IF($X161&gt;0,INDEX('CostModel Coef'!K$13:K$16,$X161),"")</f>
        <v/>
      </c>
      <c r="BB161" s="103" t="str">
        <f>IF($X161&gt;0,INDEX('CostModel Coef'!L$13:L$16,$X161),"")</f>
        <v/>
      </c>
      <c r="BC161" s="103" t="str">
        <f>IF($X161&gt;0,INDEX('CostModel Coef'!M$13:M$16,$X161),"")</f>
        <v/>
      </c>
      <c r="BD161" s="103" t="str">
        <f>IF($X161&gt;0,INDEX('CostModel Coef'!N$13:N$16,$X161),"")</f>
        <v/>
      </c>
      <c r="BE161" s="103" t="str">
        <f>IF($X161&gt;0,INDEX('CostModel Coef'!O$13:O$16,$X161),"")</f>
        <v/>
      </c>
      <c r="BF161" s="103" t="str">
        <f>IF($X161&gt;0,INDEX('CostModel Coef'!P$13:P$16,$X161),"")</f>
        <v/>
      </c>
      <c r="BG161" s="103" t="str">
        <f>IF($X161&gt;0,INDEX('CostModel Coef'!Q$13:Q$16,$X161),"")</f>
        <v/>
      </c>
      <c r="BH161" s="103" t="str">
        <f>IF($X161&gt;0,INDEX('CostModel Coef'!R$13:R$16,$X161),"")</f>
        <v/>
      </c>
      <c r="BI161" s="103" t="str">
        <f>IF($X161&gt;0,INDEX('CostModel Coef'!S$13:S$16,$X161),"")</f>
        <v/>
      </c>
      <c r="BJ161" s="103" t="str">
        <f>IF($X161&gt;0,INDEX('CostModel Coef'!T$13:T$16,$X161),"")</f>
        <v/>
      </c>
      <c r="BK161" s="103" t="str">
        <f>IF($X161&gt;0,INDEX('CostModel Coef'!U$13:U$16,$X161),"")</f>
        <v/>
      </c>
      <c r="BL161" s="103" t="str">
        <f>IF($X161&gt;0,INDEX('CostModel Coef'!V$13:V$16,$X161),"")</f>
        <v/>
      </c>
      <c r="BM161" s="103" t="str">
        <f>IF($X161&gt;0,INDEX('CostModel Coef'!W$13:W$16,$X161),"")</f>
        <v/>
      </c>
      <c r="BN161" s="103" t="str">
        <f>IF($X161&gt;0,INDEX('CostModel Coef'!X$13:X$16,$X161),"")</f>
        <v/>
      </c>
      <c r="BO161" s="103"/>
      <c r="BP161" s="119">
        <v>2000</v>
      </c>
      <c r="BQ161" s="103"/>
      <c r="BR161" s="103"/>
      <c r="BS161" s="119" t="str">
        <f t="shared" si="60"/>
        <v/>
      </c>
      <c r="BT161" s="174">
        <f t="shared" si="52"/>
        <v>-1</v>
      </c>
      <c r="BU161" s="113" t="str">
        <f t="shared" si="62"/>
        <v>OOS</v>
      </c>
      <c r="BV161" s="108" t="str">
        <f t="shared" si="63"/>
        <v>OOS</v>
      </c>
      <c r="BW161" s="108" t="str">
        <f t="shared" si="64"/>
        <v>OOS</v>
      </c>
      <c r="BX161" s="108" t="str">
        <f t="shared" si="65"/>
        <v>OOS</v>
      </c>
      <c r="BY161" s="108" t="str">
        <f t="shared" si="66"/>
        <v>OOS</v>
      </c>
      <c r="BZ161" s="108"/>
      <c r="CA161" s="119" t="str">
        <f t="shared" si="67"/>
        <v/>
      </c>
      <c r="CB161" s="174">
        <f t="shared" si="58"/>
        <v>-1</v>
      </c>
      <c r="CC161" s="113" t="str">
        <f t="shared" si="68"/>
        <v/>
      </c>
      <c r="CD161" s="108" t="str">
        <f t="shared" si="69"/>
        <v/>
      </c>
      <c r="CE161" s="108" t="str">
        <f t="shared" si="70"/>
        <v/>
      </c>
      <c r="CF161" s="108" t="str">
        <f t="shared" si="71"/>
        <v/>
      </c>
      <c r="CG161" s="108" t="str">
        <f t="shared" si="72"/>
        <v/>
      </c>
      <c r="CH161" s="103"/>
      <c r="CI161" s="119" t="str">
        <f t="shared" si="61"/>
        <v/>
      </c>
      <c r="CJ161" s="174">
        <f t="shared" si="59"/>
        <v>-1</v>
      </c>
      <c r="CK161" s="113" t="str">
        <f t="shared" si="73"/>
        <v/>
      </c>
      <c r="CL161" s="108" t="str">
        <f t="shared" si="74"/>
        <v/>
      </c>
      <c r="CM161" s="108" t="str">
        <f t="shared" si="75"/>
        <v/>
      </c>
      <c r="CN161" s="108" t="str">
        <f t="shared" si="76"/>
        <v/>
      </c>
      <c r="CO161" s="108" t="str">
        <f t="shared" si="77"/>
        <v/>
      </c>
    </row>
    <row r="162" spans="1:93">
      <c r="A162" s="103" t="s">
        <v>477</v>
      </c>
      <c r="B162" s="103" t="s">
        <v>174</v>
      </c>
      <c r="C162" s="103" t="s">
        <v>449</v>
      </c>
      <c r="D162" s="250" t="s">
        <v>153</v>
      </c>
      <c r="E162" s="250"/>
      <c r="F162" s="182">
        <v>9020</v>
      </c>
      <c r="G162" s="250" t="s">
        <v>175</v>
      </c>
      <c r="H162" s="250">
        <v>26</v>
      </c>
      <c r="I162" s="250"/>
      <c r="J162" s="250"/>
      <c r="K162" s="250"/>
      <c r="L162" s="250" t="s">
        <v>61</v>
      </c>
      <c r="M162" s="250">
        <v>26</v>
      </c>
      <c r="N162" s="250"/>
      <c r="O162" s="250"/>
      <c r="P162" s="250" t="s">
        <v>153</v>
      </c>
      <c r="Q162" s="250"/>
      <c r="R162" s="250"/>
      <c r="S162" s="250"/>
      <c r="T162" s="250" t="s">
        <v>155</v>
      </c>
      <c r="U162" s="103" t="s">
        <v>478</v>
      </c>
      <c r="V162" s="106" t="s">
        <v>157</v>
      </c>
      <c r="W162" s="103" t="s">
        <v>158</v>
      </c>
      <c r="X162" s="103">
        <f>IFERROR(MATCH(W162,'CostModel Coef'!$C$9:$C$12,0),0)</f>
        <v>0</v>
      </c>
      <c r="Y162" s="103"/>
      <c r="Z162" s="103" t="str">
        <f>IF($X162&gt;0,INDEX('CostModel Coef'!D$9:D$12,$X162),"")</f>
        <v/>
      </c>
      <c r="AA162" s="103" t="str">
        <f>IF($X162&gt;0,INDEX('CostModel Coef'!E$9:E$12,$X162),"")</f>
        <v/>
      </c>
      <c r="AB162" s="103" t="str">
        <f>IF($X162&gt;0,INDEX('CostModel Coef'!F$9:F$12,$X162),"")</f>
        <v/>
      </c>
      <c r="AC162" s="103" t="str">
        <f>IF($X162&gt;0,INDEX('CostModel Coef'!G$9:G$12,$X162),"")</f>
        <v/>
      </c>
      <c r="AD162" s="103" t="str">
        <f>IF($X162&gt;0,INDEX('CostModel Coef'!H$9:H$12,$X162),"")</f>
        <v/>
      </c>
      <c r="AE162" s="103" t="str">
        <f>IF($X162&gt;0,INDEX('CostModel Coef'!J$9:J$12,$X162),"")</f>
        <v/>
      </c>
      <c r="AF162" s="103" t="str">
        <f>IF($X162&gt;0,INDEX('CostModel Coef'!K$9:K$12,$X162),"")</f>
        <v/>
      </c>
      <c r="AG162" s="103" t="str">
        <f>IF($X162&gt;0,INDEX('CostModel Coef'!L$9:L$12,$X162),"")</f>
        <v/>
      </c>
      <c r="AH162" s="103" t="str">
        <f>IF($X162&gt;0,INDEX('CostModel Coef'!M$9:M$12,$X162),"")</f>
        <v/>
      </c>
      <c r="AI162" s="103" t="str">
        <f>IF($X162&gt;0,INDEX('CostModel Coef'!N$9:N$12,$X162),"")</f>
        <v/>
      </c>
      <c r="AJ162" s="103" t="str">
        <f>IF($X162&gt;0,INDEX('CostModel Coef'!Q$9:Q$12,$X162),"")</f>
        <v/>
      </c>
      <c r="AK162" s="103" t="str">
        <f>IF($X162&gt;0,INDEX('CostModel Coef'!T$9:T$12,$X162),"")</f>
        <v/>
      </c>
      <c r="AL162" s="103"/>
      <c r="AM162" s="108" t="str">
        <f t="shared" si="53"/>
        <v/>
      </c>
      <c r="AN162" s="108" t="str">
        <f t="shared" si="54"/>
        <v/>
      </c>
      <c r="AO162" s="108" t="str">
        <f t="shared" si="55"/>
        <v/>
      </c>
      <c r="AP162" s="108" t="str">
        <f t="shared" si="56"/>
        <v/>
      </c>
      <c r="AQ162" s="108" t="str">
        <f t="shared" si="57"/>
        <v/>
      </c>
      <c r="AR162" s="108"/>
      <c r="AS162" s="108"/>
      <c r="AT162" s="103" t="str">
        <f>IF($X162&gt;0,INDEX('CostModel Coef'!D$13:D$16,$X162),"")</f>
        <v/>
      </c>
      <c r="AU162" s="103" t="str">
        <f>IF($X162&gt;0,INDEX('CostModel Coef'!E$13:E$16,$X162),"")</f>
        <v/>
      </c>
      <c r="AV162" s="103" t="str">
        <f>IF($X162&gt;0,INDEX('CostModel Coef'!F$13:F$16,$X162),"")</f>
        <v/>
      </c>
      <c r="AW162" s="103" t="str">
        <f>IF($X162&gt;0,INDEX('CostModel Coef'!G$13:G$16,$X162),"")</f>
        <v/>
      </c>
      <c r="AX162" s="103" t="str">
        <f>IF($X162&gt;0,INDEX('CostModel Coef'!H$13:H$16,$X162),"")</f>
        <v/>
      </c>
      <c r="AY162" s="103" t="str">
        <f>IF($X162&gt;0,INDEX('CostModel Coef'!I$13:I$16,$X162),"")</f>
        <v/>
      </c>
      <c r="AZ162" s="103" t="str">
        <f>IF($X162&gt;0,INDEX('CostModel Coef'!J$13:J$16,$X162),"")</f>
        <v/>
      </c>
      <c r="BA162" s="103" t="str">
        <f>IF($X162&gt;0,INDEX('CostModel Coef'!K$13:K$16,$X162),"")</f>
        <v/>
      </c>
      <c r="BB162" s="103" t="str">
        <f>IF($X162&gt;0,INDEX('CostModel Coef'!L$13:L$16,$X162),"")</f>
        <v/>
      </c>
      <c r="BC162" s="103" t="str">
        <f>IF($X162&gt;0,INDEX('CostModel Coef'!M$13:M$16,$X162),"")</f>
        <v/>
      </c>
      <c r="BD162" s="103" t="str">
        <f>IF($X162&gt;0,INDEX('CostModel Coef'!N$13:N$16,$X162),"")</f>
        <v/>
      </c>
      <c r="BE162" s="103" t="str">
        <f>IF($X162&gt;0,INDEX('CostModel Coef'!O$13:O$16,$X162),"")</f>
        <v/>
      </c>
      <c r="BF162" s="103" t="str">
        <f>IF($X162&gt;0,INDEX('CostModel Coef'!P$13:P$16,$X162),"")</f>
        <v/>
      </c>
      <c r="BG162" s="103" t="str">
        <f>IF($X162&gt;0,INDEX('CostModel Coef'!Q$13:Q$16,$X162),"")</f>
        <v/>
      </c>
      <c r="BH162" s="103" t="str">
        <f>IF($X162&gt;0,INDEX('CostModel Coef'!R$13:R$16,$X162),"")</f>
        <v/>
      </c>
      <c r="BI162" s="103" t="str">
        <f>IF($X162&gt;0,INDEX('CostModel Coef'!S$13:S$16,$X162),"")</f>
        <v/>
      </c>
      <c r="BJ162" s="103" t="str">
        <f>IF($X162&gt;0,INDEX('CostModel Coef'!T$13:T$16,$X162),"")</f>
        <v/>
      </c>
      <c r="BK162" s="103" t="str">
        <f>IF($X162&gt;0,INDEX('CostModel Coef'!U$13:U$16,$X162),"")</f>
        <v/>
      </c>
      <c r="BL162" s="103" t="str">
        <f>IF($X162&gt;0,INDEX('CostModel Coef'!V$13:V$16,$X162),"")</f>
        <v/>
      </c>
      <c r="BM162" s="103" t="str">
        <f>IF($X162&gt;0,INDEX('CostModel Coef'!W$13:W$16,$X162),"")</f>
        <v/>
      </c>
      <c r="BN162" s="103" t="str">
        <f>IF($X162&gt;0,INDEX('CostModel Coef'!X$13:X$16,$X162),"")</f>
        <v/>
      </c>
      <c r="BO162" s="103"/>
      <c r="BP162" s="119">
        <v>2000</v>
      </c>
      <c r="BQ162" s="103"/>
      <c r="BR162" s="103"/>
      <c r="BS162" s="119" t="str">
        <f t="shared" si="60"/>
        <v/>
      </c>
      <c r="BT162" s="174">
        <f t="shared" si="52"/>
        <v>-1</v>
      </c>
      <c r="BU162" s="113" t="str">
        <f t="shared" si="62"/>
        <v>OOS</v>
      </c>
      <c r="BV162" s="108" t="str">
        <f t="shared" si="63"/>
        <v>OOS</v>
      </c>
      <c r="BW162" s="108" t="str">
        <f t="shared" si="64"/>
        <v>OOS</v>
      </c>
      <c r="BX162" s="108" t="str">
        <f t="shared" si="65"/>
        <v>OOS</v>
      </c>
      <c r="BY162" s="108" t="str">
        <f t="shared" si="66"/>
        <v>OOS</v>
      </c>
      <c r="BZ162" s="108"/>
      <c r="CA162" s="119" t="str">
        <f t="shared" si="67"/>
        <v/>
      </c>
      <c r="CB162" s="174">
        <f t="shared" si="58"/>
        <v>-1</v>
      </c>
      <c r="CC162" s="113" t="str">
        <f t="shared" si="68"/>
        <v/>
      </c>
      <c r="CD162" s="108" t="str">
        <f t="shared" si="69"/>
        <v/>
      </c>
      <c r="CE162" s="108" t="str">
        <f t="shared" si="70"/>
        <v/>
      </c>
      <c r="CF162" s="108" t="str">
        <f t="shared" si="71"/>
        <v/>
      </c>
      <c r="CG162" s="108" t="str">
        <f t="shared" si="72"/>
        <v/>
      </c>
      <c r="CH162" s="103"/>
      <c r="CI162" s="119" t="str">
        <f t="shared" si="61"/>
        <v/>
      </c>
      <c r="CJ162" s="174">
        <f t="shared" si="59"/>
        <v>-1</v>
      </c>
      <c r="CK162" s="113" t="str">
        <f t="shared" si="73"/>
        <v/>
      </c>
      <c r="CL162" s="108" t="str">
        <f t="shared" si="74"/>
        <v/>
      </c>
      <c r="CM162" s="108" t="str">
        <f t="shared" si="75"/>
        <v/>
      </c>
      <c r="CN162" s="108" t="str">
        <f t="shared" si="76"/>
        <v/>
      </c>
      <c r="CO162" s="108" t="str">
        <f t="shared" si="77"/>
        <v/>
      </c>
    </row>
    <row r="163" spans="1:93">
      <c r="A163" s="103" t="s">
        <v>479</v>
      </c>
      <c r="B163" s="103" t="s">
        <v>174</v>
      </c>
      <c r="C163" s="103" t="s">
        <v>449</v>
      </c>
      <c r="D163" s="250" t="s">
        <v>153</v>
      </c>
      <c r="E163" s="250"/>
      <c r="F163" s="182">
        <v>9020</v>
      </c>
      <c r="G163" s="250" t="s">
        <v>175</v>
      </c>
      <c r="H163" s="250">
        <v>27</v>
      </c>
      <c r="I163" s="250"/>
      <c r="J163" s="250"/>
      <c r="K163" s="250"/>
      <c r="L163" s="250" t="s">
        <v>61</v>
      </c>
      <c r="M163" s="250">
        <v>27</v>
      </c>
      <c r="N163" s="250"/>
      <c r="O163" s="250"/>
      <c r="P163" s="250" t="s">
        <v>153</v>
      </c>
      <c r="Q163" s="250"/>
      <c r="R163" s="250"/>
      <c r="S163" s="250"/>
      <c r="T163" s="250" t="s">
        <v>155</v>
      </c>
      <c r="U163" s="103" t="s">
        <v>480</v>
      </c>
      <c r="V163" s="106" t="s">
        <v>157</v>
      </c>
      <c r="W163" s="103" t="s">
        <v>158</v>
      </c>
      <c r="X163" s="103">
        <f>IFERROR(MATCH(W163,'CostModel Coef'!$C$9:$C$12,0),0)</f>
        <v>0</v>
      </c>
      <c r="Y163" s="103"/>
      <c r="Z163" s="103" t="str">
        <f>IF($X163&gt;0,INDEX('CostModel Coef'!D$9:D$12,$X163),"")</f>
        <v/>
      </c>
      <c r="AA163" s="103" t="str">
        <f>IF($X163&gt;0,INDEX('CostModel Coef'!E$9:E$12,$X163),"")</f>
        <v/>
      </c>
      <c r="AB163" s="103" t="str">
        <f>IF($X163&gt;0,INDEX('CostModel Coef'!F$9:F$12,$X163),"")</f>
        <v/>
      </c>
      <c r="AC163" s="103" t="str">
        <f>IF($X163&gt;0,INDEX('CostModel Coef'!G$9:G$12,$X163),"")</f>
        <v/>
      </c>
      <c r="AD163" s="103" t="str">
        <f>IF($X163&gt;0,INDEX('CostModel Coef'!H$9:H$12,$X163),"")</f>
        <v/>
      </c>
      <c r="AE163" s="103" t="str">
        <f>IF($X163&gt;0,INDEX('CostModel Coef'!J$9:J$12,$X163),"")</f>
        <v/>
      </c>
      <c r="AF163" s="103" t="str">
        <f>IF($X163&gt;0,INDEX('CostModel Coef'!K$9:K$12,$X163),"")</f>
        <v/>
      </c>
      <c r="AG163" s="103" t="str">
        <f>IF($X163&gt;0,INDEX('CostModel Coef'!L$9:L$12,$X163),"")</f>
        <v/>
      </c>
      <c r="AH163" s="103" t="str">
        <f>IF($X163&gt;0,INDEX('CostModel Coef'!M$9:M$12,$X163),"")</f>
        <v/>
      </c>
      <c r="AI163" s="103" t="str">
        <f>IF($X163&gt;0,INDEX('CostModel Coef'!N$9:N$12,$X163),"")</f>
        <v/>
      </c>
      <c r="AJ163" s="103" t="str">
        <f>IF($X163&gt;0,INDEX('CostModel Coef'!Q$9:Q$12,$X163),"")</f>
        <v/>
      </c>
      <c r="AK163" s="103" t="str">
        <f>IF($X163&gt;0,INDEX('CostModel Coef'!T$9:T$12,$X163),"")</f>
        <v/>
      </c>
      <c r="AL163" s="103"/>
      <c r="AM163" s="108" t="str">
        <f t="shared" si="53"/>
        <v/>
      </c>
      <c r="AN163" s="108" t="str">
        <f t="shared" si="54"/>
        <v/>
      </c>
      <c r="AO163" s="108" t="str">
        <f t="shared" si="55"/>
        <v/>
      </c>
      <c r="AP163" s="108" t="str">
        <f t="shared" si="56"/>
        <v/>
      </c>
      <c r="AQ163" s="108" t="str">
        <f t="shared" si="57"/>
        <v/>
      </c>
      <c r="AR163" s="108"/>
      <c r="AS163" s="108"/>
      <c r="AT163" s="103" t="str">
        <f>IF($X163&gt;0,INDEX('CostModel Coef'!D$13:D$16,$X163),"")</f>
        <v/>
      </c>
      <c r="AU163" s="103" t="str">
        <f>IF($X163&gt;0,INDEX('CostModel Coef'!E$13:E$16,$X163),"")</f>
        <v/>
      </c>
      <c r="AV163" s="103" t="str">
        <f>IF($X163&gt;0,INDEX('CostModel Coef'!F$13:F$16,$X163),"")</f>
        <v/>
      </c>
      <c r="AW163" s="103" t="str">
        <f>IF($X163&gt;0,INDEX('CostModel Coef'!G$13:G$16,$X163),"")</f>
        <v/>
      </c>
      <c r="AX163" s="103" t="str">
        <f>IF($X163&gt;0,INDEX('CostModel Coef'!H$13:H$16,$X163),"")</f>
        <v/>
      </c>
      <c r="AY163" s="103" t="str">
        <f>IF($X163&gt;0,INDEX('CostModel Coef'!I$13:I$16,$X163),"")</f>
        <v/>
      </c>
      <c r="AZ163" s="103" t="str">
        <f>IF($X163&gt;0,INDEX('CostModel Coef'!J$13:J$16,$X163),"")</f>
        <v/>
      </c>
      <c r="BA163" s="103" t="str">
        <f>IF($X163&gt;0,INDEX('CostModel Coef'!K$13:K$16,$X163),"")</f>
        <v/>
      </c>
      <c r="BB163" s="103" t="str">
        <f>IF($X163&gt;0,INDEX('CostModel Coef'!L$13:L$16,$X163),"")</f>
        <v/>
      </c>
      <c r="BC163" s="103" t="str">
        <f>IF($X163&gt;0,INDEX('CostModel Coef'!M$13:M$16,$X163),"")</f>
        <v/>
      </c>
      <c r="BD163" s="103" t="str">
        <f>IF($X163&gt;0,INDEX('CostModel Coef'!N$13:N$16,$X163),"")</f>
        <v/>
      </c>
      <c r="BE163" s="103" t="str">
        <f>IF($X163&gt;0,INDEX('CostModel Coef'!O$13:O$16,$X163),"")</f>
        <v/>
      </c>
      <c r="BF163" s="103" t="str">
        <f>IF($X163&gt;0,INDEX('CostModel Coef'!P$13:P$16,$X163),"")</f>
        <v/>
      </c>
      <c r="BG163" s="103" t="str">
        <f>IF($X163&gt;0,INDEX('CostModel Coef'!Q$13:Q$16,$X163),"")</f>
        <v/>
      </c>
      <c r="BH163" s="103" t="str">
        <f>IF($X163&gt;0,INDEX('CostModel Coef'!R$13:R$16,$X163),"")</f>
        <v/>
      </c>
      <c r="BI163" s="103" t="str">
        <f>IF($X163&gt;0,INDEX('CostModel Coef'!S$13:S$16,$X163),"")</f>
        <v/>
      </c>
      <c r="BJ163" s="103" t="str">
        <f>IF($X163&gt;0,INDEX('CostModel Coef'!T$13:T$16,$X163),"")</f>
        <v/>
      </c>
      <c r="BK163" s="103" t="str">
        <f>IF($X163&gt;0,INDEX('CostModel Coef'!U$13:U$16,$X163),"")</f>
        <v/>
      </c>
      <c r="BL163" s="103" t="str">
        <f>IF($X163&gt;0,INDEX('CostModel Coef'!V$13:V$16,$X163),"")</f>
        <v/>
      </c>
      <c r="BM163" s="103" t="str">
        <f>IF($X163&gt;0,INDEX('CostModel Coef'!W$13:W$16,$X163),"")</f>
        <v/>
      </c>
      <c r="BN163" s="103" t="str">
        <f>IF($X163&gt;0,INDEX('CostModel Coef'!X$13:X$16,$X163),"")</f>
        <v/>
      </c>
      <c r="BO163" s="103"/>
      <c r="BP163" s="119">
        <v>2000</v>
      </c>
      <c r="BQ163" s="103"/>
      <c r="BR163" s="103"/>
      <c r="BS163" s="119" t="str">
        <f t="shared" si="60"/>
        <v/>
      </c>
      <c r="BT163" s="174">
        <f t="shared" si="52"/>
        <v>-1</v>
      </c>
      <c r="BU163" s="113" t="str">
        <f t="shared" si="62"/>
        <v>OOS</v>
      </c>
      <c r="BV163" s="108" t="str">
        <f t="shared" si="63"/>
        <v>OOS</v>
      </c>
      <c r="BW163" s="108" t="str">
        <f t="shared" si="64"/>
        <v>OOS</v>
      </c>
      <c r="BX163" s="108" t="str">
        <f t="shared" si="65"/>
        <v>OOS</v>
      </c>
      <c r="BY163" s="108" t="str">
        <f t="shared" si="66"/>
        <v>OOS</v>
      </c>
      <c r="BZ163" s="108"/>
      <c r="CA163" s="119" t="str">
        <f t="shared" si="67"/>
        <v/>
      </c>
      <c r="CB163" s="174">
        <f t="shared" si="58"/>
        <v>-1</v>
      </c>
      <c r="CC163" s="113" t="str">
        <f t="shared" si="68"/>
        <v/>
      </c>
      <c r="CD163" s="108" t="str">
        <f t="shared" si="69"/>
        <v/>
      </c>
      <c r="CE163" s="108" t="str">
        <f t="shared" si="70"/>
        <v/>
      </c>
      <c r="CF163" s="108" t="str">
        <f t="shared" si="71"/>
        <v/>
      </c>
      <c r="CG163" s="108" t="str">
        <f t="shared" si="72"/>
        <v/>
      </c>
      <c r="CH163" s="103"/>
      <c r="CI163" s="119" t="str">
        <f t="shared" si="61"/>
        <v/>
      </c>
      <c r="CJ163" s="174">
        <f t="shared" si="59"/>
        <v>-1</v>
      </c>
      <c r="CK163" s="113" t="str">
        <f t="shared" si="73"/>
        <v/>
      </c>
      <c r="CL163" s="108" t="str">
        <f t="shared" si="74"/>
        <v/>
      </c>
      <c r="CM163" s="108" t="str">
        <f t="shared" si="75"/>
        <v/>
      </c>
      <c r="CN163" s="108" t="str">
        <f t="shared" si="76"/>
        <v/>
      </c>
      <c r="CO163" s="108" t="str">
        <f t="shared" si="77"/>
        <v/>
      </c>
    </row>
    <row r="164" spans="1:93">
      <c r="A164" s="103" t="s">
        <v>481</v>
      </c>
      <c r="B164" s="103" t="s">
        <v>174</v>
      </c>
      <c r="C164" s="103" t="s">
        <v>449</v>
      </c>
      <c r="D164" s="250" t="s">
        <v>153</v>
      </c>
      <c r="E164" s="250"/>
      <c r="F164" s="182">
        <v>9020</v>
      </c>
      <c r="G164" s="250" t="s">
        <v>175</v>
      </c>
      <c r="H164" s="250">
        <v>28</v>
      </c>
      <c r="I164" s="250"/>
      <c r="J164" s="250"/>
      <c r="K164" s="250"/>
      <c r="L164" s="250" t="s">
        <v>61</v>
      </c>
      <c r="M164" s="250">
        <v>28</v>
      </c>
      <c r="N164" s="250"/>
      <c r="O164" s="250"/>
      <c r="P164" s="250" t="s">
        <v>153</v>
      </c>
      <c r="Q164" s="250"/>
      <c r="R164" s="250"/>
      <c r="S164" s="250"/>
      <c r="T164" s="250" t="s">
        <v>155</v>
      </c>
      <c r="U164" s="103" t="s">
        <v>482</v>
      </c>
      <c r="V164" s="106" t="s">
        <v>157</v>
      </c>
      <c r="W164" s="103" t="s">
        <v>158</v>
      </c>
      <c r="X164" s="103">
        <f>IFERROR(MATCH(W164,'CostModel Coef'!$C$9:$C$12,0),0)</f>
        <v>0</v>
      </c>
      <c r="Y164" s="103"/>
      <c r="Z164" s="103" t="str">
        <f>IF($X164&gt;0,INDEX('CostModel Coef'!D$9:D$12,$X164),"")</f>
        <v/>
      </c>
      <c r="AA164" s="103" t="str">
        <f>IF($X164&gt;0,INDEX('CostModel Coef'!E$9:E$12,$X164),"")</f>
        <v/>
      </c>
      <c r="AB164" s="103" t="str">
        <f>IF($X164&gt;0,INDEX('CostModel Coef'!F$9:F$12,$X164),"")</f>
        <v/>
      </c>
      <c r="AC164" s="103" t="str">
        <f>IF($X164&gt;0,INDEX('CostModel Coef'!G$9:G$12,$X164),"")</f>
        <v/>
      </c>
      <c r="AD164" s="103" t="str">
        <f>IF($X164&gt;0,INDEX('CostModel Coef'!H$9:H$12,$X164),"")</f>
        <v/>
      </c>
      <c r="AE164" s="103" t="str">
        <f>IF($X164&gt;0,INDEX('CostModel Coef'!J$9:J$12,$X164),"")</f>
        <v/>
      </c>
      <c r="AF164" s="103" t="str">
        <f>IF($X164&gt;0,INDEX('CostModel Coef'!K$9:K$12,$X164),"")</f>
        <v/>
      </c>
      <c r="AG164" s="103" t="str">
        <f>IF($X164&gt;0,INDEX('CostModel Coef'!L$9:L$12,$X164),"")</f>
        <v/>
      </c>
      <c r="AH164" s="103" t="str">
        <f>IF($X164&gt;0,INDEX('CostModel Coef'!M$9:M$12,$X164),"")</f>
        <v/>
      </c>
      <c r="AI164" s="103" t="str">
        <f>IF($X164&gt;0,INDEX('CostModel Coef'!N$9:N$12,$X164),"")</f>
        <v/>
      </c>
      <c r="AJ164" s="103" t="str">
        <f>IF($X164&gt;0,INDEX('CostModel Coef'!Q$9:Q$12,$X164),"")</f>
        <v/>
      </c>
      <c r="AK164" s="103" t="str">
        <f>IF($X164&gt;0,INDEX('CostModel Coef'!T$9:T$12,$X164),"")</f>
        <v/>
      </c>
      <c r="AL164" s="103"/>
      <c r="AM164" s="108" t="str">
        <f t="shared" si="53"/>
        <v/>
      </c>
      <c r="AN164" s="108" t="str">
        <f t="shared" si="54"/>
        <v/>
      </c>
      <c r="AO164" s="108" t="str">
        <f t="shared" si="55"/>
        <v/>
      </c>
      <c r="AP164" s="108" t="str">
        <f t="shared" si="56"/>
        <v/>
      </c>
      <c r="AQ164" s="108" t="str">
        <f t="shared" si="57"/>
        <v/>
      </c>
      <c r="AR164" s="108"/>
      <c r="AS164" s="108"/>
      <c r="AT164" s="103" t="str">
        <f>IF($X164&gt;0,INDEX('CostModel Coef'!D$13:D$16,$X164),"")</f>
        <v/>
      </c>
      <c r="AU164" s="103" t="str">
        <f>IF($X164&gt;0,INDEX('CostModel Coef'!E$13:E$16,$X164),"")</f>
        <v/>
      </c>
      <c r="AV164" s="103" t="str">
        <f>IF($X164&gt;0,INDEX('CostModel Coef'!F$13:F$16,$X164),"")</f>
        <v/>
      </c>
      <c r="AW164" s="103" t="str">
        <f>IF($X164&gt;0,INDEX('CostModel Coef'!G$13:G$16,$X164),"")</f>
        <v/>
      </c>
      <c r="AX164" s="103" t="str">
        <f>IF($X164&gt;0,INDEX('CostModel Coef'!H$13:H$16,$X164),"")</f>
        <v/>
      </c>
      <c r="AY164" s="103" t="str">
        <f>IF($X164&gt;0,INDEX('CostModel Coef'!I$13:I$16,$X164),"")</f>
        <v/>
      </c>
      <c r="AZ164" s="103" t="str">
        <f>IF($X164&gt;0,INDEX('CostModel Coef'!J$13:J$16,$X164),"")</f>
        <v/>
      </c>
      <c r="BA164" s="103" t="str">
        <f>IF($X164&gt;0,INDEX('CostModel Coef'!K$13:K$16,$X164),"")</f>
        <v/>
      </c>
      <c r="BB164" s="103" t="str">
        <f>IF($X164&gt;0,INDEX('CostModel Coef'!L$13:L$16,$X164),"")</f>
        <v/>
      </c>
      <c r="BC164" s="103" t="str">
        <f>IF($X164&gt;0,INDEX('CostModel Coef'!M$13:M$16,$X164),"")</f>
        <v/>
      </c>
      <c r="BD164" s="103" t="str">
        <f>IF($X164&gt;0,INDEX('CostModel Coef'!N$13:N$16,$X164),"")</f>
        <v/>
      </c>
      <c r="BE164" s="103" t="str">
        <f>IF($X164&gt;0,INDEX('CostModel Coef'!O$13:O$16,$X164),"")</f>
        <v/>
      </c>
      <c r="BF164" s="103" t="str">
        <f>IF($X164&gt;0,INDEX('CostModel Coef'!P$13:P$16,$X164),"")</f>
        <v/>
      </c>
      <c r="BG164" s="103" t="str">
        <f>IF($X164&gt;0,INDEX('CostModel Coef'!Q$13:Q$16,$X164),"")</f>
        <v/>
      </c>
      <c r="BH164" s="103" t="str">
        <f>IF($X164&gt;0,INDEX('CostModel Coef'!R$13:R$16,$X164),"")</f>
        <v/>
      </c>
      <c r="BI164" s="103" t="str">
        <f>IF($X164&gt;0,INDEX('CostModel Coef'!S$13:S$16,$X164),"")</f>
        <v/>
      </c>
      <c r="BJ164" s="103" t="str">
        <f>IF($X164&gt;0,INDEX('CostModel Coef'!T$13:T$16,$X164),"")</f>
        <v/>
      </c>
      <c r="BK164" s="103" t="str">
        <f>IF($X164&gt;0,INDEX('CostModel Coef'!U$13:U$16,$X164),"")</f>
        <v/>
      </c>
      <c r="BL164" s="103" t="str">
        <f>IF($X164&gt;0,INDEX('CostModel Coef'!V$13:V$16,$X164),"")</f>
        <v/>
      </c>
      <c r="BM164" s="103" t="str">
        <f>IF($X164&gt;0,INDEX('CostModel Coef'!W$13:W$16,$X164),"")</f>
        <v/>
      </c>
      <c r="BN164" s="103" t="str">
        <f>IF($X164&gt;0,INDEX('CostModel Coef'!X$13:X$16,$X164),"")</f>
        <v/>
      </c>
      <c r="BO164" s="103"/>
      <c r="BP164" s="119">
        <v>2000</v>
      </c>
      <c r="BQ164" s="103"/>
      <c r="BR164" s="103"/>
      <c r="BS164" s="119" t="str">
        <f t="shared" si="60"/>
        <v/>
      </c>
      <c r="BT164" s="174">
        <f t="shared" si="52"/>
        <v>-1</v>
      </c>
      <c r="BU164" s="113" t="str">
        <f t="shared" si="62"/>
        <v>OOS</v>
      </c>
      <c r="BV164" s="108" t="str">
        <f t="shared" si="63"/>
        <v>OOS</v>
      </c>
      <c r="BW164" s="108" t="str">
        <f t="shared" si="64"/>
        <v>OOS</v>
      </c>
      <c r="BX164" s="108" t="str">
        <f t="shared" si="65"/>
        <v>OOS</v>
      </c>
      <c r="BY164" s="108" t="str">
        <f t="shared" si="66"/>
        <v>OOS</v>
      </c>
      <c r="BZ164" s="108"/>
      <c r="CA164" s="119" t="str">
        <f t="shared" si="67"/>
        <v/>
      </c>
      <c r="CB164" s="174">
        <f t="shared" si="58"/>
        <v>-1</v>
      </c>
      <c r="CC164" s="113" t="str">
        <f t="shared" si="68"/>
        <v/>
      </c>
      <c r="CD164" s="108" t="str">
        <f t="shared" si="69"/>
        <v/>
      </c>
      <c r="CE164" s="108" t="str">
        <f t="shared" si="70"/>
        <v/>
      </c>
      <c r="CF164" s="108" t="str">
        <f t="shared" si="71"/>
        <v/>
      </c>
      <c r="CG164" s="108" t="str">
        <f t="shared" si="72"/>
        <v/>
      </c>
      <c r="CH164" s="103"/>
      <c r="CI164" s="119" t="str">
        <f t="shared" si="61"/>
        <v/>
      </c>
      <c r="CJ164" s="174">
        <f t="shared" si="59"/>
        <v>-1</v>
      </c>
      <c r="CK164" s="113" t="str">
        <f t="shared" si="73"/>
        <v/>
      </c>
      <c r="CL164" s="108" t="str">
        <f t="shared" si="74"/>
        <v/>
      </c>
      <c r="CM164" s="108" t="str">
        <f t="shared" si="75"/>
        <v/>
      </c>
      <c r="CN164" s="108" t="str">
        <f t="shared" si="76"/>
        <v/>
      </c>
      <c r="CO164" s="108" t="str">
        <f t="shared" si="77"/>
        <v/>
      </c>
    </row>
    <row r="165" spans="1:93">
      <c r="A165" s="103" t="s">
        <v>483</v>
      </c>
      <c r="B165" s="103" t="s">
        <v>174</v>
      </c>
      <c r="C165" s="103" t="s">
        <v>449</v>
      </c>
      <c r="D165" s="250" t="s">
        <v>153</v>
      </c>
      <c r="E165" s="250"/>
      <c r="F165" s="182">
        <v>9020</v>
      </c>
      <c r="G165" s="250" t="s">
        <v>175</v>
      </c>
      <c r="H165" s="250">
        <v>30</v>
      </c>
      <c r="I165" s="250"/>
      <c r="J165" s="250"/>
      <c r="K165" s="250"/>
      <c r="L165" s="250" t="s">
        <v>61</v>
      </c>
      <c r="M165" s="250">
        <v>30</v>
      </c>
      <c r="N165" s="250"/>
      <c r="O165" s="250"/>
      <c r="P165" s="250" t="s">
        <v>153</v>
      </c>
      <c r="Q165" s="250"/>
      <c r="R165" s="250"/>
      <c r="S165" s="250"/>
      <c r="T165" s="250" t="s">
        <v>155</v>
      </c>
      <c r="U165" s="103" t="s">
        <v>484</v>
      </c>
      <c r="V165" s="106" t="s">
        <v>157</v>
      </c>
      <c r="W165" s="103" t="s">
        <v>158</v>
      </c>
      <c r="X165" s="103">
        <f>IFERROR(MATCH(W165,'CostModel Coef'!$C$9:$C$12,0),0)</f>
        <v>0</v>
      </c>
      <c r="Y165" s="103"/>
      <c r="Z165" s="103" t="str">
        <f>IF($X165&gt;0,INDEX('CostModel Coef'!D$9:D$12,$X165),"")</f>
        <v/>
      </c>
      <c r="AA165" s="103" t="str">
        <f>IF($X165&gt;0,INDEX('CostModel Coef'!E$9:E$12,$X165),"")</f>
        <v/>
      </c>
      <c r="AB165" s="103" t="str">
        <f>IF($X165&gt;0,INDEX('CostModel Coef'!F$9:F$12,$X165),"")</f>
        <v/>
      </c>
      <c r="AC165" s="103" t="str">
        <f>IF($X165&gt;0,INDEX('CostModel Coef'!G$9:G$12,$X165),"")</f>
        <v/>
      </c>
      <c r="AD165" s="103" t="str">
        <f>IF($X165&gt;0,INDEX('CostModel Coef'!H$9:H$12,$X165),"")</f>
        <v/>
      </c>
      <c r="AE165" s="103" t="str">
        <f>IF($X165&gt;0,INDEX('CostModel Coef'!J$9:J$12,$X165),"")</f>
        <v/>
      </c>
      <c r="AF165" s="103" t="str">
        <f>IF($X165&gt;0,INDEX('CostModel Coef'!K$9:K$12,$X165),"")</f>
        <v/>
      </c>
      <c r="AG165" s="103" t="str">
        <f>IF($X165&gt;0,INDEX('CostModel Coef'!L$9:L$12,$X165),"")</f>
        <v/>
      </c>
      <c r="AH165" s="103" t="str">
        <f>IF($X165&gt;0,INDEX('CostModel Coef'!M$9:M$12,$X165),"")</f>
        <v/>
      </c>
      <c r="AI165" s="103" t="str">
        <f>IF($X165&gt;0,INDEX('CostModel Coef'!N$9:N$12,$X165),"")</f>
        <v/>
      </c>
      <c r="AJ165" s="103" t="str">
        <f>IF($X165&gt;0,INDEX('CostModel Coef'!Q$9:Q$12,$X165),"")</f>
        <v/>
      </c>
      <c r="AK165" s="103" t="str">
        <f>IF($X165&gt;0,INDEX('CostModel Coef'!T$9:T$12,$X165),"")</f>
        <v/>
      </c>
      <c r="AL165" s="103"/>
      <c r="AM165" s="108" t="str">
        <f t="shared" si="53"/>
        <v/>
      </c>
      <c r="AN165" s="108" t="str">
        <f t="shared" si="54"/>
        <v/>
      </c>
      <c r="AO165" s="108" t="str">
        <f t="shared" si="55"/>
        <v/>
      </c>
      <c r="AP165" s="108" t="str">
        <f t="shared" si="56"/>
        <v/>
      </c>
      <c r="AQ165" s="108" t="str">
        <f t="shared" si="57"/>
        <v/>
      </c>
      <c r="AR165" s="108"/>
      <c r="AS165" s="108"/>
      <c r="AT165" s="103" t="str">
        <f>IF($X165&gt;0,INDEX('CostModel Coef'!D$13:D$16,$X165),"")</f>
        <v/>
      </c>
      <c r="AU165" s="103" t="str">
        <f>IF($X165&gt;0,INDEX('CostModel Coef'!E$13:E$16,$X165),"")</f>
        <v/>
      </c>
      <c r="AV165" s="103" t="str">
        <f>IF($X165&gt;0,INDEX('CostModel Coef'!F$13:F$16,$X165),"")</f>
        <v/>
      </c>
      <c r="AW165" s="103" t="str">
        <f>IF($X165&gt;0,INDEX('CostModel Coef'!G$13:G$16,$X165),"")</f>
        <v/>
      </c>
      <c r="AX165" s="103" t="str">
        <f>IF($X165&gt;0,INDEX('CostModel Coef'!H$13:H$16,$X165),"")</f>
        <v/>
      </c>
      <c r="AY165" s="103" t="str">
        <f>IF($X165&gt;0,INDEX('CostModel Coef'!I$13:I$16,$X165),"")</f>
        <v/>
      </c>
      <c r="AZ165" s="103" t="str">
        <f>IF($X165&gt;0,INDEX('CostModel Coef'!J$13:J$16,$X165),"")</f>
        <v/>
      </c>
      <c r="BA165" s="103" t="str">
        <f>IF($X165&gt;0,INDEX('CostModel Coef'!K$13:K$16,$X165),"")</f>
        <v/>
      </c>
      <c r="BB165" s="103" t="str">
        <f>IF($X165&gt;0,INDEX('CostModel Coef'!L$13:L$16,$X165),"")</f>
        <v/>
      </c>
      <c r="BC165" s="103" t="str">
        <f>IF($X165&gt;0,INDEX('CostModel Coef'!M$13:M$16,$X165),"")</f>
        <v/>
      </c>
      <c r="BD165" s="103" t="str">
        <f>IF($X165&gt;0,INDEX('CostModel Coef'!N$13:N$16,$X165),"")</f>
        <v/>
      </c>
      <c r="BE165" s="103" t="str">
        <f>IF($X165&gt;0,INDEX('CostModel Coef'!O$13:O$16,$X165),"")</f>
        <v/>
      </c>
      <c r="BF165" s="103" t="str">
        <f>IF($X165&gt;0,INDEX('CostModel Coef'!P$13:P$16,$X165),"")</f>
        <v/>
      </c>
      <c r="BG165" s="103" t="str">
        <f>IF($X165&gt;0,INDEX('CostModel Coef'!Q$13:Q$16,$X165),"")</f>
        <v/>
      </c>
      <c r="BH165" s="103" t="str">
        <f>IF($X165&gt;0,INDEX('CostModel Coef'!R$13:R$16,$X165),"")</f>
        <v/>
      </c>
      <c r="BI165" s="103" t="str">
        <f>IF($X165&gt;0,INDEX('CostModel Coef'!S$13:S$16,$X165),"")</f>
        <v/>
      </c>
      <c r="BJ165" s="103" t="str">
        <f>IF($X165&gt;0,INDEX('CostModel Coef'!T$13:T$16,$X165),"")</f>
        <v/>
      </c>
      <c r="BK165" s="103" t="str">
        <f>IF($X165&gt;0,INDEX('CostModel Coef'!U$13:U$16,$X165),"")</f>
        <v/>
      </c>
      <c r="BL165" s="103" t="str">
        <f>IF($X165&gt;0,INDEX('CostModel Coef'!V$13:V$16,$X165),"")</f>
        <v/>
      </c>
      <c r="BM165" s="103" t="str">
        <f>IF($X165&gt;0,INDEX('CostModel Coef'!W$13:W$16,$X165),"")</f>
        <v/>
      </c>
      <c r="BN165" s="103" t="str">
        <f>IF($X165&gt;0,INDEX('CostModel Coef'!X$13:X$16,$X165),"")</f>
        <v/>
      </c>
      <c r="BO165" s="103"/>
      <c r="BP165" s="119">
        <v>2000</v>
      </c>
      <c r="BQ165" s="103"/>
      <c r="BR165" s="103"/>
      <c r="BS165" s="119" t="str">
        <f t="shared" si="60"/>
        <v/>
      </c>
      <c r="BT165" s="174">
        <f t="shared" si="52"/>
        <v>-1</v>
      </c>
      <c r="BU165" s="113" t="str">
        <f t="shared" si="62"/>
        <v>OOS</v>
      </c>
      <c r="BV165" s="108" t="str">
        <f t="shared" si="63"/>
        <v>OOS</v>
      </c>
      <c r="BW165" s="108" t="str">
        <f t="shared" si="64"/>
        <v>OOS</v>
      </c>
      <c r="BX165" s="108" t="str">
        <f t="shared" si="65"/>
        <v>OOS</v>
      </c>
      <c r="BY165" s="108" t="str">
        <f t="shared" si="66"/>
        <v>OOS</v>
      </c>
      <c r="BZ165" s="108"/>
      <c r="CA165" s="119" t="str">
        <f t="shared" si="67"/>
        <v/>
      </c>
      <c r="CB165" s="174">
        <f t="shared" si="58"/>
        <v>-1</v>
      </c>
      <c r="CC165" s="113" t="str">
        <f t="shared" si="68"/>
        <v/>
      </c>
      <c r="CD165" s="108" t="str">
        <f t="shared" si="69"/>
        <v/>
      </c>
      <c r="CE165" s="108" t="str">
        <f t="shared" si="70"/>
        <v/>
      </c>
      <c r="CF165" s="108" t="str">
        <f t="shared" si="71"/>
        <v/>
      </c>
      <c r="CG165" s="108" t="str">
        <f t="shared" si="72"/>
        <v/>
      </c>
      <c r="CH165" s="103"/>
      <c r="CI165" s="119" t="str">
        <f t="shared" si="61"/>
        <v/>
      </c>
      <c r="CJ165" s="174">
        <f t="shared" si="59"/>
        <v>-1</v>
      </c>
      <c r="CK165" s="113" t="str">
        <f t="shared" si="73"/>
        <v/>
      </c>
      <c r="CL165" s="108" t="str">
        <f t="shared" si="74"/>
        <v/>
      </c>
      <c r="CM165" s="108" t="str">
        <f t="shared" si="75"/>
        <v/>
      </c>
      <c r="CN165" s="108" t="str">
        <f t="shared" si="76"/>
        <v/>
      </c>
      <c r="CO165" s="108" t="str">
        <f t="shared" si="77"/>
        <v/>
      </c>
    </row>
    <row r="166" spans="1:93">
      <c r="A166" s="103" t="s">
        <v>485</v>
      </c>
      <c r="B166" s="103" t="s">
        <v>174</v>
      </c>
      <c r="C166" s="103" t="s">
        <v>449</v>
      </c>
      <c r="D166" s="250" t="s">
        <v>153</v>
      </c>
      <c r="E166" s="250"/>
      <c r="F166" s="182">
        <v>9020</v>
      </c>
      <c r="G166" s="250" t="s">
        <v>175</v>
      </c>
      <c r="H166" s="250">
        <v>32</v>
      </c>
      <c r="I166" s="250"/>
      <c r="J166" s="250"/>
      <c r="K166" s="250"/>
      <c r="L166" s="250" t="s">
        <v>61</v>
      </c>
      <c r="M166" s="250">
        <v>32</v>
      </c>
      <c r="N166" s="250"/>
      <c r="O166" s="250"/>
      <c r="P166" s="250" t="s">
        <v>153</v>
      </c>
      <c r="Q166" s="250"/>
      <c r="R166" s="250"/>
      <c r="S166" s="250"/>
      <c r="T166" s="250" t="s">
        <v>155</v>
      </c>
      <c r="U166" s="103" t="s">
        <v>486</v>
      </c>
      <c r="V166" s="106" t="s">
        <v>157</v>
      </c>
      <c r="W166" s="103" t="s">
        <v>158</v>
      </c>
      <c r="X166" s="103">
        <f>IFERROR(MATCH(W166,'CostModel Coef'!$C$9:$C$12,0),0)</f>
        <v>0</v>
      </c>
      <c r="Y166" s="103"/>
      <c r="Z166" s="103" t="str">
        <f>IF($X166&gt;0,INDEX('CostModel Coef'!D$9:D$12,$X166),"")</f>
        <v/>
      </c>
      <c r="AA166" s="103" t="str">
        <f>IF($X166&gt;0,INDEX('CostModel Coef'!E$9:E$12,$X166),"")</f>
        <v/>
      </c>
      <c r="AB166" s="103" t="str">
        <f>IF($X166&gt;0,INDEX('CostModel Coef'!F$9:F$12,$X166),"")</f>
        <v/>
      </c>
      <c r="AC166" s="103" t="str">
        <f>IF($X166&gt;0,INDEX('CostModel Coef'!G$9:G$12,$X166),"")</f>
        <v/>
      </c>
      <c r="AD166" s="103" t="str">
        <f>IF($X166&gt;0,INDEX('CostModel Coef'!H$9:H$12,$X166),"")</f>
        <v/>
      </c>
      <c r="AE166" s="103" t="str">
        <f>IF($X166&gt;0,INDEX('CostModel Coef'!J$9:J$12,$X166),"")</f>
        <v/>
      </c>
      <c r="AF166" s="103" t="str">
        <f>IF($X166&gt;0,INDEX('CostModel Coef'!K$9:K$12,$X166),"")</f>
        <v/>
      </c>
      <c r="AG166" s="103" t="str">
        <f>IF($X166&gt;0,INDEX('CostModel Coef'!L$9:L$12,$X166),"")</f>
        <v/>
      </c>
      <c r="AH166" s="103" t="str">
        <f>IF($X166&gt;0,INDEX('CostModel Coef'!M$9:M$12,$X166),"")</f>
        <v/>
      </c>
      <c r="AI166" s="103" t="str">
        <f>IF($X166&gt;0,INDEX('CostModel Coef'!N$9:N$12,$X166),"")</f>
        <v/>
      </c>
      <c r="AJ166" s="103" t="str">
        <f>IF($X166&gt;0,INDEX('CostModel Coef'!Q$9:Q$12,$X166),"")</f>
        <v/>
      </c>
      <c r="AK166" s="103" t="str">
        <f>IF($X166&gt;0,INDEX('CostModel Coef'!T$9:T$12,$X166),"")</f>
        <v/>
      </c>
      <c r="AL166" s="103"/>
      <c r="AM166" s="108" t="str">
        <f t="shared" si="53"/>
        <v/>
      </c>
      <c r="AN166" s="108" t="str">
        <f t="shared" si="54"/>
        <v/>
      </c>
      <c r="AO166" s="108" t="str">
        <f t="shared" si="55"/>
        <v/>
      </c>
      <c r="AP166" s="108" t="str">
        <f t="shared" si="56"/>
        <v/>
      </c>
      <c r="AQ166" s="108" t="str">
        <f t="shared" si="57"/>
        <v/>
      </c>
      <c r="AR166" s="108"/>
      <c r="AS166" s="108"/>
      <c r="AT166" s="103" t="str">
        <f>IF($X166&gt;0,INDEX('CostModel Coef'!D$13:D$16,$X166),"")</f>
        <v/>
      </c>
      <c r="AU166" s="103" t="str">
        <f>IF($X166&gt;0,INDEX('CostModel Coef'!E$13:E$16,$X166),"")</f>
        <v/>
      </c>
      <c r="AV166" s="103" t="str">
        <f>IF($X166&gt;0,INDEX('CostModel Coef'!F$13:F$16,$X166),"")</f>
        <v/>
      </c>
      <c r="AW166" s="103" t="str">
        <f>IF($X166&gt;0,INDEX('CostModel Coef'!G$13:G$16,$X166),"")</f>
        <v/>
      </c>
      <c r="AX166" s="103" t="str">
        <f>IF($X166&gt;0,INDEX('CostModel Coef'!H$13:H$16,$X166),"")</f>
        <v/>
      </c>
      <c r="AY166" s="103" t="str">
        <f>IF($X166&gt;0,INDEX('CostModel Coef'!I$13:I$16,$X166),"")</f>
        <v/>
      </c>
      <c r="AZ166" s="103" t="str">
        <f>IF($X166&gt;0,INDEX('CostModel Coef'!J$13:J$16,$X166),"")</f>
        <v/>
      </c>
      <c r="BA166" s="103" t="str">
        <f>IF($X166&gt;0,INDEX('CostModel Coef'!K$13:K$16,$X166),"")</f>
        <v/>
      </c>
      <c r="BB166" s="103" t="str">
        <f>IF($X166&gt;0,INDEX('CostModel Coef'!L$13:L$16,$X166),"")</f>
        <v/>
      </c>
      <c r="BC166" s="103" t="str">
        <f>IF($X166&gt;0,INDEX('CostModel Coef'!M$13:M$16,$X166),"")</f>
        <v/>
      </c>
      <c r="BD166" s="103" t="str">
        <f>IF($X166&gt;0,INDEX('CostModel Coef'!N$13:N$16,$X166),"")</f>
        <v/>
      </c>
      <c r="BE166" s="103" t="str">
        <f>IF($X166&gt;0,INDEX('CostModel Coef'!O$13:O$16,$X166),"")</f>
        <v/>
      </c>
      <c r="BF166" s="103" t="str">
        <f>IF($X166&gt;0,INDEX('CostModel Coef'!P$13:P$16,$X166),"")</f>
        <v/>
      </c>
      <c r="BG166" s="103" t="str">
        <f>IF($X166&gt;0,INDEX('CostModel Coef'!Q$13:Q$16,$X166),"")</f>
        <v/>
      </c>
      <c r="BH166" s="103" t="str">
        <f>IF($X166&gt;0,INDEX('CostModel Coef'!R$13:R$16,$X166),"")</f>
        <v/>
      </c>
      <c r="BI166" s="103" t="str">
        <f>IF($X166&gt;0,INDEX('CostModel Coef'!S$13:S$16,$X166),"")</f>
        <v/>
      </c>
      <c r="BJ166" s="103" t="str">
        <f>IF($X166&gt;0,INDEX('CostModel Coef'!T$13:T$16,$X166),"")</f>
        <v/>
      </c>
      <c r="BK166" s="103" t="str">
        <f>IF($X166&gt;0,INDEX('CostModel Coef'!U$13:U$16,$X166),"")</f>
        <v/>
      </c>
      <c r="BL166" s="103" t="str">
        <f>IF($X166&gt;0,INDEX('CostModel Coef'!V$13:V$16,$X166),"")</f>
        <v/>
      </c>
      <c r="BM166" s="103" t="str">
        <f>IF($X166&gt;0,INDEX('CostModel Coef'!W$13:W$16,$X166),"")</f>
        <v/>
      </c>
      <c r="BN166" s="103" t="str">
        <f>IF($X166&gt;0,INDEX('CostModel Coef'!X$13:X$16,$X166),"")</f>
        <v/>
      </c>
      <c r="BO166" s="103"/>
      <c r="BP166" s="119">
        <v>2000</v>
      </c>
      <c r="BQ166" s="103"/>
      <c r="BR166" s="103"/>
      <c r="BS166" s="119" t="str">
        <f t="shared" si="60"/>
        <v/>
      </c>
      <c r="BT166" s="174">
        <f t="shared" si="52"/>
        <v>-1</v>
      </c>
      <c r="BU166" s="113" t="str">
        <f t="shared" si="62"/>
        <v>OOS</v>
      </c>
      <c r="BV166" s="108" t="str">
        <f t="shared" si="63"/>
        <v>OOS</v>
      </c>
      <c r="BW166" s="108" t="str">
        <f t="shared" si="64"/>
        <v>OOS</v>
      </c>
      <c r="BX166" s="108" t="str">
        <f t="shared" si="65"/>
        <v>OOS</v>
      </c>
      <c r="BY166" s="108" t="str">
        <f t="shared" si="66"/>
        <v>OOS</v>
      </c>
      <c r="BZ166" s="108"/>
      <c r="CA166" s="119" t="str">
        <f t="shared" si="67"/>
        <v/>
      </c>
      <c r="CB166" s="174">
        <f t="shared" si="58"/>
        <v>-1</v>
      </c>
      <c r="CC166" s="113" t="str">
        <f t="shared" si="68"/>
        <v/>
      </c>
      <c r="CD166" s="108" t="str">
        <f t="shared" si="69"/>
        <v/>
      </c>
      <c r="CE166" s="108" t="str">
        <f t="shared" si="70"/>
        <v/>
      </c>
      <c r="CF166" s="108" t="str">
        <f t="shared" si="71"/>
        <v/>
      </c>
      <c r="CG166" s="108" t="str">
        <f t="shared" si="72"/>
        <v/>
      </c>
      <c r="CH166" s="103"/>
      <c r="CI166" s="119" t="str">
        <f t="shared" si="61"/>
        <v/>
      </c>
      <c r="CJ166" s="174">
        <f t="shared" si="59"/>
        <v>-1</v>
      </c>
      <c r="CK166" s="113" t="str">
        <f t="shared" si="73"/>
        <v/>
      </c>
      <c r="CL166" s="108" t="str">
        <f t="shared" si="74"/>
        <v/>
      </c>
      <c r="CM166" s="108" t="str">
        <f t="shared" si="75"/>
        <v/>
      </c>
      <c r="CN166" s="108" t="str">
        <f t="shared" si="76"/>
        <v/>
      </c>
      <c r="CO166" s="108" t="str">
        <f t="shared" si="77"/>
        <v/>
      </c>
    </row>
    <row r="167" spans="1:93">
      <c r="A167" s="103" t="s">
        <v>487</v>
      </c>
      <c r="B167" s="103" t="s">
        <v>174</v>
      </c>
      <c r="C167" s="103" t="s">
        <v>449</v>
      </c>
      <c r="D167" s="250" t="s">
        <v>153</v>
      </c>
      <c r="E167" s="250"/>
      <c r="F167" s="182">
        <v>9020</v>
      </c>
      <c r="G167" s="250" t="s">
        <v>175</v>
      </c>
      <c r="H167" s="250">
        <v>40</v>
      </c>
      <c r="I167" s="250"/>
      <c r="J167" s="250"/>
      <c r="K167" s="250"/>
      <c r="L167" s="250" t="s">
        <v>61</v>
      </c>
      <c r="M167" s="250">
        <v>40</v>
      </c>
      <c r="N167" s="250"/>
      <c r="O167" s="250"/>
      <c r="P167" s="250" t="s">
        <v>153</v>
      </c>
      <c r="Q167" s="250"/>
      <c r="R167" s="250"/>
      <c r="S167" s="250"/>
      <c r="T167" s="250" t="s">
        <v>155</v>
      </c>
      <c r="U167" s="103" t="s">
        <v>488</v>
      </c>
      <c r="V167" s="106" t="s">
        <v>157</v>
      </c>
      <c r="W167" s="103" t="s">
        <v>158</v>
      </c>
      <c r="X167" s="103">
        <f>IFERROR(MATCH(W167,'CostModel Coef'!$C$9:$C$12,0),0)</f>
        <v>0</v>
      </c>
      <c r="Y167" s="103"/>
      <c r="Z167" s="103" t="str">
        <f>IF($X167&gt;0,INDEX('CostModel Coef'!D$9:D$12,$X167),"")</f>
        <v/>
      </c>
      <c r="AA167" s="103" t="str">
        <f>IF($X167&gt;0,INDEX('CostModel Coef'!E$9:E$12,$X167),"")</f>
        <v/>
      </c>
      <c r="AB167" s="103" t="str">
        <f>IF($X167&gt;0,INDEX('CostModel Coef'!F$9:F$12,$X167),"")</f>
        <v/>
      </c>
      <c r="AC167" s="103" t="str">
        <f>IF($X167&gt;0,INDEX('CostModel Coef'!G$9:G$12,$X167),"")</f>
        <v/>
      </c>
      <c r="AD167" s="103" t="str">
        <f>IF($X167&gt;0,INDEX('CostModel Coef'!H$9:H$12,$X167),"")</f>
        <v/>
      </c>
      <c r="AE167" s="103" t="str">
        <f>IF($X167&gt;0,INDEX('CostModel Coef'!J$9:J$12,$X167),"")</f>
        <v/>
      </c>
      <c r="AF167" s="103" t="str">
        <f>IF($X167&gt;0,INDEX('CostModel Coef'!K$9:K$12,$X167),"")</f>
        <v/>
      </c>
      <c r="AG167" s="103" t="str">
        <f>IF($X167&gt;0,INDEX('CostModel Coef'!L$9:L$12,$X167),"")</f>
        <v/>
      </c>
      <c r="AH167" s="103" t="str">
        <f>IF($X167&gt;0,INDEX('CostModel Coef'!M$9:M$12,$X167),"")</f>
        <v/>
      </c>
      <c r="AI167" s="103" t="str">
        <f>IF($X167&gt;0,INDEX('CostModel Coef'!N$9:N$12,$X167),"")</f>
        <v/>
      </c>
      <c r="AJ167" s="103" t="str">
        <f>IF($X167&gt;0,INDEX('CostModel Coef'!Q$9:Q$12,$X167),"")</f>
        <v/>
      </c>
      <c r="AK167" s="103" t="str">
        <f>IF($X167&gt;0,INDEX('CostModel Coef'!T$9:T$12,$X167),"")</f>
        <v/>
      </c>
      <c r="AL167" s="103"/>
      <c r="AM167" s="108" t="str">
        <f t="shared" si="53"/>
        <v/>
      </c>
      <c r="AN167" s="108" t="str">
        <f t="shared" si="54"/>
        <v/>
      </c>
      <c r="AO167" s="108" t="str">
        <f t="shared" si="55"/>
        <v/>
      </c>
      <c r="AP167" s="108" t="str">
        <f t="shared" si="56"/>
        <v/>
      </c>
      <c r="AQ167" s="108" t="str">
        <f t="shared" si="57"/>
        <v/>
      </c>
      <c r="AR167" s="108"/>
      <c r="AS167" s="108"/>
      <c r="AT167" s="103" t="str">
        <f>IF($X167&gt;0,INDEX('CostModel Coef'!D$13:D$16,$X167),"")</f>
        <v/>
      </c>
      <c r="AU167" s="103" t="str">
        <f>IF($X167&gt;0,INDEX('CostModel Coef'!E$13:E$16,$X167),"")</f>
        <v/>
      </c>
      <c r="AV167" s="103" t="str">
        <f>IF($X167&gt;0,INDEX('CostModel Coef'!F$13:F$16,$X167),"")</f>
        <v/>
      </c>
      <c r="AW167" s="103" t="str">
        <f>IF($X167&gt;0,INDEX('CostModel Coef'!G$13:G$16,$X167),"")</f>
        <v/>
      </c>
      <c r="AX167" s="103" t="str">
        <f>IF($X167&gt;0,INDEX('CostModel Coef'!H$13:H$16,$X167),"")</f>
        <v/>
      </c>
      <c r="AY167" s="103" t="str">
        <f>IF($X167&gt;0,INDEX('CostModel Coef'!I$13:I$16,$X167),"")</f>
        <v/>
      </c>
      <c r="AZ167" s="103" t="str">
        <f>IF($X167&gt;0,INDEX('CostModel Coef'!J$13:J$16,$X167),"")</f>
        <v/>
      </c>
      <c r="BA167" s="103" t="str">
        <f>IF($X167&gt;0,INDEX('CostModel Coef'!K$13:K$16,$X167),"")</f>
        <v/>
      </c>
      <c r="BB167" s="103" t="str">
        <f>IF($X167&gt;0,INDEX('CostModel Coef'!L$13:L$16,$X167),"")</f>
        <v/>
      </c>
      <c r="BC167" s="103" t="str">
        <f>IF($X167&gt;0,INDEX('CostModel Coef'!M$13:M$16,$X167),"")</f>
        <v/>
      </c>
      <c r="BD167" s="103" t="str">
        <f>IF($X167&gt;0,INDEX('CostModel Coef'!N$13:N$16,$X167),"")</f>
        <v/>
      </c>
      <c r="BE167" s="103" t="str">
        <f>IF($X167&gt;0,INDEX('CostModel Coef'!O$13:O$16,$X167),"")</f>
        <v/>
      </c>
      <c r="BF167" s="103" t="str">
        <f>IF($X167&gt;0,INDEX('CostModel Coef'!P$13:P$16,$X167),"")</f>
        <v/>
      </c>
      <c r="BG167" s="103" t="str">
        <f>IF($X167&gt;0,INDEX('CostModel Coef'!Q$13:Q$16,$X167),"")</f>
        <v/>
      </c>
      <c r="BH167" s="103" t="str">
        <f>IF($X167&gt;0,INDEX('CostModel Coef'!R$13:R$16,$X167),"")</f>
        <v/>
      </c>
      <c r="BI167" s="103" t="str">
        <f>IF($X167&gt;0,INDEX('CostModel Coef'!S$13:S$16,$X167),"")</f>
        <v/>
      </c>
      <c r="BJ167" s="103" t="str">
        <f>IF($X167&gt;0,INDEX('CostModel Coef'!T$13:T$16,$X167),"")</f>
        <v/>
      </c>
      <c r="BK167" s="103" t="str">
        <f>IF($X167&gt;0,INDEX('CostModel Coef'!U$13:U$16,$X167),"")</f>
        <v/>
      </c>
      <c r="BL167" s="103" t="str">
        <f>IF($X167&gt;0,INDEX('CostModel Coef'!V$13:V$16,$X167),"")</f>
        <v/>
      </c>
      <c r="BM167" s="103" t="str">
        <f>IF($X167&gt;0,INDEX('CostModel Coef'!W$13:W$16,$X167),"")</f>
        <v/>
      </c>
      <c r="BN167" s="103" t="str">
        <f>IF($X167&gt;0,INDEX('CostModel Coef'!X$13:X$16,$X167),"")</f>
        <v/>
      </c>
      <c r="BO167" s="103"/>
      <c r="BP167" s="119">
        <v>2000</v>
      </c>
      <c r="BQ167" s="103"/>
      <c r="BR167" s="103"/>
      <c r="BS167" s="119" t="str">
        <f t="shared" si="60"/>
        <v/>
      </c>
      <c r="BT167" s="174">
        <f t="shared" si="52"/>
        <v>-1</v>
      </c>
      <c r="BU167" s="113" t="str">
        <f t="shared" si="62"/>
        <v>OOS</v>
      </c>
      <c r="BV167" s="108" t="str">
        <f t="shared" si="63"/>
        <v>OOS</v>
      </c>
      <c r="BW167" s="108" t="str">
        <f t="shared" si="64"/>
        <v>OOS</v>
      </c>
      <c r="BX167" s="108" t="str">
        <f t="shared" si="65"/>
        <v>OOS</v>
      </c>
      <c r="BY167" s="108" t="str">
        <f t="shared" si="66"/>
        <v>OOS</v>
      </c>
      <c r="BZ167" s="108"/>
      <c r="CA167" s="119" t="str">
        <f t="shared" si="67"/>
        <v/>
      </c>
      <c r="CB167" s="174">
        <f t="shared" si="58"/>
        <v>-1</v>
      </c>
      <c r="CC167" s="113" t="str">
        <f t="shared" si="68"/>
        <v/>
      </c>
      <c r="CD167" s="108" t="str">
        <f t="shared" si="69"/>
        <v/>
      </c>
      <c r="CE167" s="108" t="str">
        <f t="shared" si="70"/>
        <v/>
      </c>
      <c r="CF167" s="108" t="str">
        <f t="shared" si="71"/>
        <v/>
      </c>
      <c r="CG167" s="108" t="str">
        <f t="shared" si="72"/>
        <v/>
      </c>
      <c r="CH167" s="103"/>
      <c r="CI167" s="119" t="str">
        <f t="shared" si="61"/>
        <v/>
      </c>
      <c r="CJ167" s="174">
        <f t="shared" si="59"/>
        <v>-1</v>
      </c>
      <c r="CK167" s="113" t="str">
        <f t="shared" si="73"/>
        <v/>
      </c>
      <c r="CL167" s="108" t="str">
        <f t="shared" si="74"/>
        <v/>
      </c>
      <c r="CM167" s="108" t="str">
        <f t="shared" si="75"/>
        <v/>
      </c>
      <c r="CN167" s="108" t="str">
        <f t="shared" si="76"/>
        <v/>
      </c>
      <c r="CO167" s="108" t="str">
        <f t="shared" si="77"/>
        <v/>
      </c>
    </row>
    <row r="168" spans="1:93">
      <c r="A168" s="103" t="s">
        <v>489</v>
      </c>
      <c r="B168" s="103" t="s">
        <v>174</v>
      </c>
      <c r="C168" s="103" t="s">
        <v>449</v>
      </c>
      <c r="D168" s="250" t="s">
        <v>153</v>
      </c>
      <c r="E168" s="250"/>
      <c r="F168" s="182">
        <v>9020</v>
      </c>
      <c r="G168" s="250" t="s">
        <v>175</v>
      </c>
      <c r="H168" s="250">
        <v>42</v>
      </c>
      <c r="I168" s="250"/>
      <c r="J168" s="250"/>
      <c r="K168" s="250"/>
      <c r="L168" s="250" t="s">
        <v>61</v>
      </c>
      <c r="M168" s="250">
        <v>42</v>
      </c>
      <c r="N168" s="250"/>
      <c r="O168" s="250"/>
      <c r="P168" s="250" t="s">
        <v>153</v>
      </c>
      <c r="Q168" s="250"/>
      <c r="R168" s="250"/>
      <c r="S168" s="250"/>
      <c r="T168" s="250" t="s">
        <v>155</v>
      </c>
      <c r="U168" s="103" t="s">
        <v>490</v>
      </c>
      <c r="V168" s="106" t="s">
        <v>157</v>
      </c>
      <c r="W168" s="103" t="s">
        <v>158</v>
      </c>
      <c r="X168" s="103">
        <f>IFERROR(MATCH(W168,'CostModel Coef'!$C$9:$C$12,0),0)</f>
        <v>0</v>
      </c>
      <c r="Y168" s="103"/>
      <c r="Z168" s="103" t="str">
        <f>IF($X168&gt;0,INDEX('CostModel Coef'!D$9:D$12,$X168),"")</f>
        <v/>
      </c>
      <c r="AA168" s="103" t="str">
        <f>IF($X168&gt;0,INDEX('CostModel Coef'!E$9:E$12,$X168),"")</f>
        <v/>
      </c>
      <c r="AB168" s="103" t="str">
        <f>IF($X168&gt;0,INDEX('CostModel Coef'!F$9:F$12,$X168),"")</f>
        <v/>
      </c>
      <c r="AC168" s="103" t="str">
        <f>IF($X168&gt;0,INDEX('CostModel Coef'!G$9:G$12,$X168),"")</f>
        <v/>
      </c>
      <c r="AD168" s="103" t="str">
        <f>IF($X168&gt;0,INDEX('CostModel Coef'!H$9:H$12,$X168),"")</f>
        <v/>
      </c>
      <c r="AE168" s="103" t="str">
        <f>IF($X168&gt;0,INDEX('CostModel Coef'!J$9:J$12,$X168),"")</f>
        <v/>
      </c>
      <c r="AF168" s="103" t="str">
        <f>IF($X168&gt;0,INDEX('CostModel Coef'!K$9:K$12,$X168),"")</f>
        <v/>
      </c>
      <c r="AG168" s="103" t="str">
        <f>IF($X168&gt;0,INDEX('CostModel Coef'!L$9:L$12,$X168),"")</f>
        <v/>
      </c>
      <c r="AH168" s="103" t="str">
        <f>IF($X168&gt;0,INDEX('CostModel Coef'!M$9:M$12,$X168),"")</f>
        <v/>
      </c>
      <c r="AI168" s="103" t="str">
        <f>IF($X168&gt;0,INDEX('CostModel Coef'!N$9:N$12,$X168),"")</f>
        <v/>
      </c>
      <c r="AJ168" s="103" t="str">
        <f>IF($X168&gt;0,INDEX('CostModel Coef'!Q$9:Q$12,$X168),"")</f>
        <v/>
      </c>
      <c r="AK168" s="103" t="str">
        <f>IF($X168&gt;0,INDEX('CostModel Coef'!T$9:T$12,$X168),"")</f>
        <v/>
      </c>
      <c r="AL168" s="103"/>
      <c r="AM168" s="108" t="str">
        <f t="shared" si="53"/>
        <v/>
      </c>
      <c r="AN168" s="108" t="str">
        <f t="shared" si="54"/>
        <v/>
      </c>
      <c r="AO168" s="108" t="str">
        <f t="shared" si="55"/>
        <v/>
      </c>
      <c r="AP168" s="108" t="str">
        <f t="shared" si="56"/>
        <v/>
      </c>
      <c r="AQ168" s="108" t="str">
        <f t="shared" si="57"/>
        <v/>
      </c>
      <c r="AR168" s="108"/>
      <c r="AS168" s="108"/>
      <c r="AT168" s="103" t="str">
        <f>IF($X168&gt;0,INDEX('CostModel Coef'!D$13:D$16,$X168),"")</f>
        <v/>
      </c>
      <c r="AU168" s="103" t="str">
        <f>IF($X168&gt;0,INDEX('CostModel Coef'!E$13:E$16,$X168),"")</f>
        <v/>
      </c>
      <c r="AV168" s="103" t="str">
        <f>IF($X168&gt;0,INDEX('CostModel Coef'!F$13:F$16,$X168),"")</f>
        <v/>
      </c>
      <c r="AW168" s="103" t="str">
        <f>IF($X168&gt;0,INDEX('CostModel Coef'!G$13:G$16,$X168),"")</f>
        <v/>
      </c>
      <c r="AX168" s="103" t="str">
        <f>IF($X168&gt;0,INDEX('CostModel Coef'!H$13:H$16,$X168),"")</f>
        <v/>
      </c>
      <c r="AY168" s="103" t="str">
        <f>IF($X168&gt;0,INDEX('CostModel Coef'!I$13:I$16,$X168),"")</f>
        <v/>
      </c>
      <c r="AZ168" s="103" t="str">
        <f>IF($X168&gt;0,INDEX('CostModel Coef'!J$13:J$16,$X168),"")</f>
        <v/>
      </c>
      <c r="BA168" s="103" t="str">
        <f>IF($X168&gt;0,INDEX('CostModel Coef'!K$13:K$16,$X168),"")</f>
        <v/>
      </c>
      <c r="BB168" s="103" t="str">
        <f>IF($X168&gt;0,INDEX('CostModel Coef'!L$13:L$16,$X168),"")</f>
        <v/>
      </c>
      <c r="BC168" s="103" t="str">
        <f>IF($X168&gt;0,INDEX('CostModel Coef'!M$13:M$16,$X168),"")</f>
        <v/>
      </c>
      <c r="BD168" s="103" t="str">
        <f>IF($X168&gt;0,INDEX('CostModel Coef'!N$13:N$16,$X168),"")</f>
        <v/>
      </c>
      <c r="BE168" s="103" t="str">
        <f>IF($X168&gt;0,INDEX('CostModel Coef'!O$13:O$16,$X168),"")</f>
        <v/>
      </c>
      <c r="BF168" s="103" t="str">
        <f>IF($X168&gt;0,INDEX('CostModel Coef'!P$13:P$16,$X168),"")</f>
        <v/>
      </c>
      <c r="BG168" s="103" t="str">
        <f>IF($X168&gt;0,INDEX('CostModel Coef'!Q$13:Q$16,$X168),"")</f>
        <v/>
      </c>
      <c r="BH168" s="103" t="str">
        <f>IF($X168&gt;0,INDEX('CostModel Coef'!R$13:R$16,$X168),"")</f>
        <v/>
      </c>
      <c r="BI168" s="103" t="str">
        <f>IF($X168&gt;0,INDEX('CostModel Coef'!S$13:S$16,$X168),"")</f>
        <v/>
      </c>
      <c r="BJ168" s="103" t="str">
        <f>IF($X168&gt;0,INDEX('CostModel Coef'!T$13:T$16,$X168),"")</f>
        <v/>
      </c>
      <c r="BK168" s="103" t="str">
        <f>IF($X168&gt;0,INDEX('CostModel Coef'!U$13:U$16,$X168),"")</f>
        <v/>
      </c>
      <c r="BL168" s="103" t="str">
        <f>IF($X168&gt;0,INDEX('CostModel Coef'!V$13:V$16,$X168),"")</f>
        <v/>
      </c>
      <c r="BM168" s="103" t="str">
        <f>IF($X168&gt;0,INDEX('CostModel Coef'!W$13:W$16,$X168),"")</f>
        <v/>
      </c>
      <c r="BN168" s="103" t="str">
        <f>IF($X168&gt;0,INDEX('CostModel Coef'!X$13:X$16,$X168),"")</f>
        <v/>
      </c>
      <c r="BO168" s="103"/>
      <c r="BP168" s="119">
        <v>2000</v>
      </c>
      <c r="BQ168" s="103"/>
      <c r="BR168" s="103"/>
      <c r="BS168" s="119" t="str">
        <f t="shared" si="60"/>
        <v/>
      </c>
      <c r="BT168" s="174">
        <f t="shared" si="52"/>
        <v>-1</v>
      </c>
      <c r="BU168" s="113" t="str">
        <f t="shared" si="62"/>
        <v>OOS</v>
      </c>
      <c r="BV168" s="108" t="str">
        <f t="shared" si="63"/>
        <v>OOS</v>
      </c>
      <c r="BW168" s="108" t="str">
        <f t="shared" si="64"/>
        <v>OOS</v>
      </c>
      <c r="BX168" s="108" t="str">
        <f t="shared" si="65"/>
        <v>OOS</v>
      </c>
      <c r="BY168" s="108" t="str">
        <f t="shared" si="66"/>
        <v>OOS</v>
      </c>
      <c r="BZ168" s="108"/>
      <c r="CA168" s="119" t="str">
        <f t="shared" si="67"/>
        <v/>
      </c>
      <c r="CB168" s="174">
        <f t="shared" si="58"/>
        <v>-1</v>
      </c>
      <c r="CC168" s="113" t="str">
        <f t="shared" si="68"/>
        <v/>
      </c>
      <c r="CD168" s="108" t="str">
        <f t="shared" si="69"/>
        <v/>
      </c>
      <c r="CE168" s="108" t="str">
        <f t="shared" si="70"/>
        <v/>
      </c>
      <c r="CF168" s="108" t="str">
        <f t="shared" si="71"/>
        <v/>
      </c>
      <c r="CG168" s="108" t="str">
        <f t="shared" si="72"/>
        <v/>
      </c>
      <c r="CH168" s="103"/>
      <c r="CI168" s="119" t="str">
        <f t="shared" si="61"/>
        <v/>
      </c>
      <c r="CJ168" s="174">
        <f t="shared" si="59"/>
        <v>-1</v>
      </c>
      <c r="CK168" s="113" t="str">
        <f t="shared" si="73"/>
        <v/>
      </c>
      <c r="CL168" s="108" t="str">
        <f t="shared" si="74"/>
        <v/>
      </c>
      <c r="CM168" s="108" t="str">
        <f t="shared" si="75"/>
        <v/>
      </c>
      <c r="CN168" s="108" t="str">
        <f t="shared" si="76"/>
        <v/>
      </c>
      <c r="CO168" s="108" t="str">
        <f t="shared" si="77"/>
        <v/>
      </c>
    </row>
    <row r="169" spans="1:93">
      <c r="A169" s="103" t="s">
        <v>491</v>
      </c>
      <c r="B169" s="103" t="s">
        <v>174</v>
      </c>
      <c r="C169" s="103" t="s">
        <v>449</v>
      </c>
      <c r="D169" s="250" t="s">
        <v>153</v>
      </c>
      <c r="E169" s="250"/>
      <c r="F169" s="182">
        <v>9020</v>
      </c>
      <c r="G169" s="250" t="s">
        <v>175</v>
      </c>
      <c r="H169" s="250">
        <v>45</v>
      </c>
      <c r="I169" s="250"/>
      <c r="J169" s="250"/>
      <c r="K169" s="250"/>
      <c r="L169" s="250" t="s">
        <v>61</v>
      </c>
      <c r="M169" s="250">
        <v>45</v>
      </c>
      <c r="N169" s="250"/>
      <c r="O169" s="250"/>
      <c r="P169" s="250" t="s">
        <v>153</v>
      </c>
      <c r="Q169" s="250"/>
      <c r="R169" s="250"/>
      <c r="S169" s="250"/>
      <c r="T169" s="250" t="s">
        <v>155</v>
      </c>
      <c r="U169" s="103" t="s">
        <v>492</v>
      </c>
      <c r="V169" s="106" t="s">
        <v>157</v>
      </c>
      <c r="W169" s="103" t="s">
        <v>158</v>
      </c>
      <c r="X169" s="103">
        <f>IFERROR(MATCH(W169,'CostModel Coef'!$C$9:$C$12,0),0)</f>
        <v>0</v>
      </c>
      <c r="Y169" s="103"/>
      <c r="Z169" s="103" t="str">
        <f>IF($X169&gt;0,INDEX('CostModel Coef'!D$9:D$12,$X169),"")</f>
        <v/>
      </c>
      <c r="AA169" s="103" t="str">
        <f>IF($X169&gt;0,INDEX('CostModel Coef'!E$9:E$12,$X169),"")</f>
        <v/>
      </c>
      <c r="AB169" s="103" t="str">
        <f>IF($X169&gt;0,INDEX('CostModel Coef'!F$9:F$12,$X169),"")</f>
        <v/>
      </c>
      <c r="AC169" s="103" t="str">
        <f>IF($X169&gt;0,INDEX('CostModel Coef'!G$9:G$12,$X169),"")</f>
        <v/>
      </c>
      <c r="AD169" s="103" t="str">
        <f>IF($X169&gt;0,INDEX('CostModel Coef'!H$9:H$12,$X169),"")</f>
        <v/>
      </c>
      <c r="AE169" s="103" t="str">
        <f>IF($X169&gt;0,INDEX('CostModel Coef'!J$9:J$12,$X169),"")</f>
        <v/>
      </c>
      <c r="AF169" s="103" t="str">
        <f>IF($X169&gt;0,INDEX('CostModel Coef'!K$9:K$12,$X169),"")</f>
        <v/>
      </c>
      <c r="AG169" s="103" t="str">
        <f>IF($X169&gt;0,INDEX('CostModel Coef'!L$9:L$12,$X169),"")</f>
        <v/>
      </c>
      <c r="AH169" s="103" t="str">
        <f>IF($X169&gt;0,INDEX('CostModel Coef'!M$9:M$12,$X169),"")</f>
        <v/>
      </c>
      <c r="AI169" s="103" t="str">
        <f>IF($X169&gt;0,INDEX('CostModel Coef'!N$9:N$12,$X169),"")</f>
        <v/>
      </c>
      <c r="AJ169" s="103" t="str">
        <f>IF($X169&gt;0,INDEX('CostModel Coef'!Q$9:Q$12,$X169),"")</f>
        <v/>
      </c>
      <c r="AK169" s="103" t="str">
        <f>IF($X169&gt;0,INDEX('CostModel Coef'!T$9:T$12,$X169),"")</f>
        <v/>
      </c>
      <c r="AL169" s="103"/>
      <c r="AM169" s="108" t="str">
        <f t="shared" si="53"/>
        <v/>
      </c>
      <c r="AN169" s="108" t="str">
        <f t="shared" si="54"/>
        <v/>
      </c>
      <c r="AO169" s="108" t="str">
        <f t="shared" si="55"/>
        <v/>
      </c>
      <c r="AP169" s="108" t="str">
        <f t="shared" si="56"/>
        <v/>
      </c>
      <c r="AQ169" s="108" t="str">
        <f t="shared" si="57"/>
        <v/>
      </c>
      <c r="AR169" s="108"/>
      <c r="AS169" s="108"/>
      <c r="AT169" s="103" t="str">
        <f>IF($X169&gt;0,INDEX('CostModel Coef'!D$13:D$16,$X169),"")</f>
        <v/>
      </c>
      <c r="AU169" s="103" t="str">
        <f>IF($X169&gt;0,INDEX('CostModel Coef'!E$13:E$16,$X169),"")</f>
        <v/>
      </c>
      <c r="AV169" s="103" t="str">
        <f>IF($X169&gt;0,INDEX('CostModel Coef'!F$13:F$16,$X169),"")</f>
        <v/>
      </c>
      <c r="AW169" s="103" t="str">
        <f>IF($X169&gt;0,INDEX('CostModel Coef'!G$13:G$16,$X169),"")</f>
        <v/>
      </c>
      <c r="AX169" s="103" t="str">
        <f>IF($X169&gt;0,INDEX('CostModel Coef'!H$13:H$16,$X169),"")</f>
        <v/>
      </c>
      <c r="AY169" s="103" t="str">
        <f>IF($X169&gt;0,INDEX('CostModel Coef'!I$13:I$16,$X169),"")</f>
        <v/>
      </c>
      <c r="AZ169" s="103" t="str">
        <f>IF($X169&gt;0,INDEX('CostModel Coef'!J$13:J$16,$X169),"")</f>
        <v/>
      </c>
      <c r="BA169" s="103" t="str">
        <f>IF($X169&gt;0,INDEX('CostModel Coef'!K$13:K$16,$X169),"")</f>
        <v/>
      </c>
      <c r="BB169" s="103" t="str">
        <f>IF($X169&gt;0,INDEX('CostModel Coef'!L$13:L$16,$X169),"")</f>
        <v/>
      </c>
      <c r="BC169" s="103" t="str">
        <f>IF($X169&gt;0,INDEX('CostModel Coef'!M$13:M$16,$X169),"")</f>
        <v/>
      </c>
      <c r="BD169" s="103" t="str">
        <f>IF($X169&gt;0,INDEX('CostModel Coef'!N$13:N$16,$X169),"")</f>
        <v/>
      </c>
      <c r="BE169" s="103" t="str">
        <f>IF($X169&gt;0,INDEX('CostModel Coef'!O$13:O$16,$X169),"")</f>
        <v/>
      </c>
      <c r="BF169" s="103" t="str">
        <f>IF($X169&gt;0,INDEX('CostModel Coef'!P$13:P$16,$X169),"")</f>
        <v/>
      </c>
      <c r="BG169" s="103" t="str">
        <f>IF($X169&gt;0,INDEX('CostModel Coef'!Q$13:Q$16,$X169),"")</f>
        <v/>
      </c>
      <c r="BH169" s="103" t="str">
        <f>IF($X169&gt;0,INDEX('CostModel Coef'!R$13:R$16,$X169),"")</f>
        <v/>
      </c>
      <c r="BI169" s="103" t="str">
        <f>IF($X169&gt;0,INDEX('CostModel Coef'!S$13:S$16,$X169),"")</f>
        <v/>
      </c>
      <c r="BJ169" s="103" t="str">
        <f>IF($X169&gt;0,INDEX('CostModel Coef'!T$13:T$16,$X169),"")</f>
        <v/>
      </c>
      <c r="BK169" s="103" t="str">
        <f>IF($X169&gt;0,INDEX('CostModel Coef'!U$13:U$16,$X169),"")</f>
        <v/>
      </c>
      <c r="BL169" s="103" t="str">
        <f>IF($X169&gt;0,INDEX('CostModel Coef'!V$13:V$16,$X169),"")</f>
        <v/>
      </c>
      <c r="BM169" s="103" t="str">
        <f>IF($X169&gt;0,INDEX('CostModel Coef'!W$13:W$16,$X169),"")</f>
        <v/>
      </c>
      <c r="BN169" s="103" t="str">
        <f>IF($X169&gt;0,INDEX('CostModel Coef'!X$13:X$16,$X169),"")</f>
        <v/>
      </c>
      <c r="BO169" s="103"/>
      <c r="BP169" s="119">
        <v>2000</v>
      </c>
      <c r="BQ169" s="103"/>
      <c r="BR169" s="103"/>
      <c r="BS169" s="119" t="str">
        <f t="shared" si="60"/>
        <v/>
      </c>
      <c r="BT169" s="174">
        <f t="shared" si="52"/>
        <v>-1</v>
      </c>
      <c r="BU169" s="113" t="str">
        <f t="shared" si="62"/>
        <v>OOS</v>
      </c>
      <c r="BV169" s="108" t="str">
        <f t="shared" si="63"/>
        <v>OOS</v>
      </c>
      <c r="BW169" s="108" t="str">
        <f t="shared" si="64"/>
        <v>OOS</v>
      </c>
      <c r="BX169" s="108" t="str">
        <f t="shared" si="65"/>
        <v>OOS</v>
      </c>
      <c r="BY169" s="108" t="str">
        <f t="shared" si="66"/>
        <v>OOS</v>
      </c>
      <c r="BZ169" s="108"/>
      <c r="CA169" s="119" t="str">
        <f t="shared" si="67"/>
        <v/>
      </c>
      <c r="CB169" s="174">
        <f t="shared" si="58"/>
        <v>-1</v>
      </c>
      <c r="CC169" s="113" t="str">
        <f t="shared" si="68"/>
        <v/>
      </c>
      <c r="CD169" s="108" t="str">
        <f t="shared" si="69"/>
        <v/>
      </c>
      <c r="CE169" s="108" t="str">
        <f t="shared" si="70"/>
        <v/>
      </c>
      <c r="CF169" s="108" t="str">
        <f t="shared" si="71"/>
        <v/>
      </c>
      <c r="CG169" s="108" t="str">
        <f t="shared" si="72"/>
        <v/>
      </c>
      <c r="CH169" s="103"/>
      <c r="CI169" s="119" t="str">
        <f t="shared" si="61"/>
        <v/>
      </c>
      <c r="CJ169" s="174">
        <f t="shared" si="59"/>
        <v>-1</v>
      </c>
      <c r="CK169" s="113" t="str">
        <f t="shared" si="73"/>
        <v/>
      </c>
      <c r="CL169" s="108" t="str">
        <f t="shared" si="74"/>
        <v/>
      </c>
      <c r="CM169" s="108" t="str">
        <f t="shared" si="75"/>
        <v/>
      </c>
      <c r="CN169" s="108" t="str">
        <f t="shared" si="76"/>
        <v/>
      </c>
      <c r="CO169" s="108" t="str">
        <f t="shared" si="77"/>
        <v/>
      </c>
    </row>
    <row r="170" spans="1:93">
      <c r="A170" s="103" t="s">
        <v>493</v>
      </c>
      <c r="B170" s="103" t="s">
        <v>174</v>
      </c>
      <c r="C170" s="103" t="s">
        <v>449</v>
      </c>
      <c r="D170" s="250" t="s">
        <v>153</v>
      </c>
      <c r="E170" s="250"/>
      <c r="F170" s="182">
        <v>9020</v>
      </c>
      <c r="G170" s="250" t="s">
        <v>175</v>
      </c>
      <c r="H170" s="250">
        <v>55</v>
      </c>
      <c r="I170" s="250"/>
      <c r="J170" s="250"/>
      <c r="K170" s="250"/>
      <c r="L170" s="250" t="s">
        <v>61</v>
      </c>
      <c r="M170" s="250">
        <v>55</v>
      </c>
      <c r="N170" s="250"/>
      <c r="O170" s="250"/>
      <c r="P170" s="250" t="s">
        <v>153</v>
      </c>
      <c r="Q170" s="250"/>
      <c r="R170" s="250"/>
      <c r="S170" s="250"/>
      <c r="T170" s="250" t="s">
        <v>155</v>
      </c>
      <c r="U170" s="103" t="s">
        <v>494</v>
      </c>
      <c r="V170" s="106" t="s">
        <v>157</v>
      </c>
      <c r="W170" s="103" t="s">
        <v>158</v>
      </c>
      <c r="X170" s="103">
        <f>IFERROR(MATCH(W170,'CostModel Coef'!$C$9:$C$12,0),0)</f>
        <v>0</v>
      </c>
      <c r="Y170" s="103"/>
      <c r="Z170" s="103" t="str">
        <f>IF($X170&gt;0,INDEX('CostModel Coef'!D$9:D$12,$X170),"")</f>
        <v/>
      </c>
      <c r="AA170" s="103" t="str">
        <f>IF($X170&gt;0,INDEX('CostModel Coef'!E$9:E$12,$X170),"")</f>
        <v/>
      </c>
      <c r="AB170" s="103" t="str">
        <f>IF($X170&gt;0,INDEX('CostModel Coef'!F$9:F$12,$X170),"")</f>
        <v/>
      </c>
      <c r="AC170" s="103" t="str">
        <f>IF($X170&gt;0,INDEX('CostModel Coef'!G$9:G$12,$X170),"")</f>
        <v/>
      </c>
      <c r="AD170" s="103" t="str">
        <f>IF($X170&gt;0,INDEX('CostModel Coef'!H$9:H$12,$X170),"")</f>
        <v/>
      </c>
      <c r="AE170" s="103" t="str">
        <f>IF($X170&gt;0,INDEX('CostModel Coef'!J$9:J$12,$X170),"")</f>
        <v/>
      </c>
      <c r="AF170" s="103" t="str">
        <f>IF($X170&gt;0,INDEX('CostModel Coef'!K$9:K$12,$X170),"")</f>
        <v/>
      </c>
      <c r="AG170" s="103" t="str">
        <f>IF($X170&gt;0,INDEX('CostModel Coef'!L$9:L$12,$X170),"")</f>
        <v/>
      </c>
      <c r="AH170" s="103" t="str">
        <f>IF($X170&gt;0,INDEX('CostModel Coef'!M$9:M$12,$X170),"")</f>
        <v/>
      </c>
      <c r="AI170" s="103" t="str">
        <f>IF($X170&gt;0,INDEX('CostModel Coef'!N$9:N$12,$X170),"")</f>
        <v/>
      </c>
      <c r="AJ170" s="103" t="str">
        <f>IF($X170&gt;0,INDEX('CostModel Coef'!Q$9:Q$12,$X170),"")</f>
        <v/>
      </c>
      <c r="AK170" s="103" t="str">
        <f>IF($X170&gt;0,INDEX('CostModel Coef'!T$9:T$12,$X170),"")</f>
        <v/>
      </c>
      <c r="AL170" s="103"/>
      <c r="AM170" s="108" t="str">
        <f t="shared" si="53"/>
        <v/>
      </c>
      <c r="AN170" s="108" t="str">
        <f t="shared" si="54"/>
        <v/>
      </c>
      <c r="AO170" s="108" t="str">
        <f t="shared" si="55"/>
        <v/>
      </c>
      <c r="AP170" s="108" t="str">
        <f t="shared" si="56"/>
        <v/>
      </c>
      <c r="AQ170" s="108" t="str">
        <f t="shared" si="57"/>
        <v/>
      </c>
      <c r="AR170" s="108"/>
      <c r="AS170" s="108"/>
      <c r="AT170" s="103" t="str">
        <f>IF($X170&gt;0,INDEX('CostModel Coef'!D$13:D$16,$X170),"")</f>
        <v/>
      </c>
      <c r="AU170" s="103" t="str">
        <f>IF($X170&gt;0,INDEX('CostModel Coef'!E$13:E$16,$X170),"")</f>
        <v/>
      </c>
      <c r="AV170" s="103" t="str">
        <f>IF($X170&gt;0,INDEX('CostModel Coef'!F$13:F$16,$X170),"")</f>
        <v/>
      </c>
      <c r="AW170" s="103" t="str">
        <f>IF($X170&gt;0,INDEX('CostModel Coef'!G$13:G$16,$X170),"")</f>
        <v/>
      </c>
      <c r="AX170" s="103" t="str">
        <f>IF($X170&gt;0,INDEX('CostModel Coef'!H$13:H$16,$X170),"")</f>
        <v/>
      </c>
      <c r="AY170" s="103" t="str">
        <f>IF($X170&gt;0,INDEX('CostModel Coef'!I$13:I$16,$X170),"")</f>
        <v/>
      </c>
      <c r="AZ170" s="103" t="str">
        <f>IF($X170&gt;0,INDEX('CostModel Coef'!J$13:J$16,$X170),"")</f>
        <v/>
      </c>
      <c r="BA170" s="103" t="str">
        <f>IF($X170&gt;0,INDEX('CostModel Coef'!K$13:K$16,$X170),"")</f>
        <v/>
      </c>
      <c r="BB170" s="103" t="str">
        <f>IF($X170&gt;0,INDEX('CostModel Coef'!L$13:L$16,$X170),"")</f>
        <v/>
      </c>
      <c r="BC170" s="103" t="str">
        <f>IF($X170&gt;0,INDEX('CostModel Coef'!M$13:M$16,$X170),"")</f>
        <v/>
      </c>
      <c r="BD170" s="103" t="str">
        <f>IF($X170&gt;0,INDEX('CostModel Coef'!N$13:N$16,$X170),"")</f>
        <v/>
      </c>
      <c r="BE170" s="103" t="str">
        <f>IF($X170&gt;0,INDEX('CostModel Coef'!O$13:O$16,$X170),"")</f>
        <v/>
      </c>
      <c r="BF170" s="103" t="str">
        <f>IF($X170&gt;0,INDEX('CostModel Coef'!P$13:P$16,$X170),"")</f>
        <v/>
      </c>
      <c r="BG170" s="103" t="str">
        <f>IF($X170&gt;0,INDEX('CostModel Coef'!Q$13:Q$16,$X170),"")</f>
        <v/>
      </c>
      <c r="BH170" s="103" t="str">
        <f>IF($X170&gt;0,INDEX('CostModel Coef'!R$13:R$16,$X170),"")</f>
        <v/>
      </c>
      <c r="BI170" s="103" t="str">
        <f>IF($X170&gt;0,INDEX('CostModel Coef'!S$13:S$16,$X170),"")</f>
        <v/>
      </c>
      <c r="BJ170" s="103" t="str">
        <f>IF($X170&gt;0,INDEX('CostModel Coef'!T$13:T$16,$X170),"")</f>
        <v/>
      </c>
      <c r="BK170" s="103" t="str">
        <f>IF($X170&gt;0,INDEX('CostModel Coef'!U$13:U$16,$X170),"")</f>
        <v/>
      </c>
      <c r="BL170" s="103" t="str">
        <f>IF($X170&gt;0,INDEX('CostModel Coef'!V$13:V$16,$X170),"")</f>
        <v/>
      </c>
      <c r="BM170" s="103" t="str">
        <f>IF($X170&gt;0,INDEX('CostModel Coef'!W$13:W$16,$X170),"")</f>
        <v/>
      </c>
      <c r="BN170" s="103" t="str">
        <f>IF($X170&gt;0,INDEX('CostModel Coef'!X$13:X$16,$X170),"")</f>
        <v/>
      </c>
      <c r="BO170" s="103"/>
      <c r="BP170" s="119">
        <v>2000</v>
      </c>
      <c r="BQ170" s="103"/>
      <c r="BR170" s="103"/>
      <c r="BS170" s="119" t="str">
        <f t="shared" si="60"/>
        <v/>
      </c>
      <c r="BT170" s="174">
        <f t="shared" si="52"/>
        <v>-1</v>
      </c>
      <c r="BU170" s="113" t="str">
        <f t="shared" si="62"/>
        <v>OOS</v>
      </c>
      <c r="BV170" s="108" t="str">
        <f t="shared" si="63"/>
        <v>OOS</v>
      </c>
      <c r="BW170" s="108" t="str">
        <f t="shared" si="64"/>
        <v>OOS</v>
      </c>
      <c r="BX170" s="108" t="str">
        <f t="shared" si="65"/>
        <v>OOS</v>
      </c>
      <c r="BY170" s="108" t="str">
        <f t="shared" si="66"/>
        <v>OOS</v>
      </c>
      <c r="BZ170" s="108"/>
      <c r="CA170" s="119" t="str">
        <f t="shared" si="67"/>
        <v/>
      </c>
      <c r="CB170" s="174">
        <f t="shared" si="58"/>
        <v>-1</v>
      </c>
      <c r="CC170" s="113" t="str">
        <f t="shared" si="68"/>
        <v/>
      </c>
      <c r="CD170" s="108" t="str">
        <f t="shared" si="69"/>
        <v/>
      </c>
      <c r="CE170" s="108" t="str">
        <f t="shared" si="70"/>
        <v/>
      </c>
      <c r="CF170" s="108" t="str">
        <f t="shared" si="71"/>
        <v/>
      </c>
      <c r="CG170" s="108" t="str">
        <f t="shared" si="72"/>
        <v/>
      </c>
      <c r="CH170" s="103"/>
      <c r="CI170" s="119" t="str">
        <f t="shared" si="61"/>
        <v/>
      </c>
      <c r="CJ170" s="174">
        <f t="shared" si="59"/>
        <v>-1</v>
      </c>
      <c r="CK170" s="113" t="str">
        <f t="shared" si="73"/>
        <v/>
      </c>
      <c r="CL170" s="108" t="str">
        <f t="shared" si="74"/>
        <v/>
      </c>
      <c r="CM170" s="108" t="str">
        <f t="shared" si="75"/>
        <v/>
      </c>
      <c r="CN170" s="108" t="str">
        <f t="shared" si="76"/>
        <v/>
      </c>
      <c r="CO170" s="108" t="str">
        <f t="shared" si="77"/>
        <v/>
      </c>
    </row>
    <row r="171" spans="1:93">
      <c r="A171" s="103" t="s">
        <v>495</v>
      </c>
      <c r="B171" s="103" t="s">
        <v>174</v>
      </c>
      <c r="C171" s="103" t="s">
        <v>449</v>
      </c>
      <c r="D171" s="250" t="s">
        <v>153</v>
      </c>
      <c r="E171" s="250"/>
      <c r="F171" s="182">
        <v>9020</v>
      </c>
      <c r="G171" s="250" t="s">
        <v>175</v>
      </c>
      <c r="H171" s="250">
        <v>7</v>
      </c>
      <c r="I171" s="250"/>
      <c r="J171" s="250"/>
      <c r="K171" s="250"/>
      <c r="L171" s="250" t="s">
        <v>61</v>
      </c>
      <c r="M171" s="250">
        <v>7</v>
      </c>
      <c r="N171" s="250"/>
      <c r="O171" s="250"/>
      <c r="P171" s="250" t="s">
        <v>153</v>
      </c>
      <c r="Q171" s="250"/>
      <c r="R171" s="250"/>
      <c r="S171" s="250"/>
      <c r="T171" s="250" t="s">
        <v>155</v>
      </c>
      <c r="U171" s="103" t="s">
        <v>496</v>
      </c>
      <c r="V171" s="106" t="s">
        <v>157</v>
      </c>
      <c r="W171" s="103" t="s">
        <v>158</v>
      </c>
      <c r="X171" s="103">
        <f>IFERROR(MATCH(W171,'CostModel Coef'!$C$9:$C$12,0),0)</f>
        <v>0</v>
      </c>
      <c r="Y171" s="103"/>
      <c r="Z171" s="103" t="str">
        <f>IF($X171&gt;0,INDEX('CostModel Coef'!D$9:D$12,$X171),"")</f>
        <v/>
      </c>
      <c r="AA171" s="103" t="str">
        <f>IF($X171&gt;0,INDEX('CostModel Coef'!E$9:E$12,$X171),"")</f>
        <v/>
      </c>
      <c r="AB171" s="103" t="str">
        <f>IF($X171&gt;0,INDEX('CostModel Coef'!F$9:F$12,$X171),"")</f>
        <v/>
      </c>
      <c r="AC171" s="103" t="str">
        <f>IF($X171&gt;0,INDEX('CostModel Coef'!G$9:G$12,$X171),"")</f>
        <v/>
      </c>
      <c r="AD171" s="103" t="str">
        <f>IF($X171&gt;0,INDEX('CostModel Coef'!H$9:H$12,$X171),"")</f>
        <v/>
      </c>
      <c r="AE171" s="103" t="str">
        <f>IF($X171&gt;0,INDEX('CostModel Coef'!J$9:J$12,$X171),"")</f>
        <v/>
      </c>
      <c r="AF171" s="103" t="str">
        <f>IF($X171&gt;0,INDEX('CostModel Coef'!K$9:K$12,$X171),"")</f>
        <v/>
      </c>
      <c r="AG171" s="103" t="str">
        <f>IF($X171&gt;0,INDEX('CostModel Coef'!L$9:L$12,$X171),"")</f>
        <v/>
      </c>
      <c r="AH171" s="103" t="str">
        <f>IF($X171&gt;0,INDEX('CostModel Coef'!M$9:M$12,$X171),"")</f>
        <v/>
      </c>
      <c r="AI171" s="103" t="str">
        <f>IF($X171&gt;0,INDEX('CostModel Coef'!N$9:N$12,$X171),"")</f>
        <v/>
      </c>
      <c r="AJ171" s="103" t="str">
        <f>IF($X171&gt;0,INDEX('CostModel Coef'!Q$9:Q$12,$X171),"")</f>
        <v/>
      </c>
      <c r="AK171" s="103" t="str">
        <f>IF($X171&gt;0,INDEX('CostModel Coef'!T$9:T$12,$X171),"")</f>
        <v/>
      </c>
      <c r="AL171" s="103"/>
      <c r="AM171" s="108" t="str">
        <f t="shared" si="53"/>
        <v/>
      </c>
      <c r="AN171" s="108" t="str">
        <f t="shared" si="54"/>
        <v/>
      </c>
      <c r="AO171" s="108" t="str">
        <f t="shared" si="55"/>
        <v/>
      </c>
      <c r="AP171" s="108" t="str">
        <f t="shared" si="56"/>
        <v/>
      </c>
      <c r="AQ171" s="108" t="str">
        <f t="shared" si="57"/>
        <v/>
      </c>
      <c r="AR171" s="108"/>
      <c r="AS171" s="108"/>
      <c r="AT171" s="103" t="str">
        <f>IF($X171&gt;0,INDEX('CostModel Coef'!D$13:D$16,$X171),"")</f>
        <v/>
      </c>
      <c r="AU171" s="103" t="str">
        <f>IF($X171&gt;0,INDEX('CostModel Coef'!E$13:E$16,$X171),"")</f>
        <v/>
      </c>
      <c r="AV171" s="103" t="str">
        <f>IF($X171&gt;0,INDEX('CostModel Coef'!F$13:F$16,$X171),"")</f>
        <v/>
      </c>
      <c r="AW171" s="103" t="str">
        <f>IF($X171&gt;0,INDEX('CostModel Coef'!G$13:G$16,$X171),"")</f>
        <v/>
      </c>
      <c r="AX171" s="103" t="str">
        <f>IF($X171&gt;0,INDEX('CostModel Coef'!H$13:H$16,$X171),"")</f>
        <v/>
      </c>
      <c r="AY171" s="103" t="str">
        <f>IF($X171&gt;0,INDEX('CostModel Coef'!I$13:I$16,$X171),"")</f>
        <v/>
      </c>
      <c r="AZ171" s="103" t="str">
        <f>IF($X171&gt;0,INDEX('CostModel Coef'!J$13:J$16,$X171),"")</f>
        <v/>
      </c>
      <c r="BA171" s="103" t="str">
        <f>IF($X171&gt;0,INDEX('CostModel Coef'!K$13:K$16,$X171),"")</f>
        <v/>
      </c>
      <c r="BB171" s="103" t="str">
        <f>IF($X171&gt;0,INDEX('CostModel Coef'!L$13:L$16,$X171),"")</f>
        <v/>
      </c>
      <c r="BC171" s="103" t="str">
        <f>IF($X171&gt;0,INDEX('CostModel Coef'!M$13:M$16,$X171),"")</f>
        <v/>
      </c>
      <c r="BD171" s="103" t="str">
        <f>IF($X171&gt;0,INDEX('CostModel Coef'!N$13:N$16,$X171),"")</f>
        <v/>
      </c>
      <c r="BE171" s="103" t="str">
        <f>IF($X171&gt;0,INDEX('CostModel Coef'!O$13:O$16,$X171),"")</f>
        <v/>
      </c>
      <c r="BF171" s="103" t="str">
        <f>IF($X171&gt;0,INDEX('CostModel Coef'!P$13:P$16,$X171),"")</f>
        <v/>
      </c>
      <c r="BG171" s="103" t="str">
        <f>IF($X171&gt;0,INDEX('CostModel Coef'!Q$13:Q$16,$X171),"")</f>
        <v/>
      </c>
      <c r="BH171" s="103" t="str">
        <f>IF($X171&gt;0,INDEX('CostModel Coef'!R$13:R$16,$X171),"")</f>
        <v/>
      </c>
      <c r="BI171" s="103" t="str">
        <f>IF($X171&gt;0,INDEX('CostModel Coef'!S$13:S$16,$X171),"")</f>
        <v/>
      </c>
      <c r="BJ171" s="103" t="str">
        <f>IF($X171&gt;0,INDEX('CostModel Coef'!T$13:T$16,$X171),"")</f>
        <v/>
      </c>
      <c r="BK171" s="103" t="str">
        <f>IF($X171&gt;0,INDEX('CostModel Coef'!U$13:U$16,$X171),"")</f>
        <v/>
      </c>
      <c r="BL171" s="103" t="str">
        <f>IF($X171&gt;0,INDEX('CostModel Coef'!V$13:V$16,$X171),"")</f>
        <v/>
      </c>
      <c r="BM171" s="103" t="str">
        <f>IF($X171&gt;0,INDEX('CostModel Coef'!W$13:W$16,$X171),"")</f>
        <v/>
      </c>
      <c r="BN171" s="103" t="str">
        <f>IF($X171&gt;0,INDEX('CostModel Coef'!X$13:X$16,$X171),"")</f>
        <v/>
      </c>
      <c r="BO171" s="103"/>
      <c r="BP171" s="119">
        <v>2000</v>
      </c>
      <c r="BQ171" s="103"/>
      <c r="BR171" s="103"/>
      <c r="BS171" s="119" t="str">
        <f t="shared" si="60"/>
        <v/>
      </c>
      <c r="BT171" s="174">
        <f t="shared" si="52"/>
        <v>-1</v>
      </c>
      <c r="BU171" s="113" t="str">
        <f t="shared" si="62"/>
        <v>OOS</v>
      </c>
      <c r="BV171" s="108" t="str">
        <f t="shared" si="63"/>
        <v>OOS</v>
      </c>
      <c r="BW171" s="108" t="str">
        <f t="shared" si="64"/>
        <v>OOS</v>
      </c>
      <c r="BX171" s="108" t="str">
        <f t="shared" si="65"/>
        <v>OOS</v>
      </c>
      <c r="BY171" s="108" t="str">
        <f t="shared" si="66"/>
        <v>OOS</v>
      </c>
      <c r="BZ171" s="108"/>
      <c r="CA171" s="119" t="str">
        <f t="shared" si="67"/>
        <v/>
      </c>
      <c r="CB171" s="174">
        <f t="shared" si="58"/>
        <v>-1</v>
      </c>
      <c r="CC171" s="113" t="str">
        <f t="shared" si="68"/>
        <v/>
      </c>
      <c r="CD171" s="108" t="str">
        <f t="shared" si="69"/>
        <v/>
      </c>
      <c r="CE171" s="108" t="str">
        <f t="shared" si="70"/>
        <v/>
      </c>
      <c r="CF171" s="108" t="str">
        <f t="shared" si="71"/>
        <v/>
      </c>
      <c r="CG171" s="108" t="str">
        <f t="shared" si="72"/>
        <v/>
      </c>
      <c r="CH171" s="103"/>
      <c r="CI171" s="119" t="str">
        <f t="shared" si="61"/>
        <v/>
      </c>
      <c r="CJ171" s="174">
        <f t="shared" si="59"/>
        <v>-1</v>
      </c>
      <c r="CK171" s="113" t="str">
        <f t="shared" si="73"/>
        <v/>
      </c>
      <c r="CL171" s="108" t="str">
        <f t="shared" si="74"/>
        <v/>
      </c>
      <c r="CM171" s="108" t="str">
        <f t="shared" si="75"/>
        <v/>
      </c>
      <c r="CN171" s="108" t="str">
        <f t="shared" si="76"/>
        <v/>
      </c>
      <c r="CO171" s="108" t="str">
        <f t="shared" si="77"/>
        <v/>
      </c>
    </row>
    <row r="172" spans="1:93">
      <c r="A172" s="103" t="s">
        <v>497</v>
      </c>
      <c r="B172" s="103" t="s">
        <v>174</v>
      </c>
      <c r="C172" s="103" t="s">
        <v>449</v>
      </c>
      <c r="D172" s="250" t="s">
        <v>153</v>
      </c>
      <c r="E172" s="250"/>
      <c r="F172" s="182">
        <v>9020</v>
      </c>
      <c r="G172" s="250" t="s">
        <v>175</v>
      </c>
      <c r="H172" s="250">
        <v>8</v>
      </c>
      <c r="I172" s="250"/>
      <c r="J172" s="250"/>
      <c r="K172" s="250"/>
      <c r="L172" s="250" t="s">
        <v>61</v>
      </c>
      <c r="M172" s="250">
        <v>8</v>
      </c>
      <c r="N172" s="250"/>
      <c r="O172" s="250"/>
      <c r="P172" s="250" t="s">
        <v>153</v>
      </c>
      <c r="Q172" s="250"/>
      <c r="R172" s="250"/>
      <c r="S172" s="250"/>
      <c r="T172" s="250" t="s">
        <v>155</v>
      </c>
      <c r="U172" s="103" t="s">
        <v>498</v>
      </c>
      <c r="V172" s="106" t="s">
        <v>157</v>
      </c>
      <c r="W172" s="103" t="s">
        <v>158</v>
      </c>
      <c r="X172" s="103">
        <f>IFERROR(MATCH(W172,'CostModel Coef'!$C$9:$C$12,0),0)</f>
        <v>0</v>
      </c>
      <c r="Y172" s="103"/>
      <c r="Z172" s="103" t="str">
        <f>IF($X172&gt;0,INDEX('CostModel Coef'!D$9:D$12,$X172),"")</f>
        <v/>
      </c>
      <c r="AA172" s="103" t="str">
        <f>IF($X172&gt;0,INDEX('CostModel Coef'!E$9:E$12,$X172),"")</f>
        <v/>
      </c>
      <c r="AB172" s="103" t="str">
        <f>IF($X172&gt;0,INDEX('CostModel Coef'!F$9:F$12,$X172),"")</f>
        <v/>
      </c>
      <c r="AC172" s="103" t="str">
        <f>IF($X172&gt;0,INDEX('CostModel Coef'!G$9:G$12,$X172),"")</f>
        <v/>
      </c>
      <c r="AD172" s="103" t="str">
        <f>IF($X172&gt;0,INDEX('CostModel Coef'!H$9:H$12,$X172),"")</f>
        <v/>
      </c>
      <c r="AE172" s="103" t="str">
        <f>IF($X172&gt;0,INDEX('CostModel Coef'!J$9:J$12,$X172),"")</f>
        <v/>
      </c>
      <c r="AF172" s="103" t="str">
        <f>IF($X172&gt;0,INDEX('CostModel Coef'!K$9:K$12,$X172),"")</f>
        <v/>
      </c>
      <c r="AG172" s="103" t="str">
        <f>IF($X172&gt;0,INDEX('CostModel Coef'!L$9:L$12,$X172),"")</f>
        <v/>
      </c>
      <c r="AH172" s="103" t="str">
        <f>IF($X172&gt;0,INDEX('CostModel Coef'!M$9:M$12,$X172),"")</f>
        <v/>
      </c>
      <c r="AI172" s="103" t="str">
        <f>IF($X172&gt;0,INDEX('CostModel Coef'!N$9:N$12,$X172),"")</f>
        <v/>
      </c>
      <c r="AJ172" s="103" t="str">
        <f>IF($X172&gt;0,INDEX('CostModel Coef'!Q$9:Q$12,$X172),"")</f>
        <v/>
      </c>
      <c r="AK172" s="103" t="str">
        <f>IF($X172&gt;0,INDEX('CostModel Coef'!T$9:T$12,$X172),"")</f>
        <v/>
      </c>
      <c r="AL172" s="103"/>
      <c r="AM172" s="108" t="str">
        <f t="shared" si="53"/>
        <v/>
      </c>
      <c r="AN172" s="108" t="str">
        <f t="shared" si="54"/>
        <v/>
      </c>
      <c r="AO172" s="108" t="str">
        <f t="shared" si="55"/>
        <v/>
      </c>
      <c r="AP172" s="108" t="str">
        <f t="shared" si="56"/>
        <v/>
      </c>
      <c r="AQ172" s="108" t="str">
        <f t="shared" si="57"/>
        <v/>
      </c>
      <c r="AR172" s="108"/>
      <c r="AS172" s="108"/>
      <c r="AT172" s="103" t="str">
        <f>IF($X172&gt;0,INDEX('CostModel Coef'!D$13:D$16,$X172),"")</f>
        <v/>
      </c>
      <c r="AU172" s="103" t="str">
        <f>IF($X172&gt;0,INDEX('CostModel Coef'!E$13:E$16,$X172),"")</f>
        <v/>
      </c>
      <c r="AV172" s="103" t="str">
        <f>IF($X172&gt;0,INDEX('CostModel Coef'!F$13:F$16,$X172),"")</f>
        <v/>
      </c>
      <c r="AW172" s="103" t="str">
        <f>IF($X172&gt;0,INDEX('CostModel Coef'!G$13:G$16,$X172),"")</f>
        <v/>
      </c>
      <c r="AX172" s="103" t="str">
        <f>IF($X172&gt;0,INDEX('CostModel Coef'!H$13:H$16,$X172),"")</f>
        <v/>
      </c>
      <c r="AY172" s="103" t="str">
        <f>IF($X172&gt;0,INDEX('CostModel Coef'!I$13:I$16,$X172),"")</f>
        <v/>
      </c>
      <c r="AZ172" s="103" t="str">
        <f>IF($X172&gt;0,INDEX('CostModel Coef'!J$13:J$16,$X172),"")</f>
        <v/>
      </c>
      <c r="BA172" s="103" t="str">
        <f>IF($X172&gt;0,INDEX('CostModel Coef'!K$13:K$16,$X172),"")</f>
        <v/>
      </c>
      <c r="BB172" s="103" t="str">
        <f>IF($X172&gt;0,INDEX('CostModel Coef'!L$13:L$16,$X172),"")</f>
        <v/>
      </c>
      <c r="BC172" s="103" t="str">
        <f>IF($X172&gt;0,INDEX('CostModel Coef'!M$13:M$16,$X172),"")</f>
        <v/>
      </c>
      <c r="BD172" s="103" t="str">
        <f>IF($X172&gt;0,INDEX('CostModel Coef'!N$13:N$16,$X172),"")</f>
        <v/>
      </c>
      <c r="BE172" s="103" t="str">
        <f>IF($X172&gt;0,INDEX('CostModel Coef'!O$13:O$16,$X172),"")</f>
        <v/>
      </c>
      <c r="BF172" s="103" t="str">
        <f>IF($X172&gt;0,INDEX('CostModel Coef'!P$13:P$16,$X172),"")</f>
        <v/>
      </c>
      <c r="BG172" s="103" t="str">
        <f>IF($X172&gt;0,INDEX('CostModel Coef'!Q$13:Q$16,$X172),"")</f>
        <v/>
      </c>
      <c r="BH172" s="103" t="str">
        <f>IF($X172&gt;0,INDEX('CostModel Coef'!R$13:R$16,$X172),"")</f>
        <v/>
      </c>
      <c r="BI172" s="103" t="str">
        <f>IF($X172&gt;0,INDEX('CostModel Coef'!S$13:S$16,$X172),"")</f>
        <v/>
      </c>
      <c r="BJ172" s="103" t="str">
        <f>IF($X172&gt;0,INDEX('CostModel Coef'!T$13:T$16,$X172),"")</f>
        <v/>
      </c>
      <c r="BK172" s="103" t="str">
        <f>IF($X172&gt;0,INDEX('CostModel Coef'!U$13:U$16,$X172),"")</f>
        <v/>
      </c>
      <c r="BL172" s="103" t="str">
        <f>IF($X172&gt;0,INDEX('CostModel Coef'!V$13:V$16,$X172),"")</f>
        <v/>
      </c>
      <c r="BM172" s="103" t="str">
        <f>IF($X172&gt;0,INDEX('CostModel Coef'!W$13:W$16,$X172),"")</f>
        <v/>
      </c>
      <c r="BN172" s="103" t="str">
        <f>IF($X172&gt;0,INDEX('CostModel Coef'!X$13:X$16,$X172),"")</f>
        <v/>
      </c>
      <c r="BO172" s="103"/>
      <c r="BP172" s="119">
        <v>2000</v>
      </c>
      <c r="BQ172" s="103"/>
      <c r="BR172" s="103"/>
      <c r="BS172" s="119" t="str">
        <f t="shared" si="60"/>
        <v/>
      </c>
      <c r="BT172" s="174">
        <f t="shared" si="52"/>
        <v>-1</v>
      </c>
      <c r="BU172" s="113" t="str">
        <f t="shared" si="62"/>
        <v>OOS</v>
      </c>
      <c r="BV172" s="108" t="str">
        <f t="shared" si="63"/>
        <v>OOS</v>
      </c>
      <c r="BW172" s="108" t="str">
        <f t="shared" si="64"/>
        <v>OOS</v>
      </c>
      <c r="BX172" s="108" t="str">
        <f t="shared" si="65"/>
        <v>OOS</v>
      </c>
      <c r="BY172" s="108" t="str">
        <f t="shared" si="66"/>
        <v>OOS</v>
      </c>
      <c r="BZ172" s="108"/>
      <c r="CA172" s="119" t="str">
        <f t="shared" si="67"/>
        <v/>
      </c>
      <c r="CB172" s="174">
        <f t="shared" si="58"/>
        <v>-1</v>
      </c>
      <c r="CC172" s="113" t="str">
        <f t="shared" si="68"/>
        <v/>
      </c>
      <c r="CD172" s="108" t="str">
        <f t="shared" si="69"/>
        <v/>
      </c>
      <c r="CE172" s="108" t="str">
        <f t="shared" si="70"/>
        <v/>
      </c>
      <c r="CF172" s="108" t="str">
        <f t="shared" si="71"/>
        <v/>
      </c>
      <c r="CG172" s="108" t="str">
        <f t="shared" si="72"/>
        <v/>
      </c>
      <c r="CH172" s="103"/>
      <c r="CI172" s="119" t="str">
        <f t="shared" si="61"/>
        <v/>
      </c>
      <c r="CJ172" s="174">
        <f t="shared" si="59"/>
        <v>-1</v>
      </c>
      <c r="CK172" s="113" t="str">
        <f t="shared" si="73"/>
        <v/>
      </c>
      <c r="CL172" s="108" t="str">
        <f t="shared" si="74"/>
        <v/>
      </c>
      <c r="CM172" s="108" t="str">
        <f t="shared" si="75"/>
        <v/>
      </c>
      <c r="CN172" s="108" t="str">
        <f t="shared" si="76"/>
        <v/>
      </c>
      <c r="CO172" s="108" t="str">
        <f t="shared" si="77"/>
        <v/>
      </c>
    </row>
    <row r="173" spans="1:93">
      <c r="A173" s="103" t="s">
        <v>499</v>
      </c>
      <c r="B173" s="103" t="s">
        <v>174</v>
      </c>
      <c r="C173" s="103" t="s">
        <v>449</v>
      </c>
      <c r="D173" s="250" t="s">
        <v>153</v>
      </c>
      <c r="E173" s="250"/>
      <c r="F173" s="182">
        <v>9020</v>
      </c>
      <c r="G173" s="250" t="s">
        <v>175</v>
      </c>
      <c r="H173" s="250">
        <v>9</v>
      </c>
      <c r="I173" s="250"/>
      <c r="J173" s="250"/>
      <c r="K173" s="250"/>
      <c r="L173" s="250" t="s">
        <v>61</v>
      </c>
      <c r="M173" s="250">
        <v>9</v>
      </c>
      <c r="N173" s="250"/>
      <c r="O173" s="250"/>
      <c r="P173" s="250" t="s">
        <v>153</v>
      </c>
      <c r="Q173" s="250"/>
      <c r="R173" s="250"/>
      <c r="S173" s="250"/>
      <c r="T173" s="250" t="s">
        <v>155</v>
      </c>
      <c r="U173" s="103" t="s">
        <v>500</v>
      </c>
      <c r="V173" s="106" t="s">
        <v>157</v>
      </c>
      <c r="W173" s="103" t="s">
        <v>83</v>
      </c>
      <c r="X173" s="103">
        <f>IFERROR(MATCH(W173,'CostModel Coef'!$C$9:$C$12,0),0)</f>
        <v>3</v>
      </c>
      <c r="Y173" s="103"/>
      <c r="Z173" s="103">
        <f>IF($X173&gt;0,INDEX('CostModel Coef'!D$9:D$12,$X173),"")</f>
        <v>7.31541</v>
      </c>
      <c r="AA173" s="103">
        <f>IF($X173&gt;0,INDEX('CostModel Coef'!E$9:E$12,$X173),"")</f>
        <v>-0.65479011267261533</v>
      </c>
      <c r="AB173" s="103">
        <f>IF($X173&gt;0,INDEX('CostModel Coef'!F$9:F$12,$X173),"")</f>
        <v>1.2575680480638753</v>
      </c>
      <c r="AC173" s="103">
        <f>IF($X173&gt;0,INDEX('CostModel Coef'!G$9:G$12,$X173),"")</f>
        <v>0</v>
      </c>
      <c r="AD173" s="103">
        <f>IF($X173&gt;0,INDEX('CostModel Coef'!H$9:H$12,$X173),"")</f>
        <v>-1.7193799999999999</v>
      </c>
      <c r="AE173" s="103">
        <f>IF($X173&gt;0,INDEX('CostModel Coef'!J$9:J$12,$X173),"")</f>
        <v>-0.61270999999999998</v>
      </c>
      <c r="AF173" s="103">
        <f>IF($X173&gt;0,INDEX('CostModel Coef'!K$9:K$12,$X173),"")</f>
        <v>-0.3</v>
      </c>
      <c r="AG173" s="103">
        <f>IF($X173&gt;0,INDEX('CostModel Coef'!L$9:L$12,$X173),"")</f>
        <v>0</v>
      </c>
      <c r="AH173" s="103">
        <f>IF($X173&gt;0,INDEX('CostModel Coef'!M$9:M$12,$X173),"")</f>
        <v>0</v>
      </c>
      <c r="AI173" s="103">
        <f>IF($X173&gt;0,INDEX('CostModel Coef'!N$9:N$12,$X173),"")</f>
        <v>0</v>
      </c>
      <c r="AJ173" s="103">
        <f>IF($X173&gt;0,INDEX('CostModel Coef'!Q$9:Q$12,$X173),"")</f>
        <v>-2.6200000000000001E-2</v>
      </c>
      <c r="AK173" s="103">
        <f>IF($X173&gt;0,INDEX('CostModel Coef'!T$9:T$12,$X173),"")</f>
        <v>0</v>
      </c>
      <c r="AL173" s="103"/>
      <c r="AM173" s="108">
        <f t="shared" si="53"/>
        <v>7.38238793539126</v>
      </c>
      <c r="AN173" s="108">
        <f t="shared" si="54"/>
        <v>7.6823879353912599</v>
      </c>
      <c r="AO173" s="108">
        <f t="shared" si="55"/>
        <v>5.9630079353912597</v>
      </c>
      <c r="AP173" s="108">
        <f t="shared" si="56"/>
        <v>5.9630079353912597</v>
      </c>
      <c r="AQ173" s="108">
        <f t="shared" si="57"/>
        <v>5.3502979353912599</v>
      </c>
      <c r="AR173" s="108"/>
      <c r="AS173" s="108"/>
      <c r="AT173" s="103">
        <f>IF($X173&gt;0,INDEX('CostModel Coef'!D$13:D$16,$X173),"")</f>
        <v>2.4649999999999999</v>
      </c>
      <c r="AU173" s="103">
        <f>IF($X173&gt;0,INDEX('CostModel Coef'!E$13:E$16,$X173),"")</f>
        <v>0.30099999999999999</v>
      </c>
      <c r="AV173" s="103">
        <f>IF($X173&gt;0,INDEX('CostModel Coef'!F$13:F$16,$X173),"")</f>
        <v>0.42399999999999999</v>
      </c>
      <c r="AW173" s="103">
        <f>IF($X173&gt;0,INDEX('CostModel Coef'!G$13:G$16,$X173),"")</f>
        <v>0</v>
      </c>
      <c r="AX173" s="103">
        <f>IF($X173&gt;0,INDEX('CostModel Coef'!H$13:H$16,$X173),"")</f>
        <v>-2.5</v>
      </c>
      <c r="AY173" s="103">
        <f>IF($X173&gt;0,INDEX('CostModel Coef'!I$13:I$16,$X173),"")</f>
        <v>-1.46</v>
      </c>
      <c r="AZ173" s="103">
        <f>IF($X173&gt;0,INDEX('CostModel Coef'!J$13:J$16,$X173),"")</f>
        <v>0</v>
      </c>
      <c r="BA173" s="103">
        <f>IF($X173&gt;0,INDEX('CostModel Coef'!K$13:K$16,$X173),"")</f>
        <v>-0.74099999999999999</v>
      </c>
      <c r="BB173" s="103">
        <f>IF($X173&gt;0,INDEX('CostModel Coef'!L$13:L$16,$X173),"")</f>
        <v>0</v>
      </c>
      <c r="BC173" s="103">
        <f>IF($X173&gt;0,INDEX('CostModel Coef'!M$13:M$16,$X173),"")</f>
        <v>0</v>
      </c>
      <c r="BD173" s="103">
        <f>IF($X173&gt;0,INDEX('CostModel Coef'!N$13:N$16,$X173),"")</f>
        <v>0.96650000000000003</v>
      </c>
      <c r="BE173" s="103">
        <f>IF($X173&gt;0,INDEX('CostModel Coef'!O$13:O$16,$X173),"")</f>
        <v>0.75</v>
      </c>
      <c r="BF173" s="103">
        <f>IF($X173&gt;0,INDEX('CostModel Coef'!P$13:P$16,$X173),"")</f>
        <v>15</v>
      </c>
      <c r="BG173" s="103">
        <f>IF($X173&gt;0,INDEX('CostModel Coef'!Q$13:Q$16,$X173),"")</f>
        <v>9.2999999999999992E-3</v>
      </c>
      <c r="BH173" s="103">
        <f>IF($X173&gt;0,INDEX('CostModel Coef'!R$13:R$16,$X173),"")</f>
        <v>3</v>
      </c>
      <c r="BI173" s="103">
        <f>IF($X173&gt;0,INDEX('CostModel Coef'!S$13:S$16,$X173),"")</f>
        <v>150</v>
      </c>
      <c r="BJ173" s="103">
        <f>IF($X173&gt;0,INDEX('CostModel Coef'!T$13:T$16,$X173),"")</f>
        <v>0</v>
      </c>
      <c r="BK173" s="103">
        <f>IF($X173&gt;0,INDEX('CostModel Coef'!U$13:U$16,$X173),"")</f>
        <v>0</v>
      </c>
      <c r="BL173" s="103">
        <f>IF($X173&gt;0,INDEX('CostModel Coef'!V$13:V$16,$X173),"")</f>
        <v>0</v>
      </c>
      <c r="BM173" s="103">
        <f>IF($X173&gt;0,INDEX('CostModel Coef'!W$13:W$16,$X173),"")</f>
        <v>-1.2746999999999999</v>
      </c>
      <c r="BN173" s="103">
        <f>IF($X173&gt;0,INDEX('CostModel Coef'!X$13:X$16,$X173),"")</f>
        <v>0</v>
      </c>
      <c r="BO173" s="103"/>
      <c r="BP173" s="119">
        <v>2000</v>
      </c>
      <c r="BQ173" s="103"/>
      <c r="BR173" s="103"/>
      <c r="BS173" s="119" t="str">
        <f t="shared" si="60"/>
        <v>WRR0347_CFLscw-Glb(9w)</v>
      </c>
      <c r="BT173" s="174">
        <f t="shared" si="52"/>
        <v>31</v>
      </c>
      <c r="BU173" s="113">
        <f t="shared" si="62"/>
        <v>3.3956000000000004</v>
      </c>
      <c r="BV173" s="108">
        <f t="shared" si="63"/>
        <v>4.1366000000000005</v>
      </c>
      <c r="BW173" s="108">
        <f t="shared" si="64"/>
        <v>1.6366000000000005</v>
      </c>
      <c r="BX173" s="108">
        <f t="shared" si="65"/>
        <v>0.17660000000000053</v>
      </c>
      <c r="BY173" s="108">
        <f t="shared" si="66"/>
        <v>0.17660000000000053</v>
      </c>
      <c r="BZ173" s="108"/>
      <c r="CA173" s="119" t="str">
        <f t="shared" si="67"/>
        <v>WRR0407_CFLscw-Glb(9w)</v>
      </c>
      <c r="CB173" s="174">
        <f t="shared" si="58"/>
        <v>37</v>
      </c>
      <c r="CC173" s="113">
        <f t="shared" si="68"/>
        <v>4.7261000000000006</v>
      </c>
      <c r="CD173" s="108">
        <f t="shared" si="69"/>
        <v>5.4671000000000003</v>
      </c>
      <c r="CE173" s="108">
        <f t="shared" si="70"/>
        <v>2.9671000000000003</v>
      </c>
      <c r="CF173" s="108">
        <f t="shared" si="71"/>
        <v>1.5071000000000003</v>
      </c>
      <c r="CG173" s="108">
        <f t="shared" si="72"/>
        <v>1.5071000000000003</v>
      </c>
      <c r="CH173" s="103"/>
      <c r="CI173" s="119" t="str">
        <f t="shared" si="61"/>
        <v>WRR0347_CFLscw-Glb(9w)</v>
      </c>
      <c r="CJ173" s="174">
        <f t="shared" si="59"/>
        <v>31</v>
      </c>
      <c r="CK173" s="113">
        <f t="shared" si="73"/>
        <v>3.3956000000000004</v>
      </c>
      <c r="CL173" s="108">
        <f t="shared" si="74"/>
        <v>4.1366000000000005</v>
      </c>
      <c r="CM173" s="108">
        <f t="shared" si="75"/>
        <v>1.6366000000000005</v>
      </c>
      <c r="CN173" s="108">
        <f t="shared" si="76"/>
        <v>0.17660000000000053</v>
      </c>
      <c r="CO173" s="108">
        <f t="shared" si="77"/>
        <v>0.17660000000000053</v>
      </c>
    </row>
    <row r="174" spans="1:93">
      <c r="A174" s="103" t="s">
        <v>42</v>
      </c>
      <c r="B174" s="103" t="s">
        <v>174</v>
      </c>
      <c r="C174" s="103" t="s">
        <v>501</v>
      </c>
      <c r="D174" s="250">
        <v>38</v>
      </c>
      <c r="E174" s="250">
        <v>82</v>
      </c>
      <c r="F174" s="182">
        <v>9020</v>
      </c>
      <c r="G174" s="250" t="s">
        <v>175</v>
      </c>
      <c r="H174" s="250">
        <v>23</v>
      </c>
      <c r="I174" s="250">
        <v>900</v>
      </c>
      <c r="J174" s="250">
        <v>1300</v>
      </c>
      <c r="K174" s="250" t="s">
        <v>502</v>
      </c>
      <c r="L174" s="250" t="s">
        <v>61</v>
      </c>
      <c r="M174" s="250">
        <v>23</v>
      </c>
      <c r="N174" s="250"/>
      <c r="O174" s="250"/>
      <c r="P174" s="250" t="s">
        <v>153</v>
      </c>
      <c r="Q174" s="250"/>
      <c r="R174" s="250"/>
      <c r="S174" s="250"/>
      <c r="T174" s="250" t="s">
        <v>155</v>
      </c>
      <c r="U174" s="103" t="s">
        <v>503</v>
      </c>
      <c r="V174" s="106" t="s">
        <v>157</v>
      </c>
      <c r="W174" s="103" t="s">
        <v>82</v>
      </c>
      <c r="X174" s="103">
        <f>IFERROR(MATCH(W174,'CostModel Coef'!$C$9:$C$12,0),0)</f>
        <v>2</v>
      </c>
      <c r="Y174" s="103"/>
      <c r="Z174" s="103">
        <f>IF($X174&gt;0,INDEX('CostModel Coef'!D$9:D$12,$X174),"")</f>
        <v>5.0279999999999996</v>
      </c>
      <c r="AA174" s="103">
        <f>IF($X174&gt;0,INDEX('CostModel Coef'!E$9:E$12,$X174),"")</f>
        <v>0.22669576292256455</v>
      </c>
      <c r="AB174" s="103">
        <f>IF($X174&gt;0,INDEX('CostModel Coef'!F$9:F$12,$X174),"")</f>
        <v>0.94713628548481477</v>
      </c>
      <c r="AC174" s="103">
        <f>IF($X174&gt;0,INDEX('CostModel Coef'!G$9:G$12,$X174),"")</f>
        <v>0</v>
      </c>
      <c r="AD174" s="103">
        <f>IF($X174&gt;0,INDEX('CostModel Coef'!H$9:H$12,$X174),"")</f>
        <v>-2.7940999999999998</v>
      </c>
      <c r="AE174" s="103">
        <f>IF($X174&gt;0,INDEX('CostModel Coef'!J$9:J$12,$X174),"")</f>
        <v>0</v>
      </c>
      <c r="AF174" s="103">
        <f>IF($X174&gt;0,INDEX('CostModel Coef'!K$9:K$12,$X174),"")</f>
        <v>-0.57599999999999996</v>
      </c>
      <c r="AG174" s="103">
        <f>IF($X174&gt;0,INDEX('CostModel Coef'!L$9:L$12,$X174),"")</f>
        <v>0</v>
      </c>
      <c r="AH174" s="103">
        <f>IF($X174&gt;0,INDEX('CostModel Coef'!M$9:M$12,$X174),"")</f>
        <v>4.0461</v>
      </c>
      <c r="AI174" s="103">
        <f>IF($X174&gt;0,INDEX('CostModel Coef'!N$9:N$12,$X174),"")</f>
        <v>0</v>
      </c>
      <c r="AJ174" s="103">
        <f>IF($X174&gt;0,INDEX('CostModel Coef'!Q$9:Q$12,$X174),"")</f>
        <v>0.14729999999999999</v>
      </c>
      <c r="AK174" s="103">
        <f>IF($X174&gt;0,INDEX('CostModel Coef'!T$9:T$12,$X174),"")</f>
        <v>0</v>
      </c>
      <c r="AL174" s="103"/>
      <c r="AM174" s="108">
        <f t="shared" si="53"/>
        <v>9.0137320484073786</v>
      </c>
      <c r="AN174" s="108">
        <f t="shared" si="54"/>
        <v>9.5897320484073791</v>
      </c>
      <c r="AO174" s="246">
        <f t="shared" si="55"/>
        <v>6.7956320484073789</v>
      </c>
      <c r="AP174" s="246">
        <f t="shared" si="56"/>
        <v>6.7956320484073789</v>
      </c>
      <c r="AQ174" s="246">
        <f t="shared" si="57"/>
        <v>6.7956320484073789</v>
      </c>
      <c r="AR174" s="108"/>
      <c r="AS174" s="108"/>
      <c r="AT174" s="103">
        <f>IF($X174&gt;0,INDEX('CostModel Coef'!D$13:D$16,$X174),"")</f>
        <v>3.984</v>
      </c>
      <c r="AU174" s="103">
        <f>IF($X174&gt;0,INDEX('CostModel Coef'!E$13:E$16,$X174),"")</f>
        <v>0.38800000000000001</v>
      </c>
      <c r="AV174" s="103">
        <f>IF($X174&gt;0,INDEX('CostModel Coef'!F$13:F$16,$X174),"")</f>
        <v>0.98799999999999999</v>
      </c>
      <c r="AW174" s="103">
        <f>IF($X174&gt;0,INDEX('CostModel Coef'!G$13:G$16,$X174),"")</f>
        <v>0</v>
      </c>
      <c r="AX174" s="103">
        <f>IF($X174&gt;0,INDEX('CostModel Coef'!H$13:H$16,$X174),"")</f>
        <v>-2.3199999999999998</v>
      </c>
      <c r="AY174" s="103">
        <f>IF($X174&gt;0,INDEX('CostModel Coef'!I$13:I$16,$X174),"")</f>
        <v>-1.85</v>
      </c>
      <c r="AZ174" s="103">
        <f>IF($X174&gt;0,INDEX('CostModel Coef'!J$13:J$16,$X174),"")</f>
        <v>0</v>
      </c>
      <c r="BA174" s="103">
        <f>IF($X174&gt;0,INDEX('CostModel Coef'!K$13:K$16,$X174),"")</f>
        <v>-1.0070000000000001</v>
      </c>
      <c r="BB174" s="103">
        <f>IF($X174&gt;0,INDEX('CostModel Coef'!L$13:L$16,$X174),"")</f>
        <v>0</v>
      </c>
      <c r="BC174" s="103">
        <f>IF($X174&gt;0,INDEX('CostModel Coef'!M$13:M$16,$X174),"")</f>
        <v>0</v>
      </c>
      <c r="BD174" s="103">
        <f>IF($X174&gt;0,INDEX('CostModel Coef'!N$13:N$16,$X174),"")</f>
        <v>0.5907</v>
      </c>
      <c r="BE174" s="103">
        <f>IF($X174&gt;0,INDEX('CostModel Coef'!O$13:O$16,$X174),"")</f>
        <v>0.75</v>
      </c>
      <c r="BF174" s="103">
        <f>IF($X174&gt;0,INDEX('CostModel Coef'!P$13:P$16,$X174),"")</f>
        <v>8</v>
      </c>
      <c r="BG174" s="103">
        <f>IF($X174&gt;0,INDEX('CostModel Coef'!Q$13:Q$16,$X174),"")</f>
        <v>1.04E-2</v>
      </c>
      <c r="BH174" s="103">
        <f>IF($X174&gt;0,INDEX('CostModel Coef'!R$13:R$16,$X174),"")</f>
        <v>12</v>
      </c>
      <c r="BI174" s="103">
        <f>IF($X174&gt;0,INDEX('CostModel Coef'!S$13:S$16,$X174),"")</f>
        <v>150</v>
      </c>
      <c r="BJ174" s="103">
        <f>IF($X174&gt;0,INDEX('CostModel Coef'!T$13:T$16,$X174),"")</f>
        <v>0</v>
      </c>
      <c r="BK174" s="103">
        <f>IF($X174&gt;0,INDEX('CostModel Coef'!U$13:U$16,$X174),"")</f>
        <v>0</v>
      </c>
      <c r="BL174" s="103">
        <f>IF($X174&gt;0,INDEX('CostModel Coef'!V$13:V$16,$X174),"")</f>
        <v>0</v>
      </c>
      <c r="BM174" s="103">
        <f>IF($X174&gt;0,INDEX('CostModel Coef'!W$13:W$16,$X174),"")</f>
        <v>0</v>
      </c>
      <c r="BN174" s="103">
        <f>IF($X174&gt;0,INDEX('CostModel Coef'!X$13:X$16,$X174),"")</f>
        <v>0</v>
      </c>
      <c r="BO174" s="103"/>
      <c r="BP174" s="119">
        <v>2000</v>
      </c>
      <c r="BQ174" s="103"/>
      <c r="BR174" s="103"/>
      <c r="BS174" s="119" t="str">
        <f t="shared" si="60"/>
        <v>WRR0409_CFLscw-PAR38(23w)</v>
      </c>
      <c r="BT174" s="174">
        <f t="shared" si="52"/>
        <v>94</v>
      </c>
      <c r="BU174" s="113">
        <f t="shared" si="62"/>
        <v>6.5119999999999987</v>
      </c>
      <c r="BV174" s="108">
        <f t="shared" si="63"/>
        <v>7.5189999999999992</v>
      </c>
      <c r="BW174" s="108">
        <f t="shared" si="64"/>
        <v>5.1989999999999998</v>
      </c>
      <c r="BX174" s="108">
        <f t="shared" si="65"/>
        <v>3.3489999999999998</v>
      </c>
      <c r="BY174" s="108">
        <f t="shared" si="66"/>
        <v>3.3489999999999998</v>
      </c>
      <c r="BZ174" s="108"/>
      <c r="CA174" s="119" t="str">
        <f t="shared" si="67"/>
        <v>WRR0407_CFLscw-PAR38(23w)</v>
      </c>
      <c r="CB174" s="174">
        <f t="shared" si="58"/>
        <v>94</v>
      </c>
      <c r="CC174" s="113">
        <f t="shared" si="68"/>
        <v>6.5119999999999987</v>
      </c>
      <c r="CD174" s="108">
        <f t="shared" si="69"/>
        <v>7.5189999999999992</v>
      </c>
      <c r="CE174" s="108">
        <f t="shared" si="70"/>
        <v>5.1989999999999998</v>
      </c>
      <c r="CF174" s="108">
        <f t="shared" si="71"/>
        <v>3.3489999999999998</v>
      </c>
      <c r="CG174" s="108">
        <f t="shared" si="72"/>
        <v>3.3489999999999998</v>
      </c>
      <c r="CH174" s="103"/>
      <c r="CI174" s="119" t="str">
        <f t="shared" si="61"/>
        <v/>
      </c>
      <c r="CJ174" s="174">
        <f t="shared" si="59"/>
        <v>-1</v>
      </c>
      <c r="CK174" s="113" t="str">
        <f t="shared" si="73"/>
        <v/>
      </c>
      <c r="CL174" s="108" t="str">
        <f t="shared" si="74"/>
        <v/>
      </c>
      <c r="CM174" s="108" t="str">
        <f t="shared" si="75"/>
        <v/>
      </c>
      <c r="CN174" s="108" t="str">
        <f t="shared" si="76"/>
        <v/>
      </c>
      <c r="CO174" s="108" t="str">
        <f t="shared" si="77"/>
        <v/>
      </c>
    </row>
    <row r="175" spans="1:93">
      <c r="A175" s="103" t="s">
        <v>43</v>
      </c>
      <c r="B175" s="103" t="s">
        <v>165</v>
      </c>
      <c r="C175" s="103" t="s">
        <v>162</v>
      </c>
      <c r="D175" s="250" t="s">
        <v>153</v>
      </c>
      <c r="E175" s="250">
        <v>82</v>
      </c>
      <c r="F175" s="182">
        <v>9020</v>
      </c>
      <c r="G175" s="250" t="s">
        <v>175</v>
      </c>
      <c r="H175" s="250">
        <v>15</v>
      </c>
      <c r="I175" s="250">
        <v>565</v>
      </c>
      <c r="J175" s="250">
        <v>705</v>
      </c>
      <c r="K175" s="250" t="s">
        <v>504</v>
      </c>
      <c r="L175" s="250" t="s">
        <v>61</v>
      </c>
      <c r="M175" s="250">
        <v>15</v>
      </c>
      <c r="N175" s="250"/>
      <c r="O175" s="250"/>
      <c r="P175" s="250" t="s">
        <v>153</v>
      </c>
      <c r="Q175" s="250"/>
      <c r="R175" s="250"/>
      <c r="S175" s="250"/>
      <c r="T175" s="250" t="s">
        <v>155</v>
      </c>
      <c r="U175" s="103" t="s">
        <v>505</v>
      </c>
      <c r="V175" s="106" t="s">
        <v>157</v>
      </c>
      <c r="W175" s="103" t="s">
        <v>82</v>
      </c>
      <c r="X175" s="103">
        <f>IFERROR(MATCH(W175,'CostModel Coef'!$C$9:$C$12,0),0)</f>
        <v>2</v>
      </c>
      <c r="Y175" s="103"/>
      <c r="Z175" s="103">
        <f>IF($X175&gt;0,INDEX('CostModel Coef'!D$9:D$12,$X175),"")</f>
        <v>5.0279999999999996</v>
      </c>
      <c r="AA175" s="103">
        <f>IF($X175&gt;0,INDEX('CostModel Coef'!E$9:E$12,$X175),"")</f>
        <v>0.22669576292256455</v>
      </c>
      <c r="AB175" s="103">
        <f>IF($X175&gt;0,INDEX('CostModel Coef'!F$9:F$12,$X175),"")</f>
        <v>0.94713628548481477</v>
      </c>
      <c r="AC175" s="103">
        <f>IF($X175&gt;0,INDEX('CostModel Coef'!G$9:G$12,$X175),"")</f>
        <v>0</v>
      </c>
      <c r="AD175" s="103">
        <f>IF($X175&gt;0,INDEX('CostModel Coef'!H$9:H$12,$X175),"")</f>
        <v>-2.7940999999999998</v>
      </c>
      <c r="AE175" s="103">
        <f>IF($X175&gt;0,INDEX('CostModel Coef'!J$9:J$12,$X175),"")</f>
        <v>0</v>
      </c>
      <c r="AF175" s="103">
        <f>IF($X175&gt;0,INDEX('CostModel Coef'!K$9:K$12,$X175),"")</f>
        <v>-0.57599999999999996</v>
      </c>
      <c r="AG175" s="103">
        <f>IF($X175&gt;0,INDEX('CostModel Coef'!L$9:L$12,$X175),"")</f>
        <v>0</v>
      </c>
      <c r="AH175" s="103">
        <f>IF($X175&gt;0,INDEX('CostModel Coef'!M$9:M$12,$X175),"")</f>
        <v>4.0461</v>
      </c>
      <c r="AI175" s="103">
        <f>IF($X175&gt;0,INDEX('CostModel Coef'!N$9:N$12,$X175),"")</f>
        <v>0</v>
      </c>
      <c r="AJ175" s="103">
        <f>IF($X175&gt;0,INDEX('CostModel Coef'!Q$9:Q$12,$X175),"")</f>
        <v>0.14729999999999999</v>
      </c>
      <c r="AK175" s="103">
        <f>IF($X175&gt;0,INDEX('CostModel Coef'!T$9:T$12,$X175),"")</f>
        <v>0</v>
      </c>
      <c r="AL175" s="103"/>
      <c r="AM175" s="108">
        <f t="shared" si="53"/>
        <v>7.8353320484073796</v>
      </c>
      <c r="AN175" s="108">
        <f t="shared" si="54"/>
        <v>8.4113320484073792</v>
      </c>
      <c r="AO175" s="246">
        <f t="shared" si="55"/>
        <v>5.617232048407379</v>
      </c>
      <c r="AP175" s="246">
        <f t="shared" si="56"/>
        <v>5.617232048407379</v>
      </c>
      <c r="AQ175" s="246">
        <f t="shared" si="57"/>
        <v>5.617232048407379</v>
      </c>
      <c r="AR175" s="108"/>
      <c r="AS175" s="108"/>
      <c r="AT175" s="103">
        <f>IF($X175&gt;0,INDEX('CostModel Coef'!D$13:D$16,$X175),"")</f>
        <v>3.984</v>
      </c>
      <c r="AU175" s="103">
        <f>IF($X175&gt;0,INDEX('CostModel Coef'!E$13:E$16,$X175),"")</f>
        <v>0.38800000000000001</v>
      </c>
      <c r="AV175" s="103">
        <f>IF($X175&gt;0,INDEX('CostModel Coef'!F$13:F$16,$X175),"")</f>
        <v>0.98799999999999999</v>
      </c>
      <c r="AW175" s="103">
        <f>IF($X175&gt;0,INDEX('CostModel Coef'!G$13:G$16,$X175),"")</f>
        <v>0</v>
      </c>
      <c r="AX175" s="103">
        <f>IF($X175&gt;0,INDEX('CostModel Coef'!H$13:H$16,$X175),"")</f>
        <v>-2.3199999999999998</v>
      </c>
      <c r="AY175" s="103">
        <f>IF($X175&gt;0,INDEX('CostModel Coef'!I$13:I$16,$X175),"")</f>
        <v>-1.85</v>
      </c>
      <c r="AZ175" s="103">
        <f>IF($X175&gt;0,INDEX('CostModel Coef'!J$13:J$16,$X175),"")</f>
        <v>0</v>
      </c>
      <c r="BA175" s="103">
        <f>IF($X175&gt;0,INDEX('CostModel Coef'!K$13:K$16,$X175),"")</f>
        <v>-1.0070000000000001</v>
      </c>
      <c r="BB175" s="103">
        <f>IF($X175&gt;0,INDEX('CostModel Coef'!L$13:L$16,$X175),"")</f>
        <v>0</v>
      </c>
      <c r="BC175" s="103">
        <f>IF($X175&gt;0,INDEX('CostModel Coef'!M$13:M$16,$X175),"")</f>
        <v>0</v>
      </c>
      <c r="BD175" s="103">
        <f>IF($X175&gt;0,INDEX('CostModel Coef'!N$13:N$16,$X175),"")</f>
        <v>0.5907</v>
      </c>
      <c r="BE175" s="103">
        <f>IF($X175&gt;0,INDEX('CostModel Coef'!O$13:O$16,$X175),"")</f>
        <v>0.75</v>
      </c>
      <c r="BF175" s="103">
        <f>IF($X175&gt;0,INDEX('CostModel Coef'!P$13:P$16,$X175),"")</f>
        <v>8</v>
      </c>
      <c r="BG175" s="103">
        <f>IF($X175&gt;0,INDEX('CostModel Coef'!Q$13:Q$16,$X175),"")</f>
        <v>1.04E-2</v>
      </c>
      <c r="BH175" s="103">
        <f>IF($X175&gt;0,INDEX('CostModel Coef'!R$13:R$16,$X175),"")</f>
        <v>12</v>
      </c>
      <c r="BI175" s="103">
        <f>IF($X175&gt;0,INDEX('CostModel Coef'!S$13:S$16,$X175),"")</f>
        <v>150</v>
      </c>
      <c r="BJ175" s="103">
        <f>IF($X175&gt;0,INDEX('CostModel Coef'!T$13:T$16,$X175),"")</f>
        <v>0</v>
      </c>
      <c r="BK175" s="103">
        <f>IF($X175&gt;0,INDEX('CostModel Coef'!U$13:U$16,$X175),"")</f>
        <v>0</v>
      </c>
      <c r="BL175" s="103">
        <f>IF($X175&gt;0,INDEX('CostModel Coef'!V$13:V$16,$X175),"")</f>
        <v>0</v>
      </c>
      <c r="BM175" s="103">
        <f>IF($X175&gt;0,INDEX('CostModel Coef'!W$13:W$16,$X175),"")</f>
        <v>0</v>
      </c>
      <c r="BN175" s="103">
        <f>IF($X175&gt;0,INDEX('CostModel Coef'!X$13:X$16,$X175),"")</f>
        <v>0</v>
      </c>
      <c r="BO175" s="103"/>
      <c r="BP175" s="119">
        <v>2000</v>
      </c>
      <c r="BQ175" s="103"/>
      <c r="BR175" s="103"/>
      <c r="BS175" s="119" t="str">
        <f t="shared" si="60"/>
        <v>WRR0409_CFLscw-Refl-1(15w)</v>
      </c>
      <c r="BT175" s="174">
        <f t="shared" si="52"/>
        <v>61</v>
      </c>
      <c r="BU175" s="113">
        <f t="shared" si="62"/>
        <v>6.1687999999999992</v>
      </c>
      <c r="BV175" s="108">
        <f t="shared" si="63"/>
        <v>7.1757999999999997</v>
      </c>
      <c r="BW175" s="108">
        <f t="shared" si="64"/>
        <v>4.8558000000000003</v>
      </c>
      <c r="BX175" s="108">
        <f t="shared" si="65"/>
        <v>3.0058000000000002</v>
      </c>
      <c r="BY175" s="108">
        <f t="shared" si="66"/>
        <v>3.0058000000000002</v>
      </c>
      <c r="BZ175" s="108"/>
      <c r="CA175" s="119" t="str">
        <f t="shared" si="67"/>
        <v>WRR0407_CFLscw-Refl-1(15w)</v>
      </c>
      <c r="CB175" s="174">
        <f t="shared" si="58"/>
        <v>61</v>
      </c>
      <c r="CC175" s="113">
        <f t="shared" si="68"/>
        <v>6.1687999999999992</v>
      </c>
      <c r="CD175" s="108">
        <f t="shared" si="69"/>
        <v>7.1757999999999997</v>
      </c>
      <c r="CE175" s="108">
        <f t="shared" si="70"/>
        <v>4.8558000000000003</v>
      </c>
      <c r="CF175" s="108">
        <f t="shared" si="71"/>
        <v>3.0058000000000002</v>
      </c>
      <c r="CG175" s="108">
        <f t="shared" si="72"/>
        <v>3.0058000000000002</v>
      </c>
      <c r="CH175" s="103"/>
      <c r="CI175" s="119" t="str">
        <f t="shared" si="61"/>
        <v/>
      </c>
      <c r="CJ175" s="174">
        <f t="shared" si="59"/>
        <v>-1</v>
      </c>
      <c r="CK175" s="113" t="str">
        <f t="shared" si="73"/>
        <v/>
      </c>
      <c r="CL175" s="108" t="str">
        <f t="shared" si="74"/>
        <v/>
      </c>
      <c r="CM175" s="108" t="str">
        <f t="shared" si="75"/>
        <v/>
      </c>
      <c r="CN175" s="108" t="str">
        <f t="shared" si="76"/>
        <v/>
      </c>
      <c r="CO175" s="108" t="str">
        <f t="shared" si="77"/>
        <v/>
      </c>
    </row>
    <row r="176" spans="1:93">
      <c r="A176" s="103" t="s">
        <v>506</v>
      </c>
      <c r="B176" s="103" t="s">
        <v>165</v>
      </c>
      <c r="C176" s="103" t="s">
        <v>162</v>
      </c>
      <c r="D176" s="250" t="s">
        <v>153</v>
      </c>
      <c r="E176" s="250">
        <v>82</v>
      </c>
      <c r="F176" s="182">
        <v>9020</v>
      </c>
      <c r="G176" s="250" t="s">
        <v>175</v>
      </c>
      <c r="H176" s="250">
        <v>23</v>
      </c>
      <c r="I176" s="250">
        <v>880</v>
      </c>
      <c r="J176" s="250">
        <v>1100</v>
      </c>
      <c r="K176" s="250" t="s">
        <v>502</v>
      </c>
      <c r="L176" s="250" t="s">
        <v>61</v>
      </c>
      <c r="M176" s="250">
        <v>23</v>
      </c>
      <c r="N176" s="250"/>
      <c r="O176" s="250"/>
      <c r="P176" s="250" t="s">
        <v>153</v>
      </c>
      <c r="Q176" s="250"/>
      <c r="R176" s="250"/>
      <c r="S176" s="250"/>
      <c r="T176" s="250" t="s">
        <v>155</v>
      </c>
      <c r="U176" s="103" t="s">
        <v>507</v>
      </c>
      <c r="V176" s="106" t="s">
        <v>157</v>
      </c>
      <c r="W176" s="103" t="s">
        <v>82</v>
      </c>
      <c r="X176" s="103">
        <f>IFERROR(MATCH(W176,'CostModel Coef'!$C$9:$C$12,0),0)</f>
        <v>2</v>
      </c>
      <c r="Y176" s="103"/>
      <c r="Z176" s="103">
        <f>IF($X176&gt;0,INDEX('CostModel Coef'!D$9:D$12,$X176),"")</f>
        <v>5.0279999999999996</v>
      </c>
      <c r="AA176" s="103">
        <f>IF($X176&gt;0,INDEX('CostModel Coef'!E$9:E$12,$X176),"")</f>
        <v>0.22669576292256455</v>
      </c>
      <c r="AB176" s="103">
        <f>IF($X176&gt;0,INDEX('CostModel Coef'!F$9:F$12,$X176),"")</f>
        <v>0.94713628548481477</v>
      </c>
      <c r="AC176" s="103">
        <f>IF($X176&gt;0,INDEX('CostModel Coef'!G$9:G$12,$X176),"")</f>
        <v>0</v>
      </c>
      <c r="AD176" s="103">
        <f>IF($X176&gt;0,INDEX('CostModel Coef'!H$9:H$12,$X176),"")</f>
        <v>-2.7940999999999998</v>
      </c>
      <c r="AE176" s="103">
        <f>IF($X176&gt;0,INDEX('CostModel Coef'!J$9:J$12,$X176),"")</f>
        <v>0</v>
      </c>
      <c r="AF176" s="103">
        <f>IF($X176&gt;0,INDEX('CostModel Coef'!K$9:K$12,$X176),"")</f>
        <v>-0.57599999999999996</v>
      </c>
      <c r="AG176" s="103">
        <f>IF($X176&gt;0,INDEX('CostModel Coef'!L$9:L$12,$X176),"")</f>
        <v>0</v>
      </c>
      <c r="AH176" s="103">
        <f>IF($X176&gt;0,INDEX('CostModel Coef'!M$9:M$12,$X176),"")</f>
        <v>4.0461</v>
      </c>
      <c r="AI176" s="103">
        <f>IF($X176&gt;0,INDEX('CostModel Coef'!N$9:N$12,$X176),"")</f>
        <v>0</v>
      </c>
      <c r="AJ176" s="103">
        <f>IF($X176&gt;0,INDEX('CostModel Coef'!Q$9:Q$12,$X176),"")</f>
        <v>0.14729999999999999</v>
      </c>
      <c r="AK176" s="103">
        <f>IF($X176&gt;0,INDEX('CostModel Coef'!T$9:T$12,$X176),"")</f>
        <v>0</v>
      </c>
      <c r="AL176" s="103"/>
      <c r="AM176" s="108">
        <f t="shared" si="53"/>
        <v>9.0137320484073786</v>
      </c>
      <c r="AN176" s="108">
        <f t="shared" si="54"/>
        <v>9.5897320484073791</v>
      </c>
      <c r="AO176" s="108">
        <f t="shared" si="55"/>
        <v>6.7956320484073789</v>
      </c>
      <c r="AP176" s="108">
        <f t="shared" si="56"/>
        <v>6.7956320484073789</v>
      </c>
      <c r="AQ176" s="108">
        <f t="shared" si="57"/>
        <v>6.7956320484073789</v>
      </c>
      <c r="AR176" s="108"/>
      <c r="AS176" s="108"/>
      <c r="AT176" s="103">
        <f>IF($X176&gt;0,INDEX('CostModel Coef'!D$13:D$16,$X176),"")</f>
        <v>3.984</v>
      </c>
      <c r="AU176" s="103">
        <f>IF($X176&gt;0,INDEX('CostModel Coef'!E$13:E$16,$X176),"")</f>
        <v>0.38800000000000001</v>
      </c>
      <c r="AV176" s="103">
        <f>IF($X176&gt;0,INDEX('CostModel Coef'!F$13:F$16,$X176),"")</f>
        <v>0.98799999999999999</v>
      </c>
      <c r="AW176" s="103">
        <f>IF($X176&gt;0,INDEX('CostModel Coef'!G$13:G$16,$X176),"")</f>
        <v>0</v>
      </c>
      <c r="AX176" s="103">
        <f>IF($X176&gt;0,INDEX('CostModel Coef'!H$13:H$16,$X176),"")</f>
        <v>-2.3199999999999998</v>
      </c>
      <c r="AY176" s="103">
        <f>IF($X176&gt;0,INDEX('CostModel Coef'!I$13:I$16,$X176),"")</f>
        <v>-1.85</v>
      </c>
      <c r="AZ176" s="103">
        <f>IF($X176&gt;0,INDEX('CostModel Coef'!J$13:J$16,$X176),"")</f>
        <v>0</v>
      </c>
      <c r="BA176" s="103">
        <f>IF($X176&gt;0,INDEX('CostModel Coef'!K$13:K$16,$X176),"")</f>
        <v>-1.0070000000000001</v>
      </c>
      <c r="BB176" s="103">
        <f>IF($X176&gt;0,INDEX('CostModel Coef'!L$13:L$16,$X176),"")</f>
        <v>0</v>
      </c>
      <c r="BC176" s="103">
        <f>IF($X176&gt;0,INDEX('CostModel Coef'!M$13:M$16,$X176),"")</f>
        <v>0</v>
      </c>
      <c r="BD176" s="103">
        <f>IF($X176&gt;0,INDEX('CostModel Coef'!N$13:N$16,$X176),"")</f>
        <v>0.5907</v>
      </c>
      <c r="BE176" s="103">
        <f>IF($X176&gt;0,INDEX('CostModel Coef'!O$13:O$16,$X176),"")</f>
        <v>0.75</v>
      </c>
      <c r="BF176" s="103">
        <f>IF($X176&gt;0,INDEX('CostModel Coef'!P$13:P$16,$X176),"")</f>
        <v>8</v>
      </c>
      <c r="BG176" s="103">
        <f>IF($X176&gt;0,INDEX('CostModel Coef'!Q$13:Q$16,$X176),"")</f>
        <v>1.04E-2</v>
      </c>
      <c r="BH176" s="103">
        <f>IF($X176&gt;0,INDEX('CostModel Coef'!R$13:R$16,$X176),"")</f>
        <v>12</v>
      </c>
      <c r="BI176" s="103">
        <f>IF($X176&gt;0,INDEX('CostModel Coef'!S$13:S$16,$X176),"")</f>
        <v>150</v>
      </c>
      <c r="BJ176" s="103">
        <f>IF($X176&gt;0,INDEX('CostModel Coef'!T$13:T$16,$X176),"")</f>
        <v>0</v>
      </c>
      <c r="BK176" s="103">
        <f>IF($X176&gt;0,INDEX('CostModel Coef'!U$13:U$16,$X176),"")</f>
        <v>0</v>
      </c>
      <c r="BL176" s="103">
        <f>IF($X176&gt;0,INDEX('CostModel Coef'!V$13:V$16,$X176),"")</f>
        <v>0</v>
      </c>
      <c r="BM176" s="103">
        <f>IF($X176&gt;0,INDEX('CostModel Coef'!W$13:W$16,$X176),"")</f>
        <v>0</v>
      </c>
      <c r="BN176" s="103">
        <f>IF($X176&gt;0,INDEX('CostModel Coef'!X$13:X$16,$X176),"")</f>
        <v>0</v>
      </c>
      <c r="BO176" s="103"/>
      <c r="BP176" s="119">
        <v>2000</v>
      </c>
      <c r="BQ176" s="103"/>
      <c r="BR176" s="103"/>
      <c r="BS176" s="119" t="str">
        <f t="shared" si="60"/>
        <v>WRR0409_CFLscw-Refl-1(23w)</v>
      </c>
      <c r="BT176" s="174">
        <f t="shared" si="52"/>
        <v>94</v>
      </c>
      <c r="BU176" s="113">
        <f t="shared" si="62"/>
        <v>6.5119999999999987</v>
      </c>
      <c r="BV176" s="108">
        <f t="shared" si="63"/>
        <v>7.5189999999999992</v>
      </c>
      <c r="BW176" s="108">
        <f t="shared" si="64"/>
        <v>5.1989999999999998</v>
      </c>
      <c r="BX176" s="108">
        <f t="shared" si="65"/>
        <v>3.3489999999999998</v>
      </c>
      <c r="BY176" s="108">
        <f t="shared" si="66"/>
        <v>3.3489999999999998</v>
      </c>
      <c r="BZ176" s="108"/>
      <c r="CA176" s="119" t="str">
        <f t="shared" si="67"/>
        <v>WRR0407_CFLscw-Refl-1(23w)</v>
      </c>
      <c r="CB176" s="174">
        <f t="shared" si="58"/>
        <v>94</v>
      </c>
      <c r="CC176" s="113">
        <f t="shared" si="68"/>
        <v>6.5119999999999987</v>
      </c>
      <c r="CD176" s="108">
        <f t="shared" si="69"/>
        <v>7.5189999999999992</v>
      </c>
      <c r="CE176" s="108">
        <f t="shared" si="70"/>
        <v>5.1989999999999998</v>
      </c>
      <c r="CF176" s="108">
        <f t="shared" si="71"/>
        <v>3.3489999999999998</v>
      </c>
      <c r="CG176" s="108">
        <f t="shared" si="72"/>
        <v>3.3489999999999998</v>
      </c>
      <c r="CH176" s="103"/>
      <c r="CI176" s="119" t="str">
        <f t="shared" si="61"/>
        <v/>
      </c>
      <c r="CJ176" s="174">
        <f t="shared" si="59"/>
        <v>-1</v>
      </c>
      <c r="CK176" s="113" t="str">
        <f t="shared" si="73"/>
        <v/>
      </c>
      <c r="CL176" s="108" t="str">
        <f t="shared" si="74"/>
        <v/>
      </c>
      <c r="CM176" s="108" t="str">
        <f t="shared" si="75"/>
        <v/>
      </c>
      <c r="CN176" s="108" t="str">
        <f t="shared" si="76"/>
        <v/>
      </c>
      <c r="CO176" s="108" t="str">
        <f t="shared" si="77"/>
        <v/>
      </c>
    </row>
    <row r="177" spans="1:93">
      <c r="A177" s="103" t="s">
        <v>508</v>
      </c>
      <c r="B177" s="103" t="s">
        <v>174</v>
      </c>
      <c r="C177" s="103" t="s">
        <v>162</v>
      </c>
      <c r="D177" s="250">
        <v>30</v>
      </c>
      <c r="E177" s="250">
        <v>82</v>
      </c>
      <c r="F177" s="182">
        <v>9020</v>
      </c>
      <c r="G177" s="250" t="s">
        <v>175</v>
      </c>
      <c r="H177" s="250">
        <v>15</v>
      </c>
      <c r="I177" s="250">
        <v>800</v>
      </c>
      <c r="J177" s="250">
        <v>1030</v>
      </c>
      <c r="K177" s="250" t="s">
        <v>504</v>
      </c>
      <c r="L177" s="250" t="s">
        <v>61</v>
      </c>
      <c r="M177" s="250">
        <v>15</v>
      </c>
      <c r="N177" s="250"/>
      <c r="O177" s="250"/>
      <c r="P177" s="250" t="s">
        <v>153</v>
      </c>
      <c r="Q177" s="250"/>
      <c r="R177" s="250"/>
      <c r="S177" s="250"/>
      <c r="T177" s="250" t="s">
        <v>155</v>
      </c>
      <c r="U177" s="103" t="s">
        <v>509</v>
      </c>
      <c r="V177" s="106" t="s">
        <v>157</v>
      </c>
      <c r="W177" s="103" t="s">
        <v>82</v>
      </c>
      <c r="X177" s="103">
        <f>IFERROR(MATCH(W177,'CostModel Coef'!$C$9:$C$12,0),0)</f>
        <v>2</v>
      </c>
      <c r="Y177" s="103"/>
      <c r="Z177" s="103">
        <f>IF($X177&gt;0,INDEX('CostModel Coef'!D$9:D$12,$X177),"")</f>
        <v>5.0279999999999996</v>
      </c>
      <c r="AA177" s="103">
        <f>IF($X177&gt;0,INDEX('CostModel Coef'!E$9:E$12,$X177),"")</f>
        <v>0.22669576292256455</v>
      </c>
      <c r="AB177" s="103">
        <f>IF($X177&gt;0,INDEX('CostModel Coef'!F$9:F$12,$X177),"")</f>
        <v>0.94713628548481477</v>
      </c>
      <c r="AC177" s="103">
        <f>IF($X177&gt;0,INDEX('CostModel Coef'!G$9:G$12,$X177),"")</f>
        <v>0</v>
      </c>
      <c r="AD177" s="103">
        <f>IF($X177&gt;0,INDEX('CostModel Coef'!H$9:H$12,$X177),"")</f>
        <v>-2.7940999999999998</v>
      </c>
      <c r="AE177" s="103">
        <f>IF($X177&gt;0,INDEX('CostModel Coef'!J$9:J$12,$X177),"")</f>
        <v>0</v>
      </c>
      <c r="AF177" s="103">
        <f>IF($X177&gt;0,INDEX('CostModel Coef'!K$9:K$12,$X177),"")</f>
        <v>-0.57599999999999996</v>
      </c>
      <c r="AG177" s="103">
        <f>IF($X177&gt;0,INDEX('CostModel Coef'!L$9:L$12,$X177),"")</f>
        <v>0</v>
      </c>
      <c r="AH177" s="103">
        <f>IF($X177&gt;0,INDEX('CostModel Coef'!M$9:M$12,$X177),"")</f>
        <v>4.0461</v>
      </c>
      <c r="AI177" s="103">
        <f>IF($X177&gt;0,INDEX('CostModel Coef'!N$9:N$12,$X177),"")</f>
        <v>0</v>
      </c>
      <c r="AJ177" s="103">
        <f>IF($X177&gt;0,INDEX('CostModel Coef'!Q$9:Q$12,$X177),"")</f>
        <v>0.14729999999999999</v>
      </c>
      <c r="AK177" s="103">
        <f>IF($X177&gt;0,INDEX('CostModel Coef'!T$9:T$12,$X177),"")</f>
        <v>0</v>
      </c>
      <c r="AL177" s="103"/>
      <c r="AM177" s="108">
        <f t="shared" si="53"/>
        <v>7.8353320484073796</v>
      </c>
      <c r="AN177" s="108">
        <f t="shared" si="54"/>
        <v>8.4113320484073792</v>
      </c>
      <c r="AO177" s="108">
        <f t="shared" si="55"/>
        <v>5.617232048407379</v>
      </c>
      <c r="AP177" s="108">
        <f t="shared" si="56"/>
        <v>5.617232048407379</v>
      </c>
      <c r="AQ177" s="108">
        <f t="shared" si="57"/>
        <v>5.617232048407379</v>
      </c>
      <c r="AR177" s="108"/>
      <c r="AS177" s="108"/>
      <c r="AT177" s="103">
        <f>IF($X177&gt;0,INDEX('CostModel Coef'!D$13:D$16,$X177),"")</f>
        <v>3.984</v>
      </c>
      <c r="AU177" s="103">
        <f>IF($X177&gt;0,INDEX('CostModel Coef'!E$13:E$16,$X177),"")</f>
        <v>0.38800000000000001</v>
      </c>
      <c r="AV177" s="103">
        <f>IF($X177&gt;0,INDEX('CostModel Coef'!F$13:F$16,$X177),"")</f>
        <v>0.98799999999999999</v>
      </c>
      <c r="AW177" s="103">
        <f>IF($X177&gt;0,INDEX('CostModel Coef'!G$13:G$16,$X177),"")</f>
        <v>0</v>
      </c>
      <c r="AX177" s="103">
        <f>IF($X177&gt;0,INDEX('CostModel Coef'!H$13:H$16,$X177),"")</f>
        <v>-2.3199999999999998</v>
      </c>
      <c r="AY177" s="103">
        <f>IF($X177&gt;0,INDEX('CostModel Coef'!I$13:I$16,$X177),"")</f>
        <v>-1.85</v>
      </c>
      <c r="AZ177" s="103">
        <f>IF($X177&gt;0,INDEX('CostModel Coef'!J$13:J$16,$X177),"")</f>
        <v>0</v>
      </c>
      <c r="BA177" s="103">
        <f>IF($X177&gt;0,INDEX('CostModel Coef'!K$13:K$16,$X177),"")</f>
        <v>-1.0070000000000001</v>
      </c>
      <c r="BB177" s="103">
        <f>IF($X177&gt;0,INDEX('CostModel Coef'!L$13:L$16,$X177),"")</f>
        <v>0</v>
      </c>
      <c r="BC177" s="103">
        <f>IF($X177&gt;0,INDEX('CostModel Coef'!M$13:M$16,$X177),"")</f>
        <v>0</v>
      </c>
      <c r="BD177" s="103">
        <f>IF($X177&gt;0,INDEX('CostModel Coef'!N$13:N$16,$X177),"")</f>
        <v>0.5907</v>
      </c>
      <c r="BE177" s="103">
        <f>IF($X177&gt;0,INDEX('CostModel Coef'!O$13:O$16,$X177),"")</f>
        <v>0.75</v>
      </c>
      <c r="BF177" s="103">
        <f>IF($X177&gt;0,INDEX('CostModel Coef'!P$13:P$16,$X177),"")</f>
        <v>8</v>
      </c>
      <c r="BG177" s="103">
        <f>IF($X177&gt;0,INDEX('CostModel Coef'!Q$13:Q$16,$X177),"")</f>
        <v>1.04E-2</v>
      </c>
      <c r="BH177" s="103">
        <f>IF($X177&gt;0,INDEX('CostModel Coef'!R$13:R$16,$X177),"")</f>
        <v>12</v>
      </c>
      <c r="BI177" s="103">
        <f>IF($X177&gt;0,INDEX('CostModel Coef'!S$13:S$16,$X177),"")</f>
        <v>150</v>
      </c>
      <c r="BJ177" s="103">
        <f>IF($X177&gt;0,INDEX('CostModel Coef'!T$13:T$16,$X177),"")</f>
        <v>0</v>
      </c>
      <c r="BK177" s="103">
        <f>IF($X177&gt;0,INDEX('CostModel Coef'!U$13:U$16,$X177),"")</f>
        <v>0</v>
      </c>
      <c r="BL177" s="103">
        <f>IF($X177&gt;0,INDEX('CostModel Coef'!V$13:V$16,$X177),"")</f>
        <v>0</v>
      </c>
      <c r="BM177" s="103">
        <f>IF($X177&gt;0,INDEX('CostModel Coef'!W$13:W$16,$X177),"")</f>
        <v>0</v>
      </c>
      <c r="BN177" s="103">
        <f>IF($X177&gt;0,INDEX('CostModel Coef'!X$13:X$16,$X177),"")</f>
        <v>0</v>
      </c>
      <c r="BO177" s="103"/>
      <c r="BP177" s="119">
        <v>2000</v>
      </c>
      <c r="BQ177" s="103"/>
      <c r="BR177" s="103"/>
      <c r="BS177" s="119" t="str">
        <f t="shared" si="60"/>
        <v>WRR0409_CFLscw-Refl-2(15w)</v>
      </c>
      <c r="BT177" s="174">
        <f t="shared" si="52"/>
        <v>61</v>
      </c>
      <c r="BU177" s="113">
        <f t="shared" si="62"/>
        <v>6.1687999999999992</v>
      </c>
      <c r="BV177" s="108">
        <f t="shared" si="63"/>
        <v>7.1757999999999997</v>
      </c>
      <c r="BW177" s="108">
        <f t="shared" si="64"/>
        <v>4.8558000000000003</v>
      </c>
      <c r="BX177" s="108">
        <f t="shared" si="65"/>
        <v>3.0058000000000002</v>
      </c>
      <c r="BY177" s="108">
        <f t="shared" si="66"/>
        <v>3.0058000000000002</v>
      </c>
      <c r="BZ177" s="108"/>
      <c r="CA177" s="119" t="str">
        <f t="shared" si="67"/>
        <v>WRR0407_CFLscw-Refl-2(15w)</v>
      </c>
      <c r="CB177" s="174">
        <f t="shared" si="58"/>
        <v>61</v>
      </c>
      <c r="CC177" s="113">
        <f t="shared" si="68"/>
        <v>6.1687999999999992</v>
      </c>
      <c r="CD177" s="108">
        <f t="shared" si="69"/>
        <v>7.1757999999999997</v>
      </c>
      <c r="CE177" s="108">
        <f t="shared" si="70"/>
        <v>4.8558000000000003</v>
      </c>
      <c r="CF177" s="108">
        <f t="shared" si="71"/>
        <v>3.0058000000000002</v>
      </c>
      <c r="CG177" s="108">
        <f t="shared" si="72"/>
        <v>3.0058000000000002</v>
      </c>
      <c r="CH177" s="103"/>
      <c r="CI177" s="119" t="str">
        <f t="shared" si="61"/>
        <v/>
      </c>
      <c r="CJ177" s="174">
        <f t="shared" si="59"/>
        <v>-1</v>
      </c>
      <c r="CK177" s="113" t="str">
        <f t="shared" si="73"/>
        <v/>
      </c>
      <c r="CL177" s="108" t="str">
        <f t="shared" si="74"/>
        <v/>
      </c>
      <c r="CM177" s="108" t="str">
        <f t="shared" si="75"/>
        <v/>
      </c>
      <c r="CN177" s="108" t="str">
        <f t="shared" si="76"/>
        <v/>
      </c>
      <c r="CO177" s="108" t="str">
        <f t="shared" si="77"/>
        <v/>
      </c>
    </row>
    <row r="178" spans="1:93">
      <c r="A178" s="103" t="s">
        <v>510</v>
      </c>
      <c r="B178" s="103" t="s">
        <v>174</v>
      </c>
      <c r="C178" s="103" t="s">
        <v>162</v>
      </c>
      <c r="D178" s="250">
        <v>40</v>
      </c>
      <c r="E178" s="250">
        <v>82</v>
      </c>
      <c r="F178" s="182">
        <v>9020</v>
      </c>
      <c r="G178" s="250" t="s">
        <v>175</v>
      </c>
      <c r="H178" s="250">
        <v>23</v>
      </c>
      <c r="I178" s="250">
        <v>900</v>
      </c>
      <c r="J178" s="250">
        <v>1100</v>
      </c>
      <c r="K178" s="250" t="s">
        <v>502</v>
      </c>
      <c r="L178" s="250" t="s">
        <v>61</v>
      </c>
      <c r="M178" s="250">
        <v>23</v>
      </c>
      <c r="N178" s="250"/>
      <c r="O178" s="250"/>
      <c r="P178" s="250" t="s">
        <v>153</v>
      </c>
      <c r="Q178" s="250"/>
      <c r="R178" s="250"/>
      <c r="S178" s="250"/>
      <c r="T178" s="250" t="s">
        <v>155</v>
      </c>
      <c r="U178" s="103" t="s">
        <v>511</v>
      </c>
      <c r="V178" s="106" t="s">
        <v>157</v>
      </c>
      <c r="W178" s="103" t="s">
        <v>82</v>
      </c>
      <c r="X178" s="103">
        <f>IFERROR(MATCH(W178,'CostModel Coef'!$C$9:$C$12,0),0)</f>
        <v>2</v>
      </c>
      <c r="Y178" s="103"/>
      <c r="Z178" s="103">
        <f>IF($X178&gt;0,INDEX('CostModel Coef'!D$9:D$12,$X178),"")</f>
        <v>5.0279999999999996</v>
      </c>
      <c r="AA178" s="103">
        <f>IF($X178&gt;0,INDEX('CostModel Coef'!E$9:E$12,$X178),"")</f>
        <v>0.22669576292256455</v>
      </c>
      <c r="AB178" s="103">
        <f>IF($X178&gt;0,INDEX('CostModel Coef'!F$9:F$12,$X178),"")</f>
        <v>0.94713628548481477</v>
      </c>
      <c r="AC178" s="103">
        <f>IF($X178&gt;0,INDEX('CostModel Coef'!G$9:G$12,$X178),"")</f>
        <v>0</v>
      </c>
      <c r="AD178" s="103">
        <f>IF($X178&gt;0,INDEX('CostModel Coef'!H$9:H$12,$X178),"")</f>
        <v>-2.7940999999999998</v>
      </c>
      <c r="AE178" s="103">
        <f>IF($X178&gt;0,INDEX('CostModel Coef'!J$9:J$12,$X178),"")</f>
        <v>0</v>
      </c>
      <c r="AF178" s="103">
        <f>IF($X178&gt;0,INDEX('CostModel Coef'!K$9:K$12,$X178),"")</f>
        <v>-0.57599999999999996</v>
      </c>
      <c r="AG178" s="103">
        <f>IF($X178&gt;0,INDEX('CostModel Coef'!L$9:L$12,$X178),"")</f>
        <v>0</v>
      </c>
      <c r="AH178" s="103">
        <f>IF($X178&gt;0,INDEX('CostModel Coef'!M$9:M$12,$X178),"")</f>
        <v>4.0461</v>
      </c>
      <c r="AI178" s="103">
        <f>IF($X178&gt;0,INDEX('CostModel Coef'!N$9:N$12,$X178),"")</f>
        <v>0</v>
      </c>
      <c r="AJ178" s="103">
        <f>IF($X178&gt;0,INDEX('CostModel Coef'!Q$9:Q$12,$X178),"")</f>
        <v>0.14729999999999999</v>
      </c>
      <c r="AK178" s="103">
        <f>IF($X178&gt;0,INDEX('CostModel Coef'!T$9:T$12,$X178),"")</f>
        <v>0</v>
      </c>
      <c r="AL178" s="103"/>
      <c r="AM178" s="108">
        <f t="shared" si="53"/>
        <v>9.0137320484073786</v>
      </c>
      <c r="AN178" s="108">
        <f t="shared" si="54"/>
        <v>9.5897320484073791</v>
      </c>
      <c r="AO178" s="108">
        <f t="shared" si="55"/>
        <v>6.7956320484073789</v>
      </c>
      <c r="AP178" s="108">
        <f t="shared" si="56"/>
        <v>6.7956320484073789</v>
      </c>
      <c r="AQ178" s="108">
        <f t="shared" si="57"/>
        <v>6.7956320484073789</v>
      </c>
      <c r="AR178" s="108"/>
      <c r="AS178" s="108"/>
      <c r="AT178" s="103">
        <f>IF($X178&gt;0,INDEX('CostModel Coef'!D$13:D$16,$X178),"")</f>
        <v>3.984</v>
      </c>
      <c r="AU178" s="103">
        <f>IF($X178&gt;0,INDEX('CostModel Coef'!E$13:E$16,$X178),"")</f>
        <v>0.38800000000000001</v>
      </c>
      <c r="AV178" s="103">
        <f>IF($X178&gt;0,INDEX('CostModel Coef'!F$13:F$16,$X178),"")</f>
        <v>0.98799999999999999</v>
      </c>
      <c r="AW178" s="103">
        <f>IF($X178&gt;0,INDEX('CostModel Coef'!G$13:G$16,$X178),"")</f>
        <v>0</v>
      </c>
      <c r="AX178" s="103">
        <f>IF($X178&gt;0,INDEX('CostModel Coef'!H$13:H$16,$X178),"")</f>
        <v>-2.3199999999999998</v>
      </c>
      <c r="AY178" s="103">
        <f>IF($X178&gt;0,INDEX('CostModel Coef'!I$13:I$16,$X178),"")</f>
        <v>-1.85</v>
      </c>
      <c r="AZ178" s="103">
        <f>IF($X178&gt;0,INDEX('CostModel Coef'!J$13:J$16,$X178),"")</f>
        <v>0</v>
      </c>
      <c r="BA178" s="103">
        <f>IF($X178&gt;0,INDEX('CostModel Coef'!K$13:K$16,$X178),"")</f>
        <v>-1.0070000000000001</v>
      </c>
      <c r="BB178" s="103">
        <f>IF($X178&gt;0,INDEX('CostModel Coef'!L$13:L$16,$X178),"")</f>
        <v>0</v>
      </c>
      <c r="BC178" s="103">
        <f>IF($X178&gt;0,INDEX('CostModel Coef'!M$13:M$16,$X178),"")</f>
        <v>0</v>
      </c>
      <c r="BD178" s="103">
        <f>IF($X178&gt;0,INDEX('CostModel Coef'!N$13:N$16,$X178),"")</f>
        <v>0.5907</v>
      </c>
      <c r="BE178" s="103">
        <f>IF($X178&gt;0,INDEX('CostModel Coef'!O$13:O$16,$X178),"")</f>
        <v>0.75</v>
      </c>
      <c r="BF178" s="103">
        <f>IF($X178&gt;0,INDEX('CostModel Coef'!P$13:P$16,$X178),"")</f>
        <v>8</v>
      </c>
      <c r="BG178" s="103">
        <f>IF($X178&gt;0,INDEX('CostModel Coef'!Q$13:Q$16,$X178),"")</f>
        <v>1.04E-2</v>
      </c>
      <c r="BH178" s="103">
        <f>IF($X178&gt;0,INDEX('CostModel Coef'!R$13:R$16,$X178),"")</f>
        <v>12</v>
      </c>
      <c r="BI178" s="103">
        <f>IF($X178&gt;0,INDEX('CostModel Coef'!S$13:S$16,$X178),"")</f>
        <v>150</v>
      </c>
      <c r="BJ178" s="103">
        <f>IF($X178&gt;0,INDEX('CostModel Coef'!T$13:T$16,$X178),"")</f>
        <v>0</v>
      </c>
      <c r="BK178" s="103">
        <f>IF($X178&gt;0,INDEX('CostModel Coef'!U$13:U$16,$X178),"")</f>
        <v>0</v>
      </c>
      <c r="BL178" s="103">
        <f>IF($X178&gt;0,INDEX('CostModel Coef'!V$13:V$16,$X178),"")</f>
        <v>0</v>
      </c>
      <c r="BM178" s="103">
        <f>IF($X178&gt;0,INDEX('CostModel Coef'!W$13:W$16,$X178),"")</f>
        <v>0</v>
      </c>
      <c r="BN178" s="103">
        <f>IF($X178&gt;0,INDEX('CostModel Coef'!X$13:X$16,$X178),"")</f>
        <v>0</v>
      </c>
      <c r="BO178" s="103"/>
      <c r="BP178" s="119">
        <v>2000</v>
      </c>
      <c r="BQ178" s="103"/>
      <c r="BR178" s="103"/>
      <c r="BS178" s="119" t="str">
        <f t="shared" si="60"/>
        <v>WRR0409_CFLscw-Refl-2(23w)</v>
      </c>
      <c r="BT178" s="174">
        <f t="shared" si="52"/>
        <v>94</v>
      </c>
      <c r="BU178" s="113">
        <f t="shared" si="62"/>
        <v>6.5119999999999987</v>
      </c>
      <c r="BV178" s="108">
        <f t="shared" si="63"/>
        <v>7.5189999999999992</v>
      </c>
      <c r="BW178" s="108">
        <f t="shared" si="64"/>
        <v>5.1989999999999998</v>
      </c>
      <c r="BX178" s="108">
        <f t="shared" si="65"/>
        <v>3.3489999999999998</v>
      </c>
      <c r="BY178" s="108">
        <f t="shared" si="66"/>
        <v>3.3489999999999998</v>
      </c>
      <c r="BZ178" s="108"/>
      <c r="CA178" s="119" t="str">
        <f t="shared" si="67"/>
        <v>WRR0407_CFLscw-Refl-2(23w)</v>
      </c>
      <c r="CB178" s="174">
        <f t="shared" si="58"/>
        <v>94</v>
      </c>
      <c r="CC178" s="113">
        <f t="shared" si="68"/>
        <v>6.5119999999999987</v>
      </c>
      <c r="CD178" s="108">
        <f t="shared" si="69"/>
        <v>7.5189999999999992</v>
      </c>
      <c r="CE178" s="108">
        <f t="shared" si="70"/>
        <v>5.1989999999999998</v>
      </c>
      <c r="CF178" s="108">
        <f t="shared" si="71"/>
        <v>3.3489999999999998</v>
      </c>
      <c r="CG178" s="108">
        <f t="shared" si="72"/>
        <v>3.3489999999999998</v>
      </c>
      <c r="CH178" s="103"/>
      <c r="CI178" s="119" t="str">
        <f t="shared" si="61"/>
        <v/>
      </c>
      <c r="CJ178" s="174">
        <f t="shared" si="59"/>
        <v>-1</v>
      </c>
      <c r="CK178" s="113" t="str">
        <f t="shared" si="73"/>
        <v/>
      </c>
      <c r="CL178" s="108" t="str">
        <f t="shared" si="74"/>
        <v/>
      </c>
      <c r="CM178" s="108" t="str">
        <f t="shared" si="75"/>
        <v/>
      </c>
      <c r="CN178" s="108" t="str">
        <f t="shared" si="76"/>
        <v/>
      </c>
      <c r="CO178" s="108" t="str">
        <f t="shared" si="77"/>
        <v/>
      </c>
    </row>
    <row r="179" spans="1:93">
      <c r="A179" s="103" t="s">
        <v>44</v>
      </c>
      <c r="B179" s="103" t="s">
        <v>174</v>
      </c>
      <c r="C179" s="103" t="s">
        <v>162</v>
      </c>
      <c r="D179" s="250" t="s">
        <v>153</v>
      </c>
      <c r="E179" s="250"/>
      <c r="F179" s="182">
        <v>9020</v>
      </c>
      <c r="G179" s="250" t="s">
        <v>347</v>
      </c>
      <c r="H179" s="250">
        <v>15</v>
      </c>
      <c r="I179" s="250"/>
      <c r="J179" s="250"/>
      <c r="K179" s="250"/>
      <c r="L179" s="250" t="s">
        <v>61</v>
      </c>
      <c r="M179" s="250">
        <v>15</v>
      </c>
      <c r="N179" s="250"/>
      <c r="O179" s="250"/>
      <c r="P179" s="250" t="s">
        <v>153</v>
      </c>
      <c r="Q179" s="250"/>
      <c r="R179" s="250"/>
      <c r="S179" s="250"/>
      <c r="T179" s="250" t="s">
        <v>155</v>
      </c>
      <c r="U179" s="103" t="s">
        <v>512</v>
      </c>
      <c r="V179" s="106" t="s">
        <v>157</v>
      </c>
      <c r="W179" s="103" t="s">
        <v>82</v>
      </c>
      <c r="X179" s="103">
        <f>IFERROR(MATCH(W179,'CostModel Coef'!$C$9:$C$12,0),0)</f>
        <v>2</v>
      </c>
      <c r="Y179" s="103"/>
      <c r="Z179" s="103">
        <f>IF($X179&gt;0,INDEX('CostModel Coef'!D$9:D$12,$X179),"")</f>
        <v>5.0279999999999996</v>
      </c>
      <c r="AA179" s="103">
        <f>IF($X179&gt;0,INDEX('CostModel Coef'!E$9:E$12,$X179),"")</f>
        <v>0.22669576292256455</v>
      </c>
      <c r="AB179" s="103">
        <f>IF($X179&gt;0,INDEX('CostModel Coef'!F$9:F$12,$X179),"")</f>
        <v>0.94713628548481477</v>
      </c>
      <c r="AC179" s="103">
        <f>IF($X179&gt;0,INDEX('CostModel Coef'!G$9:G$12,$X179),"")</f>
        <v>0</v>
      </c>
      <c r="AD179" s="103">
        <f>IF($X179&gt;0,INDEX('CostModel Coef'!H$9:H$12,$X179),"")</f>
        <v>-2.7940999999999998</v>
      </c>
      <c r="AE179" s="103">
        <f>IF($X179&gt;0,INDEX('CostModel Coef'!J$9:J$12,$X179),"")</f>
        <v>0</v>
      </c>
      <c r="AF179" s="103">
        <f>IF($X179&gt;0,INDEX('CostModel Coef'!K$9:K$12,$X179),"")</f>
        <v>-0.57599999999999996</v>
      </c>
      <c r="AG179" s="103">
        <f>IF($X179&gt;0,INDEX('CostModel Coef'!L$9:L$12,$X179),"")</f>
        <v>0</v>
      </c>
      <c r="AH179" s="103">
        <f>IF($X179&gt;0,INDEX('CostModel Coef'!M$9:M$12,$X179),"")</f>
        <v>4.0461</v>
      </c>
      <c r="AI179" s="103">
        <f>IF($X179&gt;0,INDEX('CostModel Coef'!N$9:N$12,$X179),"")</f>
        <v>0</v>
      </c>
      <c r="AJ179" s="103">
        <f>IF($X179&gt;0,INDEX('CostModel Coef'!Q$9:Q$12,$X179),"")</f>
        <v>0.14729999999999999</v>
      </c>
      <c r="AK179" s="103">
        <f>IF($X179&gt;0,INDEX('CostModel Coef'!T$9:T$12,$X179),"")</f>
        <v>0</v>
      </c>
      <c r="AL179" s="103"/>
      <c r="AM179" s="108">
        <f t="shared" si="53"/>
        <v>11.881432048407378</v>
      </c>
      <c r="AN179" s="108">
        <f t="shared" si="54"/>
        <v>12.457432048407378</v>
      </c>
      <c r="AO179" s="246">
        <f t="shared" si="55"/>
        <v>9.6633320484073781</v>
      </c>
      <c r="AP179" s="246">
        <f t="shared" si="56"/>
        <v>9.6633320484073781</v>
      </c>
      <c r="AQ179" s="246">
        <f t="shared" si="57"/>
        <v>9.6633320484073781</v>
      </c>
      <c r="AR179" s="108"/>
      <c r="AS179" s="108"/>
      <c r="AT179" s="103">
        <f>IF($X179&gt;0,INDEX('CostModel Coef'!D$13:D$16,$X179),"")</f>
        <v>3.984</v>
      </c>
      <c r="AU179" s="103">
        <f>IF($X179&gt;0,INDEX('CostModel Coef'!E$13:E$16,$X179),"")</f>
        <v>0.38800000000000001</v>
      </c>
      <c r="AV179" s="103">
        <f>IF($X179&gt;0,INDEX('CostModel Coef'!F$13:F$16,$X179),"")</f>
        <v>0.98799999999999999</v>
      </c>
      <c r="AW179" s="103">
        <f>IF($X179&gt;0,INDEX('CostModel Coef'!G$13:G$16,$X179),"")</f>
        <v>0</v>
      </c>
      <c r="AX179" s="103">
        <f>IF($X179&gt;0,INDEX('CostModel Coef'!H$13:H$16,$X179),"")</f>
        <v>-2.3199999999999998</v>
      </c>
      <c r="AY179" s="103">
        <f>IF($X179&gt;0,INDEX('CostModel Coef'!I$13:I$16,$X179),"")</f>
        <v>-1.85</v>
      </c>
      <c r="AZ179" s="103">
        <f>IF($X179&gt;0,INDEX('CostModel Coef'!J$13:J$16,$X179),"")</f>
        <v>0</v>
      </c>
      <c r="BA179" s="103">
        <f>IF($X179&gt;0,INDEX('CostModel Coef'!K$13:K$16,$X179),"")</f>
        <v>-1.0070000000000001</v>
      </c>
      <c r="BB179" s="103">
        <f>IF($X179&gt;0,INDEX('CostModel Coef'!L$13:L$16,$X179),"")</f>
        <v>0</v>
      </c>
      <c r="BC179" s="103">
        <f>IF($X179&gt;0,INDEX('CostModel Coef'!M$13:M$16,$X179),"")</f>
        <v>0</v>
      </c>
      <c r="BD179" s="103">
        <f>IF($X179&gt;0,INDEX('CostModel Coef'!N$13:N$16,$X179),"")</f>
        <v>0.5907</v>
      </c>
      <c r="BE179" s="103">
        <f>IF($X179&gt;0,INDEX('CostModel Coef'!O$13:O$16,$X179),"")</f>
        <v>0.75</v>
      </c>
      <c r="BF179" s="103">
        <f>IF($X179&gt;0,INDEX('CostModel Coef'!P$13:P$16,$X179),"")</f>
        <v>8</v>
      </c>
      <c r="BG179" s="103">
        <f>IF($X179&gt;0,INDEX('CostModel Coef'!Q$13:Q$16,$X179),"")</f>
        <v>1.04E-2</v>
      </c>
      <c r="BH179" s="103">
        <f>IF($X179&gt;0,INDEX('CostModel Coef'!R$13:R$16,$X179),"")</f>
        <v>12</v>
      </c>
      <c r="BI179" s="103">
        <f>IF($X179&gt;0,INDEX('CostModel Coef'!S$13:S$16,$X179),"")</f>
        <v>150</v>
      </c>
      <c r="BJ179" s="103">
        <f>IF($X179&gt;0,INDEX('CostModel Coef'!T$13:T$16,$X179),"")</f>
        <v>0</v>
      </c>
      <c r="BK179" s="103">
        <f>IF($X179&gt;0,INDEX('CostModel Coef'!U$13:U$16,$X179),"")</f>
        <v>0</v>
      </c>
      <c r="BL179" s="103">
        <f>IF($X179&gt;0,INDEX('CostModel Coef'!V$13:V$16,$X179),"")</f>
        <v>0</v>
      </c>
      <c r="BM179" s="103">
        <f>IF($X179&gt;0,INDEX('CostModel Coef'!W$13:W$16,$X179),"")</f>
        <v>0</v>
      </c>
      <c r="BN179" s="103">
        <f>IF($X179&gt;0,INDEX('CostModel Coef'!X$13:X$16,$X179),"")</f>
        <v>0</v>
      </c>
      <c r="BO179" s="103"/>
      <c r="BP179" s="119">
        <v>2000</v>
      </c>
      <c r="BQ179" s="103"/>
      <c r="BR179" s="103"/>
      <c r="BS179" s="119" t="str">
        <f t="shared" si="60"/>
        <v>WRR0409_CFLscw-Refl-Dim(15w)</v>
      </c>
      <c r="BT179" s="174">
        <f t="shared" si="52"/>
        <v>61</v>
      </c>
      <c r="BU179" s="113">
        <f t="shared" si="62"/>
        <v>6.1687999999999992</v>
      </c>
      <c r="BV179" s="108">
        <f t="shared" si="63"/>
        <v>7.1757999999999997</v>
      </c>
      <c r="BW179" s="108">
        <f t="shared" si="64"/>
        <v>4.8558000000000003</v>
      </c>
      <c r="BX179" s="108">
        <f t="shared" si="65"/>
        <v>3.0058000000000002</v>
      </c>
      <c r="BY179" s="108">
        <f t="shared" si="66"/>
        <v>3.0058000000000002</v>
      </c>
      <c r="BZ179" s="108"/>
      <c r="CA179" s="119" t="str">
        <f t="shared" si="67"/>
        <v>WRR0407_CFLscw-Refl-Dim(15w)</v>
      </c>
      <c r="CB179" s="174">
        <f t="shared" si="58"/>
        <v>61</v>
      </c>
      <c r="CC179" s="113">
        <f t="shared" si="68"/>
        <v>6.1687999999999992</v>
      </c>
      <c r="CD179" s="108">
        <f t="shared" si="69"/>
        <v>7.1757999999999997</v>
      </c>
      <c r="CE179" s="108">
        <f t="shared" si="70"/>
        <v>4.8558000000000003</v>
      </c>
      <c r="CF179" s="108">
        <f t="shared" si="71"/>
        <v>3.0058000000000002</v>
      </c>
      <c r="CG179" s="108">
        <f t="shared" si="72"/>
        <v>3.0058000000000002</v>
      </c>
      <c r="CH179" s="103"/>
      <c r="CI179" s="119" t="str">
        <f t="shared" si="61"/>
        <v/>
      </c>
      <c r="CJ179" s="174">
        <f t="shared" si="59"/>
        <v>-1</v>
      </c>
      <c r="CK179" s="113" t="str">
        <f t="shared" si="73"/>
        <v/>
      </c>
      <c r="CL179" s="108" t="str">
        <f t="shared" si="74"/>
        <v/>
      </c>
      <c r="CM179" s="108" t="str">
        <f t="shared" si="75"/>
        <v/>
      </c>
      <c r="CN179" s="108" t="str">
        <f t="shared" si="76"/>
        <v/>
      </c>
      <c r="CO179" s="108" t="str">
        <f t="shared" si="77"/>
        <v/>
      </c>
    </row>
    <row r="180" spans="1:93">
      <c r="A180" s="103" t="s">
        <v>45</v>
      </c>
      <c r="B180" s="103" t="s">
        <v>174</v>
      </c>
      <c r="C180" s="103" t="s">
        <v>162</v>
      </c>
      <c r="D180" s="250" t="s">
        <v>153</v>
      </c>
      <c r="E180" s="250"/>
      <c r="F180" s="182">
        <v>9020</v>
      </c>
      <c r="G180" s="250" t="s">
        <v>347</v>
      </c>
      <c r="H180" s="250">
        <v>16</v>
      </c>
      <c r="I180" s="250"/>
      <c r="J180" s="250"/>
      <c r="K180" s="250"/>
      <c r="L180" s="250" t="s">
        <v>61</v>
      </c>
      <c r="M180" s="250">
        <v>16</v>
      </c>
      <c r="N180" s="250"/>
      <c r="O180" s="250"/>
      <c r="P180" s="250" t="s">
        <v>153</v>
      </c>
      <c r="Q180" s="250"/>
      <c r="R180" s="250"/>
      <c r="S180" s="250"/>
      <c r="T180" s="250" t="s">
        <v>155</v>
      </c>
      <c r="U180" s="103" t="s">
        <v>513</v>
      </c>
      <c r="V180" s="106" t="s">
        <v>157</v>
      </c>
      <c r="W180" s="103" t="s">
        <v>82</v>
      </c>
      <c r="X180" s="103">
        <f>IFERROR(MATCH(W180,'CostModel Coef'!$C$9:$C$12,0),0)</f>
        <v>2</v>
      </c>
      <c r="Y180" s="103"/>
      <c r="Z180" s="103">
        <f>IF($X180&gt;0,INDEX('CostModel Coef'!D$9:D$12,$X180),"")</f>
        <v>5.0279999999999996</v>
      </c>
      <c r="AA180" s="103">
        <f>IF($X180&gt;0,INDEX('CostModel Coef'!E$9:E$12,$X180),"")</f>
        <v>0.22669576292256455</v>
      </c>
      <c r="AB180" s="103">
        <f>IF($X180&gt;0,INDEX('CostModel Coef'!F$9:F$12,$X180),"")</f>
        <v>0.94713628548481477</v>
      </c>
      <c r="AC180" s="103">
        <f>IF($X180&gt;0,INDEX('CostModel Coef'!G$9:G$12,$X180),"")</f>
        <v>0</v>
      </c>
      <c r="AD180" s="103">
        <f>IF($X180&gt;0,INDEX('CostModel Coef'!H$9:H$12,$X180),"")</f>
        <v>-2.7940999999999998</v>
      </c>
      <c r="AE180" s="103">
        <f>IF($X180&gt;0,INDEX('CostModel Coef'!J$9:J$12,$X180),"")</f>
        <v>0</v>
      </c>
      <c r="AF180" s="103">
        <f>IF($X180&gt;0,INDEX('CostModel Coef'!K$9:K$12,$X180),"")</f>
        <v>-0.57599999999999996</v>
      </c>
      <c r="AG180" s="103">
        <f>IF($X180&gt;0,INDEX('CostModel Coef'!L$9:L$12,$X180),"")</f>
        <v>0</v>
      </c>
      <c r="AH180" s="103">
        <f>IF($X180&gt;0,INDEX('CostModel Coef'!M$9:M$12,$X180),"")</f>
        <v>4.0461</v>
      </c>
      <c r="AI180" s="103">
        <f>IF($X180&gt;0,INDEX('CostModel Coef'!N$9:N$12,$X180),"")</f>
        <v>0</v>
      </c>
      <c r="AJ180" s="103">
        <f>IF($X180&gt;0,INDEX('CostModel Coef'!Q$9:Q$12,$X180),"")</f>
        <v>0.14729999999999999</v>
      </c>
      <c r="AK180" s="103">
        <f>IF($X180&gt;0,INDEX('CostModel Coef'!T$9:T$12,$X180),"")</f>
        <v>0</v>
      </c>
      <c r="AL180" s="103"/>
      <c r="AM180" s="108">
        <f t="shared" si="53"/>
        <v>12.028732048407377</v>
      </c>
      <c r="AN180" s="108">
        <f t="shared" si="54"/>
        <v>12.604732048407378</v>
      </c>
      <c r="AO180" s="246">
        <f t="shared" si="55"/>
        <v>9.8106320484073777</v>
      </c>
      <c r="AP180" s="246">
        <f t="shared" si="56"/>
        <v>9.8106320484073777</v>
      </c>
      <c r="AQ180" s="246">
        <f t="shared" si="57"/>
        <v>9.8106320484073777</v>
      </c>
      <c r="AR180" s="108"/>
      <c r="AS180" s="108"/>
      <c r="AT180" s="103">
        <f>IF($X180&gt;0,INDEX('CostModel Coef'!D$13:D$16,$X180),"")</f>
        <v>3.984</v>
      </c>
      <c r="AU180" s="103">
        <f>IF($X180&gt;0,INDEX('CostModel Coef'!E$13:E$16,$X180),"")</f>
        <v>0.38800000000000001</v>
      </c>
      <c r="AV180" s="103">
        <f>IF($X180&gt;0,INDEX('CostModel Coef'!F$13:F$16,$X180),"")</f>
        <v>0.98799999999999999</v>
      </c>
      <c r="AW180" s="103">
        <f>IF($X180&gt;0,INDEX('CostModel Coef'!G$13:G$16,$X180),"")</f>
        <v>0</v>
      </c>
      <c r="AX180" s="103">
        <f>IF($X180&gt;0,INDEX('CostModel Coef'!H$13:H$16,$X180),"")</f>
        <v>-2.3199999999999998</v>
      </c>
      <c r="AY180" s="103">
        <f>IF($X180&gt;0,INDEX('CostModel Coef'!I$13:I$16,$X180),"")</f>
        <v>-1.85</v>
      </c>
      <c r="AZ180" s="103">
        <f>IF($X180&gt;0,INDEX('CostModel Coef'!J$13:J$16,$X180),"")</f>
        <v>0</v>
      </c>
      <c r="BA180" s="103">
        <f>IF($X180&gt;0,INDEX('CostModel Coef'!K$13:K$16,$X180),"")</f>
        <v>-1.0070000000000001</v>
      </c>
      <c r="BB180" s="103">
        <f>IF($X180&gt;0,INDEX('CostModel Coef'!L$13:L$16,$X180),"")</f>
        <v>0</v>
      </c>
      <c r="BC180" s="103">
        <f>IF($X180&gt;0,INDEX('CostModel Coef'!M$13:M$16,$X180),"")</f>
        <v>0</v>
      </c>
      <c r="BD180" s="103">
        <f>IF($X180&gt;0,INDEX('CostModel Coef'!N$13:N$16,$X180),"")</f>
        <v>0.5907</v>
      </c>
      <c r="BE180" s="103">
        <f>IF($X180&gt;0,INDEX('CostModel Coef'!O$13:O$16,$X180),"")</f>
        <v>0.75</v>
      </c>
      <c r="BF180" s="103">
        <f>IF($X180&gt;0,INDEX('CostModel Coef'!P$13:P$16,$X180),"")</f>
        <v>8</v>
      </c>
      <c r="BG180" s="103">
        <f>IF($X180&gt;0,INDEX('CostModel Coef'!Q$13:Q$16,$X180),"")</f>
        <v>1.04E-2</v>
      </c>
      <c r="BH180" s="103">
        <f>IF($X180&gt;0,INDEX('CostModel Coef'!R$13:R$16,$X180),"")</f>
        <v>12</v>
      </c>
      <c r="BI180" s="103">
        <f>IF($X180&gt;0,INDEX('CostModel Coef'!S$13:S$16,$X180),"")</f>
        <v>150</v>
      </c>
      <c r="BJ180" s="103">
        <f>IF($X180&gt;0,INDEX('CostModel Coef'!T$13:T$16,$X180),"")</f>
        <v>0</v>
      </c>
      <c r="BK180" s="103">
        <f>IF($X180&gt;0,INDEX('CostModel Coef'!U$13:U$16,$X180),"")</f>
        <v>0</v>
      </c>
      <c r="BL180" s="103">
        <f>IF($X180&gt;0,INDEX('CostModel Coef'!V$13:V$16,$X180),"")</f>
        <v>0</v>
      </c>
      <c r="BM180" s="103">
        <f>IF($X180&gt;0,INDEX('CostModel Coef'!W$13:W$16,$X180),"")</f>
        <v>0</v>
      </c>
      <c r="BN180" s="103">
        <f>IF($X180&gt;0,INDEX('CostModel Coef'!X$13:X$16,$X180),"")</f>
        <v>0</v>
      </c>
      <c r="BO180" s="103"/>
      <c r="BP180" s="119">
        <v>2000</v>
      </c>
      <c r="BQ180" s="103"/>
      <c r="BR180" s="103"/>
      <c r="BS180" s="119" t="str">
        <f t="shared" si="60"/>
        <v>WRR0409_CFLscw-Refl-Dim(16w)</v>
      </c>
      <c r="BT180" s="174">
        <f t="shared" si="52"/>
        <v>65</v>
      </c>
      <c r="BU180" s="113">
        <f t="shared" si="62"/>
        <v>6.2103999999999999</v>
      </c>
      <c r="BV180" s="108">
        <f t="shared" si="63"/>
        <v>7.2173999999999996</v>
      </c>
      <c r="BW180" s="108">
        <f t="shared" si="64"/>
        <v>4.8973999999999993</v>
      </c>
      <c r="BX180" s="108">
        <f t="shared" si="65"/>
        <v>3.0473999999999992</v>
      </c>
      <c r="BY180" s="108">
        <f t="shared" si="66"/>
        <v>3.0473999999999992</v>
      </c>
      <c r="BZ180" s="108"/>
      <c r="CA180" s="119" t="str">
        <f t="shared" si="67"/>
        <v>WRR0407_CFLscw-Refl-Dim(16w)</v>
      </c>
      <c r="CB180" s="174">
        <f t="shared" si="58"/>
        <v>65</v>
      </c>
      <c r="CC180" s="113">
        <f t="shared" si="68"/>
        <v>6.2103999999999999</v>
      </c>
      <c r="CD180" s="108">
        <f t="shared" si="69"/>
        <v>7.2173999999999996</v>
      </c>
      <c r="CE180" s="108">
        <f t="shared" si="70"/>
        <v>4.8973999999999993</v>
      </c>
      <c r="CF180" s="108">
        <f t="shared" si="71"/>
        <v>3.0473999999999992</v>
      </c>
      <c r="CG180" s="108">
        <f t="shared" si="72"/>
        <v>3.0473999999999992</v>
      </c>
      <c r="CH180" s="103"/>
      <c r="CI180" s="119" t="str">
        <f t="shared" si="61"/>
        <v/>
      </c>
      <c r="CJ180" s="174">
        <f t="shared" si="59"/>
        <v>-1</v>
      </c>
      <c r="CK180" s="113" t="str">
        <f t="shared" si="73"/>
        <v/>
      </c>
      <c r="CL180" s="108" t="str">
        <f t="shared" si="74"/>
        <v/>
      </c>
      <c r="CM180" s="108" t="str">
        <f t="shared" si="75"/>
        <v/>
      </c>
      <c r="CN180" s="108" t="str">
        <f t="shared" si="76"/>
        <v/>
      </c>
      <c r="CO180" s="108" t="str">
        <f t="shared" si="77"/>
        <v/>
      </c>
    </row>
    <row r="181" spans="1:93">
      <c r="A181" s="103" t="s">
        <v>46</v>
      </c>
      <c r="B181" s="103" t="s">
        <v>174</v>
      </c>
      <c r="C181" s="103" t="s">
        <v>162</v>
      </c>
      <c r="D181" s="250" t="s">
        <v>153</v>
      </c>
      <c r="E181" s="250"/>
      <c r="F181" s="182">
        <v>9020</v>
      </c>
      <c r="G181" s="250" t="s">
        <v>347</v>
      </c>
      <c r="H181" s="250">
        <v>20</v>
      </c>
      <c r="I181" s="250"/>
      <c r="J181" s="250"/>
      <c r="K181" s="250"/>
      <c r="L181" s="250" t="s">
        <v>61</v>
      </c>
      <c r="M181" s="250">
        <v>20</v>
      </c>
      <c r="N181" s="250"/>
      <c r="O181" s="250"/>
      <c r="P181" s="250" t="s">
        <v>153</v>
      </c>
      <c r="Q181" s="250"/>
      <c r="R181" s="250"/>
      <c r="S181" s="250"/>
      <c r="T181" s="250" t="s">
        <v>155</v>
      </c>
      <c r="U181" s="103" t="s">
        <v>514</v>
      </c>
      <c r="V181" s="106" t="s">
        <v>157</v>
      </c>
      <c r="W181" s="103" t="s">
        <v>82</v>
      </c>
      <c r="X181" s="103">
        <f>IFERROR(MATCH(W181,'CostModel Coef'!$C$9:$C$12,0),0)</f>
        <v>2</v>
      </c>
      <c r="Y181" s="103"/>
      <c r="Z181" s="103">
        <f>IF($X181&gt;0,INDEX('CostModel Coef'!D$9:D$12,$X181),"")</f>
        <v>5.0279999999999996</v>
      </c>
      <c r="AA181" s="103">
        <f>IF($X181&gt;0,INDEX('CostModel Coef'!E$9:E$12,$X181),"")</f>
        <v>0.22669576292256455</v>
      </c>
      <c r="AB181" s="103">
        <f>IF($X181&gt;0,INDEX('CostModel Coef'!F$9:F$12,$X181),"")</f>
        <v>0.94713628548481477</v>
      </c>
      <c r="AC181" s="103">
        <f>IF($X181&gt;0,INDEX('CostModel Coef'!G$9:G$12,$X181),"")</f>
        <v>0</v>
      </c>
      <c r="AD181" s="103">
        <f>IF($X181&gt;0,INDEX('CostModel Coef'!H$9:H$12,$X181),"")</f>
        <v>-2.7940999999999998</v>
      </c>
      <c r="AE181" s="103">
        <f>IF($X181&gt;0,INDEX('CostModel Coef'!J$9:J$12,$X181),"")</f>
        <v>0</v>
      </c>
      <c r="AF181" s="103">
        <f>IF($X181&gt;0,INDEX('CostModel Coef'!K$9:K$12,$X181),"")</f>
        <v>-0.57599999999999996</v>
      </c>
      <c r="AG181" s="103">
        <f>IF($X181&gt;0,INDEX('CostModel Coef'!L$9:L$12,$X181),"")</f>
        <v>0</v>
      </c>
      <c r="AH181" s="103">
        <f>IF($X181&gt;0,INDEX('CostModel Coef'!M$9:M$12,$X181),"")</f>
        <v>4.0461</v>
      </c>
      <c r="AI181" s="103">
        <f>IF($X181&gt;0,INDEX('CostModel Coef'!N$9:N$12,$X181),"")</f>
        <v>0</v>
      </c>
      <c r="AJ181" s="103">
        <f>IF($X181&gt;0,INDEX('CostModel Coef'!Q$9:Q$12,$X181),"")</f>
        <v>0.14729999999999999</v>
      </c>
      <c r="AK181" s="103">
        <f>IF($X181&gt;0,INDEX('CostModel Coef'!T$9:T$12,$X181),"")</f>
        <v>0</v>
      </c>
      <c r="AL181" s="103"/>
      <c r="AM181" s="108">
        <f t="shared" si="53"/>
        <v>12.617932048407377</v>
      </c>
      <c r="AN181" s="108">
        <f t="shared" si="54"/>
        <v>13.193932048407378</v>
      </c>
      <c r="AO181" s="246">
        <f t="shared" si="55"/>
        <v>10.399832048407378</v>
      </c>
      <c r="AP181" s="246">
        <f t="shared" si="56"/>
        <v>10.399832048407378</v>
      </c>
      <c r="AQ181" s="246">
        <f t="shared" si="57"/>
        <v>10.399832048407378</v>
      </c>
      <c r="AR181" s="108"/>
      <c r="AS181" s="108"/>
      <c r="AT181" s="103">
        <f>IF($X181&gt;0,INDEX('CostModel Coef'!D$13:D$16,$X181),"")</f>
        <v>3.984</v>
      </c>
      <c r="AU181" s="103">
        <f>IF($X181&gt;0,INDEX('CostModel Coef'!E$13:E$16,$X181),"")</f>
        <v>0.38800000000000001</v>
      </c>
      <c r="AV181" s="103">
        <f>IF($X181&gt;0,INDEX('CostModel Coef'!F$13:F$16,$X181),"")</f>
        <v>0.98799999999999999</v>
      </c>
      <c r="AW181" s="103">
        <f>IF($X181&gt;0,INDEX('CostModel Coef'!G$13:G$16,$X181),"")</f>
        <v>0</v>
      </c>
      <c r="AX181" s="103">
        <f>IF($X181&gt;0,INDEX('CostModel Coef'!H$13:H$16,$X181),"")</f>
        <v>-2.3199999999999998</v>
      </c>
      <c r="AY181" s="103">
        <f>IF($X181&gt;0,INDEX('CostModel Coef'!I$13:I$16,$X181),"")</f>
        <v>-1.85</v>
      </c>
      <c r="AZ181" s="103">
        <f>IF($X181&gt;0,INDEX('CostModel Coef'!J$13:J$16,$X181),"")</f>
        <v>0</v>
      </c>
      <c r="BA181" s="103">
        <f>IF($X181&gt;0,INDEX('CostModel Coef'!K$13:K$16,$X181),"")</f>
        <v>-1.0070000000000001</v>
      </c>
      <c r="BB181" s="103">
        <f>IF($X181&gt;0,INDEX('CostModel Coef'!L$13:L$16,$X181),"")</f>
        <v>0</v>
      </c>
      <c r="BC181" s="103">
        <f>IF($X181&gt;0,INDEX('CostModel Coef'!M$13:M$16,$X181),"")</f>
        <v>0</v>
      </c>
      <c r="BD181" s="103">
        <f>IF($X181&gt;0,INDEX('CostModel Coef'!N$13:N$16,$X181),"")</f>
        <v>0.5907</v>
      </c>
      <c r="BE181" s="103">
        <f>IF($X181&gt;0,INDEX('CostModel Coef'!O$13:O$16,$X181),"")</f>
        <v>0.75</v>
      </c>
      <c r="BF181" s="103">
        <f>IF($X181&gt;0,INDEX('CostModel Coef'!P$13:P$16,$X181),"")</f>
        <v>8</v>
      </c>
      <c r="BG181" s="103">
        <f>IF($X181&gt;0,INDEX('CostModel Coef'!Q$13:Q$16,$X181),"")</f>
        <v>1.04E-2</v>
      </c>
      <c r="BH181" s="103">
        <f>IF($X181&gt;0,INDEX('CostModel Coef'!R$13:R$16,$X181),"")</f>
        <v>12</v>
      </c>
      <c r="BI181" s="103">
        <f>IF($X181&gt;0,INDEX('CostModel Coef'!S$13:S$16,$X181),"")</f>
        <v>150</v>
      </c>
      <c r="BJ181" s="103">
        <f>IF($X181&gt;0,INDEX('CostModel Coef'!T$13:T$16,$X181),"")</f>
        <v>0</v>
      </c>
      <c r="BK181" s="103">
        <f>IF($X181&gt;0,INDEX('CostModel Coef'!U$13:U$16,$X181),"")</f>
        <v>0</v>
      </c>
      <c r="BL181" s="103">
        <f>IF($X181&gt;0,INDEX('CostModel Coef'!V$13:V$16,$X181),"")</f>
        <v>0</v>
      </c>
      <c r="BM181" s="103">
        <f>IF($X181&gt;0,INDEX('CostModel Coef'!W$13:W$16,$X181),"")</f>
        <v>0</v>
      </c>
      <c r="BN181" s="103">
        <f>IF($X181&gt;0,INDEX('CostModel Coef'!X$13:X$16,$X181),"")</f>
        <v>0</v>
      </c>
      <c r="BO181" s="103"/>
      <c r="BP181" s="119">
        <v>2000</v>
      </c>
      <c r="BQ181" s="103"/>
      <c r="BR181" s="103"/>
      <c r="BS181" s="119" t="str">
        <f t="shared" si="60"/>
        <v>WRR0409_CFLscw-Refl-Dim(20w)</v>
      </c>
      <c r="BT181" s="174">
        <f t="shared" si="52"/>
        <v>82</v>
      </c>
      <c r="BU181" s="113">
        <f t="shared" si="62"/>
        <v>6.3872</v>
      </c>
      <c r="BV181" s="108">
        <f t="shared" si="63"/>
        <v>7.3941999999999997</v>
      </c>
      <c r="BW181" s="108">
        <f t="shared" si="64"/>
        <v>5.0741999999999994</v>
      </c>
      <c r="BX181" s="108">
        <f t="shared" si="65"/>
        <v>3.2241999999999993</v>
      </c>
      <c r="BY181" s="108">
        <f t="shared" si="66"/>
        <v>3.2241999999999993</v>
      </c>
      <c r="BZ181" s="108"/>
      <c r="CA181" s="119" t="str">
        <f t="shared" si="67"/>
        <v>WRR0407_CFLscw-Refl-Dim(20w)</v>
      </c>
      <c r="CB181" s="174">
        <f t="shared" si="58"/>
        <v>81</v>
      </c>
      <c r="CC181" s="113">
        <f t="shared" si="68"/>
        <v>6.3767999999999994</v>
      </c>
      <c r="CD181" s="108">
        <f t="shared" si="69"/>
        <v>7.383799999999999</v>
      </c>
      <c r="CE181" s="108">
        <f t="shared" si="70"/>
        <v>5.0637999999999987</v>
      </c>
      <c r="CF181" s="108">
        <f t="shared" si="71"/>
        <v>3.2137999999999987</v>
      </c>
      <c r="CG181" s="108">
        <f t="shared" si="72"/>
        <v>3.2137999999999987</v>
      </c>
      <c r="CH181" s="103"/>
      <c r="CI181" s="119" t="str">
        <f t="shared" si="61"/>
        <v/>
      </c>
      <c r="CJ181" s="174">
        <f t="shared" si="59"/>
        <v>-1</v>
      </c>
      <c r="CK181" s="113" t="str">
        <f t="shared" si="73"/>
        <v/>
      </c>
      <c r="CL181" s="108" t="str">
        <f t="shared" si="74"/>
        <v/>
      </c>
      <c r="CM181" s="108" t="str">
        <f t="shared" si="75"/>
        <v/>
      </c>
      <c r="CN181" s="108" t="str">
        <f t="shared" si="76"/>
        <v/>
      </c>
      <c r="CO181" s="108" t="str">
        <f t="shared" si="77"/>
        <v/>
      </c>
    </row>
    <row r="182" spans="1:93">
      <c r="A182" s="103" t="s">
        <v>47</v>
      </c>
      <c r="B182" s="103" t="s">
        <v>174</v>
      </c>
      <c r="C182" s="103" t="s">
        <v>162</v>
      </c>
      <c r="D182" s="250" t="s">
        <v>153</v>
      </c>
      <c r="E182" s="250"/>
      <c r="F182" s="182">
        <v>9020</v>
      </c>
      <c r="G182" s="250" t="s">
        <v>347</v>
      </c>
      <c r="H182" s="250">
        <v>26</v>
      </c>
      <c r="I182" s="250"/>
      <c r="J182" s="250"/>
      <c r="K182" s="250"/>
      <c r="L182" s="250" t="s">
        <v>61</v>
      </c>
      <c r="M182" s="250">
        <v>26</v>
      </c>
      <c r="N182" s="250"/>
      <c r="O182" s="250"/>
      <c r="P182" s="250" t="s">
        <v>153</v>
      </c>
      <c r="Q182" s="250"/>
      <c r="R182" s="250"/>
      <c r="S182" s="250"/>
      <c r="T182" s="250" t="s">
        <v>155</v>
      </c>
      <c r="U182" s="103" t="s">
        <v>515</v>
      </c>
      <c r="V182" s="106" t="s">
        <v>157</v>
      </c>
      <c r="W182" s="103" t="s">
        <v>82</v>
      </c>
      <c r="X182" s="103">
        <f>IFERROR(MATCH(W182,'CostModel Coef'!$C$9:$C$12,0),0)</f>
        <v>2</v>
      </c>
      <c r="Y182" s="103"/>
      <c r="Z182" s="103">
        <f>IF($X182&gt;0,INDEX('CostModel Coef'!D$9:D$12,$X182),"")</f>
        <v>5.0279999999999996</v>
      </c>
      <c r="AA182" s="103">
        <f>IF($X182&gt;0,INDEX('CostModel Coef'!E$9:E$12,$X182),"")</f>
        <v>0.22669576292256455</v>
      </c>
      <c r="AB182" s="103">
        <f>IF($X182&gt;0,INDEX('CostModel Coef'!F$9:F$12,$X182),"")</f>
        <v>0.94713628548481477</v>
      </c>
      <c r="AC182" s="103">
        <f>IF($X182&gt;0,INDEX('CostModel Coef'!G$9:G$12,$X182),"")</f>
        <v>0</v>
      </c>
      <c r="AD182" s="103">
        <f>IF($X182&gt;0,INDEX('CostModel Coef'!H$9:H$12,$X182),"")</f>
        <v>-2.7940999999999998</v>
      </c>
      <c r="AE182" s="103">
        <f>IF($X182&gt;0,INDEX('CostModel Coef'!J$9:J$12,$X182),"")</f>
        <v>0</v>
      </c>
      <c r="AF182" s="103">
        <f>IF($X182&gt;0,INDEX('CostModel Coef'!K$9:K$12,$X182),"")</f>
        <v>-0.57599999999999996</v>
      </c>
      <c r="AG182" s="103">
        <f>IF($X182&gt;0,INDEX('CostModel Coef'!L$9:L$12,$X182),"")</f>
        <v>0</v>
      </c>
      <c r="AH182" s="103">
        <f>IF($X182&gt;0,INDEX('CostModel Coef'!M$9:M$12,$X182),"")</f>
        <v>4.0461</v>
      </c>
      <c r="AI182" s="103">
        <f>IF($X182&gt;0,INDEX('CostModel Coef'!N$9:N$12,$X182),"")</f>
        <v>0</v>
      </c>
      <c r="AJ182" s="103">
        <f>IF($X182&gt;0,INDEX('CostModel Coef'!Q$9:Q$12,$X182),"")</f>
        <v>0.14729999999999999</v>
      </c>
      <c r="AK182" s="103">
        <f>IF($X182&gt;0,INDEX('CostModel Coef'!T$9:T$12,$X182),"")</f>
        <v>0</v>
      </c>
      <c r="AL182" s="103"/>
      <c r="AM182" s="108">
        <f t="shared" si="53"/>
        <v>13.501732048407376</v>
      </c>
      <c r="AN182" s="108">
        <f t="shared" si="54"/>
        <v>14.077732048407377</v>
      </c>
      <c r="AO182" s="246">
        <f t="shared" si="55"/>
        <v>11.283632048407377</v>
      </c>
      <c r="AP182" s="246">
        <f t="shared" si="56"/>
        <v>11.283632048407377</v>
      </c>
      <c r="AQ182" s="246">
        <f t="shared" si="57"/>
        <v>11.283632048407377</v>
      </c>
      <c r="AR182" s="108"/>
      <c r="AS182" s="108"/>
      <c r="AT182" s="103">
        <f>IF($X182&gt;0,INDEX('CostModel Coef'!D$13:D$16,$X182),"")</f>
        <v>3.984</v>
      </c>
      <c r="AU182" s="103">
        <f>IF($X182&gt;0,INDEX('CostModel Coef'!E$13:E$16,$X182),"")</f>
        <v>0.38800000000000001</v>
      </c>
      <c r="AV182" s="103">
        <f>IF($X182&gt;0,INDEX('CostModel Coef'!F$13:F$16,$X182),"")</f>
        <v>0.98799999999999999</v>
      </c>
      <c r="AW182" s="103">
        <f>IF($X182&gt;0,INDEX('CostModel Coef'!G$13:G$16,$X182),"")</f>
        <v>0</v>
      </c>
      <c r="AX182" s="103">
        <f>IF($X182&gt;0,INDEX('CostModel Coef'!H$13:H$16,$X182),"")</f>
        <v>-2.3199999999999998</v>
      </c>
      <c r="AY182" s="103">
        <f>IF($X182&gt;0,INDEX('CostModel Coef'!I$13:I$16,$X182),"")</f>
        <v>-1.85</v>
      </c>
      <c r="AZ182" s="103">
        <f>IF($X182&gt;0,INDEX('CostModel Coef'!J$13:J$16,$X182),"")</f>
        <v>0</v>
      </c>
      <c r="BA182" s="103">
        <f>IF($X182&gt;0,INDEX('CostModel Coef'!K$13:K$16,$X182),"")</f>
        <v>-1.0070000000000001</v>
      </c>
      <c r="BB182" s="103">
        <f>IF($X182&gt;0,INDEX('CostModel Coef'!L$13:L$16,$X182),"")</f>
        <v>0</v>
      </c>
      <c r="BC182" s="103">
        <f>IF($X182&gt;0,INDEX('CostModel Coef'!M$13:M$16,$X182),"")</f>
        <v>0</v>
      </c>
      <c r="BD182" s="103">
        <f>IF($X182&gt;0,INDEX('CostModel Coef'!N$13:N$16,$X182),"")</f>
        <v>0.5907</v>
      </c>
      <c r="BE182" s="103">
        <f>IF($X182&gt;0,INDEX('CostModel Coef'!O$13:O$16,$X182),"")</f>
        <v>0.75</v>
      </c>
      <c r="BF182" s="103">
        <f>IF($X182&gt;0,INDEX('CostModel Coef'!P$13:P$16,$X182),"")</f>
        <v>8</v>
      </c>
      <c r="BG182" s="103">
        <f>IF($X182&gt;0,INDEX('CostModel Coef'!Q$13:Q$16,$X182),"")</f>
        <v>1.04E-2</v>
      </c>
      <c r="BH182" s="103">
        <f>IF($X182&gt;0,INDEX('CostModel Coef'!R$13:R$16,$X182),"")</f>
        <v>12</v>
      </c>
      <c r="BI182" s="103">
        <f>IF($X182&gt;0,INDEX('CostModel Coef'!S$13:S$16,$X182),"")</f>
        <v>150</v>
      </c>
      <c r="BJ182" s="103">
        <f>IF($X182&gt;0,INDEX('CostModel Coef'!T$13:T$16,$X182),"")</f>
        <v>0</v>
      </c>
      <c r="BK182" s="103">
        <f>IF($X182&gt;0,INDEX('CostModel Coef'!U$13:U$16,$X182),"")</f>
        <v>0</v>
      </c>
      <c r="BL182" s="103">
        <f>IF($X182&gt;0,INDEX('CostModel Coef'!V$13:V$16,$X182),"")</f>
        <v>0</v>
      </c>
      <c r="BM182" s="103">
        <f>IF($X182&gt;0,INDEX('CostModel Coef'!W$13:W$16,$X182),"")</f>
        <v>0</v>
      </c>
      <c r="BN182" s="103">
        <f>IF($X182&gt;0,INDEX('CostModel Coef'!X$13:X$16,$X182),"")</f>
        <v>0</v>
      </c>
      <c r="BO182" s="103"/>
      <c r="BP182" s="119">
        <v>2000</v>
      </c>
      <c r="BQ182" s="103"/>
      <c r="BR182" s="103"/>
      <c r="BS182" s="119" t="str">
        <f t="shared" si="60"/>
        <v>WRR0409_CFLscw-Refl-Dim(26w)</v>
      </c>
      <c r="BT182" s="174">
        <f t="shared" si="52"/>
        <v>106</v>
      </c>
      <c r="BU182" s="113">
        <f t="shared" si="62"/>
        <v>6.6367999999999991</v>
      </c>
      <c r="BV182" s="108">
        <f t="shared" si="63"/>
        <v>7.6437999999999997</v>
      </c>
      <c r="BW182" s="108">
        <f t="shared" si="64"/>
        <v>5.3238000000000003</v>
      </c>
      <c r="BX182" s="108">
        <f t="shared" si="65"/>
        <v>3.4738000000000002</v>
      </c>
      <c r="BY182" s="108">
        <f t="shared" si="66"/>
        <v>3.4738000000000002</v>
      </c>
      <c r="BZ182" s="108"/>
      <c r="CA182" s="119" t="str">
        <f t="shared" si="67"/>
        <v>WRR0407_CFLscw-Refl-Dim(26w)</v>
      </c>
      <c r="CB182" s="174">
        <f t="shared" si="58"/>
        <v>106</v>
      </c>
      <c r="CC182" s="113">
        <f t="shared" si="68"/>
        <v>6.6367999999999991</v>
      </c>
      <c r="CD182" s="108">
        <f t="shared" si="69"/>
        <v>7.6437999999999997</v>
      </c>
      <c r="CE182" s="108">
        <f t="shared" si="70"/>
        <v>5.3238000000000003</v>
      </c>
      <c r="CF182" s="108">
        <f t="shared" si="71"/>
        <v>3.4738000000000002</v>
      </c>
      <c r="CG182" s="108">
        <f t="shared" si="72"/>
        <v>3.4738000000000002</v>
      </c>
      <c r="CH182" s="103"/>
      <c r="CI182" s="119" t="str">
        <f t="shared" si="61"/>
        <v/>
      </c>
      <c r="CJ182" s="174">
        <f t="shared" si="59"/>
        <v>-1</v>
      </c>
      <c r="CK182" s="113" t="str">
        <f t="shared" si="73"/>
        <v/>
      </c>
      <c r="CL182" s="108" t="str">
        <f t="shared" si="74"/>
        <v/>
      </c>
      <c r="CM182" s="108" t="str">
        <f t="shared" si="75"/>
        <v/>
      </c>
      <c r="CN182" s="108" t="str">
        <f t="shared" si="76"/>
        <v/>
      </c>
      <c r="CO182" s="108" t="str">
        <f t="shared" si="77"/>
        <v/>
      </c>
    </row>
    <row r="183" spans="1:93">
      <c r="A183" s="103" t="s">
        <v>516</v>
      </c>
      <c r="B183" s="103" t="s">
        <v>174</v>
      </c>
      <c r="C183" s="103" t="s">
        <v>162</v>
      </c>
      <c r="D183" s="250" t="s">
        <v>153</v>
      </c>
      <c r="E183" s="250"/>
      <c r="F183" s="182">
        <v>9020</v>
      </c>
      <c r="G183" s="250" t="s">
        <v>175</v>
      </c>
      <c r="H183" s="250">
        <v>13</v>
      </c>
      <c r="I183" s="250"/>
      <c r="J183" s="250"/>
      <c r="K183" s="250"/>
      <c r="L183" s="250" t="s">
        <v>61</v>
      </c>
      <c r="M183" s="250">
        <v>13</v>
      </c>
      <c r="N183" s="250" t="s">
        <v>176</v>
      </c>
      <c r="O183" s="250"/>
      <c r="P183" s="250" t="s">
        <v>153</v>
      </c>
      <c r="Q183" s="250"/>
      <c r="R183" s="250"/>
      <c r="S183" s="250"/>
      <c r="T183" s="250" t="s">
        <v>155</v>
      </c>
      <c r="U183" s="103" t="s">
        <v>517</v>
      </c>
      <c r="V183" s="106" t="s">
        <v>157</v>
      </c>
      <c r="W183" s="103" t="s">
        <v>82</v>
      </c>
      <c r="X183" s="103">
        <f>IFERROR(MATCH(W183,'CostModel Coef'!$C$9:$C$12,0),0)</f>
        <v>2</v>
      </c>
      <c r="Y183" s="103"/>
      <c r="Z183" s="103">
        <f>IF($X183&gt;0,INDEX('CostModel Coef'!D$9:D$12,$X183),"")</f>
        <v>5.0279999999999996</v>
      </c>
      <c r="AA183" s="103">
        <f>IF($X183&gt;0,INDEX('CostModel Coef'!E$9:E$12,$X183),"")</f>
        <v>0.22669576292256455</v>
      </c>
      <c r="AB183" s="103">
        <f>IF($X183&gt;0,INDEX('CostModel Coef'!F$9:F$12,$X183),"")</f>
        <v>0.94713628548481477</v>
      </c>
      <c r="AC183" s="103">
        <f>IF($X183&gt;0,INDEX('CostModel Coef'!G$9:G$12,$X183),"")</f>
        <v>0</v>
      </c>
      <c r="AD183" s="103">
        <f>IF($X183&gt;0,INDEX('CostModel Coef'!H$9:H$12,$X183),"")</f>
        <v>-2.7940999999999998</v>
      </c>
      <c r="AE183" s="103">
        <f>IF($X183&gt;0,INDEX('CostModel Coef'!J$9:J$12,$X183),"")</f>
        <v>0</v>
      </c>
      <c r="AF183" s="103">
        <f>IF($X183&gt;0,INDEX('CostModel Coef'!K$9:K$12,$X183),"")</f>
        <v>-0.57599999999999996</v>
      </c>
      <c r="AG183" s="103">
        <f>IF($X183&gt;0,INDEX('CostModel Coef'!L$9:L$12,$X183),"")</f>
        <v>0</v>
      </c>
      <c r="AH183" s="103">
        <f>IF($X183&gt;0,INDEX('CostModel Coef'!M$9:M$12,$X183),"")</f>
        <v>4.0461</v>
      </c>
      <c r="AI183" s="103">
        <f>IF($X183&gt;0,INDEX('CostModel Coef'!N$9:N$12,$X183),"")</f>
        <v>0</v>
      </c>
      <c r="AJ183" s="103">
        <f>IF($X183&gt;0,INDEX('CostModel Coef'!Q$9:Q$12,$X183),"")</f>
        <v>0.14729999999999999</v>
      </c>
      <c r="AK183" s="103">
        <f>IF($X183&gt;0,INDEX('CostModel Coef'!T$9:T$12,$X183),"")</f>
        <v>0</v>
      </c>
      <c r="AL183" s="103"/>
      <c r="AM183" s="108">
        <f t="shared" si="53"/>
        <v>7.5407320484073788</v>
      </c>
      <c r="AN183" s="108">
        <f t="shared" si="54"/>
        <v>8.1167320484073784</v>
      </c>
      <c r="AO183" s="108">
        <f t="shared" si="55"/>
        <v>5.3226320484073781</v>
      </c>
      <c r="AP183" s="108">
        <f t="shared" si="56"/>
        <v>5.3226320484073781</v>
      </c>
      <c r="AQ183" s="108">
        <f t="shared" si="57"/>
        <v>5.3226320484073781</v>
      </c>
      <c r="AR183" s="108"/>
      <c r="AS183" s="108"/>
      <c r="AT183" s="103">
        <f>IF($X183&gt;0,INDEX('CostModel Coef'!D$13:D$16,$X183),"")</f>
        <v>3.984</v>
      </c>
      <c r="AU183" s="103">
        <f>IF($X183&gt;0,INDEX('CostModel Coef'!E$13:E$16,$X183),"")</f>
        <v>0.38800000000000001</v>
      </c>
      <c r="AV183" s="103">
        <f>IF($X183&gt;0,INDEX('CostModel Coef'!F$13:F$16,$X183),"")</f>
        <v>0.98799999999999999</v>
      </c>
      <c r="AW183" s="103">
        <f>IF($X183&gt;0,INDEX('CostModel Coef'!G$13:G$16,$X183),"")</f>
        <v>0</v>
      </c>
      <c r="AX183" s="103">
        <f>IF($X183&gt;0,INDEX('CostModel Coef'!H$13:H$16,$X183),"")</f>
        <v>-2.3199999999999998</v>
      </c>
      <c r="AY183" s="103">
        <f>IF($X183&gt;0,INDEX('CostModel Coef'!I$13:I$16,$X183),"")</f>
        <v>-1.85</v>
      </c>
      <c r="AZ183" s="103">
        <f>IF($X183&gt;0,INDEX('CostModel Coef'!J$13:J$16,$X183),"")</f>
        <v>0</v>
      </c>
      <c r="BA183" s="103">
        <f>IF($X183&gt;0,INDEX('CostModel Coef'!K$13:K$16,$X183),"")</f>
        <v>-1.0070000000000001</v>
      </c>
      <c r="BB183" s="103">
        <f>IF($X183&gt;0,INDEX('CostModel Coef'!L$13:L$16,$X183),"")</f>
        <v>0</v>
      </c>
      <c r="BC183" s="103">
        <f>IF($X183&gt;0,INDEX('CostModel Coef'!M$13:M$16,$X183),"")</f>
        <v>0</v>
      </c>
      <c r="BD183" s="103">
        <f>IF($X183&gt;0,INDEX('CostModel Coef'!N$13:N$16,$X183),"")</f>
        <v>0.5907</v>
      </c>
      <c r="BE183" s="103">
        <f>IF($X183&gt;0,INDEX('CostModel Coef'!O$13:O$16,$X183),"")</f>
        <v>0.75</v>
      </c>
      <c r="BF183" s="103">
        <f>IF($X183&gt;0,INDEX('CostModel Coef'!P$13:P$16,$X183),"")</f>
        <v>8</v>
      </c>
      <c r="BG183" s="103">
        <f>IF($X183&gt;0,INDEX('CostModel Coef'!Q$13:Q$16,$X183),"")</f>
        <v>1.04E-2</v>
      </c>
      <c r="BH183" s="103">
        <f>IF($X183&gt;0,INDEX('CostModel Coef'!R$13:R$16,$X183),"")</f>
        <v>12</v>
      </c>
      <c r="BI183" s="103">
        <f>IF($X183&gt;0,INDEX('CostModel Coef'!S$13:S$16,$X183),"")</f>
        <v>150</v>
      </c>
      <c r="BJ183" s="103">
        <f>IF($X183&gt;0,INDEX('CostModel Coef'!T$13:T$16,$X183),"")</f>
        <v>0</v>
      </c>
      <c r="BK183" s="103">
        <f>IF($X183&gt;0,INDEX('CostModel Coef'!U$13:U$16,$X183),"")</f>
        <v>0</v>
      </c>
      <c r="BL183" s="103">
        <f>IF($X183&gt;0,INDEX('CostModel Coef'!V$13:V$16,$X183),"")</f>
        <v>0</v>
      </c>
      <c r="BM183" s="103">
        <f>IF($X183&gt;0,INDEX('CostModel Coef'!W$13:W$16,$X183),"")</f>
        <v>0</v>
      </c>
      <c r="BN183" s="103">
        <f>IF($X183&gt;0,INDEX('CostModel Coef'!X$13:X$16,$X183),"")</f>
        <v>0</v>
      </c>
      <c r="BO183" s="103"/>
      <c r="BP183" s="119">
        <v>2000</v>
      </c>
      <c r="BQ183" s="103"/>
      <c r="BR183" s="103"/>
      <c r="BS183" s="119" t="str">
        <f t="shared" si="60"/>
        <v>WRR0409_CFLscw-Refl-Ext(13w)</v>
      </c>
      <c r="BT183" s="174">
        <f t="shared" si="52"/>
        <v>53</v>
      </c>
      <c r="BU183" s="113">
        <f t="shared" si="62"/>
        <v>6.0855999999999995</v>
      </c>
      <c r="BV183" s="108">
        <f t="shared" si="63"/>
        <v>7.0925999999999991</v>
      </c>
      <c r="BW183" s="108">
        <f t="shared" si="64"/>
        <v>4.7725999999999988</v>
      </c>
      <c r="BX183" s="108">
        <f t="shared" si="65"/>
        <v>2.9225999999999988</v>
      </c>
      <c r="BY183" s="108">
        <f t="shared" si="66"/>
        <v>2.9225999999999988</v>
      </c>
      <c r="BZ183" s="108"/>
      <c r="CA183" s="119" t="str">
        <f t="shared" si="67"/>
        <v>WRR0407_CFLscw-Refl-Ext(13w)</v>
      </c>
      <c r="CB183" s="174">
        <f t="shared" si="58"/>
        <v>53</v>
      </c>
      <c r="CC183" s="113">
        <f t="shared" si="68"/>
        <v>6.0855999999999995</v>
      </c>
      <c r="CD183" s="108">
        <f t="shared" si="69"/>
        <v>7.0925999999999991</v>
      </c>
      <c r="CE183" s="108">
        <f t="shared" si="70"/>
        <v>4.7725999999999988</v>
      </c>
      <c r="CF183" s="108">
        <f t="shared" si="71"/>
        <v>2.9225999999999988</v>
      </c>
      <c r="CG183" s="108">
        <f t="shared" si="72"/>
        <v>2.9225999999999988</v>
      </c>
      <c r="CH183" s="103"/>
      <c r="CI183" s="119" t="str">
        <f t="shared" si="61"/>
        <v/>
      </c>
      <c r="CJ183" s="174">
        <f t="shared" si="59"/>
        <v>-1</v>
      </c>
      <c r="CK183" s="113" t="str">
        <f t="shared" si="73"/>
        <v/>
      </c>
      <c r="CL183" s="108" t="str">
        <f t="shared" si="74"/>
        <v/>
      </c>
      <c r="CM183" s="108" t="str">
        <f t="shared" si="75"/>
        <v/>
      </c>
      <c r="CN183" s="108" t="str">
        <f t="shared" si="76"/>
        <v/>
      </c>
      <c r="CO183" s="108" t="str">
        <f t="shared" si="77"/>
        <v/>
      </c>
    </row>
    <row r="184" spans="1:93">
      <c r="A184" s="103" t="s">
        <v>518</v>
      </c>
      <c r="B184" s="103" t="s">
        <v>174</v>
      </c>
      <c r="C184" s="103" t="s">
        <v>162</v>
      </c>
      <c r="D184" s="250" t="s">
        <v>153</v>
      </c>
      <c r="E184" s="250"/>
      <c r="F184" s="182">
        <v>9020</v>
      </c>
      <c r="G184" s="250" t="s">
        <v>175</v>
      </c>
      <c r="H184" s="250">
        <v>14</v>
      </c>
      <c r="I184" s="250"/>
      <c r="J184" s="250"/>
      <c r="K184" s="250"/>
      <c r="L184" s="250" t="s">
        <v>61</v>
      </c>
      <c r="M184" s="250">
        <v>14</v>
      </c>
      <c r="N184" s="250" t="s">
        <v>176</v>
      </c>
      <c r="O184" s="250"/>
      <c r="P184" s="250" t="s">
        <v>153</v>
      </c>
      <c r="Q184" s="250"/>
      <c r="R184" s="250"/>
      <c r="S184" s="250"/>
      <c r="T184" s="250" t="s">
        <v>155</v>
      </c>
      <c r="U184" s="103" t="s">
        <v>519</v>
      </c>
      <c r="V184" s="106" t="s">
        <v>157</v>
      </c>
      <c r="W184" s="103" t="s">
        <v>82</v>
      </c>
      <c r="X184" s="103">
        <f>IFERROR(MATCH(W184,'CostModel Coef'!$C$9:$C$12,0),0)</f>
        <v>2</v>
      </c>
      <c r="Y184" s="103"/>
      <c r="Z184" s="103">
        <f>IF($X184&gt;0,INDEX('CostModel Coef'!D$9:D$12,$X184),"")</f>
        <v>5.0279999999999996</v>
      </c>
      <c r="AA184" s="103">
        <f>IF($X184&gt;0,INDEX('CostModel Coef'!E$9:E$12,$X184),"")</f>
        <v>0.22669576292256455</v>
      </c>
      <c r="AB184" s="103">
        <f>IF($X184&gt;0,INDEX('CostModel Coef'!F$9:F$12,$X184),"")</f>
        <v>0.94713628548481477</v>
      </c>
      <c r="AC184" s="103">
        <f>IF($X184&gt;0,INDEX('CostModel Coef'!G$9:G$12,$X184),"")</f>
        <v>0</v>
      </c>
      <c r="AD184" s="103">
        <f>IF($X184&gt;0,INDEX('CostModel Coef'!H$9:H$12,$X184),"")</f>
        <v>-2.7940999999999998</v>
      </c>
      <c r="AE184" s="103">
        <f>IF($X184&gt;0,INDEX('CostModel Coef'!J$9:J$12,$X184),"")</f>
        <v>0</v>
      </c>
      <c r="AF184" s="103">
        <f>IF($X184&gt;0,INDEX('CostModel Coef'!K$9:K$12,$X184),"")</f>
        <v>-0.57599999999999996</v>
      </c>
      <c r="AG184" s="103">
        <f>IF($X184&gt;0,INDEX('CostModel Coef'!L$9:L$12,$X184),"")</f>
        <v>0</v>
      </c>
      <c r="AH184" s="103">
        <f>IF($X184&gt;0,INDEX('CostModel Coef'!M$9:M$12,$X184),"")</f>
        <v>4.0461</v>
      </c>
      <c r="AI184" s="103">
        <f>IF($X184&gt;0,INDEX('CostModel Coef'!N$9:N$12,$X184),"")</f>
        <v>0</v>
      </c>
      <c r="AJ184" s="103">
        <f>IF($X184&gt;0,INDEX('CostModel Coef'!Q$9:Q$12,$X184),"")</f>
        <v>0.14729999999999999</v>
      </c>
      <c r="AK184" s="103">
        <f>IF($X184&gt;0,INDEX('CostModel Coef'!T$9:T$12,$X184),"")</f>
        <v>0</v>
      </c>
      <c r="AL184" s="103"/>
      <c r="AM184" s="108">
        <f t="shared" si="53"/>
        <v>7.6880320484073801</v>
      </c>
      <c r="AN184" s="108">
        <f t="shared" si="54"/>
        <v>8.2640320484073797</v>
      </c>
      <c r="AO184" s="108">
        <f t="shared" si="55"/>
        <v>5.4699320484073795</v>
      </c>
      <c r="AP184" s="108">
        <f t="shared" si="56"/>
        <v>5.4699320484073795</v>
      </c>
      <c r="AQ184" s="108">
        <f t="shared" si="57"/>
        <v>5.4699320484073795</v>
      </c>
      <c r="AR184" s="108"/>
      <c r="AS184" s="108"/>
      <c r="AT184" s="103">
        <f>IF($X184&gt;0,INDEX('CostModel Coef'!D$13:D$16,$X184),"")</f>
        <v>3.984</v>
      </c>
      <c r="AU184" s="103">
        <f>IF($X184&gt;0,INDEX('CostModel Coef'!E$13:E$16,$X184),"")</f>
        <v>0.38800000000000001</v>
      </c>
      <c r="AV184" s="103">
        <f>IF($X184&gt;0,INDEX('CostModel Coef'!F$13:F$16,$X184),"")</f>
        <v>0.98799999999999999</v>
      </c>
      <c r="AW184" s="103">
        <f>IF($X184&gt;0,INDEX('CostModel Coef'!G$13:G$16,$X184),"")</f>
        <v>0</v>
      </c>
      <c r="AX184" s="103">
        <f>IF($X184&gt;0,INDEX('CostModel Coef'!H$13:H$16,$X184),"")</f>
        <v>-2.3199999999999998</v>
      </c>
      <c r="AY184" s="103">
        <f>IF($X184&gt;0,INDEX('CostModel Coef'!I$13:I$16,$X184),"")</f>
        <v>-1.85</v>
      </c>
      <c r="AZ184" s="103">
        <f>IF($X184&gt;0,INDEX('CostModel Coef'!J$13:J$16,$X184),"")</f>
        <v>0</v>
      </c>
      <c r="BA184" s="103">
        <f>IF($X184&gt;0,INDEX('CostModel Coef'!K$13:K$16,$X184),"")</f>
        <v>-1.0070000000000001</v>
      </c>
      <c r="BB184" s="103">
        <f>IF($X184&gt;0,INDEX('CostModel Coef'!L$13:L$16,$X184),"")</f>
        <v>0</v>
      </c>
      <c r="BC184" s="103">
        <f>IF($X184&gt;0,INDEX('CostModel Coef'!M$13:M$16,$X184),"")</f>
        <v>0</v>
      </c>
      <c r="BD184" s="103">
        <f>IF($X184&gt;0,INDEX('CostModel Coef'!N$13:N$16,$X184),"")</f>
        <v>0.5907</v>
      </c>
      <c r="BE184" s="103">
        <f>IF($X184&gt;0,INDEX('CostModel Coef'!O$13:O$16,$X184),"")</f>
        <v>0.75</v>
      </c>
      <c r="BF184" s="103">
        <f>IF($X184&gt;0,INDEX('CostModel Coef'!P$13:P$16,$X184),"")</f>
        <v>8</v>
      </c>
      <c r="BG184" s="103">
        <f>IF($X184&gt;0,INDEX('CostModel Coef'!Q$13:Q$16,$X184),"")</f>
        <v>1.04E-2</v>
      </c>
      <c r="BH184" s="103">
        <f>IF($X184&gt;0,INDEX('CostModel Coef'!R$13:R$16,$X184),"")</f>
        <v>12</v>
      </c>
      <c r="BI184" s="103">
        <f>IF($X184&gt;0,INDEX('CostModel Coef'!S$13:S$16,$X184),"")</f>
        <v>150</v>
      </c>
      <c r="BJ184" s="103">
        <f>IF($X184&gt;0,INDEX('CostModel Coef'!T$13:T$16,$X184),"")</f>
        <v>0</v>
      </c>
      <c r="BK184" s="103">
        <f>IF($X184&gt;0,INDEX('CostModel Coef'!U$13:U$16,$X184),"")</f>
        <v>0</v>
      </c>
      <c r="BL184" s="103">
        <f>IF($X184&gt;0,INDEX('CostModel Coef'!V$13:V$16,$X184),"")</f>
        <v>0</v>
      </c>
      <c r="BM184" s="103">
        <f>IF($X184&gt;0,INDEX('CostModel Coef'!W$13:W$16,$X184),"")</f>
        <v>0</v>
      </c>
      <c r="BN184" s="103">
        <f>IF($X184&gt;0,INDEX('CostModel Coef'!X$13:X$16,$X184),"")</f>
        <v>0</v>
      </c>
      <c r="BO184" s="103"/>
      <c r="BP184" s="119">
        <v>2000</v>
      </c>
      <c r="BQ184" s="103"/>
      <c r="BR184" s="103"/>
      <c r="BS184" s="119" t="str">
        <f t="shared" si="60"/>
        <v>WRR0409_CFLscw-Refl-Ext(14w)</v>
      </c>
      <c r="BT184" s="174">
        <f t="shared" si="52"/>
        <v>57</v>
      </c>
      <c r="BU184" s="113">
        <f t="shared" si="62"/>
        <v>6.1272000000000002</v>
      </c>
      <c r="BV184" s="108">
        <f t="shared" si="63"/>
        <v>7.1341999999999999</v>
      </c>
      <c r="BW184" s="108">
        <f t="shared" si="64"/>
        <v>4.8141999999999996</v>
      </c>
      <c r="BX184" s="108">
        <f t="shared" si="65"/>
        <v>2.9641999999999995</v>
      </c>
      <c r="BY184" s="108">
        <f t="shared" si="66"/>
        <v>2.9641999999999995</v>
      </c>
      <c r="BZ184" s="108"/>
      <c r="CA184" s="119" t="str">
        <f t="shared" si="67"/>
        <v>WRR0407_CFLscw-Refl-Ext(14w)</v>
      </c>
      <c r="CB184" s="174">
        <f t="shared" si="58"/>
        <v>57</v>
      </c>
      <c r="CC184" s="113">
        <f t="shared" si="68"/>
        <v>6.1272000000000002</v>
      </c>
      <c r="CD184" s="108">
        <f t="shared" si="69"/>
        <v>7.1341999999999999</v>
      </c>
      <c r="CE184" s="108">
        <f t="shared" si="70"/>
        <v>4.8141999999999996</v>
      </c>
      <c r="CF184" s="108">
        <f t="shared" si="71"/>
        <v>2.9641999999999995</v>
      </c>
      <c r="CG184" s="108">
        <f t="shared" si="72"/>
        <v>2.9641999999999995</v>
      </c>
      <c r="CH184" s="103"/>
      <c r="CI184" s="119" t="str">
        <f t="shared" si="61"/>
        <v/>
      </c>
      <c r="CJ184" s="174">
        <f t="shared" si="59"/>
        <v>-1</v>
      </c>
      <c r="CK184" s="113" t="str">
        <f t="shared" si="73"/>
        <v/>
      </c>
      <c r="CL184" s="108" t="str">
        <f t="shared" si="74"/>
        <v/>
      </c>
      <c r="CM184" s="108" t="str">
        <f t="shared" si="75"/>
        <v/>
      </c>
      <c r="CN184" s="108" t="str">
        <f t="shared" si="76"/>
        <v/>
      </c>
      <c r="CO184" s="108" t="str">
        <f t="shared" si="77"/>
        <v/>
      </c>
    </row>
    <row r="185" spans="1:93">
      <c r="A185" s="103" t="s">
        <v>520</v>
      </c>
      <c r="B185" s="103" t="s">
        <v>174</v>
      </c>
      <c r="C185" s="103" t="s">
        <v>162</v>
      </c>
      <c r="D185" s="250" t="s">
        <v>153</v>
      </c>
      <c r="E185" s="250"/>
      <c r="F185" s="182">
        <v>9020</v>
      </c>
      <c r="G185" s="250" t="s">
        <v>175</v>
      </c>
      <c r="H185" s="250">
        <v>15</v>
      </c>
      <c r="I185" s="250"/>
      <c r="J185" s="250"/>
      <c r="K185" s="250"/>
      <c r="L185" s="250" t="s">
        <v>61</v>
      </c>
      <c r="M185" s="250">
        <v>15</v>
      </c>
      <c r="N185" s="250" t="s">
        <v>176</v>
      </c>
      <c r="O185" s="250"/>
      <c r="P185" s="250" t="s">
        <v>153</v>
      </c>
      <c r="Q185" s="250"/>
      <c r="R185" s="250"/>
      <c r="S185" s="250"/>
      <c r="T185" s="250" t="s">
        <v>155</v>
      </c>
      <c r="U185" s="103" t="s">
        <v>521</v>
      </c>
      <c r="V185" s="106" t="s">
        <v>157</v>
      </c>
      <c r="W185" s="103" t="s">
        <v>82</v>
      </c>
      <c r="X185" s="103">
        <f>IFERROR(MATCH(W185,'CostModel Coef'!$C$9:$C$12,0),0)</f>
        <v>2</v>
      </c>
      <c r="Y185" s="103"/>
      <c r="Z185" s="103">
        <f>IF($X185&gt;0,INDEX('CostModel Coef'!D$9:D$12,$X185),"")</f>
        <v>5.0279999999999996</v>
      </c>
      <c r="AA185" s="103">
        <f>IF($X185&gt;0,INDEX('CostModel Coef'!E$9:E$12,$X185),"")</f>
        <v>0.22669576292256455</v>
      </c>
      <c r="AB185" s="103">
        <f>IF($X185&gt;0,INDEX('CostModel Coef'!F$9:F$12,$X185),"")</f>
        <v>0.94713628548481477</v>
      </c>
      <c r="AC185" s="103">
        <f>IF($X185&gt;0,INDEX('CostModel Coef'!G$9:G$12,$X185),"")</f>
        <v>0</v>
      </c>
      <c r="AD185" s="103">
        <f>IF($X185&gt;0,INDEX('CostModel Coef'!H$9:H$12,$X185),"")</f>
        <v>-2.7940999999999998</v>
      </c>
      <c r="AE185" s="103">
        <f>IF($X185&gt;0,INDEX('CostModel Coef'!J$9:J$12,$X185),"")</f>
        <v>0</v>
      </c>
      <c r="AF185" s="103">
        <f>IF($X185&gt;0,INDEX('CostModel Coef'!K$9:K$12,$X185),"")</f>
        <v>-0.57599999999999996</v>
      </c>
      <c r="AG185" s="103">
        <f>IF($X185&gt;0,INDEX('CostModel Coef'!L$9:L$12,$X185),"")</f>
        <v>0</v>
      </c>
      <c r="AH185" s="103">
        <f>IF($X185&gt;0,INDEX('CostModel Coef'!M$9:M$12,$X185),"")</f>
        <v>4.0461</v>
      </c>
      <c r="AI185" s="103">
        <f>IF($X185&gt;0,INDEX('CostModel Coef'!N$9:N$12,$X185),"")</f>
        <v>0</v>
      </c>
      <c r="AJ185" s="103">
        <f>IF($X185&gt;0,INDEX('CostModel Coef'!Q$9:Q$12,$X185),"")</f>
        <v>0.14729999999999999</v>
      </c>
      <c r="AK185" s="103">
        <f>IF($X185&gt;0,INDEX('CostModel Coef'!T$9:T$12,$X185),"")</f>
        <v>0</v>
      </c>
      <c r="AL185" s="103"/>
      <c r="AM185" s="108">
        <f t="shared" si="53"/>
        <v>7.8353320484073796</v>
      </c>
      <c r="AN185" s="108">
        <f t="shared" si="54"/>
        <v>8.4113320484073792</v>
      </c>
      <c r="AO185" s="108">
        <f t="shared" si="55"/>
        <v>5.617232048407379</v>
      </c>
      <c r="AP185" s="108">
        <f t="shared" si="56"/>
        <v>5.617232048407379</v>
      </c>
      <c r="AQ185" s="108">
        <f t="shared" si="57"/>
        <v>5.617232048407379</v>
      </c>
      <c r="AR185" s="108"/>
      <c r="AS185" s="108"/>
      <c r="AT185" s="103">
        <f>IF($X185&gt;0,INDEX('CostModel Coef'!D$13:D$16,$X185),"")</f>
        <v>3.984</v>
      </c>
      <c r="AU185" s="103">
        <f>IF($X185&gt;0,INDEX('CostModel Coef'!E$13:E$16,$X185),"")</f>
        <v>0.38800000000000001</v>
      </c>
      <c r="AV185" s="103">
        <f>IF($X185&gt;0,INDEX('CostModel Coef'!F$13:F$16,$X185),"")</f>
        <v>0.98799999999999999</v>
      </c>
      <c r="AW185" s="103">
        <f>IF($X185&gt;0,INDEX('CostModel Coef'!G$13:G$16,$X185),"")</f>
        <v>0</v>
      </c>
      <c r="AX185" s="103">
        <f>IF($X185&gt;0,INDEX('CostModel Coef'!H$13:H$16,$X185),"")</f>
        <v>-2.3199999999999998</v>
      </c>
      <c r="AY185" s="103">
        <f>IF($X185&gt;0,INDEX('CostModel Coef'!I$13:I$16,$X185),"")</f>
        <v>-1.85</v>
      </c>
      <c r="AZ185" s="103">
        <f>IF($X185&gt;0,INDEX('CostModel Coef'!J$13:J$16,$X185),"")</f>
        <v>0</v>
      </c>
      <c r="BA185" s="103">
        <f>IF($X185&gt;0,INDEX('CostModel Coef'!K$13:K$16,$X185),"")</f>
        <v>-1.0070000000000001</v>
      </c>
      <c r="BB185" s="103">
        <f>IF($X185&gt;0,INDEX('CostModel Coef'!L$13:L$16,$X185),"")</f>
        <v>0</v>
      </c>
      <c r="BC185" s="103">
        <f>IF($X185&gt;0,INDEX('CostModel Coef'!M$13:M$16,$X185),"")</f>
        <v>0</v>
      </c>
      <c r="BD185" s="103">
        <f>IF($X185&gt;0,INDEX('CostModel Coef'!N$13:N$16,$X185),"")</f>
        <v>0.5907</v>
      </c>
      <c r="BE185" s="103">
        <f>IF($X185&gt;0,INDEX('CostModel Coef'!O$13:O$16,$X185),"")</f>
        <v>0.75</v>
      </c>
      <c r="BF185" s="103">
        <f>IF($X185&gt;0,INDEX('CostModel Coef'!P$13:P$16,$X185),"")</f>
        <v>8</v>
      </c>
      <c r="BG185" s="103">
        <f>IF($X185&gt;0,INDEX('CostModel Coef'!Q$13:Q$16,$X185),"")</f>
        <v>1.04E-2</v>
      </c>
      <c r="BH185" s="103">
        <f>IF($X185&gt;0,INDEX('CostModel Coef'!R$13:R$16,$X185),"")</f>
        <v>12</v>
      </c>
      <c r="BI185" s="103">
        <f>IF($X185&gt;0,INDEX('CostModel Coef'!S$13:S$16,$X185),"")</f>
        <v>150</v>
      </c>
      <c r="BJ185" s="103">
        <f>IF($X185&gt;0,INDEX('CostModel Coef'!T$13:T$16,$X185),"")</f>
        <v>0</v>
      </c>
      <c r="BK185" s="103">
        <f>IF($X185&gt;0,INDEX('CostModel Coef'!U$13:U$16,$X185),"")</f>
        <v>0</v>
      </c>
      <c r="BL185" s="103">
        <f>IF($X185&gt;0,INDEX('CostModel Coef'!V$13:V$16,$X185),"")</f>
        <v>0</v>
      </c>
      <c r="BM185" s="103">
        <f>IF($X185&gt;0,INDEX('CostModel Coef'!W$13:W$16,$X185),"")</f>
        <v>0</v>
      </c>
      <c r="BN185" s="103">
        <f>IF($X185&gt;0,INDEX('CostModel Coef'!X$13:X$16,$X185),"")</f>
        <v>0</v>
      </c>
      <c r="BO185" s="103"/>
      <c r="BP185" s="119">
        <v>2000</v>
      </c>
      <c r="BQ185" s="103"/>
      <c r="BR185" s="103"/>
      <c r="BS185" s="119" t="str">
        <f t="shared" si="60"/>
        <v>WRR0409_CFLscw-Refl-Ext(15w)</v>
      </c>
      <c r="BT185" s="174">
        <f t="shared" si="52"/>
        <v>61</v>
      </c>
      <c r="BU185" s="113">
        <f t="shared" si="62"/>
        <v>6.1687999999999992</v>
      </c>
      <c r="BV185" s="108">
        <f t="shared" si="63"/>
        <v>7.1757999999999997</v>
      </c>
      <c r="BW185" s="108">
        <f t="shared" si="64"/>
        <v>4.8558000000000003</v>
      </c>
      <c r="BX185" s="108">
        <f t="shared" si="65"/>
        <v>3.0058000000000002</v>
      </c>
      <c r="BY185" s="108">
        <f t="shared" si="66"/>
        <v>3.0058000000000002</v>
      </c>
      <c r="BZ185" s="108"/>
      <c r="CA185" s="119" t="str">
        <f t="shared" si="67"/>
        <v>WRR0407_CFLscw-Refl-Ext(15w)</v>
      </c>
      <c r="CB185" s="174">
        <f t="shared" si="58"/>
        <v>61</v>
      </c>
      <c r="CC185" s="113">
        <f t="shared" si="68"/>
        <v>6.1687999999999992</v>
      </c>
      <c r="CD185" s="108">
        <f t="shared" si="69"/>
        <v>7.1757999999999997</v>
      </c>
      <c r="CE185" s="108">
        <f t="shared" si="70"/>
        <v>4.8558000000000003</v>
      </c>
      <c r="CF185" s="108">
        <f t="shared" si="71"/>
        <v>3.0058000000000002</v>
      </c>
      <c r="CG185" s="108">
        <f t="shared" si="72"/>
        <v>3.0058000000000002</v>
      </c>
      <c r="CH185" s="103"/>
      <c r="CI185" s="119" t="str">
        <f t="shared" si="61"/>
        <v/>
      </c>
      <c r="CJ185" s="174">
        <f t="shared" si="59"/>
        <v>-1</v>
      </c>
      <c r="CK185" s="113" t="str">
        <f t="shared" si="73"/>
        <v/>
      </c>
      <c r="CL185" s="108" t="str">
        <f t="shared" si="74"/>
        <v/>
      </c>
      <c r="CM185" s="108" t="str">
        <f t="shared" si="75"/>
        <v/>
      </c>
      <c r="CN185" s="108" t="str">
        <f t="shared" si="76"/>
        <v/>
      </c>
      <c r="CO185" s="108" t="str">
        <f t="shared" si="77"/>
        <v/>
      </c>
    </row>
    <row r="186" spans="1:93">
      <c r="A186" s="103" t="s">
        <v>522</v>
      </c>
      <c r="B186" s="103" t="s">
        <v>174</v>
      </c>
      <c r="C186" s="103" t="s">
        <v>162</v>
      </c>
      <c r="D186" s="250" t="s">
        <v>153</v>
      </c>
      <c r="E186" s="250"/>
      <c r="F186" s="182">
        <v>9020</v>
      </c>
      <c r="G186" s="250" t="s">
        <v>175</v>
      </c>
      <c r="H186" s="250">
        <v>16</v>
      </c>
      <c r="I186" s="250"/>
      <c r="J186" s="250"/>
      <c r="K186" s="250"/>
      <c r="L186" s="250" t="s">
        <v>61</v>
      </c>
      <c r="M186" s="250">
        <v>16</v>
      </c>
      <c r="N186" s="250" t="s">
        <v>176</v>
      </c>
      <c r="O186" s="250"/>
      <c r="P186" s="250" t="s">
        <v>153</v>
      </c>
      <c r="Q186" s="250"/>
      <c r="R186" s="250"/>
      <c r="S186" s="250"/>
      <c r="T186" s="250" t="s">
        <v>155</v>
      </c>
      <c r="U186" s="103" t="s">
        <v>523</v>
      </c>
      <c r="V186" s="106" t="s">
        <v>157</v>
      </c>
      <c r="W186" s="103" t="s">
        <v>82</v>
      </c>
      <c r="X186" s="103">
        <f>IFERROR(MATCH(W186,'CostModel Coef'!$C$9:$C$12,0),0)</f>
        <v>2</v>
      </c>
      <c r="Y186" s="103"/>
      <c r="Z186" s="103">
        <f>IF($X186&gt;0,INDEX('CostModel Coef'!D$9:D$12,$X186),"")</f>
        <v>5.0279999999999996</v>
      </c>
      <c r="AA186" s="103">
        <f>IF($X186&gt;0,INDEX('CostModel Coef'!E$9:E$12,$X186),"")</f>
        <v>0.22669576292256455</v>
      </c>
      <c r="AB186" s="103">
        <f>IF($X186&gt;0,INDEX('CostModel Coef'!F$9:F$12,$X186),"")</f>
        <v>0.94713628548481477</v>
      </c>
      <c r="AC186" s="103">
        <f>IF($X186&gt;0,INDEX('CostModel Coef'!G$9:G$12,$X186),"")</f>
        <v>0</v>
      </c>
      <c r="AD186" s="103">
        <f>IF($X186&gt;0,INDEX('CostModel Coef'!H$9:H$12,$X186),"")</f>
        <v>-2.7940999999999998</v>
      </c>
      <c r="AE186" s="103">
        <f>IF($X186&gt;0,INDEX('CostModel Coef'!J$9:J$12,$X186),"")</f>
        <v>0</v>
      </c>
      <c r="AF186" s="103">
        <f>IF($X186&gt;0,INDEX('CostModel Coef'!K$9:K$12,$X186),"")</f>
        <v>-0.57599999999999996</v>
      </c>
      <c r="AG186" s="103">
        <f>IF($X186&gt;0,INDEX('CostModel Coef'!L$9:L$12,$X186),"")</f>
        <v>0</v>
      </c>
      <c r="AH186" s="103">
        <f>IF($X186&gt;0,INDEX('CostModel Coef'!M$9:M$12,$X186),"")</f>
        <v>4.0461</v>
      </c>
      <c r="AI186" s="103">
        <f>IF($X186&gt;0,INDEX('CostModel Coef'!N$9:N$12,$X186),"")</f>
        <v>0</v>
      </c>
      <c r="AJ186" s="103">
        <f>IF($X186&gt;0,INDEX('CostModel Coef'!Q$9:Q$12,$X186),"")</f>
        <v>0.14729999999999999</v>
      </c>
      <c r="AK186" s="103">
        <f>IF($X186&gt;0,INDEX('CostModel Coef'!T$9:T$12,$X186),"")</f>
        <v>0</v>
      </c>
      <c r="AL186" s="103"/>
      <c r="AM186" s="108">
        <f t="shared" si="53"/>
        <v>7.9826320484073792</v>
      </c>
      <c r="AN186" s="108">
        <f t="shared" si="54"/>
        <v>8.5586320484073788</v>
      </c>
      <c r="AO186" s="108">
        <f t="shared" si="55"/>
        <v>5.7645320484073785</v>
      </c>
      <c r="AP186" s="108">
        <f t="shared" si="56"/>
        <v>5.7645320484073785</v>
      </c>
      <c r="AQ186" s="108">
        <f t="shared" si="57"/>
        <v>5.7645320484073785</v>
      </c>
      <c r="AR186" s="108"/>
      <c r="AS186" s="108"/>
      <c r="AT186" s="103">
        <f>IF($X186&gt;0,INDEX('CostModel Coef'!D$13:D$16,$X186),"")</f>
        <v>3.984</v>
      </c>
      <c r="AU186" s="103">
        <f>IF($X186&gt;0,INDEX('CostModel Coef'!E$13:E$16,$X186),"")</f>
        <v>0.38800000000000001</v>
      </c>
      <c r="AV186" s="103">
        <f>IF($X186&gt;0,INDEX('CostModel Coef'!F$13:F$16,$X186),"")</f>
        <v>0.98799999999999999</v>
      </c>
      <c r="AW186" s="103">
        <f>IF($X186&gt;0,INDEX('CostModel Coef'!G$13:G$16,$X186),"")</f>
        <v>0</v>
      </c>
      <c r="AX186" s="103">
        <f>IF($X186&gt;0,INDEX('CostModel Coef'!H$13:H$16,$X186),"")</f>
        <v>-2.3199999999999998</v>
      </c>
      <c r="AY186" s="103">
        <f>IF($X186&gt;0,INDEX('CostModel Coef'!I$13:I$16,$X186),"")</f>
        <v>-1.85</v>
      </c>
      <c r="AZ186" s="103">
        <f>IF($X186&gt;0,INDEX('CostModel Coef'!J$13:J$16,$X186),"")</f>
        <v>0</v>
      </c>
      <c r="BA186" s="103">
        <f>IF($X186&gt;0,INDEX('CostModel Coef'!K$13:K$16,$X186),"")</f>
        <v>-1.0070000000000001</v>
      </c>
      <c r="BB186" s="103">
        <f>IF($X186&gt;0,INDEX('CostModel Coef'!L$13:L$16,$X186),"")</f>
        <v>0</v>
      </c>
      <c r="BC186" s="103">
        <f>IF($X186&gt;0,INDEX('CostModel Coef'!M$13:M$16,$X186),"")</f>
        <v>0</v>
      </c>
      <c r="BD186" s="103">
        <f>IF($X186&gt;0,INDEX('CostModel Coef'!N$13:N$16,$X186),"")</f>
        <v>0.5907</v>
      </c>
      <c r="BE186" s="103">
        <f>IF($X186&gt;0,INDEX('CostModel Coef'!O$13:O$16,$X186),"")</f>
        <v>0.75</v>
      </c>
      <c r="BF186" s="103">
        <f>IF($X186&gt;0,INDEX('CostModel Coef'!P$13:P$16,$X186),"")</f>
        <v>8</v>
      </c>
      <c r="BG186" s="103">
        <f>IF($X186&gt;0,INDEX('CostModel Coef'!Q$13:Q$16,$X186),"")</f>
        <v>1.04E-2</v>
      </c>
      <c r="BH186" s="103">
        <f>IF($X186&gt;0,INDEX('CostModel Coef'!R$13:R$16,$X186),"")</f>
        <v>12</v>
      </c>
      <c r="BI186" s="103">
        <f>IF($X186&gt;0,INDEX('CostModel Coef'!S$13:S$16,$X186),"")</f>
        <v>150</v>
      </c>
      <c r="BJ186" s="103">
        <f>IF($X186&gt;0,INDEX('CostModel Coef'!T$13:T$16,$X186),"")</f>
        <v>0</v>
      </c>
      <c r="BK186" s="103">
        <f>IF($X186&gt;0,INDEX('CostModel Coef'!U$13:U$16,$X186),"")</f>
        <v>0</v>
      </c>
      <c r="BL186" s="103">
        <f>IF($X186&gt;0,INDEX('CostModel Coef'!V$13:V$16,$X186),"")</f>
        <v>0</v>
      </c>
      <c r="BM186" s="103">
        <f>IF($X186&gt;0,INDEX('CostModel Coef'!W$13:W$16,$X186),"")</f>
        <v>0</v>
      </c>
      <c r="BN186" s="103">
        <f>IF($X186&gt;0,INDEX('CostModel Coef'!X$13:X$16,$X186),"")</f>
        <v>0</v>
      </c>
      <c r="BO186" s="103"/>
      <c r="BP186" s="119">
        <v>2000</v>
      </c>
      <c r="BQ186" s="103"/>
      <c r="BR186" s="103"/>
      <c r="BS186" s="119" t="str">
        <f t="shared" si="60"/>
        <v>WRR0409_CFLscw-Refl-Ext(16w)</v>
      </c>
      <c r="BT186" s="174">
        <f t="shared" si="52"/>
        <v>65</v>
      </c>
      <c r="BU186" s="113">
        <f t="shared" si="62"/>
        <v>6.2103999999999999</v>
      </c>
      <c r="BV186" s="108">
        <f t="shared" si="63"/>
        <v>7.2173999999999996</v>
      </c>
      <c r="BW186" s="108">
        <f t="shared" si="64"/>
        <v>4.8973999999999993</v>
      </c>
      <c r="BX186" s="108">
        <f t="shared" si="65"/>
        <v>3.0473999999999992</v>
      </c>
      <c r="BY186" s="108">
        <f t="shared" si="66"/>
        <v>3.0473999999999992</v>
      </c>
      <c r="BZ186" s="108"/>
      <c r="CA186" s="119" t="str">
        <f t="shared" si="67"/>
        <v>WRR0407_CFLscw-Refl-Ext(16w)</v>
      </c>
      <c r="CB186" s="174">
        <f t="shared" si="58"/>
        <v>65</v>
      </c>
      <c r="CC186" s="113">
        <f t="shared" si="68"/>
        <v>6.2103999999999999</v>
      </c>
      <c r="CD186" s="108">
        <f t="shared" si="69"/>
        <v>7.2173999999999996</v>
      </c>
      <c r="CE186" s="108">
        <f t="shared" si="70"/>
        <v>4.8973999999999993</v>
      </c>
      <c r="CF186" s="108">
        <f t="shared" si="71"/>
        <v>3.0473999999999992</v>
      </c>
      <c r="CG186" s="108">
        <f t="shared" si="72"/>
        <v>3.0473999999999992</v>
      </c>
      <c r="CH186" s="103"/>
      <c r="CI186" s="119" t="str">
        <f t="shared" si="61"/>
        <v/>
      </c>
      <c r="CJ186" s="174">
        <f t="shared" si="59"/>
        <v>-1</v>
      </c>
      <c r="CK186" s="113" t="str">
        <f t="shared" si="73"/>
        <v/>
      </c>
      <c r="CL186" s="108" t="str">
        <f t="shared" si="74"/>
        <v/>
      </c>
      <c r="CM186" s="108" t="str">
        <f t="shared" si="75"/>
        <v/>
      </c>
      <c r="CN186" s="108" t="str">
        <f t="shared" si="76"/>
        <v/>
      </c>
      <c r="CO186" s="108" t="str">
        <f t="shared" si="77"/>
        <v/>
      </c>
    </row>
    <row r="187" spans="1:93">
      <c r="A187" s="103" t="s">
        <v>524</v>
      </c>
      <c r="B187" s="103" t="s">
        <v>174</v>
      </c>
      <c r="C187" s="103" t="s">
        <v>162</v>
      </c>
      <c r="D187" s="250" t="s">
        <v>153</v>
      </c>
      <c r="E187" s="250"/>
      <c r="F187" s="182">
        <v>9020</v>
      </c>
      <c r="G187" s="250" t="s">
        <v>175</v>
      </c>
      <c r="H187" s="250">
        <v>18</v>
      </c>
      <c r="I187" s="250"/>
      <c r="J187" s="250"/>
      <c r="K187" s="250"/>
      <c r="L187" s="250" t="s">
        <v>61</v>
      </c>
      <c r="M187" s="250">
        <v>18</v>
      </c>
      <c r="N187" s="250" t="s">
        <v>176</v>
      </c>
      <c r="O187" s="250"/>
      <c r="P187" s="250" t="s">
        <v>153</v>
      </c>
      <c r="Q187" s="250"/>
      <c r="R187" s="250"/>
      <c r="S187" s="250"/>
      <c r="T187" s="250" t="s">
        <v>155</v>
      </c>
      <c r="U187" s="103" t="s">
        <v>525</v>
      </c>
      <c r="V187" s="106" t="s">
        <v>157</v>
      </c>
      <c r="W187" s="103" t="s">
        <v>82</v>
      </c>
      <c r="X187" s="103">
        <f>IFERROR(MATCH(W187,'CostModel Coef'!$C$9:$C$12,0),0)</f>
        <v>2</v>
      </c>
      <c r="Y187" s="103"/>
      <c r="Z187" s="103">
        <f>IF($X187&gt;0,INDEX('CostModel Coef'!D$9:D$12,$X187),"")</f>
        <v>5.0279999999999996</v>
      </c>
      <c r="AA187" s="103">
        <f>IF($X187&gt;0,INDEX('CostModel Coef'!E$9:E$12,$X187),"")</f>
        <v>0.22669576292256455</v>
      </c>
      <c r="AB187" s="103">
        <f>IF($X187&gt;0,INDEX('CostModel Coef'!F$9:F$12,$X187),"")</f>
        <v>0.94713628548481477</v>
      </c>
      <c r="AC187" s="103">
        <f>IF($X187&gt;0,INDEX('CostModel Coef'!G$9:G$12,$X187),"")</f>
        <v>0</v>
      </c>
      <c r="AD187" s="103">
        <f>IF($X187&gt;0,INDEX('CostModel Coef'!H$9:H$12,$X187),"")</f>
        <v>-2.7940999999999998</v>
      </c>
      <c r="AE187" s="103">
        <f>IF($X187&gt;0,INDEX('CostModel Coef'!J$9:J$12,$X187),"")</f>
        <v>0</v>
      </c>
      <c r="AF187" s="103">
        <f>IF($X187&gt;0,INDEX('CostModel Coef'!K$9:K$12,$X187),"")</f>
        <v>-0.57599999999999996</v>
      </c>
      <c r="AG187" s="103">
        <f>IF($X187&gt;0,INDEX('CostModel Coef'!L$9:L$12,$X187),"")</f>
        <v>0</v>
      </c>
      <c r="AH187" s="103">
        <f>IF($X187&gt;0,INDEX('CostModel Coef'!M$9:M$12,$X187),"")</f>
        <v>4.0461</v>
      </c>
      <c r="AI187" s="103">
        <f>IF($X187&gt;0,INDEX('CostModel Coef'!N$9:N$12,$X187),"")</f>
        <v>0</v>
      </c>
      <c r="AJ187" s="103">
        <f>IF($X187&gt;0,INDEX('CostModel Coef'!Q$9:Q$12,$X187),"")</f>
        <v>0.14729999999999999</v>
      </c>
      <c r="AK187" s="103">
        <f>IF($X187&gt;0,INDEX('CostModel Coef'!T$9:T$12,$X187),"")</f>
        <v>0</v>
      </c>
      <c r="AL187" s="103"/>
      <c r="AM187" s="108">
        <f t="shared" si="53"/>
        <v>8.2772320484073774</v>
      </c>
      <c r="AN187" s="108">
        <f t="shared" si="54"/>
        <v>8.8532320484073779</v>
      </c>
      <c r="AO187" s="108">
        <f t="shared" si="55"/>
        <v>6.0591320484073776</v>
      </c>
      <c r="AP187" s="108">
        <f t="shared" si="56"/>
        <v>6.0591320484073776</v>
      </c>
      <c r="AQ187" s="108">
        <f t="shared" si="57"/>
        <v>6.0591320484073776</v>
      </c>
      <c r="AR187" s="108"/>
      <c r="AS187" s="108"/>
      <c r="AT187" s="103">
        <f>IF($X187&gt;0,INDEX('CostModel Coef'!D$13:D$16,$X187),"")</f>
        <v>3.984</v>
      </c>
      <c r="AU187" s="103">
        <f>IF($X187&gt;0,INDEX('CostModel Coef'!E$13:E$16,$X187),"")</f>
        <v>0.38800000000000001</v>
      </c>
      <c r="AV187" s="103">
        <f>IF($X187&gt;0,INDEX('CostModel Coef'!F$13:F$16,$X187),"")</f>
        <v>0.98799999999999999</v>
      </c>
      <c r="AW187" s="103">
        <f>IF($X187&gt;0,INDEX('CostModel Coef'!G$13:G$16,$X187),"")</f>
        <v>0</v>
      </c>
      <c r="AX187" s="103">
        <f>IF($X187&gt;0,INDEX('CostModel Coef'!H$13:H$16,$X187),"")</f>
        <v>-2.3199999999999998</v>
      </c>
      <c r="AY187" s="103">
        <f>IF($X187&gt;0,INDEX('CostModel Coef'!I$13:I$16,$X187),"")</f>
        <v>-1.85</v>
      </c>
      <c r="AZ187" s="103">
        <f>IF($X187&gt;0,INDEX('CostModel Coef'!J$13:J$16,$X187),"")</f>
        <v>0</v>
      </c>
      <c r="BA187" s="103">
        <f>IF($X187&gt;0,INDEX('CostModel Coef'!K$13:K$16,$X187),"")</f>
        <v>-1.0070000000000001</v>
      </c>
      <c r="BB187" s="103">
        <f>IF($X187&gt;0,INDEX('CostModel Coef'!L$13:L$16,$X187),"")</f>
        <v>0</v>
      </c>
      <c r="BC187" s="103">
        <f>IF($X187&gt;0,INDEX('CostModel Coef'!M$13:M$16,$X187),"")</f>
        <v>0</v>
      </c>
      <c r="BD187" s="103">
        <f>IF($X187&gt;0,INDEX('CostModel Coef'!N$13:N$16,$X187),"")</f>
        <v>0.5907</v>
      </c>
      <c r="BE187" s="103">
        <f>IF($X187&gt;0,INDEX('CostModel Coef'!O$13:O$16,$X187),"")</f>
        <v>0.75</v>
      </c>
      <c r="BF187" s="103">
        <f>IF($X187&gt;0,INDEX('CostModel Coef'!P$13:P$16,$X187),"")</f>
        <v>8</v>
      </c>
      <c r="BG187" s="103">
        <f>IF($X187&gt;0,INDEX('CostModel Coef'!Q$13:Q$16,$X187),"")</f>
        <v>1.04E-2</v>
      </c>
      <c r="BH187" s="103">
        <f>IF($X187&gt;0,INDEX('CostModel Coef'!R$13:R$16,$X187),"")</f>
        <v>12</v>
      </c>
      <c r="BI187" s="103">
        <f>IF($X187&gt;0,INDEX('CostModel Coef'!S$13:S$16,$X187),"")</f>
        <v>150</v>
      </c>
      <c r="BJ187" s="103">
        <f>IF($X187&gt;0,INDEX('CostModel Coef'!T$13:T$16,$X187),"")</f>
        <v>0</v>
      </c>
      <c r="BK187" s="103">
        <f>IF($X187&gt;0,INDEX('CostModel Coef'!U$13:U$16,$X187),"")</f>
        <v>0</v>
      </c>
      <c r="BL187" s="103">
        <f>IF($X187&gt;0,INDEX('CostModel Coef'!V$13:V$16,$X187),"")</f>
        <v>0</v>
      </c>
      <c r="BM187" s="103">
        <f>IF($X187&gt;0,INDEX('CostModel Coef'!W$13:W$16,$X187),"")</f>
        <v>0</v>
      </c>
      <c r="BN187" s="103">
        <f>IF($X187&gt;0,INDEX('CostModel Coef'!X$13:X$16,$X187),"")</f>
        <v>0</v>
      </c>
      <c r="BO187" s="103"/>
      <c r="BP187" s="119">
        <v>2000</v>
      </c>
      <c r="BQ187" s="103"/>
      <c r="BR187" s="103"/>
      <c r="BS187" s="119" t="str">
        <f t="shared" si="60"/>
        <v>WRR0409_CFLscw-Refl-Ext(18w)</v>
      </c>
      <c r="BT187" s="174">
        <f t="shared" si="52"/>
        <v>74</v>
      </c>
      <c r="BU187" s="113">
        <f t="shared" si="62"/>
        <v>6.3039999999999985</v>
      </c>
      <c r="BV187" s="108">
        <f t="shared" si="63"/>
        <v>7.3109999999999991</v>
      </c>
      <c r="BW187" s="108">
        <f t="shared" si="64"/>
        <v>4.9909999999999997</v>
      </c>
      <c r="BX187" s="108">
        <f t="shared" si="65"/>
        <v>3.1409999999999996</v>
      </c>
      <c r="BY187" s="108">
        <f t="shared" si="66"/>
        <v>3.1409999999999996</v>
      </c>
      <c r="BZ187" s="108"/>
      <c r="CA187" s="119" t="str">
        <f t="shared" si="67"/>
        <v>WRR0407_CFLscw-Refl-Ext(18w)</v>
      </c>
      <c r="CB187" s="174">
        <f t="shared" si="58"/>
        <v>73</v>
      </c>
      <c r="CC187" s="113">
        <f t="shared" si="68"/>
        <v>6.2935999999999996</v>
      </c>
      <c r="CD187" s="108">
        <f t="shared" si="69"/>
        <v>7.3005999999999993</v>
      </c>
      <c r="CE187" s="108">
        <f t="shared" si="70"/>
        <v>4.980599999999999</v>
      </c>
      <c r="CF187" s="108">
        <f t="shared" si="71"/>
        <v>3.1305999999999989</v>
      </c>
      <c r="CG187" s="108">
        <f t="shared" si="72"/>
        <v>3.1305999999999989</v>
      </c>
      <c r="CH187" s="103"/>
      <c r="CI187" s="119" t="str">
        <f t="shared" si="61"/>
        <v/>
      </c>
      <c r="CJ187" s="174">
        <f t="shared" si="59"/>
        <v>-1</v>
      </c>
      <c r="CK187" s="113" t="str">
        <f t="shared" si="73"/>
        <v/>
      </c>
      <c r="CL187" s="108" t="str">
        <f t="shared" si="74"/>
        <v/>
      </c>
      <c r="CM187" s="108" t="str">
        <f t="shared" si="75"/>
        <v/>
      </c>
      <c r="CN187" s="108" t="str">
        <f t="shared" si="76"/>
        <v/>
      </c>
      <c r="CO187" s="108" t="str">
        <f t="shared" si="77"/>
        <v/>
      </c>
    </row>
    <row r="188" spans="1:93">
      <c r="A188" s="103" t="s">
        <v>526</v>
      </c>
      <c r="B188" s="103" t="s">
        <v>174</v>
      </c>
      <c r="C188" s="103" t="s">
        <v>162</v>
      </c>
      <c r="D188" s="250" t="s">
        <v>153</v>
      </c>
      <c r="E188" s="250"/>
      <c r="F188" s="182">
        <v>9020</v>
      </c>
      <c r="G188" s="250" t="s">
        <v>175</v>
      </c>
      <c r="H188" s="250">
        <v>20</v>
      </c>
      <c r="I188" s="250"/>
      <c r="J188" s="250"/>
      <c r="K188" s="250"/>
      <c r="L188" s="250" t="s">
        <v>61</v>
      </c>
      <c r="M188" s="250">
        <v>20</v>
      </c>
      <c r="N188" s="250" t="s">
        <v>176</v>
      </c>
      <c r="O188" s="250"/>
      <c r="P188" s="250" t="s">
        <v>153</v>
      </c>
      <c r="Q188" s="250"/>
      <c r="R188" s="250"/>
      <c r="S188" s="250"/>
      <c r="T188" s="250" t="s">
        <v>155</v>
      </c>
      <c r="U188" s="103" t="s">
        <v>527</v>
      </c>
      <c r="V188" s="106" t="s">
        <v>157</v>
      </c>
      <c r="W188" s="103" t="s">
        <v>82</v>
      </c>
      <c r="X188" s="103">
        <f>IFERROR(MATCH(W188,'CostModel Coef'!$C$9:$C$12,0),0)</f>
        <v>2</v>
      </c>
      <c r="Y188" s="103"/>
      <c r="Z188" s="103">
        <f>IF($X188&gt;0,INDEX('CostModel Coef'!D$9:D$12,$X188),"")</f>
        <v>5.0279999999999996</v>
      </c>
      <c r="AA188" s="103">
        <f>IF($X188&gt;0,INDEX('CostModel Coef'!E$9:E$12,$X188),"")</f>
        <v>0.22669576292256455</v>
      </c>
      <c r="AB188" s="103">
        <f>IF($X188&gt;0,INDEX('CostModel Coef'!F$9:F$12,$X188),"")</f>
        <v>0.94713628548481477</v>
      </c>
      <c r="AC188" s="103">
        <f>IF($X188&gt;0,INDEX('CostModel Coef'!G$9:G$12,$X188),"")</f>
        <v>0</v>
      </c>
      <c r="AD188" s="103">
        <f>IF($X188&gt;0,INDEX('CostModel Coef'!H$9:H$12,$X188),"")</f>
        <v>-2.7940999999999998</v>
      </c>
      <c r="AE188" s="103">
        <f>IF($X188&gt;0,INDEX('CostModel Coef'!J$9:J$12,$X188),"")</f>
        <v>0</v>
      </c>
      <c r="AF188" s="103">
        <f>IF($X188&gt;0,INDEX('CostModel Coef'!K$9:K$12,$X188),"")</f>
        <v>-0.57599999999999996</v>
      </c>
      <c r="AG188" s="103">
        <f>IF($X188&gt;0,INDEX('CostModel Coef'!L$9:L$12,$X188),"")</f>
        <v>0</v>
      </c>
      <c r="AH188" s="103">
        <f>IF($X188&gt;0,INDEX('CostModel Coef'!M$9:M$12,$X188),"")</f>
        <v>4.0461</v>
      </c>
      <c r="AI188" s="103">
        <f>IF($X188&gt;0,INDEX('CostModel Coef'!N$9:N$12,$X188),"")</f>
        <v>0</v>
      </c>
      <c r="AJ188" s="103">
        <f>IF($X188&gt;0,INDEX('CostModel Coef'!Q$9:Q$12,$X188),"")</f>
        <v>0.14729999999999999</v>
      </c>
      <c r="AK188" s="103">
        <f>IF($X188&gt;0,INDEX('CostModel Coef'!T$9:T$12,$X188),"")</f>
        <v>0</v>
      </c>
      <c r="AL188" s="103"/>
      <c r="AM188" s="108">
        <f t="shared" si="53"/>
        <v>8.5718320484073782</v>
      </c>
      <c r="AN188" s="108">
        <f t="shared" si="54"/>
        <v>9.1478320484073787</v>
      </c>
      <c r="AO188" s="108">
        <f t="shared" si="55"/>
        <v>6.3537320484073785</v>
      </c>
      <c r="AP188" s="108">
        <f t="shared" si="56"/>
        <v>6.3537320484073785</v>
      </c>
      <c r="AQ188" s="108">
        <f t="shared" si="57"/>
        <v>6.3537320484073785</v>
      </c>
      <c r="AR188" s="108"/>
      <c r="AS188" s="108"/>
      <c r="AT188" s="103">
        <f>IF($X188&gt;0,INDEX('CostModel Coef'!D$13:D$16,$X188),"")</f>
        <v>3.984</v>
      </c>
      <c r="AU188" s="103">
        <f>IF($X188&gt;0,INDEX('CostModel Coef'!E$13:E$16,$X188),"")</f>
        <v>0.38800000000000001</v>
      </c>
      <c r="AV188" s="103">
        <f>IF($X188&gt;0,INDEX('CostModel Coef'!F$13:F$16,$X188),"")</f>
        <v>0.98799999999999999</v>
      </c>
      <c r="AW188" s="103">
        <f>IF($X188&gt;0,INDEX('CostModel Coef'!G$13:G$16,$X188),"")</f>
        <v>0</v>
      </c>
      <c r="AX188" s="103">
        <f>IF($X188&gt;0,INDEX('CostModel Coef'!H$13:H$16,$X188),"")</f>
        <v>-2.3199999999999998</v>
      </c>
      <c r="AY188" s="103">
        <f>IF($X188&gt;0,INDEX('CostModel Coef'!I$13:I$16,$X188),"")</f>
        <v>-1.85</v>
      </c>
      <c r="AZ188" s="103">
        <f>IF($X188&gt;0,INDEX('CostModel Coef'!J$13:J$16,$X188),"")</f>
        <v>0</v>
      </c>
      <c r="BA188" s="103">
        <f>IF($X188&gt;0,INDEX('CostModel Coef'!K$13:K$16,$X188),"")</f>
        <v>-1.0070000000000001</v>
      </c>
      <c r="BB188" s="103">
        <f>IF($X188&gt;0,INDEX('CostModel Coef'!L$13:L$16,$X188),"")</f>
        <v>0</v>
      </c>
      <c r="BC188" s="103">
        <f>IF($X188&gt;0,INDEX('CostModel Coef'!M$13:M$16,$X188),"")</f>
        <v>0</v>
      </c>
      <c r="BD188" s="103">
        <f>IF($X188&gt;0,INDEX('CostModel Coef'!N$13:N$16,$X188),"")</f>
        <v>0.5907</v>
      </c>
      <c r="BE188" s="103">
        <f>IF($X188&gt;0,INDEX('CostModel Coef'!O$13:O$16,$X188),"")</f>
        <v>0.75</v>
      </c>
      <c r="BF188" s="103">
        <f>IF($X188&gt;0,INDEX('CostModel Coef'!P$13:P$16,$X188),"")</f>
        <v>8</v>
      </c>
      <c r="BG188" s="103">
        <f>IF($X188&gt;0,INDEX('CostModel Coef'!Q$13:Q$16,$X188),"")</f>
        <v>1.04E-2</v>
      </c>
      <c r="BH188" s="103">
        <f>IF($X188&gt;0,INDEX('CostModel Coef'!R$13:R$16,$X188),"")</f>
        <v>12</v>
      </c>
      <c r="BI188" s="103">
        <f>IF($X188&gt;0,INDEX('CostModel Coef'!S$13:S$16,$X188),"")</f>
        <v>150</v>
      </c>
      <c r="BJ188" s="103">
        <f>IF($X188&gt;0,INDEX('CostModel Coef'!T$13:T$16,$X188),"")</f>
        <v>0</v>
      </c>
      <c r="BK188" s="103">
        <f>IF($X188&gt;0,INDEX('CostModel Coef'!U$13:U$16,$X188),"")</f>
        <v>0</v>
      </c>
      <c r="BL188" s="103">
        <f>IF($X188&gt;0,INDEX('CostModel Coef'!V$13:V$16,$X188),"")</f>
        <v>0</v>
      </c>
      <c r="BM188" s="103">
        <f>IF($X188&gt;0,INDEX('CostModel Coef'!W$13:W$16,$X188),"")</f>
        <v>0</v>
      </c>
      <c r="BN188" s="103">
        <f>IF($X188&gt;0,INDEX('CostModel Coef'!X$13:X$16,$X188),"")</f>
        <v>0</v>
      </c>
      <c r="BO188" s="103"/>
      <c r="BP188" s="119">
        <v>2000</v>
      </c>
      <c r="BQ188" s="103"/>
      <c r="BR188" s="103"/>
      <c r="BS188" s="119" t="str">
        <f t="shared" si="60"/>
        <v>WRR0409_CFLscw-Refl-Ext(20w)</v>
      </c>
      <c r="BT188" s="174">
        <f t="shared" si="52"/>
        <v>82</v>
      </c>
      <c r="BU188" s="113">
        <f t="shared" si="62"/>
        <v>6.3872</v>
      </c>
      <c r="BV188" s="108">
        <f t="shared" si="63"/>
        <v>7.3941999999999997</v>
      </c>
      <c r="BW188" s="108">
        <f t="shared" si="64"/>
        <v>5.0741999999999994</v>
      </c>
      <c r="BX188" s="108">
        <f t="shared" si="65"/>
        <v>3.2241999999999993</v>
      </c>
      <c r="BY188" s="108">
        <f t="shared" si="66"/>
        <v>3.2241999999999993</v>
      </c>
      <c r="BZ188" s="108"/>
      <c r="CA188" s="119" t="str">
        <f t="shared" si="67"/>
        <v>WRR0407_CFLscw-Refl-Ext(20w)</v>
      </c>
      <c r="CB188" s="174">
        <f t="shared" si="58"/>
        <v>81</v>
      </c>
      <c r="CC188" s="113">
        <f t="shared" si="68"/>
        <v>6.3767999999999994</v>
      </c>
      <c r="CD188" s="108">
        <f t="shared" si="69"/>
        <v>7.383799999999999</v>
      </c>
      <c r="CE188" s="108">
        <f t="shared" si="70"/>
        <v>5.0637999999999987</v>
      </c>
      <c r="CF188" s="108">
        <f t="shared" si="71"/>
        <v>3.2137999999999987</v>
      </c>
      <c r="CG188" s="108">
        <f t="shared" si="72"/>
        <v>3.2137999999999987</v>
      </c>
      <c r="CH188" s="103"/>
      <c r="CI188" s="119" t="str">
        <f t="shared" si="61"/>
        <v/>
      </c>
      <c r="CJ188" s="174">
        <f t="shared" si="59"/>
        <v>-1</v>
      </c>
      <c r="CK188" s="113" t="str">
        <f t="shared" si="73"/>
        <v/>
      </c>
      <c r="CL188" s="108" t="str">
        <f t="shared" si="74"/>
        <v/>
      </c>
      <c r="CM188" s="108" t="str">
        <f t="shared" si="75"/>
        <v/>
      </c>
      <c r="CN188" s="108" t="str">
        <f t="shared" si="76"/>
        <v/>
      </c>
      <c r="CO188" s="108" t="str">
        <f t="shared" si="77"/>
        <v/>
      </c>
    </row>
    <row r="189" spans="1:93">
      <c r="A189" s="103" t="s">
        <v>528</v>
      </c>
      <c r="B189" s="103" t="s">
        <v>174</v>
      </c>
      <c r="C189" s="103" t="s">
        <v>162</v>
      </c>
      <c r="D189" s="250" t="s">
        <v>153</v>
      </c>
      <c r="E189" s="250"/>
      <c r="F189" s="182">
        <v>9020</v>
      </c>
      <c r="G189" s="250" t="s">
        <v>175</v>
      </c>
      <c r="H189" s="250">
        <v>23</v>
      </c>
      <c r="I189" s="250"/>
      <c r="J189" s="250"/>
      <c r="K189" s="250"/>
      <c r="L189" s="250" t="s">
        <v>61</v>
      </c>
      <c r="M189" s="250">
        <v>23</v>
      </c>
      <c r="N189" s="250" t="s">
        <v>176</v>
      </c>
      <c r="O189" s="250"/>
      <c r="P189" s="250" t="s">
        <v>153</v>
      </c>
      <c r="Q189" s="250"/>
      <c r="R189" s="250"/>
      <c r="S189" s="250"/>
      <c r="T189" s="250" t="s">
        <v>155</v>
      </c>
      <c r="U189" s="103" t="s">
        <v>529</v>
      </c>
      <c r="V189" s="106" t="s">
        <v>157</v>
      </c>
      <c r="W189" s="103" t="s">
        <v>82</v>
      </c>
      <c r="X189" s="103">
        <f>IFERROR(MATCH(W189,'CostModel Coef'!$C$9:$C$12,0),0)</f>
        <v>2</v>
      </c>
      <c r="Y189" s="103"/>
      <c r="Z189" s="103">
        <f>IF($X189&gt;0,INDEX('CostModel Coef'!D$9:D$12,$X189),"")</f>
        <v>5.0279999999999996</v>
      </c>
      <c r="AA189" s="103">
        <f>IF($X189&gt;0,INDEX('CostModel Coef'!E$9:E$12,$X189),"")</f>
        <v>0.22669576292256455</v>
      </c>
      <c r="AB189" s="103">
        <f>IF($X189&gt;0,INDEX('CostModel Coef'!F$9:F$12,$X189),"")</f>
        <v>0.94713628548481477</v>
      </c>
      <c r="AC189" s="103">
        <f>IF($X189&gt;0,INDEX('CostModel Coef'!G$9:G$12,$X189),"")</f>
        <v>0</v>
      </c>
      <c r="AD189" s="103">
        <f>IF($X189&gt;0,INDEX('CostModel Coef'!H$9:H$12,$X189),"")</f>
        <v>-2.7940999999999998</v>
      </c>
      <c r="AE189" s="103">
        <f>IF($X189&gt;0,INDEX('CostModel Coef'!J$9:J$12,$X189),"")</f>
        <v>0</v>
      </c>
      <c r="AF189" s="103">
        <f>IF($X189&gt;0,INDEX('CostModel Coef'!K$9:K$12,$X189),"")</f>
        <v>-0.57599999999999996</v>
      </c>
      <c r="AG189" s="103">
        <f>IF($X189&gt;0,INDEX('CostModel Coef'!L$9:L$12,$X189),"")</f>
        <v>0</v>
      </c>
      <c r="AH189" s="103">
        <f>IF($X189&gt;0,INDEX('CostModel Coef'!M$9:M$12,$X189),"")</f>
        <v>4.0461</v>
      </c>
      <c r="AI189" s="103">
        <f>IF($X189&gt;0,INDEX('CostModel Coef'!N$9:N$12,$X189),"")</f>
        <v>0</v>
      </c>
      <c r="AJ189" s="103">
        <f>IF($X189&gt;0,INDEX('CostModel Coef'!Q$9:Q$12,$X189),"")</f>
        <v>0.14729999999999999</v>
      </c>
      <c r="AK189" s="103">
        <f>IF($X189&gt;0,INDEX('CostModel Coef'!T$9:T$12,$X189),"")</f>
        <v>0</v>
      </c>
      <c r="AL189" s="103"/>
      <c r="AM189" s="108">
        <f t="shared" si="53"/>
        <v>9.0137320484073786</v>
      </c>
      <c r="AN189" s="108">
        <f t="shared" si="54"/>
        <v>9.5897320484073791</v>
      </c>
      <c r="AO189" s="108">
        <f t="shared" si="55"/>
        <v>6.7956320484073789</v>
      </c>
      <c r="AP189" s="108">
        <f t="shared" si="56"/>
        <v>6.7956320484073789</v>
      </c>
      <c r="AQ189" s="108">
        <f t="shared" si="57"/>
        <v>6.7956320484073789</v>
      </c>
      <c r="AR189" s="108"/>
      <c r="AS189" s="108"/>
      <c r="AT189" s="103">
        <f>IF($X189&gt;0,INDEX('CostModel Coef'!D$13:D$16,$X189),"")</f>
        <v>3.984</v>
      </c>
      <c r="AU189" s="103">
        <f>IF($X189&gt;0,INDEX('CostModel Coef'!E$13:E$16,$X189),"")</f>
        <v>0.38800000000000001</v>
      </c>
      <c r="AV189" s="103">
        <f>IF($X189&gt;0,INDEX('CostModel Coef'!F$13:F$16,$X189),"")</f>
        <v>0.98799999999999999</v>
      </c>
      <c r="AW189" s="103">
        <f>IF($X189&gt;0,INDEX('CostModel Coef'!G$13:G$16,$X189),"")</f>
        <v>0</v>
      </c>
      <c r="AX189" s="103">
        <f>IF($X189&gt;0,INDEX('CostModel Coef'!H$13:H$16,$X189),"")</f>
        <v>-2.3199999999999998</v>
      </c>
      <c r="AY189" s="103">
        <f>IF($X189&gt;0,INDEX('CostModel Coef'!I$13:I$16,$X189),"")</f>
        <v>-1.85</v>
      </c>
      <c r="AZ189" s="103">
        <f>IF($X189&gt;0,INDEX('CostModel Coef'!J$13:J$16,$X189),"")</f>
        <v>0</v>
      </c>
      <c r="BA189" s="103">
        <f>IF($X189&gt;0,INDEX('CostModel Coef'!K$13:K$16,$X189),"")</f>
        <v>-1.0070000000000001</v>
      </c>
      <c r="BB189" s="103">
        <f>IF($X189&gt;0,INDEX('CostModel Coef'!L$13:L$16,$X189),"")</f>
        <v>0</v>
      </c>
      <c r="BC189" s="103">
        <f>IF($X189&gt;0,INDEX('CostModel Coef'!M$13:M$16,$X189),"")</f>
        <v>0</v>
      </c>
      <c r="BD189" s="103">
        <f>IF($X189&gt;0,INDEX('CostModel Coef'!N$13:N$16,$X189),"")</f>
        <v>0.5907</v>
      </c>
      <c r="BE189" s="103">
        <f>IF($X189&gt;0,INDEX('CostModel Coef'!O$13:O$16,$X189),"")</f>
        <v>0.75</v>
      </c>
      <c r="BF189" s="103">
        <f>IF($X189&gt;0,INDEX('CostModel Coef'!P$13:P$16,$X189),"")</f>
        <v>8</v>
      </c>
      <c r="BG189" s="103">
        <f>IF($X189&gt;0,INDEX('CostModel Coef'!Q$13:Q$16,$X189),"")</f>
        <v>1.04E-2</v>
      </c>
      <c r="BH189" s="103">
        <f>IF($X189&gt;0,INDEX('CostModel Coef'!R$13:R$16,$X189),"")</f>
        <v>12</v>
      </c>
      <c r="BI189" s="103">
        <f>IF($X189&gt;0,INDEX('CostModel Coef'!S$13:S$16,$X189),"")</f>
        <v>150</v>
      </c>
      <c r="BJ189" s="103">
        <f>IF($X189&gt;0,INDEX('CostModel Coef'!T$13:T$16,$X189),"")</f>
        <v>0</v>
      </c>
      <c r="BK189" s="103">
        <f>IF($X189&gt;0,INDEX('CostModel Coef'!U$13:U$16,$X189),"")</f>
        <v>0</v>
      </c>
      <c r="BL189" s="103">
        <f>IF($X189&gt;0,INDEX('CostModel Coef'!V$13:V$16,$X189),"")</f>
        <v>0</v>
      </c>
      <c r="BM189" s="103">
        <f>IF($X189&gt;0,INDEX('CostModel Coef'!W$13:W$16,$X189),"")</f>
        <v>0</v>
      </c>
      <c r="BN189" s="103">
        <f>IF($X189&gt;0,INDEX('CostModel Coef'!X$13:X$16,$X189),"")</f>
        <v>0</v>
      </c>
      <c r="BO189" s="103"/>
      <c r="BP189" s="119">
        <v>2000</v>
      </c>
      <c r="BQ189" s="103"/>
      <c r="BR189" s="103"/>
      <c r="BS189" s="119" t="str">
        <f t="shared" si="60"/>
        <v>WRR0409_CFLscw-Refl-Ext(23w)</v>
      </c>
      <c r="BT189" s="174">
        <f t="shared" si="52"/>
        <v>94</v>
      </c>
      <c r="BU189" s="113">
        <f t="shared" si="62"/>
        <v>6.5119999999999987</v>
      </c>
      <c r="BV189" s="108">
        <f t="shared" si="63"/>
        <v>7.5189999999999992</v>
      </c>
      <c r="BW189" s="108">
        <f t="shared" si="64"/>
        <v>5.1989999999999998</v>
      </c>
      <c r="BX189" s="108">
        <f t="shared" si="65"/>
        <v>3.3489999999999998</v>
      </c>
      <c r="BY189" s="108">
        <f t="shared" si="66"/>
        <v>3.3489999999999998</v>
      </c>
      <c r="BZ189" s="108"/>
      <c r="CA189" s="119" t="str">
        <f t="shared" si="67"/>
        <v>WRR0407_CFLscw-Refl-Ext(23w)</v>
      </c>
      <c r="CB189" s="174">
        <f t="shared" si="58"/>
        <v>94</v>
      </c>
      <c r="CC189" s="113">
        <f t="shared" si="68"/>
        <v>6.5119999999999987</v>
      </c>
      <c r="CD189" s="108">
        <f t="shared" si="69"/>
        <v>7.5189999999999992</v>
      </c>
      <c r="CE189" s="108">
        <f t="shared" si="70"/>
        <v>5.1989999999999998</v>
      </c>
      <c r="CF189" s="108">
        <f t="shared" si="71"/>
        <v>3.3489999999999998</v>
      </c>
      <c r="CG189" s="108">
        <f t="shared" si="72"/>
        <v>3.3489999999999998</v>
      </c>
      <c r="CH189" s="103"/>
      <c r="CI189" s="119" t="str">
        <f t="shared" si="61"/>
        <v/>
      </c>
      <c r="CJ189" s="174">
        <f t="shared" si="59"/>
        <v>-1</v>
      </c>
      <c r="CK189" s="113" t="str">
        <f t="shared" si="73"/>
        <v/>
      </c>
      <c r="CL189" s="108" t="str">
        <f t="shared" si="74"/>
        <v/>
      </c>
      <c r="CM189" s="108" t="str">
        <f t="shared" si="75"/>
        <v/>
      </c>
      <c r="CN189" s="108" t="str">
        <f t="shared" si="76"/>
        <v/>
      </c>
      <c r="CO189" s="108" t="str">
        <f t="shared" si="77"/>
        <v/>
      </c>
    </row>
    <row r="190" spans="1:93">
      <c r="A190" s="103" t="s">
        <v>530</v>
      </c>
      <c r="B190" s="103" t="s">
        <v>174</v>
      </c>
      <c r="C190" s="103" t="s">
        <v>162</v>
      </c>
      <c r="D190" s="250" t="s">
        <v>153</v>
      </c>
      <c r="E190" s="250">
        <v>82</v>
      </c>
      <c r="F190" s="182">
        <v>9020</v>
      </c>
      <c r="G190" s="250" t="s">
        <v>175</v>
      </c>
      <c r="H190" s="250">
        <v>30</v>
      </c>
      <c r="I190" s="250"/>
      <c r="J190" s="250"/>
      <c r="K190" s="250"/>
      <c r="L190" s="250" t="s">
        <v>61</v>
      </c>
      <c r="M190" s="250">
        <v>30</v>
      </c>
      <c r="N190" s="250" t="s">
        <v>176</v>
      </c>
      <c r="O190" s="250"/>
      <c r="P190" s="250" t="s">
        <v>153</v>
      </c>
      <c r="Q190" s="250"/>
      <c r="R190" s="250"/>
      <c r="S190" s="250"/>
      <c r="T190" s="250" t="s">
        <v>155</v>
      </c>
      <c r="U190" s="103" t="s">
        <v>531</v>
      </c>
      <c r="V190" s="106" t="s">
        <v>157</v>
      </c>
      <c r="W190" s="103" t="s">
        <v>158</v>
      </c>
      <c r="X190" s="103">
        <f>IFERROR(MATCH(W190,'CostModel Coef'!$C$9:$C$12,0),0)</f>
        <v>0</v>
      </c>
      <c r="Y190" s="103"/>
      <c r="Z190" s="103" t="str">
        <f>IF($X190&gt;0,INDEX('CostModel Coef'!D$9:D$12,$X190),"")</f>
        <v/>
      </c>
      <c r="AA190" s="103" t="str">
        <f>IF($X190&gt;0,INDEX('CostModel Coef'!E$9:E$12,$X190),"")</f>
        <v/>
      </c>
      <c r="AB190" s="103" t="str">
        <f>IF($X190&gt;0,INDEX('CostModel Coef'!F$9:F$12,$X190),"")</f>
        <v/>
      </c>
      <c r="AC190" s="103" t="str">
        <f>IF($X190&gt;0,INDEX('CostModel Coef'!G$9:G$12,$X190),"")</f>
        <v/>
      </c>
      <c r="AD190" s="103" t="str">
        <f>IF($X190&gt;0,INDEX('CostModel Coef'!H$9:H$12,$X190),"")</f>
        <v/>
      </c>
      <c r="AE190" s="103" t="str">
        <f>IF($X190&gt;0,INDEX('CostModel Coef'!J$9:J$12,$X190),"")</f>
        <v/>
      </c>
      <c r="AF190" s="103" t="str">
        <f>IF($X190&gt;0,INDEX('CostModel Coef'!K$9:K$12,$X190),"")</f>
        <v/>
      </c>
      <c r="AG190" s="103" t="str">
        <f>IF($X190&gt;0,INDEX('CostModel Coef'!L$9:L$12,$X190),"")</f>
        <v/>
      </c>
      <c r="AH190" s="103" t="str">
        <f>IF($X190&gt;0,INDEX('CostModel Coef'!M$9:M$12,$X190),"")</f>
        <v/>
      </c>
      <c r="AI190" s="103" t="str">
        <f>IF($X190&gt;0,INDEX('CostModel Coef'!N$9:N$12,$X190),"")</f>
        <v/>
      </c>
      <c r="AJ190" s="103" t="str">
        <f>IF($X190&gt;0,INDEX('CostModel Coef'!Q$9:Q$12,$X190),"")</f>
        <v/>
      </c>
      <c r="AK190" s="103" t="str">
        <f>IF($X190&gt;0,INDEX('CostModel Coef'!T$9:T$12,$X190),"")</f>
        <v/>
      </c>
      <c r="AL190" s="103"/>
      <c r="AM190" s="108" t="str">
        <f t="shared" si="53"/>
        <v/>
      </c>
      <c r="AN190" s="108" t="str">
        <f t="shared" si="54"/>
        <v/>
      </c>
      <c r="AO190" s="108" t="str">
        <f t="shared" si="55"/>
        <v/>
      </c>
      <c r="AP190" s="108" t="str">
        <f t="shared" si="56"/>
        <v/>
      </c>
      <c r="AQ190" s="108" t="str">
        <f t="shared" si="57"/>
        <v/>
      </c>
      <c r="AR190" s="108"/>
      <c r="AS190" s="108"/>
      <c r="AT190" s="103" t="str">
        <f>IF($X190&gt;0,INDEX('CostModel Coef'!D$13:D$16,$X190),"")</f>
        <v/>
      </c>
      <c r="AU190" s="103" t="str">
        <f>IF($X190&gt;0,INDEX('CostModel Coef'!E$13:E$16,$X190),"")</f>
        <v/>
      </c>
      <c r="AV190" s="103" t="str">
        <f>IF($X190&gt;0,INDEX('CostModel Coef'!F$13:F$16,$X190),"")</f>
        <v/>
      </c>
      <c r="AW190" s="103" t="str">
        <f>IF($X190&gt;0,INDEX('CostModel Coef'!G$13:G$16,$X190),"")</f>
        <v/>
      </c>
      <c r="AX190" s="103" t="str">
        <f>IF($X190&gt;0,INDEX('CostModel Coef'!H$13:H$16,$X190),"")</f>
        <v/>
      </c>
      <c r="AY190" s="103" t="str">
        <f>IF($X190&gt;0,INDEX('CostModel Coef'!I$13:I$16,$X190),"")</f>
        <v/>
      </c>
      <c r="AZ190" s="103" t="str">
        <f>IF($X190&gt;0,INDEX('CostModel Coef'!J$13:J$16,$X190),"")</f>
        <v/>
      </c>
      <c r="BA190" s="103" t="str">
        <f>IF($X190&gt;0,INDEX('CostModel Coef'!K$13:K$16,$X190),"")</f>
        <v/>
      </c>
      <c r="BB190" s="103" t="str">
        <f>IF($X190&gt;0,INDEX('CostModel Coef'!L$13:L$16,$X190),"")</f>
        <v/>
      </c>
      <c r="BC190" s="103" t="str">
        <f>IF($X190&gt;0,INDEX('CostModel Coef'!M$13:M$16,$X190),"")</f>
        <v/>
      </c>
      <c r="BD190" s="103" t="str">
        <f>IF($X190&gt;0,INDEX('CostModel Coef'!N$13:N$16,$X190),"")</f>
        <v/>
      </c>
      <c r="BE190" s="103" t="str">
        <f>IF($X190&gt;0,INDEX('CostModel Coef'!O$13:O$16,$X190),"")</f>
        <v/>
      </c>
      <c r="BF190" s="103" t="str">
        <f>IF($X190&gt;0,INDEX('CostModel Coef'!P$13:P$16,$X190),"")</f>
        <v/>
      </c>
      <c r="BG190" s="103" t="str">
        <f>IF($X190&gt;0,INDEX('CostModel Coef'!Q$13:Q$16,$X190),"")</f>
        <v/>
      </c>
      <c r="BH190" s="103" t="str">
        <f>IF($X190&gt;0,INDEX('CostModel Coef'!R$13:R$16,$X190),"")</f>
        <v/>
      </c>
      <c r="BI190" s="103" t="str">
        <f>IF($X190&gt;0,INDEX('CostModel Coef'!S$13:S$16,$X190),"")</f>
        <v/>
      </c>
      <c r="BJ190" s="103" t="str">
        <f>IF($X190&gt;0,INDEX('CostModel Coef'!T$13:T$16,$X190),"")</f>
        <v/>
      </c>
      <c r="BK190" s="103" t="str">
        <f>IF($X190&gt;0,INDEX('CostModel Coef'!U$13:U$16,$X190),"")</f>
        <v/>
      </c>
      <c r="BL190" s="103" t="str">
        <f>IF($X190&gt;0,INDEX('CostModel Coef'!V$13:V$16,$X190),"")</f>
        <v/>
      </c>
      <c r="BM190" s="103" t="str">
        <f>IF($X190&gt;0,INDEX('CostModel Coef'!W$13:W$16,$X190),"")</f>
        <v/>
      </c>
      <c r="BN190" s="103" t="str">
        <f>IF($X190&gt;0,INDEX('CostModel Coef'!X$13:X$16,$X190),"")</f>
        <v/>
      </c>
      <c r="BO190" s="103"/>
      <c r="BP190" s="119">
        <v>2000</v>
      </c>
      <c r="BQ190" s="103"/>
      <c r="BR190" s="103"/>
      <c r="BS190" s="119" t="str">
        <f t="shared" si="60"/>
        <v/>
      </c>
      <c r="BT190" s="174">
        <f t="shared" si="52"/>
        <v>-1</v>
      </c>
      <c r="BU190" s="113" t="str">
        <f t="shared" si="62"/>
        <v>OOS</v>
      </c>
      <c r="BV190" s="108" t="str">
        <f t="shared" si="63"/>
        <v>OOS</v>
      </c>
      <c r="BW190" s="108" t="str">
        <f t="shared" si="64"/>
        <v>OOS</v>
      </c>
      <c r="BX190" s="108" t="str">
        <f t="shared" si="65"/>
        <v>OOS</v>
      </c>
      <c r="BY190" s="108" t="str">
        <f t="shared" si="66"/>
        <v>OOS</v>
      </c>
      <c r="BZ190" s="108"/>
      <c r="CA190" s="119" t="str">
        <f t="shared" si="67"/>
        <v/>
      </c>
      <c r="CB190" s="174">
        <f t="shared" si="58"/>
        <v>-1</v>
      </c>
      <c r="CC190" s="113" t="str">
        <f t="shared" si="68"/>
        <v/>
      </c>
      <c r="CD190" s="108" t="str">
        <f t="shared" si="69"/>
        <v/>
      </c>
      <c r="CE190" s="108" t="str">
        <f t="shared" si="70"/>
        <v/>
      </c>
      <c r="CF190" s="108" t="str">
        <f t="shared" si="71"/>
        <v/>
      </c>
      <c r="CG190" s="108" t="str">
        <f t="shared" si="72"/>
        <v/>
      </c>
      <c r="CH190" s="103"/>
      <c r="CI190" s="119" t="str">
        <f t="shared" si="61"/>
        <v/>
      </c>
      <c r="CJ190" s="174">
        <f t="shared" si="59"/>
        <v>-1</v>
      </c>
      <c r="CK190" s="113" t="str">
        <f t="shared" si="73"/>
        <v/>
      </c>
      <c r="CL190" s="108" t="str">
        <f t="shared" si="74"/>
        <v/>
      </c>
      <c r="CM190" s="108" t="str">
        <f t="shared" si="75"/>
        <v/>
      </c>
      <c r="CN190" s="108" t="str">
        <f t="shared" si="76"/>
        <v/>
      </c>
      <c r="CO190" s="108" t="str">
        <f t="shared" si="77"/>
        <v/>
      </c>
    </row>
    <row r="191" spans="1:93">
      <c r="A191" s="103" t="s">
        <v>532</v>
      </c>
      <c r="B191" s="103" t="s">
        <v>174</v>
      </c>
      <c r="C191" s="103" t="s">
        <v>162</v>
      </c>
      <c r="D191" s="250" t="s">
        <v>153</v>
      </c>
      <c r="E191" s="250"/>
      <c r="F191" s="182">
        <v>9020</v>
      </c>
      <c r="G191" s="250" t="s">
        <v>175</v>
      </c>
      <c r="H191" s="250">
        <v>40</v>
      </c>
      <c r="I191" s="250"/>
      <c r="J191" s="250"/>
      <c r="K191" s="250"/>
      <c r="L191" s="250" t="s">
        <v>61</v>
      </c>
      <c r="M191" s="250">
        <v>40</v>
      </c>
      <c r="N191" s="250" t="s">
        <v>176</v>
      </c>
      <c r="O191" s="250"/>
      <c r="P191" s="250" t="s">
        <v>153</v>
      </c>
      <c r="Q191" s="250"/>
      <c r="R191" s="250"/>
      <c r="S191" s="250"/>
      <c r="T191" s="250" t="s">
        <v>155</v>
      </c>
      <c r="U191" s="103" t="s">
        <v>533</v>
      </c>
      <c r="V191" s="106" t="s">
        <v>157</v>
      </c>
      <c r="W191" s="103" t="s">
        <v>158</v>
      </c>
      <c r="X191" s="103">
        <f>IFERROR(MATCH(W191,'CostModel Coef'!$C$9:$C$12,0),0)</f>
        <v>0</v>
      </c>
      <c r="Y191" s="103"/>
      <c r="Z191" s="103" t="str">
        <f>IF($X191&gt;0,INDEX('CostModel Coef'!D$9:D$12,$X191),"")</f>
        <v/>
      </c>
      <c r="AA191" s="103" t="str">
        <f>IF($X191&gt;0,INDEX('CostModel Coef'!E$9:E$12,$X191),"")</f>
        <v/>
      </c>
      <c r="AB191" s="103" t="str">
        <f>IF($X191&gt;0,INDEX('CostModel Coef'!F$9:F$12,$X191),"")</f>
        <v/>
      </c>
      <c r="AC191" s="103" t="str">
        <f>IF($X191&gt;0,INDEX('CostModel Coef'!G$9:G$12,$X191),"")</f>
        <v/>
      </c>
      <c r="AD191" s="103" t="str">
        <f>IF($X191&gt;0,INDEX('CostModel Coef'!H$9:H$12,$X191),"")</f>
        <v/>
      </c>
      <c r="AE191" s="103" t="str">
        <f>IF($X191&gt;0,INDEX('CostModel Coef'!J$9:J$12,$X191),"")</f>
        <v/>
      </c>
      <c r="AF191" s="103" t="str">
        <f>IF($X191&gt;0,INDEX('CostModel Coef'!K$9:K$12,$X191),"")</f>
        <v/>
      </c>
      <c r="AG191" s="103" t="str">
        <f>IF($X191&gt;0,INDEX('CostModel Coef'!L$9:L$12,$X191),"")</f>
        <v/>
      </c>
      <c r="AH191" s="103" t="str">
        <f>IF($X191&gt;0,INDEX('CostModel Coef'!M$9:M$12,$X191),"")</f>
        <v/>
      </c>
      <c r="AI191" s="103" t="str">
        <f>IF($X191&gt;0,INDEX('CostModel Coef'!N$9:N$12,$X191),"")</f>
        <v/>
      </c>
      <c r="AJ191" s="103" t="str">
        <f>IF($X191&gt;0,INDEX('CostModel Coef'!Q$9:Q$12,$X191),"")</f>
        <v/>
      </c>
      <c r="AK191" s="103" t="str">
        <f>IF($X191&gt;0,INDEX('CostModel Coef'!T$9:T$12,$X191),"")</f>
        <v/>
      </c>
      <c r="AL191" s="103"/>
      <c r="AM191" s="108" t="str">
        <f t="shared" si="53"/>
        <v/>
      </c>
      <c r="AN191" s="108" t="str">
        <f t="shared" si="54"/>
        <v/>
      </c>
      <c r="AO191" s="108" t="str">
        <f t="shared" si="55"/>
        <v/>
      </c>
      <c r="AP191" s="108" t="str">
        <f t="shared" si="56"/>
        <v/>
      </c>
      <c r="AQ191" s="108" t="str">
        <f t="shared" si="57"/>
        <v/>
      </c>
      <c r="AR191" s="108"/>
      <c r="AS191" s="108"/>
      <c r="AT191" s="103" t="str">
        <f>IF($X191&gt;0,INDEX('CostModel Coef'!D$13:D$16,$X191),"")</f>
        <v/>
      </c>
      <c r="AU191" s="103" t="str">
        <f>IF($X191&gt;0,INDEX('CostModel Coef'!E$13:E$16,$X191),"")</f>
        <v/>
      </c>
      <c r="AV191" s="103" t="str">
        <f>IF($X191&gt;0,INDEX('CostModel Coef'!F$13:F$16,$X191),"")</f>
        <v/>
      </c>
      <c r="AW191" s="103" t="str">
        <f>IF($X191&gt;0,INDEX('CostModel Coef'!G$13:G$16,$X191),"")</f>
        <v/>
      </c>
      <c r="AX191" s="103" t="str">
        <f>IF($X191&gt;0,INDEX('CostModel Coef'!H$13:H$16,$X191),"")</f>
        <v/>
      </c>
      <c r="AY191" s="103" t="str">
        <f>IF($X191&gt;0,INDEX('CostModel Coef'!I$13:I$16,$X191),"")</f>
        <v/>
      </c>
      <c r="AZ191" s="103" t="str">
        <f>IF($X191&gt;0,INDEX('CostModel Coef'!J$13:J$16,$X191),"")</f>
        <v/>
      </c>
      <c r="BA191" s="103" t="str">
        <f>IF($X191&gt;0,INDEX('CostModel Coef'!K$13:K$16,$X191),"")</f>
        <v/>
      </c>
      <c r="BB191" s="103" t="str">
        <f>IF($X191&gt;0,INDEX('CostModel Coef'!L$13:L$16,$X191),"")</f>
        <v/>
      </c>
      <c r="BC191" s="103" t="str">
        <f>IF($X191&gt;0,INDEX('CostModel Coef'!M$13:M$16,$X191),"")</f>
        <v/>
      </c>
      <c r="BD191" s="103" t="str">
        <f>IF($X191&gt;0,INDEX('CostModel Coef'!N$13:N$16,$X191),"")</f>
        <v/>
      </c>
      <c r="BE191" s="103" t="str">
        <f>IF($X191&gt;0,INDEX('CostModel Coef'!O$13:O$16,$X191),"")</f>
        <v/>
      </c>
      <c r="BF191" s="103" t="str">
        <f>IF($X191&gt;0,INDEX('CostModel Coef'!P$13:P$16,$X191),"")</f>
        <v/>
      </c>
      <c r="BG191" s="103" t="str">
        <f>IF($X191&gt;0,INDEX('CostModel Coef'!Q$13:Q$16,$X191),"")</f>
        <v/>
      </c>
      <c r="BH191" s="103" t="str">
        <f>IF($X191&gt;0,INDEX('CostModel Coef'!R$13:R$16,$X191),"")</f>
        <v/>
      </c>
      <c r="BI191" s="103" t="str">
        <f>IF($X191&gt;0,INDEX('CostModel Coef'!S$13:S$16,$X191),"")</f>
        <v/>
      </c>
      <c r="BJ191" s="103" t="str">
        <f>IF($X191&gt;0,INDEX('CostModel Coef'!T$13:T$16,$X191),"")</f>
        <v/>
      </c>
      <c r="BK191" s="103" t="str">
        <f>IF($X191&gt;0,INDEX('CostModel Coef'!U$13:U$16,$X191),"")</f>
        <v/>
      </c>
      <c r="BL191" s="103" t="str">
        <f>IF($X191&gt;0,INDEX('CostModel Coef'!V$13:V$16,$X191),"")</f>
        <v/>
      </c>
      <c r="BM191" s="103" t="str">
        <f>IF($X191&gt;0,INDEX('CostModel Coef'!W$13:W$16,$X191),"")</f>
        <v/>
      </c>
      <c r="BN191" s="103" t="str">
        <f>IF($X191&gt;0,INDEX('CostModel Coef'!X$13:X$16,$X191),"")</f>
        <v/>
      </c>
      <c r="BO191" s="103"/>
      <c r="BP191" s="119">
        <v>2000</v>
      </c>
      <c r="BQ191" s="103"/>
      <c r="BR191" s="103"/>
      <c r="BS191" s="119" t="str">
        <f t="shared" si="60"/>
        <v/>
      </c>
      <c r="BT191" s="174">
        <f t="shared" si="52"/>
        <v>-1</v>
      </c>
      <c r="BU191" s="113" t="str">
        <f t="shared" si="62"/>
        <v>OOS</v>
      </c>
      <c r="BV191" s="108" t="str">
        <f t="shared" si="63"/>
        <v>OOS</v>
      </c>
      <c r="BW191" s="108" t="str">
        <f t="shared" si="64"/>
        <v>OOS</v>
      </c>
      <c r="BX191" s="108" t="str">
        <f t="shared" si="65"/>
        <v>OOS</v>
      </c>
      <c r="BY191" s="108" t="str">
        <f t="shared" si="66"/>
        <v>OOS</v>
      </c>
      <c r="BZ191" s="108"/>
      <c r="CA191" s="119" t="str">
        <f t="shared" si="67"/>
        <v/>
      </c>
      <c r="CB191" s="174">
        <f t="shared" si="58"/>
        <v>-1</v>
      </c>
      <c r="CC191" s="113" t="str">
        <f t="shared" si="68"/>
        <v/>
      </c>
      <c r="CD191" s="108" t="str">
        <f t="shared" si="69"/>
        <v/>
      </c>
      <c r="CE191" s="108" t="str">
        <f t="shared" si="70"/>
        <v/>
      </c>
      <c r="CF191" s="108" t="str">
        <f t="shared" si="71"/>
        <v/>
      </c>
      <c r="CG191" s="108" t="str">
        <f t="shared" si="72"/>
        <v/>
      </c>
      <c r="CH191" s="103"/>
      <c r="CI191" s="119" t="str">
        <f t="shared" si="61"/>
        <v/>
      </c>
      <c r="CJ191" s="174">
        <f t="shared" si="59"/>
        <v>-1</v>
      </c>
      <c r="CK191" s="113" t="str">
        <f t="shared" si="73"/>
        <v/>
      </c>
      <c r="CL191" s="108" t="str">
        <f t="shared" si="74"/>
        <v/>
      </c>
      <c r="CM191" s="108" t="str">
        <f t="shared" si="75"/>
        <v/>
      </c>
      <c r="CN191" s="108" t="str">
        <f t="shared" si="76"/>
        <v/>
      </c>
      <c r="CO191" s="108" t="str">
        <f t="shared" si="77"/>
        <v/>
      </c>
    </row>
    <row r="192" spans="1:93">
      <c r="A192" s="103" t="s">
        <v>534</v>
      </c>
      <c r="B192" s="103" t="s">
        <v>165</v>
      </c>
      <c r="C192" s="103" t="s">
        <v>162</v>
      </c>
      <c r="D192" s="250" t="s">
        <v>153</v>
      </c>
      <c r="E192" s="250">
        <v>82</v>
      </c>
      <c r="F192" s="182">
        <v>9020</v>
      </c>
      <c r="G192" s="250" t="s">
        <v>175</v>
      </c>
      <c r="H192" s="250">
        <v>100</v>
      </c>
      <c r="I192" s="250"/>
      <c r="J192" s="250"/>
      <c r="K192" s="250" t="s">
        <v>535</v>
      </c>
      <c r="L192" s="250" t="s">
        <v>61</v>
      </c>
      <c r="M192" s="250">
        <v>100</v>
      </c>
      <c r="N192" s="250"/>
      <c r="O192" s="250"/>
      <c r="P192" s="250" t="s">
        <v>153</v>
      </c>
      <c r="Q192" s="250"/>
      <c r="R192" s="250"/>
      <c r="S192" s="250"/>
      <c r="T192" s="250" t="s">
        <v>155</v>
      </c>
      <c r="U192" s="103" t="s">
        <v>536</v>
      </c>
      <c r="V192" s="106" t="s">
        <v>157</v>
      </c>
      <c r="W192" s="103" t="s">
        <v>158</v>
      </c>
      <c r="X192" s="103">
        <f>IFERROR(MATCH(W192,'CostModel Coef'!$C$9:$C$12,0),0)</f>
        <v>0</v>
      </c>
      <c r="Y192" s="103"/>
      <c r="Z192" s="103" t="str">
        <f>IF($X192&gt;0,INDEX('CostModel Coef'!D$9:D$12,$X192),"")</f>
        <v/>
      </c>
      <c r="AA192" s="103" t="str">
        <f>IF($X192&gt;0,INDEX('CostModel Coef'!E$9:E$12,$X192),"")</f>
        <v/>
      </c>
      <c r="AB192" s="103" t="str">
        <f>IF($X192&gt;0,INDEX('CostModel Coef'!F$9:F$12,$X192),"")</f>
        <v/>
      </c>
      <c r="AC192" s="103" t="str">
        <f>IF($X192&gt;0,INDEX('CostModel Coef'!G$9:G$12,$X192),"")</f>
        <v/>
      </c>
      <c r="AD192" s="103" t="str">
        <f>IF($X192&gt;0,INDEX('CostModel Coef'!H$9:H$12,$X192),"")</f>
        <v/>
      </c>
      <c r="AE192" s="103" t="str">
        <f>IF($X192&gt;0,INDEX('CostModel Coef'!J$9:J$12,$X192),"")</f>
        <v/>
      </c>
      <c r="AF192" s="103" t="str">
        <f>IF($X192&gt;0,INDEX('CostModel Coef'!K$9:K$12,$X192),"")</f>
        <v/>
      </c>
      <c r="AG192" s="103" t="str">
        <f>IF($X192&gt;0,INDEX('CostModel Coef'!L$9:L$12,$X192),"")</f>
        <v/>
      </c>
      <c r="AH192" s="103" t="str">
        <f>IF($X192&gt;0,INDEX('CostModel Coef'!M$9:M$12,$X192),"")</f>
        <v/>
      </c>
      <c r="AI192" s="103" t="str">
        <f>IF($X192&gt;0,INDEX('CostModel Coef'!N$9:N$12,$X192),"")</f>
        <v/>
      </c>
      <c r="AJ192" s="103" t="str">
        <f>IF($X192&gt;0,INDEX('CostModel Coef'!Q$9:Q$12,$X192),"")</f>
        <v/>
      </c>
      <c r="AK192" s="103" t="str">
        <f>IF($X192&gt;0,INDEX('CostModel Coef'!T$9:T$12,$X192),"")</f>
        <v/>
      </c>
      <c r="AL192" s="103"/>
      <c r="AM192" s="108" t="str">
        <f t="shared" si="53"/>
        <v/>
      </c>
      <c r="AN192" s="108" t="str">
        <f t="shared" si="54"/>
        <v/>
      </c>
      <c r="AO192" s="108" t="str">
        <f t="shared" si="55"/>
        <v/>
      </c>
      <c r="AP192" s="108" t="str">
        <f t="shared" si="56"/>
        <v/>
      </c>
      <c r="AQ192" s="108" t="str">
        <f t="shared" si="57"/>
        <v/>
      </c>
      <c r="AR192" s="108"/>
      <c r="AS192" s="108"/>
      <c r="AT192" s="103" t="str">
        <f>IF($X192&gt;0,INDEX('CostModel Coef'!D$13:D$16,$X192),"")</f>
        <v/>
      </c>
      <c r="AU192" s="103" t="str">
        <f>IF($X192&gt;0,INDEX('CostModel Coef'!E$13:E$16,$X192),"")</f>
        <v/>
      </c>
      <c r="AV192" s="103" t="str">
        <f>IF($X192&gt;0,INDEX('CostModel Coef'!F$13:F$16,$X192),"")</f>
        <v/>
      </c>
      <c r="AW192" s="103" t="str">
        <f>IF($X192&gt;0,INDEX('CostModel Coef'!G$13:G$16,$X192),"")</f>
        <v/>
      </c>
      <c r="AX192" s="103" t="str">
        <f>IF($X192&gt;0,INDEX('CostModel Coef'!H$13:H$16,$X192),"")</f>
        <v/>
      </c>
      <c r="AY192" s="103" t="str">
        <f>IF($X192&gt;0,INDEX('CostModel Coef'!I$13:I$16,$X192),"")</f>
        <v/>
      </c>
      <c r="AZ192" s="103" t="str">
        <f>IF($X192&gt;0,INDEX('CostModel Coef'!J$13:J$16,$X192),"")</f>
        <v/>
      </c>
      <c r="BA192" s="103" t="str">
        <f>IF($X192&gt;0,INDEX('CostModel Coef'!K$13:K$16,$X192),"")</f>
        <v/>
      </c>
      <c r="BB192" s="103" t="str">
        <f>IF($X192&gt;0,INDEX('CostModel Coef'!L$13:L$16,$X192),"")</f>
        <v/>
      </c>
      <c r="BC192" s="103" t="str">
        <f>IF($X192&gt;0,INDEX('CostModel Coef'!M$13:M$16,$X192),"")</f>
        <v/>
      </c>
      <c r="BD192" s="103" t="str">
        <f>IF($X192&gt;0,INDEX('CostModel Coef'!N$13:N$16,$X192),"")</f>
        <v/>
      </c>
      <c r="BE192" s="103" t="str">
        <f>IF($X192&gt;0,INDEX('CostModel Coef'!O$13:O$16,$X192),"")</f>
        <v/>
      </c>
      <c r="BF192" s="103" t="str">
        <f>IF($X192&gt;0,INDEX('CostModel Coef'!P$13:P$16,$X192),"")</f>
        <v/>
      </c>
      <c r="BG192" s="103" t="str">
        <f>IF($X192&gt;0,INDEX('CostModel Coef'!Q$13:Q$16,$X192),"")</f>
        <v/>
      </c>
      <c r="BH192" s="103" t="str">
        <f>IF($X192&gt;0,INDEX('CostModel Coef'!R$13:R$16,$X192),"")</f>
        <v/>
      </c>
      <c r="BI192" s="103" t="str">
        <f>IF($X192&gt;0,INDEX('CostModel Coef'!S$13:S$16,$X192),"")</f>
        <v/>
      </c>
      <c r="BJ192" s="103" t="str">
        <f>IF($X192&gt;0,INDEX('CostModel Coef'!T$13:T$16,$X192),"")</f>
        <v/>
      </c>
      <c r="BK192" s="103" t="str">
        <f>IF($X192&gt;0,INDEX('CostModel Coef'!U$13:U$16,$X192),"")</f>
        <v/>
      </c>
      <c r="BL192" s="103" t="str">
        <f>IF($X192&gt;0,INDEX('CostModel Coef'!V$13:V$16,$X192),"")</f>
        <v/>
      </c>
      <c r="BM192" s="103" t="str">
        <f>IF($X192&gt;0,INDEX('CostModel Coef'!W$13:W$16,$X192),"")</f>
        <v/>
      </c>
      <c r="BN192" s="103" t="str">
        <f>IF($X192&gt;0,INDEX('CostModel Coef'!X$13:X$16,$X192),"")</f>
        <v/>
      </c>
      <c r="BO192" s="103"/>
      <c r="BP192" s="119">
        <v>2000</v>
      </c>
      <c r="BQ192" s="103"/>
      <c r="BR192" s="103"/>
      <c r="BS192" s="119" t="str">
        <f t="shared" si="60"/>
        <v/>
      </c>
      <c r="BT192" s="174">
        <f t="shared" si="52"/>
        <v>-1</v>
      </c>
      <c r="BU192" s="113" t="str">
        <f t="shared" si="62"/>
        <v>OOS</v>
      </c>
      <c r="BV192" s="108" t="str">
        <f t="shared" si="63"/>
        <v>OOS</v>
      </c>
      <c r="BW192" s="108" t="str">
        <f t="shared" si="64"/>
        <v>OOS</v>
      </c>
      <c r="BX192" s="108" t="str">
        <f t="shared" si="65"/>
        <v>OOS</v>
      </c>
      <c r="BY192" s="108" t="str">
        <f t="shared" si="66"/>
        <v>OOS</v>
      </c>
      <c r="BZ192" s="108"/>
      <c r="CA192" s="119" t="str">
        <f t="shared" si="67"/>
        <v/>
      </c>
      <c r="CB192" s="174">
        <f t="shared" si="58"/>
        <v>-1</v>
      </c>
      <c r="CC192" s="113" t="str">
        <f t="shared" si="68"/>
        <v/>
      </c>
      <c r="CD192" s="108" t="str">
        <f t="shared" si="69"/>
        <v/>
      </c>
      <c r="CE192" s="108" t="str">
        <f t="shared" si="70"/>
        <v/>
      </c>
      <c r="CF192" s="108" t="str">
        <f t="shared" si="71"/>
        <v/>
      </c>
      <c r="CG192" s="108" t="str">
        <f t="shared" si="72"/>
        <v/>
      </c>
      <c r="CH192" s="103"/>
      <c r="CI192" s="119" t="str">
        <f t="shared" si="61"/>
        <v/>
      </c>
      <c r="CJ192" s="174">
        <f t="shared" si="59"/>
        <v>-1</v>
      </c>
      <c r="CK192" s="113" t="str">
        <f t="shared" si="73"/>
        <v/>
      </c>
      <c r="CL192" s="108" t="str">
        <f t="shared" si="74"/>
        <v/>
      </c>
      <c r="CM192" s="108" t="str">
        <f t="shared" si="75"/>
        <v/>
      </c>
      <c r="CN192" s="108" t="str">
        <f t="shared" si="76"/>
        <v/>
      </c>
      <c r="CO192" s="108" t="str">
        <f t="shared" si="77"/>
        <v/>
      </c>
    </row>
    <row r="193" spans="1:93">
      <c r="A193" s="103" t="s">
        <v>537</v>
      </c>
      <c r="B193" s="103" t="s">
        <v>165</v>
      </c>
      <c r="C193" s="103" t="s">
        <v>162</v>
      </c>
      <c r="D193" s="250" t="s">
        <v>153</v>
      </c>
      <c r="E193" s="250">
        <v>82</v>
      </c>
      <c r="F193" s="182">
        <v>9020</v>
      </c>
      <c r="G193" s="250" t="s">
        <v>175</v>
      </c>
      <c r="H193" s="250">
        <v>10</v>
      </c>
      <c r="I193" s="250"/>
      <c r="J193" s="250"/>
      <c r="K193" s="250" t="s">
        <v>538</v>
      </c>
      <c r="L193" s="250" t="s">
        <v>61</v>
      </c>
      <c r="M193" s="250">
        <v>10</v>
      </c>
      <c r="N193" s="250"/>
      <c r="O193" s="250"/>
      <c r="P193" s="250" t="s">
        <v>153</v>
      </c>
      <c r="Q193" s="250"/>
      <c r="R193" s="250"/>
      <c r="S193" s="250"/>
      <c r="T193" s="250" t="s">
        <v>155</v>
      </c>
      <c r="U193" s="103" t="s">
        <v>539</v>
      </c>
      <c r="V193" s="106" t="s">
        <v>157</v>
      </c>
      <c r="W193" s="103" t="s">
        <v>82</v>
      </c>
      <c r="X193" s="103">
        <f>IFERROR(MATCH(W193,'CostModel Coef'!$C$9:$C$12,0),0)</f>
        <v>2</v>
      </c>
      <c r="Y193" s="103"/>
      <c r="Z193" s="103">
        <f>IF($X193&gt;0,INDEX('CostModel Coef'!D$9:D$12,$X193),"")</f>
        <v>5.0279999999999996</v>
      </c>
      <c r="AA193" s="103">
        <f>IF($X193&gt;0,INDEX('CostModel Coef'!E$9:E$12,$X193),"")</f>
        <v>0.22669576292256455</v>
      </c>
      <c r="AB193" s="103">
        <f>IF($X193&gt;0,INDEX('CostModel Coef'!F$9:F$12,$X193),"")</f>
        <v>0.94713628548481477</v>
      </c>
      <c r="AC193" s="103">
        <f>IF($X193&gt;0,INDEX('CostModel Coef'!G$9:G$12,$X193),"")</f>
        <v>0</v>
      </c>
      <c r="AD193" s="103">
        <f>IF($X193&gt;0,INDEX('CostModel Coef'!H$9:H$12,$X193),"")</f>
        <v>-2.7940999999999998</v>
      </c>
      <c r="AE193" s="103">
        <f>IF($X193&gt;0,INDEX('CostModel Coef'!J$9:J$12,$X193),"")</f>
        <v>0</v>
      </c>
      <c r="AF193" s="103">
        <f>IF($X193&gt;0,INDEX('CostModel Coef'!K$9:K$12,$X193),"")</f>
        <v>-0.57599999999999996</v>
      </c>
      <c r="AG193" s="103">
        <f>IF($X193&gt;0,INDEX('CostModel Coef'!L$9:L$12,$X193),"")</f>
        <v>0</v>
      </c>
      <c r="AH193" s="103">
        <f>IF($X193&gt;0,INDEX('CostModel Coef'!M$9:M$12,$X193),"")</f>
        <v>4.0461</v>
      </c>
      <c r="AI193" s="103">
        <f>IF($X193&gt;0,INDEX('CostModel Coef'!N$9:N$12,$X193),"")</f>
        <v>0</v>
      </c>
      <c r="AJ193" s="103">
        <f>IF($X193&gt;0,INDEX('CostModel Coef'!Q$9:Q$12,$X193),"")</f>
        <v>0.14729999999999999</v>
      </c>
      <c r="AK193" s="103">
        <f>IF($X193&gt;0,INDEX('CostModel Coef'!T$9:T$12,$X193),"")</f>
        <v>0</v>
      </c>
      <c r="AL193" s="103"/>
      <c r="AM193" s="108">
        <f t="shared" si="53"/>
        <v>7.0988320484073792</v>
      </c>
      <c r="AN193" s="108">
        <f t="shared" si="54"/>
        <v>7.6748320484073789</v>
      </c>
      <c r="AO193" s="108">
        <f t="shared" si="55"/>
        <v>4.8807320484073795</v>
      </c>
      <c r="AP193" s="108">
        <f t="shared" si="56"/>
        <v>4.8807320484073795</v>
      </c>
      <c r="AQ193" s="108">
        <f t="shared" si="57"/>
        <v>4.8807320484073795</v>
      </c>
      <c r="AR193" s="108"/>
      <c r="AS193" s="108"/>
      <c r="AT193" s="103">
        <f>IF($X193&gt;0,INDEX('CostModel Coef'!D$13:D$16,$X193),"")</f>
        <v>3.984</v>
      </c>
      <c r="AU193" s="103">
        <f>IF($X193&gt;0,INDEX('CostModel Coef'!E$13:E$16,$X193),"")</f>
        <v>0.38800000000000001</v>
      </c>
      <c r="AV193" s="103">
        <f>IF($X193&gt;0,INDEX('CostModel Coef'!F$13:F$16,$X193),"")</f>
        <v>0.98799999999999999</v>
      </c>
      <c r="AW193" s="103">
        <f>IF($X193&gt;0,INDEX('CostModel Coef'!G$13:G$16,$X193),"")</f>
        <v>0</v>
      </c>
      <c r="AX193" s="103">
        <f>IF($X193&gt;0,INDEX('CostModel Coef'!H$13:H$16,$X193),"")</f>
        <v>-2.3199999999999998</v>
      </c>
      <c r="AY193" s="103">
        <f>IF($X193&gt;0,INDEX('CostModel Coef'!I$13:I$16,$X193),"")</f>
        <v>-1.85</v>
      </c>
      <c r="AZ193" s="103">
        <f>IF($X193&gt;0,INDEX('CostModel Coef'!J$13:J$16,$X193),"")</f>
        <v>0</v>
      </c>
      <c r="BA193" s="103">
        <f>IF($X193&gt;0,INDEX('CostModel Coef'!K$13:K$16,$X193),"")</f>
        <v>-1.0070000000000001</v>
      </c>
      <c r="BB193" s="103">
        <f>IF($X193&gt;0,INDEX('CostModel Coef'!L$13:L$16,$X193),"")</f>
        <v>0</v>
      </c>
      <c r="BC193" s="103">
        <f>IF($X193&gt;0,INDEX('CostModel Coef'!M$13:M$16,$X193),"")</f>
        <v>0</v>
      </c>
      <c r="BD193" s="103">
        <f>IF($X193&gt;0,INDEX('CostModel Coef'!N$13:N$16,$X193),"")</f>
        <v>0.5907</v>
      </c>
      <c r="BE193" s="103">
        <f>IF($X193&gt;0,INDEX('CostModel Coef'!O$13:O$16,$X193),"")</f>
        <v>0.75</v>
      </c>
      <c r="BF193" s="103">
        <f>IF($X193&gt;0,INDEX('CostModel Coef'!P$13:P$16,$X193),"")</f>
        <v>8</v>
      </c>
      <c r="BG193" s="103">
        <f>IF($X193&gt;0,INDEX('CostModel Coef'!Q$13:Q$16,$X193),"")</f>
        <v>1.04E-2</v>
      </c>
      <c r="BH193" s="103">
        <f>IF($X193&gt;0,INDEX('CostModel Coef'!R$13:R$16,$X193),"")</f>
        <v>12</v>
      </c>
      <c r="BI193" s="103">
        <f>IF($X193&gt;0,INDEX('CostModel Coef'!S$13:S$16,$X193),"")</f>
        <v>150</v>
      </c>
      <c r="BJ193" s="103">
        <f>IF($X193&gt;0,INDEX('CostModel Coef'!T$13:T$16,$X193),"")</f>
        <v>0</v>
      </c>
      <c r="BK193" s="103">
        <f>IF($X193&gt;0,INDEX('CostModel Coef'!U$13:U$16,$X193),"")</f>
        <v>0</v>
      </c>
      <c r="BL193" s="103">
        <f>IF($X193&gt;0,INDEX('CostModel Coef'!V$13:V$16,$X193),"")</f>
        <v>0</v>
      </c>
      <c r="BM193" s="103">
        <f>IF($X193&gt;0,INDEX('CostModel Coef'!W$13:W$16,$X193),"")</f>
        <v>0</v>
      </c>
      <c r="BN193" s="103">
        <f>IF($X193&gt;0,INDEX('CostModel Coef'!X$13:X$16,$X193),"")</f>
        <v>0</v>
      </c>
      <c r="BO193" s="103"/>
      <c r="BP193" s="119">
        <v>2000</v>
      </c>
      <c r="BQ193" s="103"/>
      <c r="BR193" s="103"/>
      <c r="BS193" s="119" t="str">
        <f t="shared" si="60"/>
        <v>WRR0409_CFLscw-Refl(10w)</v>
      </c>
      <c r="BT193" s="174">
        <f t="shared" si="52"/>
        <v>41</v>
      </c>
      <c r="BU193" s="113">
        <f t="shared" si="62"/>
        <v>5.960799999999999</v>
      </c>
      <c r="BV193" s="108">
        <f t="shared" si="63"/>
        <v>6.9677999999999995</v>
      </c>
      <c r="BW193" s="108">
        <f t="shared" si="64"/>
        <v>4.6478000000000002</v>
      </c>
      <c r="BX193" s="108">
        <f t="shared" si="65"/>
        <v>2.7978000000000001</v>
      </c>
      <c r="BY193" s="108">
        <f t="shared" si="66"/>
        <v>2.7978000000000001</v>
      </c>
      <c r="BZ193" s="108"/>
      <c r="CA193" s="119" t="str">
        <f t="shared" si="67"/>
        <v>WRR0407_CFLscw-Refl(10w)</v>
      </c>
      <c r="CB193" s="174">
        <f t="shared" si="58"/>
        <v>41</v>
      </c>
      <c r="CC193" s="113">
        <f t="shared" si="68"/>
        <v>5.960799999999999</v>
      </c>
      <c r="CD193" s="108">
        <f t="shared" si="69"/>
        <v>6.9677999999999995</v>
      </c>
      <c r="CE193" s="108">
        <f t="shared" si="70"/>
        <v>4.6478000000000002</v>
      </c>
      <c r="CF193" s="108">
        <f t="shared" si="71"/>
        <v>2.7978000000000001</v>
      </c>
      <c r="CG193" s="108">
        <f t="shared" si="72"/>
        <v>2.7978000000000001</v>
      </c>
      <c r="CH193" s="103"/>
      <c r="CI193" s="119" t="str">
        <f t="shared" si="61"/>
        <v/>
      </c>
      <c r="CJ193" s="174">
        <f t="shared" si="59"/>
        <v>-1</v>
      </c>
      <c r="CK193" s="113" t="str">
        <f t="shared" si="73"/>
        <v/>
      </c>
      <c r="CL193" s="108" t="str">
        <f t="shared" si="74"/>
        <v/>
      </c>
      <c r="CM193" s="108" t="str">
        <f t="shared" si="75"/>
        <v/>
      </c>
      <c r="CN193" s="108" t="str">
        <f t="shared" si="76"/>
        <v/>
      </c>
      <c r="CO193" s="108" t="str">
        <f t="shared" si="77"/>
        <v/>
      </c>
    </row>
    <row r="194" spans="1:93">
      <c r="A194" s="103" t="s">
        <v>540</v>
      </c>
      <c r="B194" s="103" t="s">
        <v>165</v>
      </c>
      <c r="C194" s="103" t="s">
        <v>162</v>
      </c>
      <c r="D194" s="250" t="s">
        <v>153</v>
      </c>
      <c r="E194" s="250">
        <v>82</v>
      </c>
      <c r="F194" s="182">
        <v>9020</v>
      </c>
      <c r="G194" s="250" t="s">
        <v>175</v>
      </c>
      <c r="H194" s="250">
        <v>11</v>
      </c>
      <c r="I194" s="250"/>
      <c r="J194" s="250"/>
      <c r="K194" s="250" t="s">
        <v>541</v>
      </c>
      <c r="L194" s="250" t="s">
        <v>61</v>
      </c>
      <c r="M194" s="250">
        <v>11</v>
      </c>
      <c r="N194" s="250"/>
      <c r="O194" s="250"/>
      <c r="P194" s="250" t="s">
        <v>153</v>
      </c>
      <c r="Q194" s="250"/>
      <c r="R194" s="250"/>
      <c r="S194" s="250"/>
      <c r="T194" s="250" t="s">
        <v>155</v>
      </c>
      <c r="U194" s="103" t="s">
        <v>542</v>
      </c>
      <c r="V194" s="106" t="s">
        <v>157</v>
      </c>
      <c r="W194" s="103" t="s">
        <v>82</v>
      </c>
      <c r="X194" s="103">
        <f>IFERROR(MATCH(W194,'CostModel Coef'!$C$9:$C$12,0),0)</f>
        <v>2</v>
      </c>
      <c r="Y194" s="103"/>
      <c r="Z194" s="103">
        <f>IF($X194&gt;0,INDEX('CostModel Coef'!D$9:D$12,$X194),"")</f>
        <v>5.0279999999999996</v>
      </c>
      <c r="AA194" s="103">
        <f>IF($X194&gt;0,INDEX('CostModel Coef'!E$9:E$12,$X194),"")</f>
        <v>0.22669576292256455</v>
      </c>
      <c r="AB194" s="103">
        <f>IF($X194&gt;0,INDEX('CostModel Coef'!F$9:F$12,$X194),"")</f>
        <v>0.94713628548481477</v>
      </c>
      <c r="AC194" s="103">
        <f>IF($X194&gt;0,INDEX('CostModel Coef'!G$9:G$12,$X194),"")</f>
        <v>0</v>
      </c>
      <c r="AD194" s="103">
        <f>IF($X194&gt;0,INDEX('CostModel Coef'!H$9:H$12,$X194),"")</f>
        <v>-2.7940999999999998</v>
      </c>
      <c r="AE194" s="103">
        <f>IF($X194&gt;0,INDEX('CostModel Coef'!J$9:J$12,$X194),"")</f>
        <v>0</v>
      </c>
      <c r="AF194" s="103">
        <f>IF($X194&gt;0,INDEX('CostModel Coef'!K$9:K$12,$X194),"")</f>
        <v>-0.57599999999999996</v>
      </c>
      <c r="AG194" s="103">
        <f>IF($X194&gt;0,INDEX('CostModel Coef'!L$9:L$12,$X194),"")</f>
        <v>0</v>
      </c>
      <c r="AH194" s="103">
        <f>IF($X194&gt;0,INDEX('CostModel Coef'!M$9:M$12,$X194),"")</f>
        <v>4.0461</v>
      </c>
      <c r="AI194" s="103">
        <f>IF($X194&gt;0,INDEX('CostModel Coef'!N$9:N$12,$X194),"")</f>
        <v>0</v>
      </c>
      <c r="AJ194" s="103">
        <f>IF($X194&gt;0,INDEX('CostModel Coef'!Q$9:Q$12,$X194),"")</f>
        <v>0.14729999999999999</v>
      </c>
      <c r="AK194" s="103">
        <f>IF($X194&gt;0,INDEX('CostModel Coef'!T$9:T$12,$X194),"")</f>
        <v>0</v>
      </c>
      <c r="AL194" s="103"/>
      <c r="AM194" s="108">
        <f t="shared" si="53"/>
        <v>7.2461320484073797</v>
      </c>
      <c r="AN194" s="108">
        <f t="shared" si="54"/>
        <v>7.8221320484073793</v>
      </c>
      <c r="AO194" s="108">
        <f t="shared" si="55"/>
        <v>5.0280320484073791</v>
      </c>
      <c r="AP194" s="108">
        <f t="shared" si="56"/>
        <v>5.0280320484073791</v>
      </c>
      <c r="AQ194" s="108">
        <f t="shared" si="57"/>
        <v>5.0280320484073791</v>
      </c>
      <c r="AR194" s="108"/>
      <c r="AS194" s="108"/>
      <c r="AT194" s="103">
        <f>IF($X194&gt;0,INDEX('CostModel Coef'!D$13:D$16,$X194),"")</f>
        <v>3.984</v>
      </c>
      <c r="AU194" s="103">
        <f>IF($X194&gt;0,INDEX('CostModel Coef'!E$13:E$16,$X194),"")</f>
        <v>0.38800000000000001</v>
      </c>
      <c r="AV194" s="103">
        <f>IF($X194&gt;0,INDEX('CostModel Coef'!F$13:F$16,$X194),"")</f>
        <v>0.98799999999999999</v>
      </c>
      <c r="AW194" s="103">
        <f>IF($X194&gt;0,INDEX('CostModel Coef'!G$13:G$16,$X194),"")</f>
        <v>0</v>
      </c>
      <c r="AX194" s="103">
        <f>IF($X194&gt;0,INDEX('CostModel Coef'!H$13:H$16,$X194),"")</f>
        <v>-2.3199999999999998</v>
      </c>
      <c r="AY194" s="103">
        <f>IF($X194&gt;0,INDEX('CostModel Coef'!I$13:I$16,$X194),"")</f>
        <v>-1.85</v>
      </c>
      <c r="AZ194" s="103">
        <f>IF($X194&gt;0,INDEX('CostModel Coef'!J$13:J$16,$X194),"")</f>
        <v>0</v>
      </c>
      <c r="BA194" s="103">
        <f>IF($X194&gt;0,INDEX('CostModel Coef'!K$13:K$16,$X194),"")</f>
        <v>-1.0070000000000001</v>
      </c>
      <c r="BB194" s="103">
        <f>IF($X194&gt;0,INDEX('CostModel Coef'!L$13:L$16,$X194),"")</f>
        <v>0</v>
      </c>
      <c r="BC194" s="103">
        <f>IF($X194&gt;0,INDEX('CostModel Coef'!M$13:M$16,$X194),"")</f>
        <v>0</v>
      </c>
      <c r="BD194" s="103">
        <f>IF($X194&gt;0,INDEX('CostModel Coef'!N$13:N$16,$X194),"")</f>
        <v>0.5907</v>
      </c>
      <c r="BE194" s="103">
        <f>IF($X194&gt;0,INDEX('CostModel Coef'!O$13:O$16,$X194),"")</f>
        <v>0.75</v>
      </c>
      <c r="BF194" s="103">
        <f>IF($X194&gt;0,INDEX('CostModel Coef'!P$13:P$16,$X194),"")</f>
        <v>8</v>
      </c>
      <c r="BG194" s="103">
        <f>IF($X194&gt;0,INDEX('CostModel Coef'!Q$13:Q$16,$X194),"")</f>
        <v>1.04E-2</v>
      </c>
      <c r="BH194" s="103">
        <f>IF($X194&gt;0,INDEX('CostModel Coef'!R$13:R$16,$X194),"")</f>
        <v>12</v>
      </c>
      <c r="BI194" s="103">
        <f>IF($X194&gt;0,INDEX('CostModel Coef'!S$13:S$16,$X194),"")</f>
        <v>150</v>
      </c>
      <c r="BJ194" s="103">
        <f>IF($X194&gt;0,INDEX('CostModel Coef'!T$13:T$16,$X194),"")</f>
        <v>0</v>
      </c>
      <c r="BK194" s="103">
        <f>IF($X194&gt;0,INDEX('CostModel Coef'!U$13:U$16,$X194),"")</f>
        <v>0</v>
      </c>
      <c r="BL194" s="103">
        <f>IF($X194&gt;0,INDEX('CostModel Coef'!V$13:V$16,$X194),"")</f>
        <v>0</v>
      </c>
      <c r="BM194" s="103">
        <f>IF($X194&gt;0,INDEX('CostModel Coef'!W$13:W$16,$X194),"")</f>
        <v>0</v>
      </c>
      <c r="BN194" s="103">
        <f>IF($X194&gt;0,INDEX('CostModel Coef'!X$13:X$16,$X194),"")</f>
        <v>0</v>
      </c>
      <c r="BO194" s="103"/>
      <c r="BP194" s="119">
        <v>2000</v>
      </c>
      <c r="BQ194" s="103"/>
      <c r="BR194" s="103"/>
      <c r="BS194" s="119" t="str">
        <f t="shared" si="60"/>
        <v>WRR0409_CFLscw-Refl(11w)</v>
      </c>
      <c r="BT194" s="174">
        <f t="shared" si="52"/>
        <v>45</v>
      </c>
      <c r="BU194" s="113">
        <f t="shared" si="62"/>
        <v>6.0023999999999997</v>
      </c>
      <c r="BV194" s="108">
        <f t="shared" si="63"/>
        <v>7.0093999999999994</v>
      </c>
      <c r="BW194" s="108">
        <f t="shared" si="64"/>
        <v>4.6893999999999991</v>
      </c>
      <c r="BX194" s="108">
        <f t="shared" si="65"/>
        <v>2.839399999999999</v>
      </c>
      <c r="BY194" s="108">
        <f t="shared" si="66"/>
        <v>2.839399999999999</v>
      </c>
      <c r="BZ194" s="108"/>
      <c r="CA194" s="119" t="str">
        <f t="shared" si="67"/>
        <v>WRR0407_CFLscw-Refl(11w)</v>
      </c>
      <c r="CB194" s="174">
        <f t="shared" si="58"/>
        <v>45</v>
      </c>
      <c r="CC194" s="113">
        <f t="shared" si="68"/>
        <v>6.0023999999999997</v>
      </c>
      <c r="CD194" s="108">
        <f t="shared" si="69"/>
        <v>7.0093999999999994</v>
      </c>
      <c r="CE194" s="108">
        <f t="shared" si="70"/>
        <v>4.6893999999999991</v>
      </c>
      <c r="CF194" s="108">
        <f t="shared" si="71"/>
        <v>2.839399999999999</v>
      </c>
      <c r="CG194" s="108">
        <f t="shared" si="72"/>
        <v>2.839399999999999</v>
      </c>
      <c r="CH194" s="103"/>
      <c r="CI194" s="119" t="str">
        <f t="shared" si="61"/>
        <v/>
      </c>
      <c r="CJ194" s="174">
        <f t="shared" si="59"/>
        <v>-1</v>
      </c>
      <c r="CK194" s="113" t="str">
        <f t="shared" si="73"/>
        <v/>
      </c>
      <c r="CL194" s="108" t="str">
        <f t="shared" si="74"/>
        <v/>
      </c>
      <c r="CM194" s="108" t="str">
        <f t="shared" si="75"/>
        <v/>
      </c>
      <c r="CN194" s="108" t="str">
        <f t="shared" si="76"/>
        <v/>
      </c>
      <c r="CO194" s="108" t="str">
        <f t="shared" si="77"/>
        <v/>
      </c>
    </row>
    <row r="195" spans="1:93">
      <c r="A195" s="103" t="s">
        <v>543</v>
      </c>
      <c r="B195" s="103" t="s">
        <v>165</v>
      </c>
      <c r="C195" s="103" t="s">
        <v>162</v>
      </c>
      <c r="D195" s="250" t="s">
        <v>153</v>
      </c>
      <c r="E195" s="250">
        <v>82</v>
      </c>
      <c r="F195" s="182">
        <v>9020</v>
      </c>
      <c r="G195" s="250" t="s">
        <v>175</v>
      </c>
      <c r="H195" s="250">
        <v>12</v>
      </c>
      <c r="I195" s="250"/>
      <c r="J195" s="250"/>
      <c r="K195" s="250" t="s">
        <v>544</v>
      </c>
      <c r="L195" s="250" t="s">
        <v>61</v>
      </c>
      <c r="M195" s="250">
        <v>12</v>
      </c>
      <c r="N195" s="250"/>
      <c r="O195" s="250"/>
      <c r="P195" s="250" t="s">
        <v>153</v>
      </c>
      <c r="Q195" s="250"/>
      <c r="R195" s="250"/>
      <c r="S195" s="250"/>
      <c r="T195" s="250" t="s">
        <v>155</v>
      </c>
      <c r="U195" s="103" t="s">
        <v>545</v>
      </c>
      <c r="V195" s="106" t="s">
        <v>157</v>
      </c>
      <c r="W195" s="103" t="s">
        <v>82</v>
      </c>
      <c r="X195" s="103">
        <f>IFERROR(MATCH(W195,'CostModel Coef'!$C$9:$C$12,0),0)</f>
        <v>2</v>
      </c>
      <c r="Y195" s="103"/>
      <c r="Z195" s="103">
        <f>IF($X195&gt;0,INDEX('CostModel Coef'!D$9:D$12,$X195),"")</f>
        <v>5.0279999999999996</v>
      </c>
      <c r="AA195" s="103">
        <f>IF($X195&gt;0,INDEX('CostModel Coef'!E$9:E$12,$X195),"")</f>
        <v>0.22669576292256455</v>
      </c>
      <c r="AB195" s="103">
        <f>IF($X195&gt;0,INDEX('CostModel Coef'!F$9:F$12,$X195),"")</f>
        <v>0.94713628548481477</v>
      </c>
      <c r="AC195" s="103">
        <f>IF($X195&gt;0,INDEX('CostModel Coef'!G$9:G$12,$X195),"")</f>
        <v>0</v>
      </c>
      <c r="AD195" s="103">
        <f>IF($X195&gt;0,INDEX('CostModel Coef'!H$9:H$12,$X195),"")</f>
        <v>-2.7940999999999998</v>
      </c>
      <c r="AE195" s="103">
        <f>IF($X195&gt;0,INDEX('CostModel Coef'!J$9:J$12,$X195),"")</f>
        <v>0</v>
      </c>
      <c r="AF195" s="103">
        <f>IF($X195&gt;0,INDEX('CostModel Coef'!K$9:K$12,$X195),"")</f>
        <v>-0.57599999999999996</v>
      </c>
      <c r="AG195" s="103">
        <f>IF($X195&gt;0,INDEX('CostModel Coef'!L$9:L$12,$X195),"")</f>
        <v>0</v>
      </c>
      <c r="AH195" s="103">
        <f>IF($X195&gt;0,INDEX('CostModel Coef'!M$9:M$12,$X195),"")</f>
        <v>4.0461</v>
      </c>
      <c r="AI195" s="103">
        <f>IF($X195&gt;0,INDEX('CostModel Coef'!N$9:N$12,$X195),"")</f>
        <v>0</v>
      </c>
      <c r="AJ195" s="103">
        <f>IF($X195&gt;0,INDEX('CostModel Coef'!Q$9:Q$12,$X195),"")</f>
        <v>0.14729999999999999</v>
      </c>
      <c r="AK195" s="103">
        <f>IF($X195&gt;0,INDEX('CostModel Coef'!T$9:T$12,$X195),"")</f>
        <v>0</v>
      </c>
      <c r="AL195" s="103"/>
      <c r="AM195" s="108">
        <f t="shared" si="53"/>
        <v>7.3934320484073792</v>
      </c>
      <c r="AN195" s="108">
        <f t="shared" si="54"/>
        <v>7.9694320484073788</v>
      </c>
      <c r="AO195" s="108">
        <f t="shared" si="55"/>
        <v>5.1753320484073786</v>
      </c>
      <c r="AP195" s="108">
        <f t="shared" si="56"/>
        <v>5.1753320484073786</v>
      </c>
      <c r="AQ195" s="108">
        <f t="shared" si="57"/>
        <v>5.1753320484073786</v>
      </c>
      <c r="AR195" s="108"/>
      <c r="AS195" s="108"/>
      <c r="AT195" s="103">
        <f>IF($X195&gt;0,INDEX('CostModel Coef'!D$13:D$16,$X195),"")</f>
        <v>3.984</v>
      </c>
      <c r="AU195" s="103">
        <f>IF($X195&gt;0,INDEX('CostModel Coef'!E$13:E$16,$X195),"")</f>
        <v>0.38800000000000001</v>
      </c>
      <c r="AV195" s="103">
        <f>IF($X195&gt;0,INDEX('CostModel Coef'!F$13:F$16,$X195),"")</f>
        <v>0.98799999999999999</v>
      </c>
      <c r="AW195" s="103">
        <f>IF($X195&gt;0,INDEX('CostModel Coef'!G$13:G$16,$X195),"")</f>
        <v>0</v>
      </c>
      <c r="AX195" s="103">
        <f>IF($X195&gt;0,INDEX('CostModel Coef'!H$13:H$16,$X195),"")</f>
        <v>-2.3199999999999998</v>
      </c>
      <c r="AY195" s="103">
        <f>IF($X195&gt;0,INDEX('CostModel Coef'!I$13:I$16,$X195),"")</f>
        <v>-1.85</v>
      </c>
      <c r="AZ195" s="103">
        <f>IF($X195&gt;0,INDEX('CostModel Coef'!J$13:J$16,$X195),"")</f>
        <v>0</v>
      </c>
      <c r="BA195" s="103">
        <f>IF($X195&gt;0,INDEX('CostModel Coef'!K$13:K$16,$X195),"")</f>
        <v>-1.0070000000000001</v>
      </c>
      <c r="BB195" s="103">
        <f>IF($X195&gt;0,INDEX('CostModel Coef'!L$13:L$16,$X195),"")</f>
        <v>0</v>
      </c>
      <c r="BC195" s="103">
        <f>IF($X195&gt;0,INDEX('CostModel Coef'!M$13:M$16,$X195),"")</f>
        <v>0</v>
      </c>
      <c r="BD195" s="103">
        <f>IF($X195&gt;0,INDEX('CostModel Coef'!N$13:N$16,$X195),"")</f>
        <v>0.5907</v>
      </c>
      <c r="BE195" s="103">
        <f>IF($X195&gt;0,INDEX('CostModel Coef'!O$13:O$16,$X195),"")</f>
        <v>0.75</v>
      </c>
      <c r="BF195" s="103">
        <f>IF($X195&gt;0,INDEX('CostModel Coef'!P$13:P$16,$X195),"")</f>
        <v>8</v>
      </c>
      <c r="BG195" s="103">
        <f>IF($X195&gt;0,INDEX('CostModel Coef'!Q$13:Q$16,$X195),"")</f>
        <v>1.04E-2</v>
      </c>
      <c r="BH195" s="103">
        <f>IF($X195&gt;0,INDEX('CostModel Coef'!R$13:R$16,$X195),"")</f>
        <v>12</v>
      </c>
      <c r="BI195" s="103">
        <f>IF($X195&gt;0,INDEX('CostModel Coef'!S$13:S$16,$X195),"")</f>
        <v>150</v>
      </c>
      <c r="BJ195" s="103">
        <f>IF($X195&gt;0,INDEX('CostModel Coef'!T$13:T$16,$X195),"")</f>
        <v>0</v>
      </c>
      <c r="BK195" s="103">
        <f>IF($X195&gt;0,INDEX('CostModel Coef'!U$13:U$16,$X195),"")</f>
        <v>0</v>
      </c>
      <c r="BL195" s="103">
        <f>IF($X195&gt;0,INDEX('CostModel Coef'!V$13:V$16,$X195),"")</f>
        <v>0</v>
      </c>
      <c r="BM195" s="103">
        <f>IF($X195&gt;0,INDEX('CostModel Coef'!W$13:W$16,$X195),"")</f>
        <v>0</v>
      </c>
      <c r="BN195" s="103">
        <f>IF($X195&gt;0,INDEX('CostModel Coef'!X$13:X$16,$X195),"")</f>
        <v>0</v>
      </c>
      <c r="BO195" s="103"/>
      <c r="BP195" s="119">
        <v>2000</v>
      </c>
      <c r="BQ195" s="103"/>
      <c r="BR195" s="103"/>
      <c r="BS195" s="119" t="str">
        <f t="shared" si="60"/>
        <v>WRR0409_CFLscw-Refl(12w)</v>
      </c>
      <c r="BT195" s="174">
        <f t="shared" si="52"/>
        <v>49</v>
      </c>
      <c r="BU195" s="113">
        <f t="shared" si="62"/>
        <v>6.0439999999999987</v>
      </c>
      <c r="BV195" s="108">
        <f t="shared" si="63"/>
        <v>7.0509999999999993</v>
      </c>
      <c r="BW195" s="108">
        <f t="shared" si="64"/>
        <v>4.7309999999999999</v>
      </c>
      <c r="BX195" s="108">
        <f t="shared" si="65"/>
        <v>2.8809999999999998</v>
      </c>
      <c r="BY195" s="108">
        <f t="shared" si="66"/>
        <v>2.8809999999999998</v>
      </c>
      <c r="BZ195" s="108"/>
      <c r="CA195" s="119" t="str">
        <f t="shared" si="67"/>
        <v>WRR0407_CFLscw-Refl(12w)</v>
      </c>
      <c r="CB195" s="174">
        <f t="shared" si="58"/>
        <v>49</v>
      </c>
      <c r="CC195" s="113">
        <f t="shared" si="68"/>
        <v>6.0439999999999987</v>
      </c>
      <c r="CD195" s="108">
        <f t="shared" si="69"/>
        <v>7.0509999999999993</v>
      </c>
      <c r="CE195" s="108">
        <f t="shared" si="70"/>
        <v>4.7309999999999999</v>
      </c>
      <c r="CF195" s="108">
        <f t="shared" si="71"/>
        <v>2.8809999999999998</v>
      </c>
      <c r="CG195" s="108">
        <f t="shared" si="72"/>
        <v>2.8809999999999998</v>
      </c>
      <c r="CH195" s="103"/>
      <c r="CI195" s="119" t="str">
        <f t="shared" si="61"/>
        <v/>
      </c>
      <c r="CJ195" s="174">
        <f t="shared" si="59"/>
        <v>-1</v>
      </c>
      <c r="CK195" s="113" t="str">
        <f t="shared" si="73"/>
        <v/>
      </c>
      <c r="CL195" s="108" t="str">
        <f t="shared" si="74"/>
        <v/>
      </c>
      <c r="CM195" s="108" t="str">
        <f t="shared" si="75"/>
        <v/>
      </c>
      <c r="CN195" s="108" t="str">
        <f t="shared" si="76"/>
        <v/>
      </c>
      <c r="CO195" s="108" t="str">
        <f t="shared" si="77"/>
        <v/>
      </c>
    </row>
    <row r="196" spans="1:93">
      <c r="A196" s="103" t="s">
        <v>546</v>
      </c>
      <c r="B196" s="103" t="s">
        <v>165</v>
      </c>
      <c r="C196" s="103" t="s">
        <v>162</v>
      </c>
      <c r="D196" s="250" t="s">
        <v>153</v>
      </c>
      <c r="E196" s="250">
        <v>82</v>
      </c>
      <c r="F196" s="182">
        <v>9020</v>
      </c>
      <c r="G196" s="250" t="s">
        <v>175</v>
      </c>
      <c r="H196" s="250">
        <v>13</v>
      </c>
      <c r="I196" s="250"/>
      <c r="J196" s="250"/>
      <c r="K196" s="250" t="s">
        <v>547</v>
      </c>
      <c r="L196" s="250" t="s">
        <v>61</v>
      </c>
      <c r="M196" s="250">
        <v>13</v>
      </c>
      <c r="N196" s="250"/>
      <c r="O196" s="250"/>
      <c r="P196" s="250" t="s">
        <v>153</v>
      </c>
      <c r="Q196" s="250"/>
      <c r="R196" s="250"/>
      <c r="S196" s="250"/>
      <c r="T196" s="250" t="s">
        <v>155</v>
      </c>
      <c r="U196" s="103" t="s">
        <v>548</v>
      </c>
      <c r="V196" s="106" t="s">
        <v>157</v>
      </c>
      <c r="W196" s="103" t="s">
        <v>82</v>
      </c>
      <c r="X196" s="103">
        <f>IFERROR(MATCH(W196,'CostModel Coef'!$C$9:$C$12,0),0)</f>
        <v>2</v>
      </c>
      <c r="Y196" s="103"/>
      <c r="Z196" s="103">
        <f>IF($X196&gt;0,INDEX('CostModel Coef'!D$9:D$12,$X196),"")</f>
        <v>5.0279999999999996</v>
      </c>
      <c r="AA196" s="103">
        <f>IF($X196&gt;0,INDEX('CostModel Coef'!E$9:E$12,$X196),"")</f>
        <v>0.22669576292256455</v>
      </c>
      <c r="AB196" s="103">
        <f>IF($X196&gt;0,INDEX('CostModel Coef'!F$9:F$12,$X196),"")</f>
        <v>0.94713628548481477</v>
      </c>
      <c r="AC196" s="103">
        <f>IF($X196&gt;0,INDEX('CostModel Coef'!G$9:G$12,$X196),"")</f>
        <v>0</v>
      </c>
      <c r="AD196" s="103">
        <f>IF($X196&gt;0,INDEX('CostModel Coef'!H$9:H$12,$X196),"")</f>
        <v>-2.7940999999999998</v>
      </c>
      <c r="AE196" s="103">
        <f>IF($X196&gt;0,INDEX('CostModel Coef'!J$9:J$12,$X196),"")</f>
        <v>0</v>
      </c>
      <c r="AF196" s="103">
        <f>IF($X196&gt;0,INDEX('CostModel Coef'!K$9:K$12,$X196),"")</f>
        <v>-0.57599999999999996</v>
      </c>
      <c r="AG196" s="103">
        <f>IF($X196&gt;0,INDEX('CostModel Coef'!L$9:L$12,$X196),"")</f>
        <v>0</v>
      </c>
      <c r="AH196" s="103">
        <f>IF($X196&gt;0,INDEX('CostModel Coef'!M$9:M$12,$X196),"")</f>
        <v>4.0461</v>
      </c>
      <c r="AI196" s="103">
        <f>IF($X196&gt;0,INDEX('CostModel Coef'!N$9:N$12,$X196),"")</f>
        <v>0</v>
      </c>
      <c r="AJ196" s="103">
        <f>IF($X196&gt;0,INDEX('CostModel Coef'!Q$9:Q$12,$X196),"")</f>
        <v>0.14729999999999999</v>
      </c>
      <c r="AK196" s="103">
        <f>IF($X196&gt;0,INDEX('CostModel Coef'!T$9:T$12,$X196),"")</f>
        <v>0</v>
      </c>
      <c r="AL196" s="103"/>
      <c r="AM196" s="108">
        <f t="shared" si="53"/>
        <v>7.5407320484073788</v>
      </c>
      <c r="AN196" s="108">
        <f t="shared" si="54"/>
        <v>8.1167320484073784</v>
      </c>
      <c r="AO196" s="108">
        <f t="shared" si="55"/>
        <v>5.3226320484073781</v>
      </c>
      <c r="AP196" s="108">
        <f t="shared" si="56"/>
        <v>5.3226320484073781</v>
      </c>
      <c r="AQ196" s="108">
        <f t="shared" si="57"/>
        <v>5.3226320484073781</v>
      </c>
      <c r="AR196" s="108"/>
      <c r="AS196" s="108"/>
      <c r="AT196" s="103">
        <f>IF($X196&gt;0,INDEX('CostModel Coef'!D$13:D$16,$X196),"")</f>
        <v>3.984</v>
      </c>
      <c r="AU196" s="103">
        <f>IF($X196&gt;0,INDEX('CostModel Coef'!E$13:E$16,$X196),"")</f>
        <v>0.38800000000000001</v>
      </c>
      <c r="AV196" s="103">
        <f>IF($X196&gt;0,INDEX('CostModel Coef'!F$13:F$16,$X196),"")</f>
        <v>0.98799999999999999</v>
      </c>
      <c r="AW196" s="103">
        <f>IF($X196&gt;0,INDEX('CostModel Coef'!G$13:G$16,$X196),"")</f>
        <v>0</v>
      </c>
      <c r="AX196" s="103">
        <f>IF($X196&gt;0,INDEX('CostModel Coef'!H$13:H$16,$X196),"")</f>
        <v>-2.3199999999999998</v>
      </c>
      <c r="AY196" s="103">
        <f>IF($X196&gt;0,INDEX('CostModel Coef'!I$13:I$16,$X196),"")</f>
        <v>-1.85</v>
      </c>
      <c r="AZ196" s="103">
        <f>IF($X196&gt;0,INDEX('CostModel Coef'!J$13:J$16,$X196),"")</f>
        <v>0</v>
      </c>
      <c r="BA196" s="103">
        <f>IF($X196&gt;0,INDEX('CostModel Coef'!K$13:K$16,$X196),"")</f>
        <v>-1.0070000000000001</v>
      </c>
      <c r="BB196" s="103">
        <f>IF($X196&gt;0,INDEX('CostModel Coef'!L$13:L$16,$X196),"")</f>
        <v>0</v>
      </c>
      <c r="BC196" s="103">
        <f>IF($X196&gt;0,INDEX('CostModel Coef'!M$13:M$16,$X196),"")</f>
        <v>0</v>
      </c>
      <c r="BD196" s="103">
        <f>IF($X196&gt;0,INDEX('CostModel Coef'!N$13:N$16,$X196),"")</f>
        <v>0.5907</v>
      </c>
      <c r="BE196" s="103">
        <f>IF($X196&gt;0,INDEX('CostModel Coef'!O$13:O$16,$X196),"")</f>
        <v>0.75</v>
      </c>
      <c r="BF196" s="103">
        <f>IF($X196&gt;0,INDEX('CostModel Coef'!P$13:P$16,$X196),"")</f>
        <v>8</v>
      </c>
      <c r="BG196" s="103">
        <f>IF($X196&gt;0,INDEX('CostModel Coef'!Q$13:Q$16,$X196),"")</f>
        <v>1.04E-2</v>
      </c>
      <c r="BH196" s="103">
        <f>IF($X196&gt;0,INDEX('CostModel Coef'!R$13:R$16,$X196),"")</f>
        <v>12</v>
      </c>
      <c r="BI196" s="103">
        <f>IF($X196&gt;0,INDEX('CostModel Coef'!S$13:S$16,$X196),"")</f>
        <v>150</v>
      </c>
      <c r="BJ196" s="103">
        <f>IF($X196&gt;0,INDEX('CostModel Coef'!T$13:T$16,$X196),"")</f>
        <v>0</v>
      </c>
      <c r="BK196" s="103">
        <f>IF($X196&gt;0,INDEX('CostModel Coef'!U$13:U$16,$X196),"")</f>
        <v>0</v>
      </c>
      <c r="BL196" s="103">
        <f>IF($X196&gt;0,INDEX('CostModel Coef'!V$13:V$16,$X196),"")</f>
        <v>0</v>
      </c>
      <c r="BM196" s="103">
        <f>IF($X196&gt;0,INDEX('CostModel Coef'!W$13:W$16,$X196),"")</f>
        <v>0</v>
      </c>
      <c r="BN196" s="103">
        <f>IF($X196&gt;0,INDEX('CostModel Coef'!X$13:X$16,$X196),"")</f>
        <v>0</v>
      </c>
      <c r="BO196" s="103"/>
      <c r="BP196" s="119">
        <v>2000</v>
      </c>
      <c r="BQ196" s="103"/>
      <c r="BR196" s="103"/>
      <c r="BS196" s="119" t="str">
        <f t="shared" si="60"/>
        <v>WRR0409_CFLscw-Refl(13w)</v>
      </c>
      <c r="BT196" s="174">
        <f t="shared" si="52"/>
        <v>53</v>
      </c>
      <c r="BU196" s="113">
        <f t="shared" si="62"/>
        <v>6.0855999999999995</v>
      </c>
      <c r="BV196" s="108">
        <f t="shared" si="63"/>
        <v>7.0925999999999991</v>
      </c>
      <c r="BW196" s="108">
        <f t="shared" si="64"/>
        <v>4.7725999999999988</v>
      </c>
      <c r="BX196" s="108">
        <f t="shared" si="65"/>
        <v>2.9225999999999988</v>
      </c>
      <c r="BY196" s="108">
        <f t="shared" si="66"/>
        <v>2.9225999999999988</v>
      </c>
      <c r="BZ196" s="108"/>
      <c r="CA196" s="119" t="str">
        <f t="shared" si="67"/>
        <v>WRR0407_CFLscw-Refl(13w)</v>
      </c>
      <c r="CB196" s="174">
        <f t="shared" si="58"/>
        <v>53</v>
      </c>
      <c r="CC196" s="113">
        <f t="shared" si="68"/>
        <v>6.0855999999999995</v>
      </c>
      <c r="CD196" s="108">
        <f t="shared" si="69"/>
        <v>7.0925999999999991</v>
      </c>
      <c r="CE196" s="108">
        <f t="shared" si="70"/>
        <v>4.7725999999999988</v>
      </c>
      <c r="CF196" s="108">
        <f t="shared" si="71"/>
        <v>2.9225999999999988</v>
      </c>
      <c r="CG196" s="108">
        <f t="shared" si="72"/>
        <v>2.9225999999999988</v>
      </c>
      <c r="CH196" s="103"/>
      <c r="CI196" s="119" t="str">
        <f t="shared" si="61"/>
        <v/>
      </c>
      <c r="CJ196" s="174">
        <f t="shared" si="59"/>
        <v>-1</v>
      </c>
      <c r="CK196" s="113" t="str">
        <f t="shared" si="73"/>
        <v/>
      </c>
      <c r="CL196" s="108" t="str">
        <f t="shared" si="74"/>
        <v/>
      </c>
      <c r="CM196" s="108" t="str">
        <f t="shared" si="75"/>
        <v/>
      </c>
      <c r="CN196" s="108" t="str">
        <f t="shared" si="76"/>
        <v/>
      </c>
      <c r="CO196" s="108" t="str">
        <f t="shared" si="77"/>
        <v/>
      </c>
    </row>
    <row r="197" spans="1:93">
      <c r="A197" s="103" t="s">
        <v>549</v>
      </c>
      <c r="B197" s="103" t="s">
        <v>165</v>
      </c>
      <c r="C197" s="103" t="s">
        <v>162</v>
      </c>
      <c r="D197" s="250" t="s">
        <v>153</v>
      </c>
      <c r="E197" s="250">
        <v>82</v>
      </c>
      <c r="F197" s="182">
        <v>9020</v>
      </c>
      <c r="G197" s="250" t="s">
        <v>175</v>
      </c>
      <c r="H197" s="250">
        <v>14</v>
      </c>
      <c r="I197" s="250"/>
      <c r="J197" s="250"/>
      <c r="K197" s="250" t="s">
        <v>550</v>
      </c>
      <c r="L197" s="250" t="s">
        <v>61</v>
      </c>
      <c r="M197" s="250">
        <v>14</v>
      </c>
      <c r="N197" s="250"/>
      <c r="O197" s="250"/>
      <c r="P197" s="250" t="s">
        <v>153</v>
      </c>
      <c r="Q197" s="250"/>
      <c r="R197" s="250"/>
      <c r="S197" s="250"/>
      <c r="T197" s="250" t="s">
        <v>155</v>
      </c>
      <c r="U197" s="103" t="s">
        <v>551</v>
      </c>
      <c r="V197" s="106" t="s">
        <v>157</v>
      </c>
      <c r="W197" s="103" t="s">
        <v>82</v>
      </c>
      <c r="X197" s="103">
        <f>IFERROR(MATCH(W197,'CostModel Coef'!$C$9:$C$12,0),0)</f>
        <v>2</v>
      </c>
      <c r="Y197" s="103"/>
      <c r="Z197" s="103">
        <f>IF($X197&gt;0,INDEX('CostModel Coef'!D$9:D$12,$X197),"")</f>
        <v>5.0279999999999996</v>
      </c>
      <c r="AA197" s="103">
        <f>IF($X197&gt;0,INDEX('CostModel Coef'!E$9:E$12,$X197),"")</f>
        <v>0.22669576292256455</v>
      </c>
      <c r="AB197" s="103">
        <f>IF($X197&gt;0,INDEX('CostModel Coef'!F$9:F$12,$X197),"")</f>
        <v>0.94713628548481477</v>
      </c>
      <c r="AC197" s="103">
        <f>IF($X197&gt;0,INDEX('CostModel Coef'!G$9:G$12,$X197),"")</f>
        <v>0</v>
      </c>
      <c r="AD197" s="103">
        <f>IF($X197&gt;0,INDEX('CostModel Coef'!H$9:H$12,$X197),"")</f>
        <v>-2.7940999999999998</v>
      </c>
      <c r="AE197" s="103">
        <f>IF($X197&gt;0,INDEX('CostModel Coef'!J$9:J$12,$X197),"")</f>
        <v>0</v>
      </c>
      <c r="AF197" s="103">
        <f>IF($X197&gt;0,INDEX('CostModel Coef'!K$9:K$12,$X197),"")</f>
        <v>-0.57599999999999996</v>
      </c>
      <c r="AG197" s="103">
        <f>IF($X197&gt;0,INDEX('CostModel Coef'!L$9:L$12,$X197),"")</f>
        <v>0</v>
      </c>
      <c r="AH197" s="103">
        <f>IF($X197&gt;0,INDEX('CostModel Coef'!M$9:M$12,$X197),"")</f>
        <v>4.0461</v>
      </c>
      <c r="AI197" s="103">
        <f>IF($X197&gt;0,INDEX('CostModel Coef'!N$9:N$12,$X197),"")</f>
        <v>0</v>
      </c>
      <c r="AJ197" s="103">
        <f>IF($X197&gt;0,INDEX('CostModel Coef'!Q$9:Q$12,$X197),"")</f>
        <v>0.14729999999999999</v>
      </c>
      <c r="AK197" s="103">
        <f>IF($X197&gt;0,INDEX('CostModel Coef'!T$9:T$12,$X197),"")</f>
        <v>0</v>
      </c>
      <c r="AL197" s="103"/>
      <c r="AM197" s="108">
        <f t="shared" si="53"/>
        <v>7.6880320484073801</v>
      </c>
      <c r="AN197" s="108">
        <f t="shared" si="54"/>
        <v>8.2640320484073797</v>
      </c>
      <c r="AO197" s="108">
        <f t="shared" si="55"/>
        <v>5.4699320484073795</v>
      </c>
      <c r="AP197" s="108">
        <f t="shared" si="56"/>
        <v>5.4699320484073795</v>
      </c>
      <c r="AQ197" s="108">
        <f t="shared" si="57"/>
        <v>5.4699320484073795</v>
      </c>
      <c r="AR197" s="108"/>
      <c r="AS197" s="108"/>
      <c r="AT197" s="103">
        <f>IF($X197&gt;0,INDEX('CostModel Coef'!D$13:D$16,$X197),"")</f>
        <v>3.984</v>
      </c>
      <c r="AU197" s="103">
        <f>IF($X197&gt;0,INDEX('CostModel Coef'!E$13:E$16,$X197),"")</f>
        <v>0.38800000000000001</v>
      </c>
      <c r="AV197" s="103">
        <f>IF($X197&gt;0,INDEX('CostModel Coef'!F$13:F$16,$X197),"")</f>
        <v>0.98799999999999999</v>
      </c>
      <c r="AW197" s="103">
        <f>IF($X197&gt;0,INDEX('CostModel Coef'!G$13:G$16,$X197),"")</f>
        <v>0</v>
      </c>
      <c r="AX197" s="103">
        <f>IF($X197&gt;0,INDEX('CostModel Coef'!H$13:H$16,$X197),"")</f>
        <v>-2.3199999999999998</v>
      </c>
      <c r="AY197" s="103">
        <f>IF($X197&gt;0,INDEX('CostModel Coef'!I$13:I$16,$X197),"")</f>
        <v>-1.85</v>
      </c>
      <c r="AZ197" s="103">
        <f>IF($X197&gt;0,INDEX('CostModel Coef'!J$13:J$16,$X197),"")</f>
        <v>0</v>
      </c>
      <c r="BA197" s="103">
        <f>IF($X197&gt;0,INDEX('CostModel Coef'!K$13:K$16,$X197),"")</f>
        <v>-1.0070000000000001</v>
      </c>
      <c r="BB197" s="103">
        <f>IF($X197&gt;0,INDEX('CostModel Coef'!L$13:L$16,$X197),"")</f>
        <v>0</v>
      </c>
      <c r="BC197" s="103">
        <f>IF($X197&gt;0,INDEX('CostModel Coef'!M$13:M$16,$X197),"")</f>
        <v>0</v>
      </c>
      <c r="BD197" s="103">
        <f>IF($X197&gt;0,INDEX('CostModel Coef'!N$13:N$16,$X197),"")</f>
        <v>0.5907</v>
      </c>
      <c r="BE197" s="103">
        <f>IF($X197&gt;0,INDEX('CostModel Coef'!O$13:O$16,$X197),"")</f>
        <v>0.75</v>
      </c>
      <c r="BF197" s="103">
        <f>IF($X197&gt;0,INDEX('CostModel Coef'!P$13:P$16,$X197),"")</f>
        <v>8</v>
      </c>
      <c r="BG197" s="103">
        <f>IF($X197&gt;0,INDEX('CostModel Coef'!Q$13:Q$16,$X197),"")</f>
        <v>1.04E-2</v>
      </c>
      <c r="BH197" s="103">
        <f>IF($X197&gt;0,INDEX('CostModel Coef'!R$13:R$16,$X197),"")</f>
        <v>12</v>
      </c>
      <c r="BI197" s="103">
        <f>IF($X197&gt;0,INDEX('CostModel Coef'!S$13:S$16,$X197),"")</f>
        <v>150</v>
      </c>
      <c r="BJ197" s="103">
        <f>IF($X197&gt;0,INDEX('CostModel Coef'!T$13:T$16,$X197),"")</f>
        <v>0</v>
      </c>
      <c r="BK197" s="103">
        <f>IF($X197&gt;0,INDEX('CostModel Coef'!U$13:U$16,$X197),"")</f>
        <v>0</v>
      </c>
      <c r="BL197" s="103">
        <f>IF($X197&gt;0,INDEX('CostModel Coef'!V$13:V$16,$X197),"")</f>
        <v>0</v>
      </c>
      <c r="BM197" s="103">
        <f>IF($X197&gt;0,INDEX('CostModel Coef'!W$13:W$16,$X197),"")</f>
        <v>0</v>
      </c>
      <c r="BN197" s="103">
        <f>IF($X197&gt;0,INDEX('CostModel Coef'!X$13:X$16,$X197),"")</f>
        <v>0</v>
      </c>
      <c r="BO197" s="103"/>
      <c r="BP197" s="119">
        <v>2000</v>
      </c>
      <c r="BQ197" s="103"/>
      <c r="BR197" s="103"/>
      <c r="BS197" s="119" t="str">
        <f t="shared" si="60"/>
        <v>WRR0409_CFLscw-Refl(14w)</v>
      </c>
      <c r="BT197" s="174">
        <f t="shared" si="52"/>
        <v>57</v>
      </c>
      <c r="BU197" s="113">
        <f t="shared" si="62"/>
        <v>6.1272000000000002</v>
      </c>
      <c r="BV197" s="108">
        <f t="shared" si="63"/>
        <v>7.1341999999999999</v>
      </c>
      <c r="BW197" s="108">
        <f t="shared" si="64"/>
        <v>4.8141999999999996</v>
      </c>
      <c r="BX197" s="108">
        <f t="shared" si="65"/>
        <v>2.9641999999999995</v>
      </c>
      <c r="BY197" s="108">
        <f t="shared" si="66"/>
        <v>2.9641999999999995</v>
      </c>
      <c r="BZ197" s="108"/>
      <c r="CA197" s="119" t="str">
        <f t="shared" si="67"/>
        <v>WRR0407_CFLscw-Refl(14w)</v>
      </c>
      <c r="CB197" s="174">
        <f t="shared" si="58"/>
        <v>57</v>
      </c>
      <c r="CC197" s="113">
        <f t="shared" si="68"/>
        <v>6.1272000000000002</v>
      </c>
      <c r="CD197" s="108">
        <f t="shared" si="69"/>
        <v>7.1341999999999999</v>
      </c>
      <c r="CE197" s="108">
        <f t="shared" si="70"/>
        <v>4.8141999999999996</v>
      </c>
      <c r="CF197" s="108">
        <f t="shared" si="71"/>
        <v>2.9641999999999995</v>
      </c>
      <c r="CG197" s="108">
        <f t="shared" si="72"/>
        <v>2.9641999999999995</v>
      </c>
      <c r="CH197" s="103"/>
      <c r="CI197" s="119" t="str">
        <f t="shared" si="61"/>
        <v/>
      </c>
      <c r="CJ197" s="174">
        <f t="shared" si="59"/>
        <v>-1</v>
      </c>
      <c r="CK197" s="113" t="str">
        <f t="shared" si="73"/>
        <v/>
      </c>
      <c r="CL197" s="108" t="str">
        <f t="shared" si="74"/>
        <v/>
      </c>
      <c r="CM197" s="108" t="str">
        <f t="shared" si="75"/>
        <v/>
      </c>
      <c r="CN197" s="108" t="str">
        <f t="shared" si="76"/>
        <v/>
      </c>
      <c r="CO197" s="108" t="str">
        <f t="shared" si="77"/>
        <v/>
      </c>
    </row>
    <row r="198" spans="1:93">
      <c r="A198" s="103" t="s">
        <v>552</v>
      </c>
      <c r="B198" s="103" t="s">
        <v>165</v>
      </c>
      <c r="C198" s="103" t="s">
        <v>162</v>
      </c>
      <c r="D198" s="250" t="s">
        <v>153</v>
      </c>
      <c r="E198" s="250">
        <v>82</v>
      </c>
      <c r="F198" s="182">
        <v>9020</v>
      </c>
      <c r="G198" s="250" t="s">
        <v>175</v>
      </c>
      <c r="H198" s="250">
        <v>150</v>
      </c>
      <c r="I198" s="250"/>
      <c r="J198" s="250"/>
      <c r="K198" s="250" t="s">
        <v>553</v>
      </c>
      <c r="L198" s="250" t="s">
        <v>61</v>
      </c>
      <c r="M198" s="250">
        <v>150</v>
      </c>
      <c r="N198" s="250"/>
      <c r="O198" s="250"/>
      <c r="P198" s="250" t="s">
        <v>153</v>
      </c>
      <c r="Q198" s="250"/>
      <c r="R198" s="250"/>
      <c r="S198" s="250"/>
      <c r="T198" s="250" t="s">
        <v>155</v>
      </c>
      <c r="U198" s="103" t="s">
        <v>554</v>
      </c>
      <c r="V198" s="106" t="s">
        <v>157</v>
      </c>
      <c r="W198" s="103" t="s">
        <v>158</v>
      </c>
      <c r="X198" s="103">
        <f>IFERROR(MATCH(W198,'CostModel Coef'!$C$9:$C$12,0),0)</f>
        <v>0</v>
      </c>
      <c r="Y198" s="103"/>
      <c r="Z198" s="103" t="str">
        <f>IF($X198&gt;0,INDEX('CostModel Coef'!D$9:D$12,$X198),"")</f>
        <v/>
      </c>
      <c r="AA198" s="103" t="str">
        <f>IF($X198&gt;0,INDEX('CostModel Coef'!E$9:E$12,$X198),"")</f>
        <v/>
      </c>
      <c r="AB198" s="103" t="str">
        <f>IF($X198&gt;0,INDEX('CostModel Coef'!F$9:F$12,$X198),"")</f>
        <v/>
      </c>
      <c r="AC198" s="103" t="str">
        <f>IF($X198&gt;0,INDEX('CostModel Coef'!G$9:G$12,$X198),"")</f>
        <v/>
      </c>
      <c r="AD198" s="103" t="str">
        <f>IF($X198&gt;0,INDEX('CostModel Coef'!H$9:H$12,$X198),"")</f>
        <v/>
      </c>
      <c r="AE198" s="103" t="str">
        <f>IF($X198&gt;0,INDEX('CostModel Coef'!J$9:J$12,$X198),"")</f>
        <v/>
      </c>
      <c r="AF198" s="103" t="str">
        <f>IF($X198&gt;0,INDEX('CostModel Coef'!K$9:K$12,$X198),"")</f>
        <v/>
      </c>
      <c r="AG198" s="103" t="str">
        <f>IF($X198&gt;0,INDEX('CostModel Coef'!L$9:L$12,$X198),"")</f>
        <v/>
      </c>
      <c r="AH198" s="103" t="str">
        <f>IF($X198&gt;0,INDEX('CostModel Coef'!M$9:M$12,$X198),"")</f>
        <v/>
      </c>
      <c r="AI198" s="103" t="str">
        <f>IF($X198&gt;0,INDEX('CostModel Coef'!N$9:N$12,$X198),"")</f>
        <v/>
      </c>
      <c r="AJ198" s="103" t="str">
        <f>IF($X198&gt;0,INDEX('CostModel Coef'!Q$9:Q$12,$X198),"")</f>
        <v/>
      </c>
      <c r="AK198" s="103" t="str">
        <f>IF($X198&gt;0,INDEX('CostModel Coef'!T$9:T$12,$X198),"")</f>
        <v/>
      </c>
      <c r="AL198" s="103"/>
      <c r="AM198" s="108" t="str">
        <f t="shared" si="53"/>
        <v/>
      </c>
      <c r="AN198" s="108" t="str">
        <f t="shared" si="54"/>
        <v/>
      </c>
      <c r="AO198" s="108" t="str">
        <f t="shared" si="55"/>
        <v/>
      </c>
      <c r="AP198" s="108" t="str">
        <f t="shared" si="56"/>
        <v/>
      </c>
      <c r="AQ198" s="108" t="str">
        <f t="shared" si="57"/>
        <v/>
      </c>
      <c r="AR198" s="108"/>
      <c r="AS198" s="108"/>
      <c r="AT198" s="103" t="str">
        <f>IF($X198&gt;0,INDEX('CostModel Coef'!D$13:D$16,$X198),"")</f>
        <v/>
      </c>
      <c r="AU198" s="103" t="str">
        <f>IF($X198&gt;0,INDEX('CostModel Coef'!E$13:E$16,$X198),"")</f>
        <v/>
      </c>
      <c r="AV198" s="103" t="str">
        <f>IF($X198&gt;0,INDEX('CostModel Coef'!F$13:F$16,$X198),"")</f>
        <v/>
      </c>
      <c r="AW198" s="103" t="str">
        <f>IF($X198&gt;0,INDEX('CostModel Coef'!G$13:G$16,$X198),"")</f>
        <v/>
      </c>
      <c r="AX198" s="103" t="str">
        <f>IF($X198&gt;0,INDEX('CostModel Coef'!H$13:H$16,$X198),"")</f>
        <v/>
      </c>
      <c r="AY198" s="103" t="str">
        <f>IF($X198&gt;0,INDEX('CostModel Coef'!I$13:I$16,$X198),"")</f>
        <v/>
      </c>
      <c r="AZ198" s="103" t="str">
        <f>IF($X198&gt;0,INDEX('CostModel Coef'!J$13:J$16,$X198),"")</f>
        <v/>
      </c>
      <c r="BA198" s="103" t="str">
        <f>IF($X198&gt;0,INDEX('CostModel Coef'!K$13:K$16,$X198),"")</f>
        <v/>
      </c>
      <c r="BB198" s="103" t="str">
        <f>IF($X198&gt;0,INDEX('CostModel Coef'!L$13:L$16,$X198),"")</f>
        <v/>
      </c>
      <c r="BC198" s="103" t="str">
        <f>IF($X198&gt;0,INDEX('CostModel Coef'!M$13:M$16,$X198),"")</f>
        <v/>
      </c>
      <c r="BD198" s="103" t="str">
        <f>IF($X198&gt;0,INDEX('CostModel Coef'!N$13:N$16,$X198),"")</f>
        <v/>
      </c>
      <c r="BE198" s="103" t="str">
        <f>IF($X198&gt;0,INDEX('CostModel Coef'!O$13:O$16,$X198),"")</f>
        <v/>
      </c>
      <c r="BF198" s="103" t="str">
        <f>IF($X198&gt;0,INDEX('CostModel Coef'!P$13:P$16,$X198),"")</f>
        <v/>
      </c>
      <c r="BG198" s="103" t="str">
        <f>IF($X198&gt;0,INDEX('CostModel Coef'!Q$13:Q$16,$X198),"")</f>
        <v/>
      </c>
      <c r="BH198" s="103" t="str">
        <f>IF($X198&gt;0,INDEX('CostModel Coef'!R$13:R$16,$X198),"")</f>
        <v/>
      </c>
      <c r="BI198" s="103" t="str">
        <f>IF($X198&gt;0,INDEX('CostModel Coef'!S$13:S$16,$X198),"")</f>
        <v/>
      </c>
      <c r="BJ198" s="103" t="str">
        <f>IF($X198&gt;0,INDEX('CostModel Coef'!T$13:T$16,$X198),"")</f>
        <v/>
      </c>
      <c r="BK198" s="103" t="str">
        <f>IF($X198&gt;0,INDEX('CostModel Coef'!U$13:U$16,$X198),"")</f>
        <v/>
      </c>
      <c r="BL198" s="103" t="str">
        <f>IF($X198&gt;0,INDEX('CostModel Coef'!V$13:V$16,$X198),"")</f>
        <v/>
      </c>
      <c r="BM198" s="103" t="str">
        <f>IF($X198&gt;0,INDEX('CostModel Coef'!W$13:W$16,$X198),"")</f>
        <v/>
      </c>
      <c r="BN198" s="103" t="str">
        <f>IF($X198&gt;0,INDEX('CostModel Coef'!X$13:X$16,$X198),"")</f>
        <v/>
      </c>
      <c r="BO198" s="103"/>
      <c r="BP198" s="119">
        <v>2000</v>
      </c>
      <c r="BQ198" s="103"/>
      <c r="BR198" s="103"/>
      <c r="BS198" s="119" t="str">
        <f t="shared" si="60"/>
        <v/>
      </c>
      <c r="BT198" s="174">
        <f t="shared" si="52"/>
        <v>-1</v>
      </c>
      <c r="BU198" s="113" t="str">
        <f t="shared" si="62"/>
        <v>OOS</v>
      </c>
      <c r="BV198" s="108" t="str">
        <f t="shared" si="63"/>
        <v>OOS</v>
      </c>
      <c r="BW198" s="108" t="str">
        <f t="shared" si="64"/>
        <v>OOS</v>
      </c>
      <c r="BX198" s="108" t="str">
        <f t="shared" si="65"/>
        <v>OOS</v>
      </c>
      <c r="BY198" s="108" t="str">
        <f t="shared" si="66"/>
        <v>OOS</v>
      </c>
      <c r="BZ198" s="108"/>
      <c r="CA198" s="119" t="str">
        <f t="shared" si="67"/>
        <v/>
      </c>
      <c r="CB198" s="174">
        <f t="shared" si="58"/>
        <v>-1</v>
      </c>
      <c r="CC198" s="113" t="str">
        <f t="shared" si="68"/>
        <v/>
      </c>
      <c r="CD198" s="108" t="str">
        <f t="shared" si="69"/>
        <v/>
      </c>
      <c r="CE198" s="108" t="str">
        <f t="shared" si="70"/>
        <v/>
      </c>
      <c r="CF198" s="108" t="str">
        <f t="shared" si="71"/>
        <v/>
      </c>
      <c r="CG198" s="108" t="str">
        <f t="shared" si="72"/>
        <v/>
      </c>
      <c r="CH198" s="103"/>
      <c r="CI198" s="119" t="str">
        <f t="shared" si="61"/>
        <v/>
      </c>
      <c r="CJ198" s="174">
        <f t="shared" si="59"/>
        <v>-1</v>
      </c>
      <c r="CK198" s="113" t="str">
        <f t="shared" si="73"/>
        <v/>
      </c>
      <c r="CL198" s="108" t="str">
        <f t="shared" si="74"/>
        <v/>
      </c>
      <c r="CM198" s="108" t="str">
        <f t="shared" si="75"/>
        <v/>
      </c>
      <c r="CN198" s="108" t="str">
        <f t="shared" si="76"/>
        <v/>
      </c>
      <c r="CO198" s="108" t="str">
        <f t="shared" si="77"/>
        <v/>
      </c>
    </row>
    <row r="199" spans="1:93">
      <c r="A199" s="103" t="s">
        <v>555</v>
      </c>
      <c r="B199" s="103" t="s">
        <v>165</v>
      </c>
      <c r="C199" s="103" t="s">
        <v>162</v>
      </c>
      <c r="D199" s="250" t="s">
        <v>153</v>
      </c>
      <c r="E199" s="250">
        <v>82</v>
      </c>
      <c r="F199" s="182">
        <v>9020</v>
      </c>
      <c r="G199" s="250" t="s">
        <v>175</v>
      </c>
      <c r="H199" s="250">
        <v>16</v>
      </c>
      <c r="I199" s="250">
        <v>604</v>
      </c>
      <c r="J199" s="250">
        <v>755</v>
      </c>
      <c r="K199" s="250" t="s">
        <v>556</v>
      </c>
      <c r="L199" s="250" t="s">
        <v>61</v>
      </c>
      <c r="M199" s="250">
        <v>16</v>
      </c>
      <c r="N199" s="250"/>
      <c r="O199" s="250"/>
      <c r="P199" s="250" t="s">
        <v>153</v>
      </c>
      <c r="Q199" s="250"/>
      <c r="R199" s="250"/>
      <c r="S199" s="250"/>
      <c r="T199" s="250" t="s">
        <v>155</v>
      </c>
      <c r="U199" s="103" t="s">
        <v>557</v>
      </c>
      <c r="V199" s="106" t="s">
        <v>157</v>
      </c>
      <c r="W199" s="103" t="s">
        <v>82</v>
      </c>
      <c r="X199" s="103">
        <f>IFERROR(MATCH(W199,'CostModel Coef'!$C$9:$C$12,0),0)</f>
        <v>2</v>
      </c>
      <c r="Y199" s="103"/>
      <c r="Z199" s="103">
        <f>IF($X199&gt;0,INDEX('CostModel Coef'!D$9:D$12,$X199),"")</f>
        <v>5.0279999999999996</v>
      </c>
      <c r="AA199" s="103">
        <f>IF($X199&gt;0,INDEX('CostModel Coef'!E$9:E$12,$X199),"")</f>
        <v>0.22669576292256455</v>
      </c>
      <c r="AB199" s="103">
        <f>IF($X199&gt;0,INDEX('CostModel Coef'!F$9:F$12,$X199),"")</f>
        <v>0.94713628548481477</v>
      </c>
      <c r="AC199" s="103">
        <f>IF($X199&gt;0,INDEX('CostModel Coef'!G$9:G$12,$X199),"")</f>
        <v>0</v>
      </c>
      <c r="AD199" s="103">
        <f>IF($X199&gt;0,INDEX('CostModel Coef'!H$9:H$12,$X199),"")</f>
        <v>-2.7940999999999998</v>
      </c>
      <c r="AE199" s="103">
        <f>IF($X199&gt;0,INDEX('CostModel Coef'!J$9:J$12,$X199),"")</f>
        <v>0</v>
      </c>
      <c r="AF199" s="103">
        <f>IF($X199&gt;0,INDEX('CostModel Coef'!K$9:K$12,$X199),"")</f>
        <v>-0.57599999999999996</v>
      </c>
      <c r="AG199" s="103">
        <f>IF($X199&gt;0,INDEX('CostModel Coef'!L$9:L$12,$X199),"")</f>
        <v>0</v>
      </c>
      <c r="AH199" s="103">
        <f>IF($X199&gt;0,INDEX('CostModel Coef'!M$9:M$12,$X199),"")</f>
        <v>4.0461</v>
      </c>
      <c r="AI199" s="103">
        <f>IF($X199&gt;0,INDEX('CostModel Coef'!N$9:N$12,$X199),"")</f>
        <v>0</v>
      </c>
      <c r="AJ199" s="103">
        <f>IF($X199&gt;0,INDEX('CostModel Coef'!Q$9:Q$12,$X199),"")</f>
        <v>0.14729999999999999</v>
      </c>
      <c r="AK199" s="103">
        <f>IF($X199&gt;0,INDEX('CostModel Coef'!T$9:T$12,$X199),"")</f>
        <v>0</v>
      </c>
      <c r="AL199" s="103"/>
      <c r="AM199" s="108">
        <f t="shared" si="53"/>
        <v>7.9826320484073792</v>
      </c>
      <c r="AN199" s="108">
        <f t="shared" si="54"/>
        <v>8.5586320484073788</v>
      </c>
      <c r="AO199" s="108">
        <f t="shared" si="55"/>
        <v>5.7645320484073785</v>
      </c>
      <c r="AP199" s="108">
        <f t="shared" si="56"/>
        <v>5.7645320484073785</v>
      </c>
      <c r="AQ199" s="108">
        <f t="shared" si="57"/>
        <v>5.7645320484073785</v>
      </c>
      <c r="AR199" s="108"/>
      <c r="AS199" s="108"/>
      <c r="AT199" s="103">
        <f>IF($X199&gt;0,INDEX('CostModel Coef'!D$13:D$16,$X199),"")</f>
        <v>3.984</v>
      </c>
      <c r="AU199" s="103">
        <f>IF($X199&gt;0,INDEX('CostModel Coef'!E$13:E$16,$X199),"")</f>
        <v>0.38800000000000001</v>
      </c>
      <c r="AV199" s="103">
        <f>IF($X199&gt;0,INDEX('CostModel Coef'!F$13:F$16,$X199),"")</f>
        <v>0.98799999999999999</v>
      </c>
      <c r="AW199" s="103">
        <f>IF($X199&gt;0,INDEX('CostModel Coef'!G$13:G$16,$X199),"")</f>
        <v>0</v>
      </c>
      <c r="AX199" s="103">
        <f>IF($X199&gt;0,INDEX('CostModel Coef'!H$13:H$16,$X199),"")</f>
        <v>-2.3199999999999998</v>
      </c>
      <c r="AY199" s="103">
        <f>IF($X199&gt;0,INDEX('CostModel Coef'!I$13:I$16,$X199),"")</f>
        <v>-1.85</v>
      </c>
      <c r="AZ199" s="103">
        <f>IF($X199&gt;0,INDEX('CostModel Coef'!J$13:J$16,$X199),"")</f>
        <v>0</v>
      </c>
      <c r="BA199" s="103">
        <f>IF($X199&gt;0,INDEX('CostModel Coef'!K$13:K$16,$X199),"")</f>
        <v>-1.0070000000000001</v>
      </c>
      <c r="BB199" s="103">
        <f>IF($X199&gt;0,INDEX('CostModel Coef'!L$13:L$16,$X199),"")</f>
        <v>0</v>
      </c>
      <c r="BC199" s="103">
        <f>IF($X199&gt;0,INDEX('CostModel Coef'!M$13:M$16,$X199),"")</f>
        <v>0</v>
      </c>
      <c r="BD199" s="103">
        <f>IF($X199&gt;0,INDEX('CostModel Coef'!N$13:N$16,$X199),"")</f>
        <v>0.5907</v>
      </c>
      <c r="BE199" s="103">
        <f>IF($X199&gt;0,INDEX('CostModel Coef'!O$13:O$16,$X199),"")</f>
        <v>0.75</v>
      </c>
      <c r="BF199" s="103">
        <f>IF($X199&gt;0,INDEX('CostModel Coef'!P$13:P$16,$X199),"")</f>
        <v>8</v>
      </c>
      <c r="BG199" s="103">
        <f>IF($X199&gt;0,INDEX('CostModel Coef'!Q$13:Q$16,$X199),"")</f>
        <v>1.04E-2</v>
      </c>
      <c r="BH199" s="103">
        <f>IF($X199&gt;0,INDEX('CostModel Coef'!R$13:R$16,$X199),"")</f>
        <v>12</v>
      </c>
      <c r="BI199" s="103">
        <f>IF($X199&gt;0,INDEX('CostModel Coef'!S$13:S$16,$X199),"")</f>
        <v>150</v>
      </c>
      <c r="BJ199" s="103">
        <f>IF($X199&gt;0,INDEX('CostModel Coef'!T$13:T$16,$X199),"")</f>
        <v>0</v>
      </c>
      <c r="BK199" s="103">
        <f>IF($X199&gt;0,INDEX('CostModel Coef'!U$13:U$16,$X199),"")</f>
        <v>0</v>
      </c>
      <c r="BL199" s="103">
        <f>IF($X199&gt;0,INDEX('CostModel Coef'!V$13:V$16,$X199),"")</f>
        <v>0</v>
      </c>
      <c r="BM199" s="103">
        <f>IF($X199&gt;0,INDEX('CostModel Coef'!W$13:W$16,$X199),"")</f>
        <v>0</v>
      </c>
      <c r="BN199" s="103">
        <f>IF($X199&gt;0,INDEX('CostModel Coef'!X$13:X$16,$X199),"")</f>
        <v>0</v>
      </c>
      <c r="BO199" s="103"/>
      <c r="BP199" s="119">
        <v>2000</v>
      </c>
      <c r="BQ199" s="103"/>
      <c r="BR199" s="103"/>
      <c r="BS199" s="119" t="str">
        <f t="shared" si="60"/>
        <v>WRR0409_CFLscw-Refl(16w)</v>
      </c>
      <c r="BT199" s="174">
        <f t="shared" si="52"/>
        <v>65</v>
      </c>
      <c r="BU199" s="113">
        <f t="shared" si="62"/>
        <v>6.2103999999999999</v>
      </c>
      <c r="BV199" s="108">
        <f t="shared" si="63"/>
        <v>7.2173999999999996</v>
      </c>
      <c r="BW199" s="108">
        <f t="shared" si="64"/>
        <v>4.8973999999999993</v>
      </c>
      <c r="BX199" s="108">
        <f t="shared" si="65"/>
        <v>3.0473999999999992</v>
      </c>
      <c r="BY199" s="108">
        <f t="shared" si="66"/>
        <v>3.0473999999999992</v>
      </c>
      <c r="BZ199" s="108"/>
      <c r="CA199" s="119" t="str">
        <f t="shared" si="67"/>
        <v>WRR0407_CFLscw-Refl(16w)</v>
      </c>
      <c r="CB199" s="174">
        <f t="shared" si="58"/>
        <v>65</v>
      </c>
      <c r="CC199" s="113">
        <f t="shared" si="68"/>
        <v>6.2103999999999999</v>
      </c>
      <c r="CD199" s="108">
        <f t="shared" si="69"/>
        <v>7.2173999999999996</v>
      </c>
      <c r="CE199" s="108">
        <f t="shared" si="70"/>
        <v>4.8973999999999993</v>
      </c>
      <c r="CF199" s="108">
        <f t="shared" si="71"/>
        <v>3.0473999999999992</v>
      </c>
      <c r="CG199" s="108">
        <f t="shared" si="72"/>
        <v>3.0473999999999992</v>
      </c>
      <c r="CH199" s="103"/>
      <c r="CI199" s="119" t="str">
        <f t="shared" si="61"/>
        <v/>
      </c>
      <c r="CJ199" s="174">
        <f t="shared" si="59"/>
        <v>-1</v>
      </c>
      <c r="CK199" s="113" t="str">
        <f t="shared" si="73"/>
        <v/>
      </c>
      <c r="CL199" s="108" t="str">
        <f t="shared" si="74"/>
        <v/>
      </c>
      <c r="CM199" s="108" t="str">
        <f t="shared" si="75"/>
        <v/>
      </c>
      <c r="CN199" s="108" t="str">
        <f t="shared" si="76"/>
        <v/>
      </c>
      <c r="CO199" s="108" t="str">
        <f t="shared" si="77"/>
        <v/>
      </c>
    </row>
    <row r="200" spans="1:93">
      <c r="A200" s="103" t="s">
        <v>558</v>
      </c>
      <c r="B200" s="103" t="s">
        <v>165</v>
      </c>
      <c r="C200" s="103" t="s">
        <v>162</v>
      </c>
      <c r="D200" s="250" t="s">
        <v>153</v>
      </c>
      <c r="E200" s="250">
        <v>82</v>
      </c>
      <c r="F200" s="182">
        <v>9020</v>
      </c>
      <c r="G200" s="250" t="s">
        <v>175</v>
      </c>
      <c r="H200" s="250">
        <v>17</v>
      </c>
      <c r="I200" s="250">
        <v>644</v>
      </c>
      <c r="J200" s="250">
        <v>805</v>
      </c>
      <c r="K200" s="250" t="s">
        <v>559</v>
      </c>
      <c r="L200" s="250" t="s">
        <v>61</v>
      </c>
      <c r="M200" s="250">
        <v>17</v>
      </c>
      <c r="N200" s="250"/>
      <c r="O200" s="250"/>
      <c r="P200" s="250" t="s">
        <v>153</v>
      </c>
      <c r="Q200" s="250"/>
      <c r="R200" s="250"/>
      <c r="S200" s="250"/>
      <c r="T200" s="250" t="s">
        <v>155</v>
      </c>
      <c r="U200" s="103" t="s">
        <v>560</v>
      </c>
      <c r="V200" s="106" t="s">
        <v>157</v>
      </c>
      <c r="W200" s="103" t="s">
        <v>82</v>
      </c>
      <c r="X200" s="103">
        <f>IFERROR(MATCH(W200,'CostModel Coef'!$C$9:$C$12,0),0)</f>
        <v>2</v>
      </c>
      <c r="Y200" s="103"/>
      <c r="Z200" s="103">
        <f>IF($X200&gt;0,INDEX('CostModel Coef'!D$9:D$12,$X200),"")</f>
        <v>5.0279999999999996</v>
      </c>
      <c r="AA200" s="103">
        <f>IF($X200&gt;0,INDEX('CostModel Coef'!E$9:E$12,$X200),"")</f>
        <v>0.22669576292256455</v>
      </c>
      <c r="AB200" s="103">
        <f>IF($X200&gt;0,INDEX('CostModel Coef'!F$9:F$12,$X200),"")</f>
        <v>0.94713628548481477</v>
      </c>
      <c r="AC200" s="103">
        <f>IF($X200&gt;0,INDEX('CostModel Coef'!G$9:G$12,$X200),"")</f>
        <v>0</v>
      </c>
      <c r="AD200" s="103">
        <f>IF($X200&gt;0,INDEX('CostModel Coef'!H$9:H$12,$X200),"")</f>
        <v>-2.7940999999999998</v>
      </c>
      <c r="AE200" s="103">
        <f>IF($X200&gt;0,INDEX('CostModel Coef'!J$9:J$12,$X200),"")</f>
        <v>0</v>
      </c>
      <c r="AF200" s="103">
        <f>IF($X200&gt;0,INDEX('CostModel Coef'!K$9:K$12,$X200),"")</f>
        <v>-0.57599999999999996</v>
      </c>
      <c r="AG200" s="103">
        <f>IF($X200&gt;0,INDEX('CostModel Coef'!L$9:L$12,$X200),"")</f>
        <v>0</v>
      </c>
      <c r="AH200" s="103">
        <f>IF($X200&gt;0,INDEX('CostModel Coef'!M$9:M$12,$X200),"")</f>
        <v>4.0461</v>
      </c>
      <c r="AI200" s="103">
        <f>IF($X200&gt;0,INDEX('CostModel Coef'!N$9:N$12,$X200),"")</f>
        <v>0</v>
      </c>
      <c r="AJ200" s="103">
        <f>IF($X200&gt;0,INDEX('CostModel Coef'!Q$9:Q$12,$X200),"")</f>
        <v>0.14729999999999999</v>
      </c>
      <c r="AK200" s="103">
        <f>IF($X200&gt;0,INDEX('CostModel Coef'!T$9:T$12,$X200),"")</f>
        <v>0</v>
      </c>
      <c r="AL200" s="103"/>
      <c r="AM200" s="108">
        <f t="shared" si="53"/>
        <v>8.1299320484073778</v>
      </c>
      <c r="AN200" s="108">
        <f t="shared" si="54"/>
        <v>8.7059320484073783</v>
      </c>
      <c r="AO200" s="108">
        <f t="shared" si="55"/>
        <v>5.9118320484073781</v>
      </c>
      <c r="AP200" s="108">
        <f t="shared" si="56"/>
        <v>5.9118320484073781</v>
      </c>
      <c r="AQ200" s="108">
        <f t="shared" si="57"/>
        <v>5.9118320484073781</v>
      </c>
      <c r="AR200" s="108"/>
      <c r="AS200" s="108"/>
      <c r="AT200" s="103">
        <f>IF($X200&gt;0,INDEX('CostModel Coef'!D$13:D$16,$X200),"")</f>
        <v>3.984</v>
      </c>
      <c r="AU200" s="103">
        <f>IF($X200&gt;0,INDEX('CostModel Coef'!E$13:E$16,$X200),"")</f>
        <v>0.38800000000000001</v>
      </c>
      <c r="AV200" s="103">
        <f>IF($X200&gt;0,INDEX('CostModel Coef'!F$13:F$16,$X200),"")</f>
        <v>0.98799999999999999</v>
      </c>
      <c r="AW200" s="103">
        <f>IF($X200&gt;0,INDEX('CostModel Coef'!G$13:G$16,$X200),"")</f>
        <v>0</v>
      </c>
      <c r="AX200" s="103">
        <f>IF($X200&gt;0,INDEX('CostModel Coef'!H$13:H$16,$X200),"")</f>
        <v>-2.3199999999999998</v>
      </c>
      <c r="AY200" s="103">
        <f>IF($X200&gt;0,INDEX('CostModel Coef'!I$13:I$16,$X200),"")</f>
        <v>-1.85</v>
      </c>
      <c r="AZ200" s="103">
        <f>IF($X200&gt;0,INDEX('CostModel Coef'!J$13:J$16,$X200),"")</f>
        <v>0</v>
      </c>
      <c r="BA200" s="103">
        <f>IF($X200&gt;0,INDEX('CostModel Coef'!K$13:K$16,$X200),"")</f>
        <v>-1.0070000000000001</v>
      </c>
      <c r="BB200" s="103">
        <f>IF($X200&gt;0,INDEX('CostModel Coef'!L$13:L$16,$X200),"")</f>
        <v>0</v>
      </c>
      <c r="BC200" s="103">
        <f>IF($X200&gt;0,INDEX('CostModel Coef'!M$13:M$16,$X200),"")</f>
        <v>0</v>
      </c>
      <c r="BD200" s="103">
        <f>IF($X200&gt;0,INDEX('CostModel Coef'!N$13:N$16,$X200),"")</f>
        <v>0.5907</v>
      </c>
      <c r="BE200" s="103">
        <f>IF($X200&gt;0,INDEX('CostModel Coef'!O$13:O$16,$X200),"")</f>
        <v>0.75</v>
      </c>
      <c r="BF200" s="103">
        <f>IF($X200&gt;0,INDEX('CostModel Coef'!P$13:P$16,$X200),"")</f>
        <v>8</v>
      </c>
      <c r="BG200" s="103">
        <f>IF($X200&gt;0,INDEX('CostModel Coef'!Q$13:Q$16,$X200),"")</f>
        <v>1.04E-2</v>
      </c>
      <c r="BH200" s="103">
        <f>IF($X200&gt;0,INDEX('CostModel Coef'!R$13:R$16,$X200),"")</f>
        <v>12</v>
      </c>
      <c r="BI200" s="103">
        <f>IF($X200&gt;0,INDEX('CostModel Coef'!S$13:S$16,$X200),"")</f>
        <v>150</v>
      </c>
      <c r="BJ200" s="103">
        <f>IF($X200&gt;0,INDEX('CostModel Coef'!T$13:T$16,$X200),"")</f>
        <v>0</v>
      </c>
      <c r="BK200" s="103">
        <f>IF($X200&gt;0,INDEX('CostModel Coef'!U$13:U$16,$X200),"")</f>
        <v>0</v>
      </c>
      <c r="BL200" s="103">
        <f>IF($X200&gt;0,INDEX('CostModel Coef'!V$13:V$16,$X200),"")</f>
        <v>0</v>
      </c>
      <c r="BM200" s="103">
        <f>IF($X200&gt;0,INDEX('CostModel Coef'!W$13:W$16,$X200),"")</f>
        <v>0</v>
      </c>
      <c r="BN200" s="103">
        <f>IF($X200&gt;0,INDEX('CostModel Coef'!X$13:X$16,$X200),"")</f>
        <v>0</v>
      </c>
      <c r="BO200" s="103"/>
      <c r="BP200" s="119">
        <v>2000</v>
      </c>
      <c r="BQ200" s="103"/>
      <c r="BR200" s="103"/>
      <c r="BS200" s="119" t="str">
        <f t="shared" si="60"/>
        <v>WRR0409_CFLscw-Refl(17w)</v>
      </c>
      <c r="BT200" s="174">
        <f t="shared" ref="BT200:BT263" si="78">IF(X200=2,ROUND(M200*$BX$4,0),IF(OR(X200=1,X200=3,X200=4),ROUND(M200*$BX$5,0),-1))</f>
        <v>70</v>
      </c>
      <c r="BU200" s="113">
        <f t="shared" si="62"/>
        <v>6.2623999999999995</v>
      </c>
      <c r="BV200" s="108">
        <f t="shared" si="63"/>
        <v>7.2693999999999992</v>
      </c>
      <c r="BW200" s="108">
        <f t="shared" si="64"/>
        <v>4.9493999999999989</v>
      </c>
      <c r="BX200" s="108">
        <f t="shared" si="65"/>
        <v>3.0993999999999988</v>
      </c>
      <c r="BY200" s="108">
        <f t="shared" si="66"/>
        <v>3.0993999999999988</v>
      </c>
      <c r="BZ200" s="108"/>
      <c r="CA200" s="119" t="str">
        <f t="shared" si="67"/>
        <v>WRR0407_CFLscw-Refl(17w)</v>
      </c>
      <c r="CB200" s="174">
        <f t="shared" si="58"/>
        <v>69</v>
      </c>
      <c r="CC200" s="113">
        <f t="shared" si="68"/>
        <v>6.2519999999999989</v>
      </c>
      <c r="CD200" s="108">
        <f t="shared" si="69"/>
        <v>7.2589999999999995</v>
      </c>
      <c r="CE200" s="108">
        <f t="shared" si="70"/>
        <v>4.9390000000000001</v>
      </c>
      <c r="CF200" s="108">
        <f t="shared" si="71"/>
        <v>3.089</v>
      </c>
      <c r="CG200" s="108">
        <f t="shared" si="72"/>
        <v>3.089</v>
      </c>
      <c r="CH200" s="103"/>
      <c r="CI200" s="119" t="str">
        <f t="shared" si="61"/>
        <v/>
      </c>
      <c r="CJ200" s="174">
        <f t="shared" si="59"/>
        <v>-1</v>
      </c>
      <c r="CK200" s="113" t="str">
        <f t="shared" si="73"/>
        <v/>
      </c>
      <c r="CL200" s="108" t="str">
        <f t="shared" si="74"/>
        <v/>
      </c>
      <c r="CM200" s="108" t="str">
        <f t="shared" si="75"/>
        <v/>
      </c>
      <c r="CN200" s="108" t="str">
        <f t="shared" si="76"/>
        <v/>
      </c>
      <c r="CO200" s="108" t="str">
        <f t="shared" si="77"/>
        <v/>
      </c>
    </row>
    <row r="201" spans="1:93">
      <c r="A201" s="103" t="s">
        <v>561</v>
      </c>
      <c r="B201" s="103" t="s">
        <v>165</v>
      </c>
      <c r="C201" s="103" t="s">
        <v>162</v>
      </c>
      <c r="D201" s="250" t="s">
        <v>153</v>
      </c>
      <c r="E201" s="250">
        <v>82</v>
      </c>
      <c r="F201" s="182">
        <v>9020</v>
      </c>
      <c r="G201" s="250" t="s">
        <v>175</v>
      </c>
      <c r="H201" s="250">
        <v>18</v>
      </c>
      <c r="I201" s="250">
        <v>683</v>
      </c>
      <c r="J201" s="250">
        <v>855</v>
      </c>
      <c r="K201" s="250" t="s">
        <v>562</v>
      </c>
      <c r="L201" s="250" t="s">
        <v>61</v>
      </c>
      <c r="M201" s="250">
        <v>18</v>
      </c>
      <c r="N201" s="250"/>
      <c r="O201" s="250"/>
      <c r="P201" s="250" t="s">
        <v>153</v>
      </c>
      <c r="Q201" s="250"/>
      <c r="R201" s="250"/>
      <c r="S201" s="250"/>
      <c r="T201" s="250" t="s">
        <v>155</v>
      </c>
      <c r="U201" s="103" t="s">
        <v>563</v>
      </c>
      <c r="V201" s="106" t="s">
        <v>157</v>
      </c>
      <c r="W201" s="103" t="s">
        <v>82</v>
      </c>
      <c r="X201" s="103">
        <f>IFERROR(MATCH(W201,'CostModel Coef'!$C$9:$C$12,0),0)</f>
        <v>2</v>
      </c>
      <c r="Y201" s="103"/>
      <c r="Z201" s="103">
        <f>IF($X201&gt;0,INDEX('CostModel Coef'!D$9:D$12,$X201),"")</f>
        <v>5.0279999999999996</v>
      </c>
      <c r="AA201" s="103">
        <f>IF($X201&gt;0,INDEX('CostModel Coef'!E$9:E$12,$X201),"")</f>
        <v>0.22669576292256455</v>
      </c>
      <c r="AB201" s="103">
        <f>IF($X201&gt;0,INDEX('CostModel Coef'!F$9:F$12,$X201),"")</f>
        <v>0.94713628548481477</v>
      </c>
      <c r="AC201" s="103">
        <f>IF($X201&gt;0,INDEX('CostModel Coef'!G$9:G$12,$X201),"")</f>
        <v>0</v>
      </c>
      <c r="AD201" s="103">
        <f>IF($X201&gt;0,INDEX('CostModel Coef'!H$9:H$12,$X201),"")</f>
        <v>-2.7940999999999998</v>
      </c>
      <c r="AE201" s="103">
        <f>IF($X201&gt;0,INDEX('CostModel Coef'!J$9:J$12,$X201),"")</f>
        <v>0</v>
      </c>
      <c r="AF201" s="103">
        <f>IF($X201&gt;0,INDEX('CostModel Coef'!K$9:K$12,$X201),"")</f>
        <v>-0.57599999999999996</v>
      </c>
      <c r="AG201" s="103">
        <f>IF($X201&gt;0,INDEX('CostModel Coef'!L$9:L$12,$X201),"")</f>
        <v>0</v>
      </c>
      <c r="AH201" s="103">
        <f>IF($X201&gt;0,INDEX('CostModel Coef'!M$9:M$12,$X201),"")</f>
        <v>4.0461</v>
      </c>
      <c r="AI201" s="103">
        <f>IF($X201&gt;0,INDEX('CostModel Coef'!N$9:N$12,$X201),"")</f>
        <v>0</v>
      </c>
      <c r="AJ201" s="103">
        <f>IF($X201&gt;0,INDEX('CostModel Coef'!Q$9:Q$12,$X201),"")</f>
        <v>0.14729999999999999</v>
      </c>
      <c r="AK201" s="103">
        <f>IF($X201&gt;0,INDEX('CostModel Coef'!T$9:T$12,$X201),"")</f>
        <v>0</v>
      </c>
      <c r="AL201" s="103"/>
      <c r="AM201" s="108">
        <f t="shared" ref="AM201:AM264" si="79">IF($X201&gt;0,SUM(Z201,AA201,AB201,IF(C201="A",AC201,0),IF(Q201="Y",AG201,0),IF(OR(G201="Yes",G201="Cont"),AH201,0),F201/1000*AI201,H201*AJ201,IF(H201&gt;25,(H201-25)*AK201)+AF201),"")</f>
        <v>8.2772320484073774</v>
      </c>
      <c r="AN201" s="108">
        <f t="shared" ref="AN201:AN264" si="80">IF($X201&gt;0,SUM(Z201,AA201,AB201,IF(C201="A",AC201,0),IF(Q201="Y",AG201,0),IF(OR(G201="Yes",G201="Cont"),AH201,0),F201/1000*AI201,H201*AJ201,IF(H201&gt;25,(H201-25)*AK201)),"")</f>
        <v>8.8532320484073779</v>
      </c>
      <c r="AO201" s="108">
        <f t="shared" ref="AO201:AO264" si="81">IF($X201&gt;0,SUM(Z201,AA201,AB201,IF(C201="A",AC201,0),IF(Q201="Y",AG201,0),IF(OR(G201="Yes",G201="Cont"),AH201,0),F201/1000*AI201,H201*AJ201,IF(H201&gt;25,(H201-25)*AK201)+AD201),"")</f>
        <v>6.0591320484073776</v>
      </c>
      <c r="AP201" s="108">
        <f t="shared" ref="AP201:AP264" si="82">IF($X201&gt;0,SUM(Z201,AA201,AB201,IF(C201="A",AC201,0),IF(Q201="Y",AG201,0),IF(OR(G201="Yes",G201="Cont"),AH201,0),F201/1000*AI201,H201*AJ201,IF(H201&gt;25,(H201-25)*AK201)+AD201),"")</f>
        <v>6.0591320484073776</v>
      </c>
      <c r="AQ201" s="108">
        <f t="shared" ref="AQ201:AQ264" si="83">IF($X201&gt;0,SUM(Z201,AA201,AB201,IF(C201="A",AC201,0),IF(Q201="Y",AG201,0),IF(OR(G201="Yes",G201="Cont"),AH201,0),F201/1000*AI201,H201*AJ201,IF(H201&gt;25,(H201-25)*AK201)+AD201+AE201),"")</f>
        <v>6.0591320484073776</v>
      </c>
      <c r="AR201" s="108"/>
      <c r="AS201" s="108"/>
      <c r="AT201" s="103">
        <f>IF($X201&gt;0,INDEX('CostModel Coef'!D$13:D$16,$X201),"")</f>
        <v>3.984</v>
      </c>
      <c r="AU201" s="103">
        <f>IF($X201&gt;0,INDEX('CostModel Coef'!E$13:E$16,$X201),"")</f>
        <v>0.38800000000000001</v>
      </c>
      <c r="AV201" s="103">
        <f>IF($X201&gt;0,INDEX('CostModel Coef'!F$13:F$16,$X201),"")</f>
        <v>0.98799999999999999</v>
      </c>
      <c r="AW201" s="103">
        <f>IF($X201&gt;0,INDEX('CostModel Coef'!G$13:G$16,$X201),"")</f>
        <v>0</v>
      </c>
      <c r="AX201" s="103">
        <f>IF($X201&gt;0,INDEX('CostModel Coef'!H$13:H$16,$X201),"")</f>
        <v>-2.3199999999999998</v>
      </c>
      <c r="AY201" s="103">
        <f>IF($X201&gt;0,INDEX('CostModel Coef'!I$13:I$16,$X201),"")</f>
        <v>-1.85</v>
      </c>
      <c r="AZ201" s="103">
        <f>IF($X201&gt;0,INDEX('CostModel Coef'!J$13:J$16,$X201),"")</f>
        <v>0</v>
      </c>
      <c r="BA201" s="103">
        <f>IF($X201&gt;0,INDEX('CostModel Coef'!K$13:K$16,$X201),"")</f>
        <v>-1.0070000000000001</v>
      </c>
      <c r="BB201" s="103">
        <f>IF($X201&gt;0,INDEX('CostModel Coef'!L$13:L$16,$X201),"")</f>
        <v>0</v>
      </c>
      <c r="BC201" s="103">
        <f>IF($X201&gt;0,INDEX('CostModel Coef'!M$13:M$16,$X201),"")</f>
        <v>0</v>
      </c>
      <c r="BD201" s="103">
        <f>IF($X201&gt;0,INDEX('CostModel Coef'!N$13:N$16,$X201),"")</f>
        <v>0.5907</v>
      </c>
      <c r="BE201" s="103">
        <f>IF($X201&gt;0,INDEX('CostModel Coef'!O$13:O$16,$X201),"")</f>
        <v>0.75</v>
      </c>
      <c r="BF201" s="103">
        <f>IF($X201&gt;0,INDEX('CostModel Coef'!P$13:P$16,$X201),"")</f>
        <v>8</v>
      </c>
      <c r="BG201" s="103">
        <f>IF($X201&gt;0,INDEX('CostModel Coef'!Q$13:Q$16,$X201),"")</f>
        <v>1.04E-2</v>
      </c>
      <c r="BH201" s="103">
        <f>IF($X201&gt;0,INDEX('CostModel Coef'!R$13:R$16,$X201),"")</f>
        <v>12</v>
      </c>
      <c r="BI201" s="103">
        <f>IF($X201&gt;0,INDEX('CostModel Coef'!S$13:S$16,$X201),"")</f>
        <v>150</v>
      </c>
      <c r="BJ201" s="103">
        <f>IF($X201&gt;0,INDEX('CostModel Coef'!T$13:T$16,$X201),"")</f>
        <v>0</v>
      </c>
      <c r="BK201" s="103">
        <f>IF($X201&gt;0,INDEX('CostModel Coef'!U$13:U$16,$X201),"")</f>
        <v>0</v>
      </c>
      <c r="BL201" s="103">
        <f>IF($X201&gt;0,INDEX('CostModel Coef'!V$13:V$16,$X201),"")</f>
        <v>0</v>
      </c>
      <c r="BM201" s="103">
        <f>IF($X201&gt;0,INDEX('CostModel Coef'!W$13:W$16,$X201),"")</f>
        <v>0</v>
      </c>
      <c r="BN201" s="103">
        <f>IF($X201&gt;0,INDEX('CostModel Coef'!X$13:X$16,$X201),"")</f>
        <v>0</v>
      </c>
      <c r="BO201" s="103"/>
      <c r="BP201" s="119">
        <v>2000</v>
      </c>
      <c r="BQ201" s="103"/>
      <c r="BR201" s="103"/>
      <c r="BS201" s="119" t="str">
        <f t="shared" si="60"/>
        <v>WRR0409_CFLscw-Refl(18w)</v>
      </c>
      <c r="BT201" s="174">
        <f t="shared" si="78"/>
        <v>74</v>
      </c>
      <c r="BU201" s="113">
        <f t="shared" si="62"/>
        <v>6.3039999999999985</v>
      </c>
      <c r="BV201" s="108">
        <f t="shared" si="63"/>
        <v>7.3109999999999991</v>
      </c>
      <c r="BW201" s="108">
        <f t="shared" si="64"/>
        <v>4.9909999999999997</v>
      </c>
      <c r="BX201" s="108">
        <f t="shared" si="65"/>
        <v>3.1409999999999996</v>
      </c>
      <c r="BY201" s="108">
        <f t="shared" si="66"/>
        <v>3.1409999999999996</v>
      </c>
      <c r="BZ201" s="108"/>
      <c r="CA201" s="119" t="str">
        <f t="shared" si="67"/>
        <v>WRR0407_CFLscw-Refl(18w)</v>
      </c>
      <c r="CB201" s="174">
        <f t="shared" ref="CB201:CB264" si="84">IF(OR(X201=1,X201=2,X201=3),ROUND(M201*4.07,0),-1)</f>
        <v>73</v>
      </c>
      <c r="CC201" s="113">
        <f t="shared" si="68"/>
        <v>6.2935999999999996</v>
      </c>
      <c r="CD201" s="108">
        <f t="shared" si="69"/>
        <v>7.3005999999999993</v>
      </c>
      <c r="CE201" s="108">
        <f t="shared" si="70"/>
        <v>4.980599999999999</v>
      </c>
      <c r="CF201" s="108">
        <f t="shared" si="71"/>
        <v>3.1305999999999989</v>
      </c>
      <c r="CG201" s="108">
        <f t="shared" si="72"/>
        <v>3.1305999999999989</v>
      </c>
      <c r="CH201" s="103"/>
      <c r="CI201" s="119" t="str">
        <f t="shared" si="61"/>
        <v/>
      </c>
      <c r="CJ201" s="174">
        <f t="shared" ref="CJ201:CJ264" si="85">IF(OR(X201=1,X201=3,X201=4),ROUND(M201*3.47,0),-1)</f>
        <v>-1</v>
      </c>
      <c r="CK201" s="113" t="str">
        <f t="shared" si="73"/>
        <v/>
      </c>
      <c r="CL201" s="108" t="str">
        <f t="shared" si="74"/>
        <v/>
      </c>
      <c r="CM201" s="108" t="str">
        <f t="shared" si="75"/>
        <v/>
      </c>
      <c r="CN201" s="108" t="str">
        <f t="shared" si="76"/>
        <v/>
      </c>
      <c r="CO201" s="108" t="str">
        <f t="shared" si="77"/>
        <v/>
      </c>
    </row>
    <row r="202" spans="1:93">
      <c r="A202" s="103" t="s">
        <v>564</v>
      </c>
      <c r="B202" s="103" t="s">
        <v>165</v>
      </c>
      <c r="C202" s="103" t="s">
        <v>162</v>
      </c>
      <c r="D202" s="250" t="s">
        <v>153</v>
      </c>
      <c r="E202" s="250">
        <v>82</v>
      </c>
      <c r="F202" s="182">
        <v>9020</v>
      </c>
      <c r="G202" s="250" t="s">
        <v>175</v>
      </c>
      <c r="H202" s="250">
        <v>19</v>
      </c>
      <c r="I202" s="250">
        <v>723</v>
      </c>
      <c r="J202" s="250">
        <v>905</v>
      </c>
      <c r="K202" s="250" t="s">
        <v>565</v>
      </c>
      <c r="L202" s="250" t="s">
        <v>61</v>
      </c>
      <c r="M202" s="250">
        <v>19</v>
      </c>
      <c r="N202" s="250"/>
      <c r="O202" s="250"/>
      <c r="P202" s="250" t="s">
        <v>153</v>
      </c>
      <c r="Q202" s="250"/>
      <c r="R202" s="250"/>
      <c r="S202" s="250"/>
      <c r="T202" s="250" t="s">
        <v>155</v>
      </c>
      <c r="U202" s="103" t="s">
        <v>566</v>
      </c>
      <c r="V202" s="106" t="s">
        <v>157</v>
      </c>
      <c r="W202" s="103" t="s">
        <v>82</v>
      </c>
      <c r="X202" s="103">
        <f>IFERROR(MATCH(W202,'CostModel Coef'!$C$9:$C$12,0),0)</f>
        <v>2</v>
      </c>
      <c r="Y202" s="103"/>
      <c r="Z202" s="103">
        <f>IF($X202&gt;0,INDEX('CostModel Coef'!D$9:D$12,$X202),"")</f>
        <v>5.0279999999999996</v>
      </c>
      <c r="AA202" s="103">
        <f>IF($X202&gt;0,INDEX('CostModel Coef'!E$9:E$12,$X202),"")</f>
        <v>0.22669576292256455</v>
      </c>
      <c r="AB202" s="103">
        <f>IF($X202&gt;0,INDEX('CostModel Coef'!F$9:F$12,$X202),"")</f>
        <v>0.94713628548481477</v>
      </c>
      <c r="AC202" s="103">
        <f>IF($X202&gt;0,INDEX('CostModel Coef'!G$9:G$12,$X202),"")</f>
        <v>0</v>
      </c>
      <c r="AD202" s="103">
        <f>IF($X202&gt;0,INDEX('CostModel Coef'!H$9:H$12,$X202),"")</f>
        <v>-2.7940999999999998</v>
      </c>
      <c r="AE202" s="103">
        <f>IF($X202&gt;0,INDEX('CostModel Coef'!J$9:J$12,$X202),"")</f>
        <v>0</v>
      </c>
      <c r="AF202" s="103">
        <f>IF($X202&gt;0,INDEX('CostModel Coef'!K$9:K$12,$X202),"")</f>
        <v>-0.57599999999999996</v>
      </c>
      <c r="AG202" s="103">
        <f>IF($X202&gt;0,INDEX('CostModel Coef'!L$9:L$12,$X202),"")</f>
        <v>0</v>
      </c>
      <c r="AH202" s="103">
        <f>IF($X202&gt;0,INDEX('CostModel Coef'!M$9:M$12,$X202),"")</f>
        <v>4.0461</v>
      </c>
      <c r="AI202" s="103">
        <f>IF($X202&gt;0,INDEX('CostModel Coef'!N$9:N$12,$X202),"")</f>
        <v>0</v>
      </c>
      <c r="AJ202" s="103">
        <f>IF($X202&gt;0,INDEX('CostModel Coef'!Q$9:Q$12,$X202),"")</f>
        <v>0.14729999999999999</v>
      </c>
      <c r="AK202" s="103">
        <f>IF($X202&gt;0,INDEX('CostModel Coef'!T$9:T$12,$X202),"")</f>
        <v>0</v>
      </c>
      <c r="AL202" s="103"/>
      <c r="AM202" s="108">
        <f t="shared" si="79"/>
        <v>8.4245320484073787</v>
      </c>
      <c r="AN202" s="108">
        <f t="shared" si="80"/>
        <v>9.0005320484073792</v>
      </c>
      <c r="AO202" s="108">
        <f t="shared" si="81"/>
        <v>6.2064320484073789</v>
      </c>
      <c r="AP202" s="108">
        <f t="shared" si="82"/>
        <v>6.2064320484073789</v>
      </c>
      <c r="AQ202" s="108">
        <f t="shared" si="83"/>
        <v>6.2064320484073789</v>
      </c>
      <c r="AR202" s="108"/>
      <c r="AS202" s="108"/>
      <c r="AT202" s="103">
        <f>IF($X202&gt;0,INDEX('CostModel Coef'!D$13:D$16,$X202),"")</f>
        <v>3.984</v>
      </c>
      <c r="AU202" s="103">
        <f>IF($X202&gt;0,INDEX('CostModel Coef'!E$13:E$16,$X202),"")</f>
        <v>0.38800000000000001</v>
      </c>
      <c r="AV202" s="103">
        <f>IF($X202&gt;0,INDEX('CostModel Coef'!F$13:F$16,$X202),"")</f>
        <v>0.98799999999999999</v>
      </c>
      <c r="AW202" s="103">
        <f>IF($X202&gt;0,INDEX('CostModel Coef'!G$13:G$16,$X202),"")</f>
        <v>0</v>
      </c>
      <c r="AX202" s="103">
        <f>IF($X202&gt;0,INDEX('CostModel Coef'!H$13:H$16,$X202),"")</f>
        <v>-2.3199999999999998</v>
      </c>
      <c r="AY202" s="103">
        <f>IF($X202&gt;0,INDEX('CostModel Coef'!I$13:I$16,$X202),"")</f>
        <v>-1.85</v>
      </c>
      <c r="AZ202" s="103">
        <f>IF($X202&gt;0,INDEX('CostModel Coef'!J$13:J$16,$X202),"")</f>
        <v>0</v>
      </c>
      <c r="BA202" s="103">
        <f>IF($X202&gt;0,INDEX('CostModel Coef'!K$13:K$16,$X202),"")</f>
        <v>-1.0070000000000001</v>
      </c>
      <c r="BB202" s="103">
        <f>IF($X202&gt;0,INDEX('CostModel Coef'!L$13:L$16,$X202),"")</f>
        <v>0</v>
      </c>
      <c r="BC202" s="103">
        <f>IF($X202&gt;0,INDEX('CostModel Coef'!M$13:M$16,$X202),"")</f>
        <v>0</v>
      </c>
      <c r="BD202" s="103">
        <f>IF($X202&gt;0,INDEX('CostModel Coef'!N$13:N$16,$X202),"")</f>
        <v>0.5907</v>
      </c>
      <c r="BE202" s="103">
        <f>IF($X202&gt;0,INDEX('CostModel Coef'!O$13:O$16,$X202),"")</f>
        <v>0.75</v>
      </c>
      <c r="BF202" s="103">
        <f>IF($X202&gt;0,INDEX('CostModel Coef'!P$13:P$16,$X202),"")</f>
        <v>8</v>
      </c>
      <c r="BG202" s="103">
        <f>IF($X202&gt;0,INDEX('CostModel Coef'!Q$13:Q$16,$X202),"")</f>
        <v>1.04E-2</v>
      </c>
      <c r="BH202" s="103">
        <f>IF($X202&gt;0,INDEX('CostModel Coef'!R$13:R$16,$X202),"")</f>
        <v>12</v>
      </c>
      <c r="BI202" s="103">
        <f>IF($X202&gt;0,INDEX('CostModel Coef'!S$13:S$16,$X202),"")</f>
        <v>150</v>
      </c>
      <c r="BJ202" s="103">
        <f>IF($X202&gt;0,INDEX('CostModel Coef'!T$13:T$16,$X202),"")</f>
        <v>0</v>
      </c>
      <c r="BK202" s="103">
        <f>IF($X202&gt;0,INDEX('CostModel Coef'!U$13:U$16,$X202),"")</f>
        <v>0</v>
      </c>
      <c r="BL202" s="103">
        <f>IF($X202&gt;0,INDEX('CostModel Coef'!V$13:V$16,$X202),"")</f>
        <v>0</v>
      </c>
      <c r="BM202" s="103">
        <f>IF($X202&gt;0,INDEX('CostModel Coef'!W$13:W$16,$X202),"")</f>
        <v>0</v>
      </c>
      <c r="BN202" s="103">
        <f>IF($X202&gt;0,INDEX('CostModel Coef'!X$13:X$16,$X202),"")</f>
        <v>0</v>
      </c>
      <c r="BO202" s="103"/>
      <c r="BP202" s="119">
        <v>2000</v>
      </c>
      <c r="BQ202" s="103"/>
      <c r="BR202" s="103"/>
      <c r="BS202" s="119" t="str">
        <f t="shared" si="60"/>
        <v>WRR0409_CFLscw-Refl(19w)</v>
      </c>
      <c r="BT202" s="174">
        <f t="shared" si="78"/>
        <v>78</v>
      </c>
      <c r="BU202" s="113">
        <f t="shared" si="62"/>
        <v>6.3455999999999992</v>
      </c>
      <c r="BV202" s="108">
        <f t="shared" si="63"/>
        <v>7.3525999999999989</v>
      </c>
      <c r="BW202" s="108">
        <f t="shared" si="64"/>
        <v>5.0325999999999986</v>
      </c>
      <c r="BX202" s="108">
        <f t="shared" si="65"/>
        <v>3.1825999999999985</v>
      </c>
      <c r="BY202" s="108">
        <f t="shared" si="66"/>
        <v>3.1825999999999985</v>
      </c>
      <c r="BZ202" s="108"/>
      <c r="CA202" s="119" t="str">
        <f t="shared" si="67"/>
        <v>WRR0407_CFLscw-Refl(19w)</v>
      </c>
      <c r="CB202" s="174">
        <f t="shared" si="84"/>
        <v>77</v>
      </c>
      <c r="CC202" s="113">
        <f t="shared" si="68"/>
        <v>6.3351999999999986</v>
      </c>
      <c r="CD202" s="108">
        <f t="shared" si="69"/>
        <v>7.3421999999999992</v>
      </c>
      <c r="CE202" s="108">
        <f t="shared" si="70"/>
        <v>5.0221999999999998</v>
      </c>
      <c r="CF202" s="108">
        <f t="shared" si="71"/>
        <v>3.1721999999999997</v>
      </c>
      <c r="CG202" s="108">
        <f t="shared" si="72"/>
        <v>3.1721999999999997</v>
      </c>
      <c r="CH202" s="103"/>
      <c r="CI202" s="119" t="str">
        <f t="shared" si="61"/>
        <v/>
      </c>
      <c r="CJ202" s="174">
        <f t="shared" si="85"/>
        <v>-1</v>
      </c>
      <c r="CK202" s="113" t="str">
        <f t="shared" si="73"/>
        <v/>
      </c>
      <c r="CL202" s="108" t="str">
        <f t="shared" si="74"/>
        <v/>
      </c>
      <c r="CM202" s="108" t="str">
        <f t="shared" si="75"/>
        <v/>
      </c>
      <c r="CN202" s="108" t="str">
        <f t="shared" si="76"/>
        <v/>
      </c>
      <c r="CO202" s="108" t="str">
        <f t="shared" si="77"/>
        <v/>
      </c>
    </row>
    <row r="203" spans="1:93">
      <c r="A203" s="103" t="s">
        <v>567</v>
      </c>
      <c r="B203" s="103" t="s">
        <v>165</v>
      </c>
      <c r="C203" s="103" t="s">
        <v>162</v>
      </c>
      <c r="D203" s="250" t="s">
        <v>153</v>
      </c>
      <c r="E203" s="250">
        <v>82</v>
      </c>
      <c r="F203" s="182">
        <v>9020</v>
      </c>
      <c r="G203" s="250" t="s">
        <v>175</v>
      </c>
      <c r="H203" s="250">
        <v>200</v>
      </c>
      <c r="I203" s="250"/>
      <c r="J203" s="250"/>
      <c r="K203" s="250" t="s">
        <v>568</v>
      </c>
      <c r="L203" s="250" t="s">
        <v>61</v>
      </c>
      <c r="M203" s="250">
        <v>200</v>
      </c>
      <c r="N203" s="250"/>
      <c r="O203" s="250"/>
      <c r="P203" s="250" t="s">
        <v>153</v>
      </c>
      <c r="Q203" s="250"/>
      <c r="R203" s="250"/>
      <c r="S203" s="250"/>
      <c r="T203" s="250" t="s">
        <v>155</v>
      </c>
      <c r="U203" s="103" t="s">
        <v>569</v>
      </c>
      <c r="V203" s="106" t="s">
        <v>157</v>
      </c>
      <c r="W203" s="103" t="s">
        <v>158</v>
      </c>
      <c r="X203" s="103">
        <f>IFERROR(MATCH(W203,'CostModel Coef'!$C$9:$C$12,0),0)</f>
        <v>0</v>
      </c>
      <c r="Y203" s="103"/>
      <c r="Z203" s="103" t="str">
        <f>IF($X203&gt;0,INDEX('CostModel Coef'!D$9:D$12,$X203),"")</f>
        <v/>
      </c>
      <c r="AA203" s="103" t="str">
        <f>IF($X203&gt;0,INDEX('CostModel Coef'!E$9:E$12,$X203),"")</f>
        <v/>
      </c>
      <c r="AB203" s="103" t="str">
        <f>IF($X203&gt;0,INDEX('CostModel Coef'!F$9:F$12,$X203),"")</f>
        <v/>
      </c>
      <c r="AC203" s="103" t="str">
        <f>IF($X203&gt;0,INDEX('CostModel Coef'!G$9:G$12,$X203),"")</f>
        <v/>
      </c>
      <c r="AD203" s="103" t="str">
        <f>IF($X203&gt;0,INDEX('CostModel Coef'!H$9:H$12,$X203),"")</f>
        <v/>
      </c>
      <c r="AE203" s="103" t="str">
        <f>IF($X203&gt;0,INDEX('CostModel Coef'!J$9:J$12,$X203),"")</f>
        <v/>
      </c>
      <c r="AF203" s="103" t="str">
        <f>IF($X203&gt;0,INDEX('CostModel Coef'!K$9:K$12,$X203),"")</f>
        <v/>
      </c>
      <c r="AG203" s="103" t="str">
        <f>IF($X203&gt;0,INDEX('CostModel Coef'!L$9:L$12,$X203),"")</f>
        <v/>
      </c>
      <c r="AH203" s="103" t="str">
        <f>IF($X203&gt;0,INDEX('CostModel Coef'!M$9:M$12,$X203),"")</f>
        <v/>
      </c>
      <c r="AI203" s="103" t="str">
        <f>IF($X203&gt;0,INDEX('CostModel Coef'!N$9:N$12,$X203),"")</f>
        <v/>
      </c>
      <c r="AJ203" s="103" t="str">
        <f>IF($X203&gt;0,INDEX('CostModel Coef'!Q$9:Q$12,$X203),"")</f>
        <v/>
      </c>
      <c r="AK203" s="103" t="str">
        <f>IF($X203&gt;0,INDEX('CostModel Coef'!T$9:T$12,$X203),"")</f>
        <v/>
      </c>
      <c r="AL203" s="103"/>
      <c r="AM203" s="108" t="str">
        <f t="shared" si="79"/>
        <v/>
      </c>
      <c r="AN203" s="108" t="str">
        <f t="shared" si="80"/>
        <v/>
      </c>
      <c r="AO203" s="108" t="str">
        <f t="shared" si="81"/>
        <v/>
      </c>
      <c r="AP203" s="108" t="str">
        <f t="shared" si="82"/>
        <v/>
      </c>
      <c r="AQ203" s="108" t="str">
        <f t="shared" si="83"/>
        <v/>
      </c>
      <c r="AR203" s="108"/>
      <c r="AS203" s="108"/>
      <c r="AT203" s="103" t="str">
        <f>IF($X203&gt;0,INDEX('CostModel Coef'!D$13:D$16,$X203),"")</f>
        <v/>
      </c>
      <c r="AU203" s="103" t="str">
        <f>IF($X203&gt;0,INDEX('CostModel Coef'!E$13:E$16,$X203),"")</f>
        <v/>
      </c>
      <c r="AV203" s="103" t="str">
        <f>IF($X203&gt;0,INDEX('CostModel Coef'!F$13:F$16,$X203),"")</f>
        <v/>
      </c>
      <c r="AW203" s="103" t="str">
        <f>IF($X203&gt;0,INDEX('CostModel Coef'!G$13:G$16,$X203),"")</f>
        <v/>
      </c>
      <c r="AX203" s="103" t="str">
        <f>IF($X203&gt;0,INDEX('CostModel Coef'!H$13:H$16,$X203),"")</f>
        <v/>
      </c>
      <c r="AY203" s="103" t="str">
        <f>IF($X203&gt;0,INDEX('CostModel Coef'!I$13:I$16,$X203),"")</f>
        <v/>
      </c>
      <c r="AZ203" s="103" t="str">
        <f>IF($X203&gt;0,INDEX('CostModel Coef'!J$13:J$16,$X203),"")</f>
        <v/>
      </c>
      <c r="BA203" s="103" t="str">
        <f>IF($X203&gt;0,INDEX('CostModel Coef'!K$13:K$16,$X203),"")</f>
        <v/>
      </c>
      <c r="BB203" s="103" t="str">
        <f>IF($X203&gt;0,INDEX('CostModel Coef'!L$13:L$16,$X203),"")</f>
        <v/>
      </c>
      <c r="BC203" s="103" t="str">
        <f>IF($X203&gt;0,INDEX('CostModel Coef'!M$13:M$16,$X203),"")</f>
        <v/>
      </c>
      <c r="BD203" s="103" t="str">
        <f>IF($X203&gt;0,INDEX('CostModel Coef'!N$13:N$16,$X203),"")</f>
        <v/>
      </c>
      <c r="BE203" s="103" t="str">
        <f>IF($X203&gt;0,INDEX('CostModel Coef'!O$13:O$16,$X203),"")</f>
        <v/>
      </c>
      <c r="BF203" s="103" t="str">
        <f>IF($X203&gt;0,INDEX('CostModel Coef'!P$13:P$16,$X203),"")</f>
        <v/>
      </c>
      <c r="BG203" s="103" t="str">
        <f>IF($X203&gt;0,INDEX('CostModel Coef'!Q$13:Q$16,$X203),"")</f>
        <v/>
      </c>
      <c r="BH203" s="103" t="str">
        <f>IF($X203&gt;0,INDEX('CostModel Coef'!R$13:R$16,$X203),"")</f>
        <v/>
      </c>
      <c r="BI203" s="103" t="str">
        <f>IF($X203&gt;0,INDEX('CostModel Coef'!S$13:S$16,$X203),"")</f>
        <v/>
      </c>
      <c r="BJ203" s="103" t="str">
        <f>IF($X203&gt;0,INDEX('CostModel Coef'!T$13:T$16,$X203),"")</f>
        <v/>
      </c>
      <c r="BK203" s="103" t="str">
        <f>IF($X203&gt;0,INDEX('CostModel Coef'!U$13:U$16,$X203),"")</f>
        <v/>
      </c>
      <c r="BL203" s="103" t="str">
        <f>IF($X203&gt;0,INDEX('CostModel Coef'!V$13:V$16,$X203),"")</f>
        <v/>
      </c>
      <c r="BM203" s="103" t="str">
        <f>IF($X203&gt;0,INDEX('CostModel Coef'!W$13:W$16,$X203),"")</f>
        <v/>
      </c>
      <c r="BN203" s="103" t="str">
        <f>IF($X203&gt;0,INDEX('CostModel Coef'!X$13:X$16,$X203),"")</f>
        <v/>
      </c>
      <c r="BO203" s="103"/>
      <c r="BP203" s="119">
        <v>2000</v>
      </c>
      <c r="BQ203" s="103"/>
      <c r="BR203" s="103"/>
      <c r="BS203" s="119" t="str">
        <f t="shared" si="60"/>
        <v/>
      </c>
      <c r="BT203" s="174">
        <f t="shared" si="78"/>
        <v>-1</v>
      </c>
      <c r="BU203" s="113" t="str">
        <f t="shared" si="62"/>
        <v>OOS</v>
      </c>
      <c r="BV203" s="108" t="str">
        <f t="shared" si="63"/>
        <v>OOS</v>
      </c>
      <c r="BW203" s="108" t="str">
        <f t="shared" si="64"/>
        <v>OOS</v>
      </c>
      <c r="BX203" s="108" t="str">
        <f t="shared" si="65"/>
        <v>OOS</v>
      </c>
      <c r="BY203" s="108" t="str">
        <f t="shared" si="66"/>
        <v>OOS</v>
      </c>
      <c r="BZ203" s="108"/>
      <c r="CA203" s="119" t="str">
        <f t="shared" si="67"/>
        <v/>
      </c>
      <c r="CB203" s="174">
        <f t="shared" si="84"/>
        <v>-1</v>
      </c>
      <c r="CC203" s="113" t="str">
        <f t="shared" si="68"/>
        <v/>
      </c>
      <c r="CD203" s="108" t="str">
        <f t="shared" si="69"/>
        <v/>
      </c>
      <c r="CE203" s="108" t="str">
        <f t="shared" si="70"/>
        <v/>
      </c>
      <c r="CF203" s="108" t="str">
        <f t="shared" si="71"/>
        <v/>
      </c>
      <c r="CG203" s="108" t="str">
        <f t="shared" si="72"/>
        <v/>
      </c>
      <c r="CH203" s="103"/>
      <c r="CI203" s="119" t="str">
        <f t="shared" si="61"/>
        <v/>
      </c>
      <c r="CJ203" s="174">
        <f t="shared" si="85"/>
        <v>-1</v>
      </c>
      <c r="CK203" s="113" t="str">
        <f t="shared" si="73"/>
        <v/>
      </c>
      <c r="CL203" s="108" t="str">
        <f t="shared" si="74"/>
        <v/>
      </c>
      <c r="CM203" s="108" t="str">
        <f t="shared" si="75"/>
        <v/>
      </c>
      <c r="CN203" s="108" t="str">
        <f t="shared" si="76"/>
        <v/>
      </c>
      <c r="CO203" s="108" t="str">
        <f t="shared" si="77"/>
        <v/>
      </c>
    </row>
    <row r="204" spans="1:93">
      <c r="A204" s="103" t="s">
        <v>570</v>
      </c>
      <c r="B204" s="103" t="s">
        <v>165</v>
      </c>
      <c r="C204" s="103" t="s">
        <v>162</v>
      </c>
      <c r="D204" s="250" t="s">
        <v>153</v>
      </c>
      <c r="E204" s="250">
        <v>82</v>
      </c>
      <c r="F204" s="182">
        <v>9020</v>
      </c>
      <c r="G204" s="250" t="s">
        <v>175</v>
      </c>
      <c r="H204" s="250">
        <v>20</v>
      </c>
      <c r="I204" s="250">
        <v>762</v>
      </c>
      <c r="J204" s="250">
        <v>955</v>
      </c>
      <c r="K204" s="250" t="s">
        <v>571</v>
      </c>
      <c r="L204" s="250" t="s">
        <v>61</v>
      </c>
      <c r="M204" s="250">
        <v>20</v>
      </c>
      <c r="N204" s="250"/>
      <c r="O204" s="250"/>
      <c r="P204" s="250" t="s">
        <v>153</v>
      </c>
      <c r="Q204" s="250"/>
      <c r="R204" s="250"/>
      <c r="S204" s="250"/>
      <c r="T204" s="250" t="s">
        <v>155</v>
      </c>
      <c r="U204" s="103" t="s">
        <v>572</v>
      </c>
      <c r="V204" s="106" t="s">
        <v>157</v>
      </c>
      <c r="W204" s="103" t="s">
        <v>82</v>
      </c>
      <c r="X204" s="103">
        <f>IFERROR(MATCH(W204,'CostModel Coef'!$C$9:$C$12,0),0)</f>
        <v>2</v>
      </c>
      <c r="Y204" s="103"/>
      <c r="Z204" s="103">
        <f>IF($X204&gt;0,INDEX('CostModel Coef'!D$9:D$12,$X204),"")</f>
        <v>5.0279999999999996</v>
      </c>
      <c r="AA204" s="103">
        <f>IF($X204&gt;0,INDEX('CostModel Coef'!E$9:E$12,$X204),"")</f>
        <v>0.22669576292256455</v>
      </c>
      <c r="AB204" s="103">
        <f>IF($X204&gt;0,INDEX('CostModel Coef'!F$9:F$12,$X204),"")</f>
        <v>0.94713628548481477</v>
      </c>
      <c r="AC204" s="103">
        <f>IF($X204&gt;0,INDEX('CostModel Coef'!G$9:G$12,$X204),"")</f>
        <v>0</v>
      </c>
      <c r="AD204" s="103">
        <f>IF($X204&gt;0,INDEX('CostModel Coef'!H$9:H$12,$X204),"")</f>
        <v>-2.7940999999999998</v>
      </c>
      <c r="AE204" s="103">
        <f>IF($X204&gt;0,INDEX('CostModel Coef'!J$9:J$12,$X204),"")</f>
        <v>0</v>
      </c>
      <c r="AF204" s="103">
        <f>IF($X204&gt;0,INDEX('CostModel Coef'!K$9:K$12,$X204),"")</f>
        <v>-0.57599999999999996</v>
      </c>
      <c r="AG204" s="103">
        <f>IF($X204&gt;0,INDEX('CostModel Coef'!L$9:L$12,$X204),"")</f>
        <v>0</v>
      </c>
      <c r="AH204" s="103">
        <f>IF($X204&gt;0,INDEX('CostModel Coef'!M$9:M$12,$X204),"")</f>
        <v>4.0461</v>
      </c>
      <c r="AI204" s="103">
        <f>IF($X204&gt;0,INDEX('CostModel Coef'!N$9:N$12,$X204),"")</f>
        <v>0</v>
      </c>
      <c r="AJ204" s="103">
        <f>IF($X204&gt;0,INDEX('CostModel Coef'!Q$9:Q$12,$X204),"")</f>
        <v>0.14729999999999999</v>
      </c>
      <c r="AK204" s="103">
        <f>IF($X204&gt;0,INDEX('CostModel Coef'!T$9:T$12,$X204),"")</f>
        <v>0</v>
      </c>
      <c r="AL204" s="103"/>
      <c r="AM204" s="108">
        <f t="shared" si="79"/>
        <v>8.5718320484073782</v>
      </c>
      <c r="AN204" s="108">
        <f t="shared" si="80"/>
        <v>9.1478320484073787</v>
      </c>
      <c r="AO204" s="108">
        <f t="shared" si="81"/>
        <v>6.3537320484073785</v>
      </c>
      <c r="AP204" s="108">
        <f t="shared" si="82"/>
        <v>6.3537320484073785</v>
      </c>
      <c r="AQ204" s="108">
        <f t="shared" si="83"/>
        <v>6.3537320484073785</v>
      </c>
      <c r="AR204" s="108"/>
      <c r="AS204" s="108"/>
      <c r="AT204" s="103">
        <f>IF($X204&gt;0,INDEX('CostModel Coef'!D$13:D$16,$X204),"")</f>
        <v>3.984</v>
      </c>
      <c r="AU204" s="103">
        <f>IF($X204&gt;0,INDEX('CostModel Coef'!E$13:E$16,$X204),"")</f>
        <v>0.38800000000000001</v>
      </c>
      <c r="AV204" s="103">
        <f>IF($X204&gt;0,INDEX('CostModel Coef'!F$13:F$16,$X204),"")</f>
        <v>0.98799999999999999</v>
      </c>
      <c r="AW204" s="103">
        <f>IF($X204&gt;0,INDEX('CostModel Coef'!G$13:G$16,$X204),"")</f>
        <v>0</v>
      </c>
      <c r="AX204" s="103">
        <f>IF($X204&gt;0,INDEX('CostModel Coef'!H$13:H$16,$X204),"")</f>
        <v>-2.3199999999999998</v>
      </c>
      <c r="AY204" s="103">
        <f>IF($X204&gt;0,INDEX('CostModel Coef'!I$13:I$16,$X204),"")</f>
        <v>-1.85</v>
      </c>
      <c r="AZ204" s="103">
        <f>IF($X204&gt;0,INDEX('CostModel Coef'!J$13:J$16,$X204),"")</f>
        <v>0</v>
      </c>
      <c r="BA204" s="103">
        <f>IF($X204&gt;0,INDEX('CostModel Coef'!K$13:K$16,$X204),"")</f>
        <v>-1.0070000000000001</v>
      </c>
      <c r="BB204" s="103">
        <f>IF($X204&gt;0,INDEX('CostModel Coef'!L$13:L$16,$X204),"")</f>
        <v>0</v>
      </c>
      <c r="BC204" s="103">
        <f>IF($X204&gt;0,INDEX('CostModel Coef'!M$13:M$16,$X204),"")</f>
        <v>0</v>
      </c>
      <c r="BD204" s="103">
        <f>IF($X204&gt;0,INDEX('CostModel Coef'!N$13:N$16,$X204),"")</f>
        <v>0.5907</v>
      </c>
      <c r="BE204" s="103">
        <f>IF($X204&gt;0,INDEX('CostModel Coef'!O$13:O$16,$X204),"")</f>
        <v>0.75</v>
      </c>
      <c r="BF204" s="103">
        <f>IF($X204&gt;0,INDEX('CostModel Coef'!P$13:P$16,$X204),"")</f>
        <v>8</v>
      </c>
      <c r="BG204" s="103">
        <f>IF($X204&gt;0,INDEX('CostModel Coef'!Q$13:Q$16,$X204),"")</f>
        <v>1.04E-2</v>
      </c>
      <c r="BH204" s="103">
        <f>IF($X204&gt;0,INDEX('CostModel Coef'!R$13:R$16,$X204),"")</f>
        <v>12</v>
      </c>
      <c r="BI204" s="103">
        <f>IF($X204&gt;0,INDEX('CostModel Coef'!S$13:S$16,$X204),"")</f>
        <v>150</v>
      </c>
      <c r="BJ204" s="103">
        <f>IF($X204&gt;0,INDEX('CostModel Coef'!T$13:T$16,$X204),"")</f>
        <v>0</v>
      </c>
      <c r="BK204" s="103">
        <f>IF($X204&gt;0,INDEX('CostModel Coef'!U$13:U$16,$X204),"")</f>
        <v>0</v>
      </c>
      <c r="BL204" s="103">
        <f>IF($X204&gt;0,INDEX('CostModel Coef'!V$13:V$16,$X204),"")</f>
        <v>0</v>
      </c>
      <c r="BM204" s="103">
        <f>IF($X204&gt;0,INDEX('CostModel Coef'!W$13:W$16,$X204),"")</f>
        <v>0</v>
      </c>
      <c r="BN204" s="103">
        <f>IF($X204&gt;0,INDEX('CostModel Coef'!X$13:X$16,$X204),"")</f>
        <v>0</v>
      </c>
      <c r="BO204" s="103"/>
      <c r="BP204" s="119">
        <v>2000</v>
      </c>
      <c r="BQ204" s="103"/>
      <c r="BR204" s="103"/>
      <c r="BS204" s="119" t="str">
        <f t="shared" si="60"/>
        <v>WRR0409_CFLscw-Refl(20w)</v>
      </c>
      <c r="BT204" s="174">
        <f t="shared" si="78"/>
        <v>82</v>
      </c>
      <c r="BU204" s="113">
        <f t="shared" si="62"/>
        <v>6.3872</v>
      </c>
      <c r="BV204" s="108">
        <f t="shared" si="63"/>
        <v>7.3941999999999997</v>
      </c>
      <c r="BW204" s="108">
        <f t="shared" si="64"/>
        <v>5.0741999999999994</v>
      </c>
      <c r="BX204" s="108">
        <f t="shared" si="65"/>
        <v>3.2241999999999993</v>
      </c>
      <c r="BY204" s="108">
        <f t="shared" si="66"/>
        <v>3.2241999999999993</v>
      </c>
      <c r="BZ204" s="108"/>
      <c r="CA204" s="119" t="str">
        <f t="shared" si="67"/>
        <v>WRR0407_CFLscw-Refl(20w)</v>
      </c>
      <c r="CB204" s="174">
        <f t="shared" si="84"/>
        <v>81</v>
      </c>
      <c r="CC204" s="113">
        <f t="shared" si="68"/>
        <v>6.3767999999999994</v>
      </c>
      <c r="CD204" s="108">
        <f t="shared" si="69"/>
        <v>7.383799999999999</v>
      </c>
      <c r="CE204" s="108">
        <f t="shared" si="70"/>
        <v>5.0637999999999987</v>
      </c>
      <c r="CF204" s="108">
        <f t="shared" si="71"/>
        <v>3.2137999999999987</v>
      </c>
      <c r="CG204" s="108">
        <f t="shared" si="72"/>
        <v>3.2137999999999987</v>
      </c>
      <c r="CH204" s="103"/>
      <c r="CI204" s="119" t="str">
        <f t="shared" si="61"/>
        <v/>
      </c>
      <c r="CJ204" s="174">
        <f t="shared" si="85"/>
        <v>-1</v>
      </c>
      <c r="CK204" s="113" t="str">
        <f t="shared" si="73"/>
        <v/>
      </c>
      <c r="CL204" s="108" t="str">
        <f t="shared" si="74"/>
        <v/>
      </c>
      <c r="CM204" s="108" t="str">
        <f t="shared" si="75"/>
        <v/>
      </c>
      <c r="CN204" s="108" t="str">
        <f t="shared" si="76"/>
        <v/>
      </c>
      <c r="CO204" s="108" t="str">
        <f t="shared" si="77"/>
        <v/>
      </c>
    </row>
    <row r="205" spans="1:93">
      <c r="A205" s="103" t="s">
        <v>573</v>
      </c>
      <c r="B205" s="103" t="s">
        <v>165</v>
      </c>
      <c r="C205" s="103" t="s">
        <v>162</v>
      </c>
      <c r="D205" s="250" t="s">
        <v>153</v>
      </c>
      <c r="E205" s="250">
        <v>82</v>
      </c>
      <c r="F205" s="182">
        <v>9020</v>
      </c>
      <c r="G205" s="250" t="s">
        <v>175</v>
      </c>
      <c r="H205" s="250">
        <v>21</v>
      </c>
      <c r="I205" s="250">
        <v>801</v>
      </c>
      <c r="J205" s="250">
        <v>1003</v>
      </c>
      <c r="K205" s="250" t="s">
        <v>574</v>
      </c>
      <c r="L205" s="250" t="s">
        <v>61</v>
      </c>
      <c r="M205" s="250">
        <v>21</v>
      </c>
      <c r="N205" s="250"/>
      <c r="O205" s="250"/>
      <c r="P205" s="250" t="s">
        <v>153</v>
      </c>
      <c r="Q205" s="250"/>
      <c r="R205" s="250"/>
      <c r="S205" s="250"/>
      <c r="T205" s="250" t="s">
        <v>155</v>
      </c>
      <c r="U205" s="103" t="s">
        <v>575</v>
      </c>
      <c r="V205" s="106" t="s">
        <v>157</v>
      </c>
      <c r="W205" s="103" t="s">
        <v>82</v>
      </c>
      <c r="X205" s="103">
        <f>IFERROR(MATCH(W205,'CostModel Coef'!$C$9:$C$12,0),0)</f>
        <v>2</v>
      </c>
      <c r="Y205" s="103"/>
      <c r="Z205" s="103">
        <f>IF($X205&gt;0,INDEX('CostModel Coef'!D$9:D$12,$X205),"")</f>
        <v>5.0279999999999996</v>
      </c>
      <c r="AA205" s="103">
        <f>IF($X205&gt;0,INDEX('CostModel Coef'!E$9:E$12,$X205),"")</f>
        <v>0.22669576292256455</v>
      </c>
      <c r="AB205" s="103">
        <f>IF($X205&gt;0,INDEX('CostModel Coef'!F$9:F$12,$X205),"")</f>
        <v>0.94713628548481477</v>
      </c>
      <c r="AC205" s="103">
        <f>IF($X205&gt;0,INDEX('CostModel Coef'!G$9:G$12,$X205),"")</f>
        <v>0</v>
      </c>
      <c r="AD205" s="103">
        <f>IF($X205&gt;0,INDEX('CostModel Coef'!H$9:H$12,$X205),"")</f>
        <v>-2.7940999999999998</v>
      </c>
      <c r="AE205" s="103">
        <f>IF($X205&gt;0,INDEX('CostModel Coef'!J$9:J$12,$X205),"")</f>
        <v>0</v>
      </c>
      <c r="AF205" s="103">
        <f>IF($X205&gt;0,INDEX('CostModel Coef'!K$9:K$12,$X205),"")</f>
        <v>-0.57599999999999996</v>
      </c>
      <c r="AG205" s="103">
        <f>IF($X205&gt;0,INDEX('CostModel Coef'!L$9:L$12,$X205),"")</f>
        <v>0</v>
      </c>
      <c r="AH205" s="103">
        <f>IF($X205&gt;0,INDEX('CostModel Coef'!M$9:M$12,$X205),"")</f>
        <v>4.0461</v>
      </c>
      <c r="AI205" s="103">
        <f>IF($X205&gt;0,INDEX('CostModel Coef'!N$9:N$12,$X205),"")</f>
        <v>0</v>
      </c>
      <c r="AJ205" s="103">
        <f>IF($X205&gt;0,INDEX('CostModel Coef'!Q$9:Q$12,$X205),"")</f>
        <v>0.14729999999999999</v>
      </c>
      <c r="AK205" s="103">
        <f>IF($X205&gt;0,INDEX('CostModel Coef'!T$9:T$12,$X205),"")</f>
        <v>0</v>
      </c>
      <c r="AL205" s="103"/>
      <c r="AM205" s="108">
        <f t="shared" si="79"/>
        <v>8.7191320484073778</v>
      </c>
      <c r="AN205" s="108">
        <f t="shared" si="80"/>
        <v>9.2951320484073783</v>
      </c>
      <c r="AO205" s="108">
        <f t="shared" si="81"/>
        <v>6.501032048407378</v>
      </c>
      <c r="AP205" s="108">
        <f t="shared" si="82"/>
        <v>6.501032048407378</v>
      </c>
      <c r="AQ205" s="108">
        <f t="shared" si="83"/>
        <v>6.501032048407378</v>
      </c>
      <c r="AR205" s="108"/>
      <c r="AS205" s="108"/>
      <c r="AT205" s="103">
        <f>IF($X205&gt;0,INDEX('CostModel Coef'!D$13:D$16,$X205),"")</f>
        <v>3.984</v>
      </c>
      <c r="AU205" s="103">
        <f>IF($X205&gt;0,INDEX('CostModel Coef'!E$13:E$16,$X205),"")</f>
        <v>0.38800000000000001</v>
      </c>
      <c r="AV205" s="103">
        <f>IF($X205&gt;0,INDEX('CostModel Coef'!F$13:F$16,$X205),"")</f>
        <v>0.98799999999999999</v>
      </c>
      <c r="AW205" s="103">
        <f>IF($X205&gt;0,INDEX('CostModel Coef'!G$13:G$16,$X205),"")</f>
        <v>0</v>
      </c>
      <c r="AX205" s="103">
        <f>IF($X205&gt;0,INDEX('CostModel Coef'!H$13:H$16,$X205),"")</f>
        <v>-2.3199999999999998</v>
      </c>
      <c r="AY205" s="103">
        <f>IF($X205&gt;0,INDEX('CostModel Coef'!I$13:I$16,$X205),"")</f>
        <v>-1.85</v>
      </c>
      <c r="AZ205" s="103">
        <f>IF($X205&gt;0,INDEX('CostModel Coef'!J$13:J$16,$X205),"")</f>
        <v>0</v>
      </c>
      <c r="BA205" s="103">
        <f>IF($X205&gt;0,INDEX('CostModel Coef'!K$13:K$16,$X205),"")</f>
        <v>-1.0070000000000001</v>
      </c>
      <c r="BB205" s="103">
        <f>IF($X205&gt;0,INDEX('CostModel Coef'!L$13:L$16,$X205),"")</f>
        <v>0</v>
      </c>
      <c r="BC205" s="103">
        <f>IF($X205&gt;0,INDEX('CostModel Coef'!M$13:M$16,$X205),"")</f>
        <v>0</v>
      </c>
      <c r="BD205" s="103">
        <f>IF($X205&gt;0,INDEX('CostModel Coef'!N$13:N$16,$X205),"")</f>
        <v>0.5907</v>
      </c>
      <c r="BE205" s="103">
        <f>IF($X205&gt;0,INDEX('CostModel Coef'!O$13:O$16,$X205),"")</f>
        <v>0.75</v>
      </c>
      <c r="BF205" s="103">
        <f>IF($X205&gt;0,INDEX('CostModel Coef'!P$13:P$16,$X205),"")</f>
        <v>8</v>
      </c>
      <c r="BG205" s="103">
        <f>IF($X205&gt;0,INDEX('CostModel Coef'!Q$13:Q$16,$X205),"")</f>
        <v>1.04E-2</v>
      </c>
      <c r="BH205" s="103">
        <f>IF($X205&gt;0,INDEX('CostModel Coef'!R$13:R$16,$X205),"")</f>
        <v>12</v>
      </c>
      <c r="BI205" s="103">
        <f>IF($X205&gt;0,INDEX('CostModel Coef'!S$13:S$16,$X205),"")</f>
        <v>150</v>
      </c>
      <c r="BJ205" s="103">
        <f>IF($X205&gt;0,INDEX('CostModel Coef'!T$13:T$16,$X205),"")</f>
        <v>0</v>
      </c>
      <c r="BK205" s="103">
        <f>IF($X205&gt;0,INDEX('CostModel Coef'!U$13:U$16,$X205),"")</f>
        <v>0</v>
      </c>
      <c r="BL205" s="103">
        <f>IF($X205&gt;0,INDEX('CostModel Coef'!V$13:V$16,$X205),"")</f>
        <v>0</v>
      </c>
      <c r="BM205" s="103">
        <f>IF($X205&gt;0,INDEX('CostModel Coef'!W$13:W$16,$X205),"")</f>
        <v>0</v>
      </c>
      <c r="BN205" s="103">
        <f>IF($X205&gt;0,INDEX('CostModel Coef'!X$13:X$16,$X205),"")</f>
        <v>0</v>
      </c>
      <c r="BO205" s="103"/>
      <c r="BP205" s="119">
        <v>2000</v>
      </c>
      <c r="BQ205" s="103"/>
      <c r="BR205" s="103"/>
      <c r="BS205" s="119" t="str">
        <f t="shared" si="60"/>
        <v>WRR0409_CFLscw-Refl(21w)</v>
      </c>
      <c r="BT205" s="174">
        <f t="shared" si="78"/>
        <v>86</v>
      </c>
      <c r="BU205" s="113">
        <f t="shared" si="62"/>
        <v>6.428799999999999</v>
      </c>
      <c r="BV205" s="108">
        <f t="shared" si="63"/>
        <v>7.4357999999999995</v>
      </c>
      <c r="BW205" s="108">
        <f t="shared" si="64"/>
        <v>5.1158000000000001</v>
      </c>
      <c r="BX205" s="108">
        <f t="shared" si="65"/>
        <v>3.2658</v>
      </c>
      <c r="BY205" s="108">
        <f t="shared" si="66"/>
        <v>3.2658</v>
      </c>
      <c r="BZ205" s="108"/>
      <c r="CA205" s="119" t="str">
        <f t="shared" si="67"/>
        <v>WRR0407_CFLscw-Refl(21w)</v>
      </c>
      <c r="CB205" s="174">
        <f t="shared" si="84"/>
        <v>85</v>
      </c>
      <c r="CC205" s="113">
        <f t="shared" si="68"/>
        <v>6.4184000000000001</v>
      </c>
      <c r="CD205" s="108">
        <f t="shared" si="69"/>
        <v>7.4253999999999998</v>
      </c>
      <c r="CE205" s="108">
        <f t="shared" si="70"/>
        <v>5.1053999999999995</v>
      </c>
      <c r="CF205" s="108">
        <f t="shared" si="71"/>
        <v>3.2553999999999994</v>
      </c>
      <c r="CG205" s="108">
        <f t="shared" si="72"/>
        <v>3.2553999999999994</v>
      </c>
      <c r="CH205" s="103"/>
      <c r="CI205" s="119" t="str">
        <f t="shared" si="61"/>
        <v/>
      </c>
      <c r="CJ205" s="174">
        <f t="shared" si="85"/>
        <v>-1</v>
      </c>
      <c r="CK205" s="113" t="str">
        <f t="shared" si="73"/>
        <v/>
      </c>
      <c r="CL205" s="108" t="str">
        <f t="shared" si="74"/>
        <v/>
      </c>
      <c r="CM205" s="108" t="str">
        <f t="shared" si="75"/>
        <v/>
      </c>
      <c r="CN205" s="108" t="str">
        <f t="shared" si="76"/>
        <v/>
      </c>
      <c r="CO205" s="108" t="str">
        <f t="shared" si="77"/>
        <v/>
      </c>
    </row>
    <row r="206" spans="1:93">
      <c r="A206" s="103" t="s">
        <v>576</v>
      </c>
      <c r="B206" s="103" t="s">
        <v>165</v>
      </c>
      <c r="C206" s="103" t="s">
        <v>162</v>
      </c>
      <c r="D206" s="250" t="s">
        <v>153</v>
      </c>
      <c r="E206" s="250">
        <v>82</v>
      </c>
      <c r="F206" s="182">
        <v>9020</v>
      </c>
      <c r="G206" s="250" t="s">
        <v>175</v>
      </c>
      <c r="H206" s="250">
        <v>22</v>
      </c>
      <c r="I206" s="250">
        <v>841</v>
      </c>
      <c r="J206" s="250">
        <v>1052</v>
      </c>
      <c r="K206" s="250" t="s">
        <v>577</v>
      </c>
      <c r="L206" s="250" t="s">
        <v>61</v>
      </c>
      <c r="M206" s="250">
        <v>22</v>
      </c>
      <c r="N206" s="250"/>
      <c r="O206" s="250"/>
      <c r="P206" s="250" t="s">
        <v>153</v>
      </c>
      <c r="Q206" s="250"/>
      <c r="R206" s="250"/>
      <c r="S206" s="250"/>
      <c r="T206" s="250" t="s">
        <v>155</v>
      </c>
      <c r="U206" s="103" t="s">
        <v>578</v>
      </c>
      <c r="V206" s="106" t="s">
        <v>157</v>
      </c>
      <c r="W206" s="103" t="s">
        <v>82</v>
      </c>
      <c r="X206" s="103">
        <f>IFERROR(MATCH(W206,'CostModel Coef'!$C$9:$C$12,0),0)</f>
        <v>2</v>
      </c>
      <c r="Y206" s="103"/>
      <c r="Z206" s="103">
        <f>IF($X206&gt;0,INDEX('CostModel Coef'!D$9:D$12,$X206),"")</f>
        <v>5.0279999999999996</v>
      </c>
      <c r="AA206" s="103">
        <f>IF($X206&gt;0,INDEX('CostModel Coef'!E$9:E$12,$X206),"")</f>
        <v>0.22669576292256455</v>
      </c>
      <c r="AB206" s="103">
        <f>IF($X206&gt;0,INDEX('CostModel Coef'!F$9:F$12,$X206),"")</f>
        <v>0.94713628548481477</v>
      </c>
      <c r="AC206" s="103">
        <f>IF($X206&gt;0,INDEX('CostModel Coef'!G$9:G$12,$X206),"")</f>
        <v>0</v>
      </c>
      <c r="AD206" s="103">
        <f>IF($X206&gt;0,INDEX('CostModel Coef'!H$9:H$12,$X206),"")</f>
        <v>-2.7940999999999998</v>
      </c>
      <c r="AE206" s="103">
        <f>IF($X206&gt;0,INDEX('CostModel Coef'!J$9:J$12,$X206),"")</f>
        <v>0</v>
      </c>
      <c r="AF206" s="103">
        <f>IF($X206&gt;0,INDEX('CostModel Coef'!K$9:K$12,$X206),"")</f>
        <v>-0.57599999999999996</v>
      </c>
      <c r="AG206" s="103">
        <f>IF($X206&gt;0,INDEX('CostModel Coef'!L$9:L$12,$X206),"")</f>
        <v>0</v>
      </c>
      <c r="AH206" s="103">
        <f>IF($X206&gt;0,INDEX('CostModel Coef'!M$9:M$12,$X206),"")</f>
        <v>4.0461</v>
      </c>
      <c r="AI206" s="103">
        <f>IF($X206&gt;0,INDEX('CostModel Coef'!N$9:N$12,$X206),"")</f>
        <v>0</v>
      </c>
      <c r="AJ206" s="103">
        <f>IF($X206&gt;0,INDEX('CostModel Coef'!Q$9:Q$12,$X206),"")</f>
        <v>0.14729999999999999</v>
      </c>
      <c r="AK206" s="103">
        <f>IF($X206&gt;0,INDEX('CostModel Coef'!T$9:T$12,$X206),"")</f>
        <v>0</v>
      </c>
      <c r="AL206" s="103"/>
      <c r="AM206" s="108">
        <f t="shared" si="79"/>
        <v>8.8664320484073791</v>
      </c>
      <c r="AN206" s="108">
        <f t="shared" si="80"/>
        <v>9.4424320484073796</v>
      </c>
      <c r="AO206" s="108">
        <f t="shared" si="81"/>
        <v>6.6483320484073793</v>
      </c>
      <c r="AP206" s="108">
        <f t="shared" si="82"/>
        <v>6.6483320484073793</v>
      </c>
      <c r="AQ206" s="108">
        <f t="shared" si="83"/>
        <v>6.6483320484073793</v>
      </c>
      <c r="AR206" s="108"/>
      <c r="AS206" s="108"/>
      <c r="AT206" s="103">
        <f>IF($X206&gt;0,INDEX('CostModel Coef'!D$13:D$16,$X206),"")</f>
        <v>3.984</v>
      </c>
      <c r="AU206" s="103">
        <f>IF($X206&gt;0,INDEX('CostModel Coef'!E$13:E$16,$X206),"")</f>
        <v>0.38800000000000001</v>
      </c>
      <c r="AV206" s="103">
        <f>IF($X206&gt;0,INDEX('CostModel Coef'!F$13:F$16,$X206),"")</f>
        <v>0.98799999999999999</v>
      </c>
      <c r="AW206" s="103">
        <f>IF($X206&gt;0,INDEX('CostModel Coef'!G$13:G$16,$X206),"")</f>
        <v>0</v>
      </c>
      <c r="AX206" s="103">
        <f>IF($X206&gt;0,INDEX('CostModel Coef'!H$13:H$16,$X206),"")</f>
        <v>-2.3199999999999998</v>
      </c>
      <c r="AY206" s="103">
        <f>IF($X206&gt;0,INDEX('CostModel Coef'!I$13:I$16,$X206),"")</f>
        <v>-1.85</v>
      </c>
      <c r="AZ206" s="103">
        <f>IF($X206&gt;0,INDEX('CostModel Coef'!J$13:J$16,$X206),"")</f>
        <v>0</v>
      </c>
      <c r="BA206" s="103">
        <f>IF($X206&gt;0,INDEX('CostModel Coef'!K$13:K$16,$X206),"")</f>
        <v>-1.0070000000000001</v>
      </c>
      <c r="BB206" s="103">
        <f>IF($X206&gt;0,INDEX('CostModel Coef'!L$13:L$16,$X206),"")</f>
        <v>0</v>
      </c>
      <c r="BC206" s="103">
        <f>IF($X206&gt;0,INDEX('CostModel Coef'!M$13:M$16,$X206),"")</f>
        <v>0</v>
      </c>
      <c r="BD206" s="103">
        <f>IF($X206&gt;0,INDEX('CostModel Coef'!N$13:N$16,$X206),"")</f>
        <v>0.5907</v>
      </c>
      <c r="BE206" s="103">
        <f>IF($X206&gt;0,INDEX('CostModel Coef'!O$13:O$16,$X206),"")</f>
        <v>0.75</v>
      </c>
      <c r="BF206" s="103">
        <f>IF($X206&gt;0,INDEX('CostModel Coef'!P$13:P$16,$X206),"")</f>
        <v>8</v>
      </c>
      <c r="BG206" s="103">
        <f>IF($X206&gt;0,INDEX('CostModel Coef'!Q$13:Q$16,$X206),"")</f>
        <v>1.04E-2</v>
      </c>
      <c r="BH206" s="103">
        <f>IF($X206&gt;0,INDEX('CostModel Coef'!R$13:R$16,$X206),"")</f>
        <v>12</v>
      </c>
      <c r="BI206" s="103">
        <f>IF($X206&gt;0,INDEX('CostModel Coef'!S$13:S$16,$X206),"")</f>
        <v>150</v>
      </c>
      <c r="BJ206" s="103">
        <f>IF($X206&gt;0,INDEX('CostModel Coef'!T$13:T$16,$X206),"")</f>
        <v>0</v>
      </c>
      <c r="BK206" s="103">
        <f>IF($X206&gt;0,INDEX('CostModel Coef'!U$13:U$16,$X206),"")</f>
        <v>0</v>
      </c>
      <c r="BL206" s="103">
        <f>IF($X206&gt;0,INDEX('CostModel Coef'!V$13:V$16,$X206),"")</f>
        <v>0</v>
      </c>
      <c r="BM206" s="103">
        <f>IF($X206&gt;0,INDEX('CostModel Coef'!W$13:W$16,$X206),"")</f>
        <v>0</v>
      </c>
      <c r="BN206" s="103">
        <f>IF($X206&gt;0,INDEX('CostModel Coef'!X$13:X$16,$X206),"")</f>
        <v>0</v>
      </c>
      <c r="BO206" s="103"/>
      <c r="BP206" s="119">
        <v>2000</v>
      </c>
      <c r="BQ206" s="103"/>
      <c r="BR206" s="103"/>
      <c r="BS206" s="119" t="str">
        <f t="shared" si="60"/>
        <v>WRR0409_CFLscw-Refl(22w)</v>
      </c>
      <c r="BT206" s="174">
        <f t="shared" si="78"/>
        <v>90</v>
      </c>
      <c r="BU206" s="113">
        <f t="shared" si="62"/>
        <v>6.4703999999999997</v>
      </c>
      <c r="BV206" s="108">
        <f t="shared" si="63"/>
        <v>7.4773999999999994</v>
      </c>
      <c r="BW206" s="108">
        <f t="shared" si="64"/>
        <v>5.1573999999999991</v>
      </c>
      <c r="BX206" s="108">
        <f t="shared" si="65"/>
        <v>3.307399999999999</v>
      </c>
      <c r="BY206" s="108">
        <f t="shared" si="66"/>
        <v>3.307399999999999</v>
      </c>
      <c r="BZ206" s="108"/>
      <c r="CA206" s="119" t="str">
        <f t="shared" si="67"/>
        <v>WRR0407_CFLscw-Refl(22w)</v>
      </c>
      <c r="CB206" s="174">
        <f t="shared" si="84"/>
        <v>90</v>
      </c>
      <c r="CC206" s="113">
        <f t="shared" si="68"/>
        <v>6.4703999999999997</v>
      </c>
      <c r="CD206" s="108">
        <f t="shared" si="69"/>
        <v>7.4773999999999994</v>
      </c>
      <c r="CE206" s="108">
        <f t="shared" si="70"/>
        <v>5.1573999999999991</v>
      </c>
      <c r="CF206" s="108">
        <f t="shared" si="71"/>
        <v>3.307399999999999</v>
      </c>
      <c r="CG206" s="108">
        <f t="shared" si="72"/>
        <v>3.307399999999999</v>
      </c>
      <c r="CH206" s="103"/>
      <c r="CI206" s="119" t="str">
        <f t="shared" si="61"/>
        <v/>
      </c>
      <c r="CJ206" s="174">
        <f t="shared" si="85"/>
        <v>-1</v>
      </c>
      <c r="CK206" s="113" t="str">
        <f t="shared" si="73"/>
        <v/>
      </c>
      <c r="CL206" s="108" t="str">
        <f t="shared" si="74"/>
        <v/>
      </c>
      <c r="CM206" s="108" t="str">
        <f t="shared" si="75"/>
        <v/>
      </c>
      <c r="CN206" s="108" t="str">
        <f t="shared" si="76"/>
        <v/>
      </c>
      <c r="CO206" s="108" t="str">
        <f t="shared" si="77"/>
        <v/>
      </c>
    </row>
    <row r="207" spans="1:93">
      <c r="A207" s="103" t="s">
        <v>579</v>
      </c>
      <c r="B207" s="103" t="s">
        <v>165</v>
      </c>
      <c r="C207" s="103" t="s">
        <v>162</v>
      </c>
      <c r="D207" s="250" t="s">
        <v>153</v>
      </c>
      <c r="E207" s="250">
        <v>82</v>
      </c>
      <c r="F207" s="182">
        <v>9020</v>
      </c>
      <c r="G207" s="250" t="s">
        <v>175</v>
      </c>
      <c r="H207" s="250">
        <v>24</v>
      </c>
      <c r="I207" s="250">
        <v>925</v>
      </c>
      <c r="J207" s="250">
        <v>1158</v>
      </c>
      <c r="K207" s="250" t="s">
        <v>580</v>
      </c>
      <c r="L207" s="250" t="s">
        <v>61</v>
      </c>
      <c r="M207" s="250">
        <v>24</v>
      </c>
      <c r="N207" s="250"/>
      <c r="O207" s="250"/>
      <c r="P207" s="250" t="s">
        <v>153</v>
      </c>
      <c r="Q207" s="250"/>
      <c r="R207" s="250"/>
      <c r="S207" s="250"/>
      <c r="T207" s="250" t="s">
        <v>155</v>
      </c>
      <c r="U207" s="103" t="s">
        <v>581</v>
      </c>
      <c r="V207" s="106" t="s">
        <v>157</v>
      </c>
      <c r="W207" s="103" t="s">
        <v>82</v>
      </c>
      <c r="X207" s="103">
        <f>IFERROR(MATCH(W207,'CostModel Coef'!$C$9:$C$12,0),0)</f>
        <v>2</v>
      </c>
      <c r="Y207" s="103"/>
      <c r="Z207" s="103">
        <f>IF($X207&gt;0,INDEX('CostModel Coef'!D$9:D$12,$X207),"")</f>
        <v>5.0279999999999996</v>
      </c>
      <c r="AA207" s="103">
        <f>IF($X207&gt;0,INDEX('CostModel Coef'!E$9:E$12,$X207),"")</f>
        <v>0.22669576292256455</v>
      </c>
      <c r="AB207" s="103">
        <f>IF($X207&gt;0,INDEX('CostModel Coef'!F$9:F$12,$X207),"")</f>
        <v>0.94713628548481477</v>
      </c>
      <c r="AC207" s="103">
        <f>IF($X207&gt;0,INDEX('CostModel Coef'!G$9:G$12,$X207),"")</f>
        <v>0</v>
      </c>
      <c r="AD207" s="103">
        <f>IF($X207&gt;0,INDEX('CostModel Coef'!H$9:H$12,$X207),"")</f>
        <v>-2.7940999999999998</v>
      </c>
      <c r="AE207" s="103">
        <f>IF($X207&gt;0,INDEX('CostModel Coef'!J$9:J$12,$X207),"")</f>
        <v>0</v>
      </c>
      <c r="AF207" s="103">
        <f>IF($X207&gt;0,INDEX('CostModel Coef'!K$9:K$12,$X207),"")</f>
        <v>-0.57599999999999996</v>
      </c>
      <c r="AG207" s="103">
        <f>IF($X207&gt;0,INDEX('CostModel Coef'!L$9:L$12,$X207),"")</f>
        <v>0</v>
      </c>
      <c r="AH207" s="103">
        <f>IF($X207&gt;0,INDEX('CostModel Coef'!M$9:M$12,$X207),"")</f>
        <v>4.0461</v>
      </c>
      <c r="AI207" s="103">
        <f>IF($X207&gt;0,INDEX('CostModel Coef'!N$9:N$12,$X207),"")</f>
        <v>0</v>
      </c>
      <c r="AJ207" s="103">
        <f>IF($X207&gt;0,INDEX('CostModel Coef'!Q$9:Q$12,$X207),"")</f>
        <v>0.14729999999999999</v>
      </c>
      <c r="AK207" s="103">
        <f>IF($X207&gt;0,INDEX('CostModel Coef'!T$9:T$12,$X207),"")</f>
        <v>0</v>
      </c>
      <c r="AL207" s="103"/>
      <c r="AM207" s="108">
        <f t="shared" si="79"/>
        <v>9.1610320484073782</v>
      </c>
      <c r="AN207" s="108">
        <f t="shared" si="80"/>
        <v>9.7370320484073787</v>
      </c>
      <c r="AO207" s="108">
        <f t="shared" si="81"/>
        <v>6.9429320484073784</v>
      </c>
      <c r="AP207" s="108">
        <f t="shared" si="82"/>
        <v>6.9429320484073784</v>
      </c>
      <c r="AQ207" s="108">
        <f t="shared" si="83"/>
        <v>6.9429320484073784</v>
      </c>
      <c r="AR207" s="108"/>
      <c r="AS207" s="108"/>
      <c r="AT207" s="103">
        <f>IF($X207&gt;0,INDEX('CostModel Coef'!D$13:D$16,$X207),"")</f>
        <v>3.984</v>
      </c>
      <c r="AU207" s="103">
        <f>IF($X207&gt;0,INDEX('CostModel Coef'!E$13:E$16,$X207),"")</f>
        <v>0.38800000000000001</v>
      </c>
      <c r="AV207" s="103">
        <f>IF($X207&gt;0,INDEX('CostModel Coef'!F$13:F$16,$X207),"")</f>
        <v>0.98799999999999999</v>
      </c>
      <c r="AW207" s="103">
        <f>IF($X207&gt;0,INDEX('CostModel Coef'!G$13:G$16,$X207),"")</f>
        <v>0</v>
      </c>
      <c r="AX207" s="103">
        <f>IF($X207&gt;0,INDEX('CostModel Coef'!H$13:H$16,$X207),"")</f>
        <v>-2.3199999999999998</v>
      </c>
      <c r="AY207" s="103">
        <f>IF($X207&gt;0,INDEX('CostModel Coef'!I$13:I$16,$X207),"")</f>
        <v>-1.85</v>
      </c>
      <c r="AZ207" s="103">
        <f>IF($X207&gt;0,INDEX('CostModel Coef'!J$13:J$16,$X207),"")</f>
        <v>0</v>
      </c>
      <c r="BA207" s="103">
        <f>IF($X207&gt;0,INDEX('CostModel Coef'!K$13:K$16,$X207),"")</f>
        <v>-1.0070000000000001</v>
      </c>
      <c r="BB207" s="103">
        <f>IF($X207&gt;0,INDEX('CostModel Coef'!L$13:L$16,$X207),"")</f>
        <v>0</v>
      </c>
      <c r="BC207" s="103">
        <f>IF($X207&gt;0,INDEX('CostModel Coef'!M$13:M$16,$X207),"")</f>
        <v>0</v>
      </c>
      <c r="BD207" s="103">
        <f>IF($X207&gt;0,INDEX('CostModel Coef'!N$13:N$16,$X207),"")</f>
        <v>0.5907</v>
      </c>
      <c r="BE207" s="103">
        <f>IF($X207&gt;0,INDEX('CostModel Coef'!O$13:O$16,$X207),"")</f>
        <v>0.75</v>
      </c>
      <c r="BF207" s="103">
        <f>IF($X207&gt;0,INDEX('CostModel Coef'!P$13:P$16,$X207),"")</f>
        <v>8</v>
      </c>
      <c r="BG207" s="103">
        <f>IF($X207&gt;0,INDEX('CostModel Coef'!Q$13:Q$16,$X207),"")</f>
        <v>1.04E-2</v>
      </c>
      <c r="BH207" s="103">
        <f>IF($X207&gt;0,INDEX('CostModel Coef'!R$13:R$16,$X207),"")</f>
        <v>12</v>
      </c>
      <c r="BI207" s="103">
        <f>IF($X207&gt;0,INDEX('CostModel Coef'!S$13:S$16,$X207),"")</f>
        <v>150</v>
      </c>
      <c r="BJ207" s="103">
        <f>IF($X207&gt;0,INDEX('CostModel Coef'!T$13:T$16,$X207),"")</f>
        <v>0</v>
      </c>
      <c r="BK207" s="103">
        <f>IF($X207&gt;0,INDEX('CostModel Coef'!U$13:U$16,$X207),"")</f>
        <v>0</v>
      </c>
      <c r="BL207" s="103">
        <f>IF($X207&gt;0,INDEX('CostModel Coef'!V$13:V$16,$X207),"")</f>
        <v>0</v>
      </c>
      <c r="BM207" s="103">
        <f>IF($X207&gt;0,INDEX('CostModel Coef'!W$13:W$16,$X207),"")</f>
        <v>0</v>
      </c>
      <c r="BN207" s="103">
        <f>IF($X207&gt;0,INDEX('CostModel Coef'!X$13:X$16,$X207),"")</f>
        <v>0</v>
      </c>
      <c r="BO207" s="103"/>
      <c r="BP207" s="119">
        <v>2000</v>
      </c>
      <c r="BQ207" s="103"/>
      <c r="BR207" s="103"/>
      <c r="BS207" s="119" t="str">
        <f t="shared" ref="BS207:BS270" si="86">IF(BT207&gt;0,IF(X207=2,$BW$4,$BW$5)&amp;"_"&amp;$A207,"")</f>
        <v>WRR0409_CFLscw-Refl(24w)</v>
      </c>
      <c r="BT207" s="174">
        <f t="shared" si="78"/>
        <v>98</v>
      </c>
      <c r="BU207" s="113">
        <f t="shared" si="62"/>
        <v>6.5535999999999994</v>
      </c>
      <c r="BV207" s="108">
        <f t="shared" si="63"/>
        <v>7.5605999999999991</v>
      </c>
      <c r="BW207" s="108">
        <f t="shared" si="64"/>
        <v>5.2405999999999988</v>
      </c>
      <c r="BX207" s="108">
        <f t="shared" si="65"/>
        <v>3.3905999999999987</v>
      </c>
      <c r="BY207" s="108">
        <f t="shared" si="66"/>
        <v>3.3905999999999987</v>
      </c>
      <c r="BZ207" s="108"/>
      <c r="CA207" s="119" t="str">
        <f t="shared" si="67"/>
        <v>WRR0407_CFLscw-Refl(24w)</v>
      </c>
      <c r="CB207" s="174">
        <f t="shared" si="84"/>
        <v>98</v>
      </c>
      <c r="CC207" s="113">
        <f t="shared" si="68"/>
        <v>6.5535999999999994</v>
      </c>
      <c r="CD207" s="108">
        <f t="shared" si="69"/>
        <v>7.5605999999999991</v>
      </c>
      <c r="CE207" s="108">
        <f t="shared" si="70"/>
        <v>5.2405999999999988</v>
      </c>
      <c r="CF207" s="108">
        <f t="shared" si="71"/>
        <v>3.3905999999999987</v>
      </c>
      <c r="CG207" s="108">
        <f t="shared" si="72"/>
        <v>3.3905999999999987</v>
      </c>
      <c r="CH207" s="103"/>
      <c r="CI207" s="119" t="str">
        <f t="shared" ref="CI207:CI270" si="87">IF(CJ207&gt;0,BW$5&amp;"_"&amp;$A207,"")</f>
        <v/>
      </c>
      <c r="CJ207" s="174">
        <f t="shared" si="85"/>
        <v>-1</v>
      </c>
      <c r="CK207" s="113" t="str">
        <f t="shared" si="73"/>
        <v/>
      </c>
      <c r="CL207" s="108" t="str">
        <f t="shared" si="74"/>
        <v/>
      </c>
      <c r="CM207" s="108" t="str">
        <f t="shared" si="75"/>
        <v/>
      </c>
      <c r="CN207" s="108" t="str">
        <f t="shared" si="76"/>
        <v/>
      </c>
      <c r="CO207" s="108" t="str">
        <f t="shared" si="77"/>
        <v/>
      </c>
    </row>
    <row r="208" spans="1:93">
      <c r="A208" s="103" t="s">
        <v>582</v>
      </c>
      <c r="B208" s="103" t="s">
        <v>165</v>
      </c>
      <c r="C208" s="103" t="s">
        <v>162</v>
      </c>
      <c r="D208" s="250" t="s">
        <v>153</v>
      </c>
      <c r="E208" s="250">
        <v>82</v>
      </c>
      <c r="F208" s="182">
        <v>9020</v>
      </c>
      <c r="G208" s="250" t="s">
        <v>175</v>
      </c>
      <c r="H208" s="250">
        <v>25</v>
      </c>
      <c r="I208" s="250">
        <v>970</v>
      </c>
      <c r="J208" s="250">
        <v>1215</v>
      </c>
      <c r="K208" s="250" t="s">
        <v>583</v>
      </c>
      <c r="L208" s="250" t="s">
        <v>61</v>
      </c>
      <c r="M208" s="250">
        <v>25</v>
      </c>
      <c r="N208" s="250"/>
      <c r="O208" s="250"/>
      <c r="P208" s="250" t="s">
        <v>153</v>
      </c>
      <c r="Q208" s="250"/>
      <c r="R208" s="250"/>
      <c r="S208" s="250"/>
      <c r="T208" s="250" t="s">
        <v>155</v>
      </c>
      <c r="U208" s="103" t="s">
        <v>584</v>
      </c>
      <c r="V208" s="106" t="s">
        <v>157</v>
      </c>
      <c r="W208" s="103" t="s">
        <v>82</v>
      </c>
      <c r="X208" s="103">
        <f>IFERROR(MATCH(W208,'CostModel Coef'!$C$9:$C$12,0),0)</f>
        <v>2</v>
      </c>
      <c r="Y208" s="103"/>
      <c r="Z208" s="103">
        <f>IF($X208&gt;0,INDEX('CostModel Coef'!D$9:D$12,$X208),"")</f>
        <v>5.0279999999999996</v>
      </c>
      <c r="AA208" s="103">
        <f>IF($X208&gt;0,INDEX('CostModel Coef'!E$9:E$12,$X208),"")</f>
        <v>0.22669576292256455</v>
      </c>
      <c r="AB208" s="103">
        <f>IF($X208&gt;0,INDEX('CostModel Coef'!F$9:F$12,$X208),"")</f>
        <v>0.94713628548481477</v>
      </c>
      <c r="AC208" s="103">
        <f>IF($X208&gt;0,INDEX('CostModel Coef'!G$9:G$12,$X208),"")</f>
        <v>0</v>
      </c>
      <c r="AD208" s="103">
        <f>IF($X208&gt;0,INDEX('CostModel Coef'!H$9:H$12,$X208),"")</f>
        <v>-2.7940999999999998</v>
      </c>
      <c r="AE208" s="103">
        <f>IF($X208&gt;0,INDEX('CostModel Coef'!J$9:J$12,$X208),"")</f>
        <v>0</v>
      </c>
      <c r="AF208" s="103">
        <f>IF($X208&gt;0,INDEX('CostModel Coef'!K$9:K$12,$X208),"")</f>
        <v>-0.57599999999999996</v>
      </c>
      <c r="AG208" s="103">
        <f>IF($X208&gt;0,INDEX('CostModel Coef'!L$9:L$12,$X208),"")</f>
        <v>0</v>
      </c>
      <c r="AH208" s="103">
        <f>IF($X208&gt;0,INDEX('CostModel Coef'!M$9:M$12,$X208),"")</f>
        <v>4.0461</v>
      </c>
      <c r="AI208" s="103">
        <f>IF($X208&gt;0,INDEX('CostModel Coef'!N$9:N$12,$X208),"")</f>
        <v>0</v>
      </c>
      <c r="AJ208" s="103">
        <f>IF($X208&gt;0,INDEX('CostModel Coef'!Q$9:Q$12,$X208),"")</f>
        <v>0.14729999999999999</v>
      </c>
      <c r="AK208" s="103">
        <f>IF($X208&gt;0,INDEX('CostModel Coef'!T$9:T$12,$X208),"")</f>
        <v>0</v>
      </c>
      <c r="AL208" s="103"/>
      <c r="AM208" s="108">
        <f t="shared" si="79"/>
        <v>9.3083320484073777</v>
      </c>
      <c r="AN208" s="108">
        <f t="shared" si="80"/>
        <v>9.8843320484073782</v>
      </c>
      <c r="AO208" s="108">
        <f t="shared" si="81"/>
        <v>7.090232048407378</v>
      </c>
      <c r="AP208" s="108">
        <f t="shared" si="82"/>
        <v>7.090232048407378</v>
      </c>
      <c r="AQ208" s="108">
        <f t="shared" si="83"/>
        <v>7.090232048407378</v>
      </c>
      <c r="AR208" s="108"/>
      <c r="AS208" s="108"/>
      <c r="AT208" s="103">
        <f>IF($X208&gt;0,INDEX('CostModel Coef'!D$13:D$16,$X208),"")</f>
        <v>3.984</v>
      </c>
      <c r="AU208" s="103">
        <f>IF($X208&gt;0,INDEX('CostModel Coef'!E$13:E$16,$X208),"")</f>
        <v>0.38800000000000001</v>
      </c>
      <c r="AV208" s="103">
        <f>IF($X208&gt;0,INDEX('CostModel Coef'!F$13:F$16,$X208),"")</f>
        <v>0.98799999999999999</v>
      </c>
      <c r="AW208" s="103">
        <f>IF($X208&gt;0,INDEX('CostModel Coef'!G$13:G$16,$X208),"")</f>
        <v>0</v>
      </c>
      <c r="AX208" s="103">
        <f>IF($X208&gt;0,INDEX('CostModel Coef'!H$13:H$16,$X208),"")</f>
        <v>-2.3199999999999998</v>
      </c>
      <c r="AY208" s="103">
        <f>IF($X208&gt;0,INDEX('CostModel Coef'!I$13:I$16,$X208),"")</f>
        <v>-1.85</v>
      </c>
      <c r="AZ208" s="103">
        <f>IF($X208&gt;0,INDEX('CostModel Coef'!J$13:J$16,$X208),"")</f>
        <v>0</v>
      </c>
      <c r="BA208" s="103">
        <f>IF($X208&gt;0,INDEX('CostModel Coef'!K$13:K$16,$X208),"")</f>
        <v>-1.0070000000000001</v>
      </c>
      <c r="BB208" s="103">
        <f>IF($X208&gt;0,INDEX('CostModel Coef'!L$13:L$16,$X208),"")</f>
        <v>0</v>
      </c>
      <c r="BC208" s="103">
        <f>IF($X208&gt;0,INDEX('CostModel Coef'!M$13:M$16,$X208),"")</f>
        <v>0</v>
      </c>
      <c r="BD208" s="103">
        <f>IF($X208&gt;0,INDEX('CostModel Coef'!N$13:N$16,$X208),"")</f>
        <v>0.5907</v>
      </c>
      <c r="BE208" s="103">
        <f>IF($X208&gt;0,INDEX('CostModel Coef'!O$13:O$16,$X208),"")</f>
        <v>0.75</v>
      </c>
      <c r="BF208" s="103">
        <f>IF($X208&gt;0,INDEX('CostModel Coef'!P$13:P$16,$X208),"")</f>
        <v>8</v>
      </c>
      <c r="BG208" s="103">
        <f>IF($X208&gt;0,INDEX('CostModel Coef'!Q$13:Q$16,$X208),"")</f>
        <v>1.04E-2</v>
      </c>
      <c r="BH208" s="103">
        <f>IF($X208&gt;0,INDEX('CostModel Coef'!R$13:R$16,$X208),"")</f>
        <v>12</v>
      </c>
      <c r="BI208" s="103">
        <f>IF($X208&gt;0,INDEX('CostModel Coef'!S$13:S$16,$X208),"")</f>
        <v>150</v>
      </c>
      <c r="BJ208" s="103">
        <f>IF($X208&gt;0,INDEX('CostModel Coef'!T$13:T$16,$X208),"")</f>
        <v>0</v>
      </c>
      <c r="BK208" s="103">
        <f>IF($X208&gt;0,INDEX('CostModel Coef'!U$13:U$16,$X208),"")</f>
        <v>0</v>
      </c>
      <c r="BL208" s="103">
        <f>IF($X208&gt;0,INDEX('CostModel Coef'!V$13:V$16,$X208),"")</f>
        <v>0</v>
      </c>
      <c r="BM208" s="103">
        <f>IF($X208&gt;0,INDEX('CostModel Coef'!W$13:W$16,$X208),"")</f>
        <v>0</v>
      </c>
      <c r="BN208" s="103">
        <f>IF($X208&gt;0,INDEX('CostModel Coef'!X$13:X$16,$X208),"")</f>
        <v>0</v>
      </c>
      <c r="BO208" s="103"/>
      <c r="BP208" s="119">
        <v>2000</v>
      </c>
      <c r="BQ208" s="103"/>
      <c r="BR208" s="103"/>
      <c r="BS208" s="119" t="str">
        <f t="shared" si="86"/>
        <v>WRR0409_CFLscw-Refl(25w)</v>
      </c>
      <c r="BT208" s="174">
        <f t="shared" si="78"/>
        <v>102</v>
      </c>
      <c r="BU208" s="113">
        <f t="shared" ref="BU208:BU271" si="88">IF(AND(BT208&gt;=BH208,BT208&lt;=BI208),SUM($AT208,$AU208,$AV208,IF($Q208="Y",$BB208,0),$BP208/1000*$BD208,BT208*$BG208,IF(BT208&gt;30,(BT208-30)*$BK208,0),IF(BT208&gt;75,(BT208-75)*$BL208,0),IF(BT208&lt;35,$BM208,0),$BA208),"OOS")</f>
        <v>6.5952000000000002</v>
      </c>
      <c r="BV208" s="108">
        <f t="shared" ref="BV208:BV271" si="89">IF(AND(BT208&gt;=BH208,BT208&lt;=BI208),SUM($AT208,$AU208,$AV208,IF($Q208="Y",$BB208,0),$BP208/1000*$BD208,BT208*$BG208,IF(BT208&gt;30,(BT208-30)*$BK208,0),IF(BT208&gt;75,(BT208-75)*$BL208,0),IF(BT208&lt;35,$BM208,0)),"OOS")</f>
        <v>7.6021999999999998</v>
      </c>
      <c r="BW208" s="108">
        <f t="shared" ref="BW208:BW271" si="90">IF(AND(BT208&gt;=BH208,BT208&lt;=BI208),SUM($AT208,$AU208,$AV208,IF($Q208="Y",$BB208,0),$BP208/1000*$BD208,BT208*$BG208,IF(BT208&gt;30,(BT208-30)*$BK208,0),IF(BT208&gt;75,(BT208-75)*$BL208,0),IF(BT208&lt;35,$BM208,0),$AX208),"OOS")</f>
        <v>5.2821999999999996</v>
      </c>
      <c r="BX208" s="108">
        <f t="shared" ref="BX208:BX271" si="91">IF(AND(BT208&gt;=BH208,BT208&lt;=BI208),SUM($AT208,$AU208,$AV208,IF($Q208="Y",$BB208,0),$BP208/1000*$BD208,BT208*$BG208,IF(BT208&gt;30,(BT208-30)*$BK208,0),IF(BT208&gt;75,(BT208-75)*$BL208,0),IF(BT208&lt;35,$BM208,0),$AX208,$AY208),"OOS")</f>
        <v>3.4321999999999995</v>
      </c>
      <c r="BY208" s="108">
        <f t="shared" ref="BY208:BY271" si="92">IF(AND(BT208&gt;=BH208,BT208&lt;=BI208),SUM($AT208,$AU208,$AV208,IF($Q208="Y",$BB208,0),$BP208/1000*$BD208,BT208*$BG208,IF(BT208&gt;30,(BT208-30)*$BK208,0),IF(BT208&gt;75,(BT208-75)*$BL208,0),IF(BT208&lt;35,$BM208,0),$AX208,$AY208),"OOS")</f>
        <v>3.4321999999999995</v>
      </c>
      <c r="BZ208" s="108"/>
      <c r="CA208" s="119" t="str">
        <f t="shared" ref="CA208:CA271" si="93">IF(CB208&gt;0,CD$5&amp;"_"&amp;$A208,"")</f>
        <v>WRR0407_CFLscw-Refl(25w)</v>
      </c>
      <c r="CB208" s="174">
        <f t="shared" si="84"/>
        <v>102</v>
      </c>
      <c r="CC208" s="113">
        <f t="shared" ref="CC208:CC271" si="94">IF(AND(CB208&gt;=BH208,CB208&lt;=BI208),SUM($AT208,$AU208,$AV208,IF($Q208="Y",$BB208,0),$BP208/1000*$BD208,CB208*$BG208,IF(CB208&gt;30,(CB208-30)*$BK208,0),IF(CB208&gt;75,(CB208-75)*$BL208,0),IF(CB208&lt;35,$BM208,0),$BA208),"")</f>
        <v>6.5952000000000002</v>
      </c>
      <c r="CD208" s="108">
        <f t="shared" ref="CD208:CD271" si="95">IF(AND(CB208&gt;=BH208,CB208&lt;=BI208),SUM($AT208,$AU208,$AV208,IF($Q208="Y",$BB208,0),$BP208/1000*$BD208,CB208*$BG208,IF(CB208&gt;30,(CB208-30)*$BK208,0),IF(CB208&gt;75,(CB208-75)*$BL208,0),IF(CB208&lt;35,$BM208,0)),"")</f>
        <v>7.6021999999999998</v>
      </c>
      <c r="CE208" s="108">
        <f t="shared" ref="CE208:CE271" si="96">IF(AND(CB208&gt;=BH208,CB208&lt;=BI208),SUM($AT208,$AU208,$AV208,IF($Q208="Y",$BB208,0),$BP208/1000*$BD208,CB208*$BG208,IF(CB208&gt;30,(CB208-30)*$BK208,0),IF(CB208&gt;75,(CB208-75)*$BL208,0),IF(CB208&lt;35,$BM208,0),$AX208),"")</f>
        <v>5.2821999999999996</v>
      </c>
      <c r="CF208" s="108">
        <f t="shared" ref="CF208:CF271" si="97">IF(AND(CB208&gt;=BH208,CB208&lt;=BI208),SUM($AT208,$AU208,$AV208,IF($Q208="Y",$BB208,0),$BP208/1000*$BD208,CB208*$BG208,IF(CB208&gt;30,(CB208-30)*$BK208,0),IF(CB208&gt;75,(CB208-75)*$BL208,0),IF(CB208&lt;35,$BM208,0),$AX208,$AY208),"")</f>
        <v>3.4321999999999995</v>
      </c>
      <c r="CG208" s="108">
        <f t="shared" ref="CG208:CG271" si="98">IF(AND(CB208&gt;=BH208,CB208&lt;=BI208),SUM($AT208,$AU208,$AV208,IF($Q208="Y",$BB208,0),$BP208/1000*$BD208,CB208*$BG208,IF(CB208&gt;30,(CB208-30)*$BK208,0),IF(CB208&gt;75,(CB208-75)*$BL208,0),IF(CB208&lt;35,$BM208,0),$AX208,$AY208),"")</f>
        <v>3.4321999999999995</v>
      </c>
      <c r="CH208" s="103"/>
      <c r="CI208" s="119" t="str">
        <f t="shared" si="87"/>
        <v/>
      </c>
      <c r="CJ208" s="174">
        <f t="shared" si="85"/>
        <v>-1</v>
      </c>
      <c r="CK208" s="113" t="str">
        <f t="shared" ref="CK208:CK271" si="99">IF(AND(CJ208&gt;=BH208,CJ208&lt;=BI208),SUM($AT208,$AU208,$AV208,IF($Q208="Y",$BB208,0),$BP208/1000*$BD208,CJ208*$BG208,IF(CJ208&gt;30,(CJ208-30)*$BK208,0),IF(CJ208&gt;75,(CJ208-75)*$BL208,0),IF(CJ208&lt;35,$BM208,0),$BA208),"")</f>
        <v/>
      </c>
      <c r="CL208" s="108" t="str">
        <f t="shared" ref="CL208:CL271" si="100">IF(AND(CJ208&gt;=BH208,CJ208&lt;=BI208),SUM($AT208,$AU208,$AV208,IF($Q208="Y",$BB208,0),$BP208/1000*$BD208,CJ208*$BG208,IF(CJ208&gt;30,(CJ208-30)*$BK208,0),IF(CJ208&gt;75,(CJ208-75)*$BL208,0),IF(CJ208&lt;35,$BM208,0)),"")</f>
        <v/>
      </c>
      <c r="CM208" s="108" t="str">
        <f t="shared" ref="CM208:CM271" si="101">IF(AND(CJ208&gt;=BH208,CJ208&lt;=BI208),SUM($AT208,$AU208,$AV208,IF($Q208="Y",$BB208,0),$BP208/1000*$BD208,CJ208*$BG208,IF(CJ208&gt;30,(CJ208-30)*$BK208,0),IF(CJ208&gt;75,(CJ208-75)*$BL208,0),IF(CJ208&lt;35,$BM208,0),$AX208),"")</f>
        <v/>
      </c>
      <c r="CN208" s="108" t="str">
        <f t="shared" ref="CN208:CN271" si="102">IF(AND(CJ208&gt;=BH208,CJ208&lt;=BI208),SUM($AT208,$AU208,$AV208,IF($Q208="Y",$BB208,0),$BP208/1000*$BD208,CJ208*$BG208,IF(CJ208&gt;30,(CJ208-30)*$BK208,0),IF(CJ208&gt;75,(CJ208-75)*$BL208,0),IF(CJ208&lt;35,$BM208,0),$AX208,$AY208),"")</f>
        <v/>
      </c>
      <c r="CO208" s="108" t="str">
        <f t="shared" ref="CO208:CO271" si="103">IF(AND(CJ208&gt;=BH208,CJ208&lt;=BI208),SUM($AT208,$AU208,$AV208,IF($Q208="Y",$BB208,0),$BP208/1000*$BD208,CJ208*$BG208,IF(CJ208&gt;30,(CJ208-30)*$BK208,0),IF(CJ208&gt;75,(CJ208-75)*$BL208,0),IF(CJ208&lt;35,$BM208,0),$AX208,$AY208),"")</f>
        <v/>
      </c>
    </row>
    <row r="209" spans="1:93">
      <c r="A209" s="103" t="s">
        <v>585</v>
      </c>
      <c r="B209" s="103" t="s">
        <v>165</v>
      </c>
      <c r="C209" s="103" t="s">
        <v>162</v>
      </c>
      <c r="D209" s="250" t="s">
        <v>153</v>
      </c>
      <c r="E209" s="250">
        <v>82</v>
      </c>
      <c r="F209" s="182">
        <v>9020</v>
      </c>
      <c r="G209" s="250" t="s">
        <v>175</v>
      </c>
      <c r="H209" s="250">
        <v>26</v>
      </c>
      <c r="I209" s="250"/>
      <c r="J209" s="250"/>
      <c r="K209" s="250" t="s">
        <v>586</v>
      </c>
      <c r="L209" s="250" t="s">
        <v>61</v>
      </c>
      <c r="M209" s="250">
        <v>26</v>
      </c>
      <c r="N209" s="250"/>
      <c r="O209" s="250"/>
      <c r="P209" s="250" t="s">
        <v>153</v>
      </c>
      <c r="Q209" s="250"/>
      <c r="R209" s="250"/>
      <c r="S209" s="250"/>
      <c r="T209" s="250" t="s">
        <v>155</v>
      </c>
      <c r="U209" s="103" t="s">
        <v>587</v>
      </c>
      <c r="V209" s="106" t="s">
        <v>157</v>
      </c>
      <c r="W209" s="103" t="s">
        <v>82</v>
      </c>
      <c r="X209" s="103">
        <f>IFERROR(MATCH(W209,'CostModel Coef'!$C$9:$C$12,0),0)</f>
        <v>2</v>
      </c>
      <c r="Y209" s="103"/>
      <c r="Z209" s="103">
        <f>IF($X209&gt;0,INDEX('CostModel Coef'!D$9:D$12,$X209),"")</f>
        <v>5.0279999999999996</v>
      </c>
      <c r="AA209" s="103">
        <f>IF($X209&gt;0,INDEX('CostModel Coef'!E$9:E$12,$X209),"")</f>
        <v>0.22669576292256455</v>
      </c>
      <c r="AB209" s="103">
        <f>IF($X209&gt;0,INDEX('CostModel Coef'!F$9:F$12,$X209),"")</f>
        <v>0.94713628548481477</v>
      </c>
      <c r="AC209" s="103">
        <f>IF($X209&gt;0,INDEX('CostModel Coef'!G$9:G$12,$X209),"")</f>
        <v>0</v>
      </c>
      <c r="AD209" s="103">
        <f>IF($X209&gt;0,INDEX('CostModel Coef'!H$9:H$12,$X209),"")</f>
        <v>-2.7940999999999998</v>
      </c>
      <c r="AE209" s="103">
        <f>IF($X209&gt;0,INDEX('CostModel Coef'!J$9:J$12,$X209),"")</f>
        <v>0</v>
      </c>
      <c r="AF209" s="103">
        <f>IF($X209&gt;0,INDEX('CostModel Coef'!K$9:K$12,$X209),"")</f>
        <v>-0.57599999999999996</v>
      </c>
      <c r="AG209" s="103">
        <f>IF($X209&gt;0,INDEX('CostModel Coef'!L$9:L$12,$X209),"")</f>
        <v>0</v>
      </c>
      <c r="AH209" s="103">
        <f>IF($X209&gt;0,INDEX('CostModel Coef'!M$9:M$12,$X209),"")</f>
        <v>4.0461</v>
      </c>
      <c r="AI209" s="103">
        <f>IF($X209&gt;0,INDEX('CostModel Coef'!N$9:N$12,$X209),"")</f>
        <v>0</v>
      </c>
      <c r="AJ209" s="103">
        <f>IF($X209&gt;0,INDEX('CostModel Coef'!Q$9:Q$12,$X209),"")</f>
        <v>0.14729999999999999</v>
      </c>
      <c r="AK209" s="103">
        <f>IF($X209&gt;0,INDEX('CostModel Coef'!T$9:T$12,$X209),"")</f>
        <v>0</v>
      </c>
      <c r="AL209" s="103"/>
      <c r="AM209" s="108">
        <f t="shared" si="79"/>
        <v>9.4556320484073773</v>
      </c>
      <c r="AN209" s="108">
        <f t="shared" si="80"/>
        <v>10.031632048407378</v>
      </c>
      <c r="AO209" s="108">
        <f t="shared" si="81"/>
        <v>7.2375320484073775</v>
      </c>
      <c r="AP209" s="108">
        <f t="shared" si="82"/>
        <v>7.2375320484073775</v>
      </c>
      <c r="AQ209" s="108">
        <f t="shared" si="83"/>
        <v>7.2375320484073775</v>
      </c>
      <c r="AR209" s="108"/>
      <c r="AS209" s="108"/>
      <c r="AT209" s="103">
        <f>IF($X209&gt;0,INDEX('CostModel Coef'!D$13:D$16,$X209),"")</f>
        <v>3.984</v>
      </c>
      <c r="AU209" s="103">
        <f>IF($X209&gt;0,INDEX('CostModel Coef'!E$13:E$16,$X209),"")</f>
        <v>0.38800000000000001</v>
      </c>
      <c r="AV209" s="103">
        <f>IF($X209&gt;0,INDEX('CostModel Coef'!F$13:F$16,$X209),"")</f>
        <v>0.98799999999999999</v>
      </c>
      <c r="AW209" s="103">
        <f>IF($X209&gt;0,INDEX('CostModel Coef'!G$13:G$16,$X209),"")</f>
        <v>0</v>
      </c>
      <c r="AX209" s="103">
        <f>IF($X209&gt;0,INDEX('CostModel Coef'!H$13:H$16,$X209),"")</f>
        <v>-2.3199999999999998</v>
      </c>
      <c r="AY209" s="103">
        <f>IF($X209&gt;0,INDEX('CostModel Coef'!I$13:I$16,$X209),"")</f>
        <v>-1.85</v>
      </c>
      <c r="AZ209" s="103">
        <f>IF($X209&gt;0,INDEX('CostModel Coef'!J$13:J$16,$X209),"")</f>
        <v>0</v>
      </c>
      <c r="BA209" s="103">
        <f>IF($X209&gt;0,INDEX('CostModel Coef'!K$13:K$16,$X209),"")</f>
        <v>-1.0070000000000001</v>
      </c>
      <c r="BB209" s="103">
        <f>IF($X209&gt;0,INDEX('CostModel Coef'!L$13:L$16,$X209),"")</f>
        <v>0</v>
      </c>
      <c r="BC209" s="103">
        <f>IF($X209&gt;0,INDEX('CostModel Coef'!M$13:M$16,$X209),"")</f>
        <v>0</v>
      </c>
      <c r="BD209" s="103">
        <f>IF($X209&gt;0,INDEX('CostModel Coef'!N$13:N$16,$X209),"")</f>
        <v>0.5907</v>
      </c>
      <c r="BE209" s="103">
        <f>IF($X209&gt;0,INDEX('CostModel Coef'!O$13:O$16,$X209),"")</f>
        <v>0.75</v>
      </c>
      <c r="BF209" s="103">
        <f>IF($X209&gt;0,INDEX('CostModel Coef'!P$13:P$16,$X209),"")</f>
        <v>8</v>
      </c>
      <c r="BG209" s="103">
        <f>IF($X209&gt;0,INDEX('CostModel Coef'!Q$13:Q$16,$X209),"")</f>
        <v>1.04E-2</v>
      </c>
      <c r="BH209" s="103">
        <f>IF($X209&gt;0,INDEX('CostModel Coef'!R$13:R$16,$X209),"")</f>
        <v>12</v>
      </c>
      <c r="BI209" s="103">
        <f>IF($X209&gt;0,INDEX('CostModel Coef'!S$13:S$16,$X209),"")</f>
        <v>150</v>
      </c>
      <c r="BJ209" s="103">
        <f>IF($X209&gt;0,INDEX('CostModel Coef'!T$13:T$16,$X209),"")</f>
        <v>0</v>
      </c>
      <c r="BK209" s="103">
        <f>IF($X209&gt;0,INDEX('CostModel Coef'!U$13:U$16,$X209),"")</f>
        <v>0</v>
      </c>
      <c r="BL209" s="103">
        <f>IF($X209&gt;0,INDEX('CostModel Coef'!V$13:V$16,$X209),"")</f>
        <v>0</v>
      </c>
      <c r="BM209" s="103">
        <f>IF($X209&gt;0,INDEX('CostModel Coef'!W$13:W$16,$X209),"")</f>
        <v>0</v>
      </c>
      <c r="BN209" s="103">
        <f>IF($X209&gt;0,INDEX('CostModel Coef'!X$13:X$16,$X209),"")</f>
        <v>0</v>
      </c>
      <c r="BO209" s="103"/>
      <c r="BP209" s="119">
        <v>2000</v>
      </c>
      <c r="BQ209" s="103"/>
      <c r="BR209" s="103"/>
      <c r="BS209" s="119" t="str">
        <f t="shared" si="86"/>
        <v>WRR0409_CFLscw-Refl(26w)</v>
      </c>
      <c r="BT209" s="174">
        <f t="shared" si="78"/>
        <v>106</v>
      </c>
      <c r="BU209" s="113">
        <f t="shared" si="88"/>
        <v>6.6367999999999991</v>
      </c>
      <c r="BV209" s="108">
        <f t="shared" si="89"/>
        <v>7.6437999999999997</v>
      </c>
      <c r="BW209" s="108">
        <f t="shared" si="90"/>
        <v>5.3238000000000003</v>
      </c>
      <c r="BX209" s="108">
        <f t="shared" si="91"/>
        <v>3.4738000000000002</v>
      </c>
      <c r="BY209" s="108">
        <f t="shared" si="92"/>
        <v>3.4738000000000002</v>
      </c>
      <c r="BZ209" s="108"/>
      <c r="CA209" s="119" t="str">
        <f t="shared" si="93"/>
        <v>WRR0407_CFLscw-Refl(26w)</v>
      </c>
      <c r="CB209" s="174">
        <f t="shared" si="84"/>
        <v>106</v>
      </c>
      <c r="CC209" s="113">
        <f t="shared" si="94"/>
        <v>6.6367999999999991</v>
      </c>
      <c r="CD209" s="108">
        <f t="shared" si="95"/>
        <v>7.6437999999999997</v>
      </c>
      <c r="CE209" s="108">
        <f t="shared" si="96"/>
        <v>5.3238000000000003</v>
      </c>
      <c r="CF209" s="108">
        <f t="shared" si="97"/>
        <v>3.4738000000000002</v>
      </c>
      <c r="CG209" s="108">
        <f t="shared" si="98"/>
        <v>3.4738000000000002</v>
      </c>
      <c r="CH209" s="103"/>
      <c r="CI209" s="119" t="str">
        <f t="shared" si="87"/>
        <v/>
      </c>
      <c r="CJ209" s="174">
        <f t="shared" si="85"/>
        <v>-1</v>
      </c>
      <c r="CK209" s="113" t="str">
        <f t="shared" si="99"/>
        <v/>
      </c>
      <c r="CL209" s="108" t="str">
        <f t="shared" si="100"/>
        <v/>
      </c>
      <c r="CM209" s="108" t="str">
        <f t="shared" si="101"/>
        <v/>
      </c>
      <c r="CN209" s="108" t="str">
        <f t="shared" si="102"/>
        <v/>
      </c>
      <c r="CO209" s="108" t="str">
        <f t="shared" si="103"/>
        <v/>
      </c>
    </row>
    <row r="210" spans="1:93">
      <c r="A210" s="103" t="s">
        <v>588</v>
      </c>
      <c r="B210" s="103" t="s">
        <v>165</v>
      </c>
      <c r="C210" s="103" t="s">
        <v>162</v>
      </c>
      <c r="D210" s="250" t="s">
        <v>153</v>
      </c>
      <c r="E210" s="250">
        <v>82</v>
      </c>
      <c r="F210" s="182">
        <v>9020</v>
      </c>
      <c r="G210" s="250" t="s">
        <v>175</v>
      </c>
      <c r="H210" s="250">
        <v>27</v>
      </c>
      <c r="I210" s="250"/>
      <c r="J210" s="250"/>
      <c r="K210" s="250" t="s">
        <v>589</v>
      </c>
      <c r="L210" s="250" t="s">
        <v>61</v>
      </c>
      <c r="M210" s="250">
        <v>27</v>
      </c>
      <c r="N210" s="250"/>
      <c r="O210" s="250"/>
      <c r="P210" s="250" t="s">
        <v>153</v>
      </c>
      <c r="Q210" s="250"/>
      <c r="R210" s="250"/>
      <c r="S210" s="250"/>
      <c r="T210" s="250" t="s">
        <v>155</v>
      </c>
      <c r="U210" s="103" t="s">
        <v>590</v>
      </c>
      <c r="V210" s="106" t="s">
        <v>157</v>
      </c>
      <c r="W210" s="103" t="s">
        <v>158</v>
      </c>
      <c r="X210" s="103">
        <f>IFERROR(MATCH(W210,'CostModel Coef'!$C$9:$C$12,0),0)</f>
        <v>0</v>
      </c>
      <c r="Y210" s="103"/>
      <c r="Z210" s="103" t="str">
        <f>IF($X210&gt;0,INDEX('CostModel Coef'!D$9:D$12,$X210),"")</f>
        <v/>
      </c>
      <c r="AA210" s="103" t="str">
        <f>IF($X210&gt;0,INDEX('CostModel Coef'!E$9:E$12,$X210),"")</f>
        <v/>
      </c>
      <c r="AB210" s="103" t="str">
        <f>IF($X210&gt;0,INDEX('CostModel Coef'!F$9:F$12,$X210),"")</f>
        <v/>
      </c>
      <c r="AC210" s="103" t="str">
        <f>IF($X210&gt;0,INDEX('CostModel Coef'!G$9:G$12,$X210),"")</f>
        <v/>
      </c>
      <c r="AD210" s="103" t="str">
        <f>IF($X210&gt;0,INDEX('CostModel Coef'!H$9:H$12,$X210),"")</f>
        <v/>
      </c>
      <c r="AE210" s="103" t="str">
        <f>IF($X210&gt;0,INDEX('CostModel Coef'!J$9:J$12,$X210),"")</f>
        <v/>
      </c>
      <c r="AF210" s="103" t="str">
        <f>IF($X210&gt;0,INDEX('CostModel Coef'!K$9:K$12,$X210),"")</f>
        <v/>
      </c>
      <c r="AG210" s="103" t="str">
        <f>IF($X210&gt;0,INDEX('CostModel Coef'!L$9:L$12,$X210),"")</f>
        <v/>
      </c>
      <c r="AH210" s="103" t="str">
        <f>IF($X210&gt;0,INDEX('CostModel Coef'!M$9:M$12,$X210),"")</f>
        <v/>
      </c>
      <c r="AI210" s="103" t="str">
        <f>IF($X210&gt;0,INDEX('CostModel Coef'!N$9:N$12,$X210),"")</f>
        <v/>
      </c>
      <c r="AJ210" s="103" t="str">
        <f>IF($X210&gt;0,INDEX('CostModel Coef'!Q$9:Q$12,$X210),"")</f>
        <v/>
      </c>
      <c r="AK210" s="103" t="str">
        <f>IF($X210&gt;0,INDEX('CostModel Coef'!T$9:T$12,$X210),"")</f>
        <v/>
      </c>
      <c r="AL210" s="103"/>
      <c r="AM210" s="108" t="str">
        <f t="shared" si="79"/>
        <v/>
      </c>
      <c r="AN210" s="108" t="str">
        <f t="shared" si="80"/>
        <v/>
      </c>
      <c r="AO210" s="108" t="str">
        <f t="shared" si="81"/>
        <v/>
      </c>
      <c r="AP210" s="108" t="str">
        <f t="shared" si="82"/>
        <v/>
      </c>
      <c r="AQ210" s="108" t="str">
        <f t="shared" si="83"/>
        <v/>
      </c>
      <c r="AR210" s="108"/>
      <c r="AS210" s="108"/>
      <c r="AT210" s="103" t="str">
        <f>IF($X210&gt;0,INDEX('CostModel Coef'!D$13:D$16,$X210),"")</f>
        <v/>
      </c>
      <c r="AU210" s="103" t="str">
        <f>IF($X210&gt;0,INDEX('CostModel Coef'!E$13:E$16,$X210),"")</f>
        <v/>
      </c>
      <c r="AV210" s="103" t="str">
        <f>IF($X210&gt;0,INDEX('CostModel Coef'!F$13:F$16,$X210),"")</f>
        <v/>
      </c>
      <c r="AW210" s="103" t="str">
        <f>IF($X210&gt;0,INDEX('CostModel Coef'!G$13:G$16,$X210),"")</f>
        <v/>
      </c>
      <c r="AX210" s="103" t="str">
        <f>IF($X210&gt;0,INDEX('CostModel Coef'!H$13:H$16,$X210),"")</f>
        <v/>
      </c>
      <c r="AY210" s="103" t="str">
        <f>IF($X210&gt;0,INDEX('CostModel Coef'!I$13:I$16,$X210),"")</f>
        <v/>
      </c>
      <c r="AZ210" s="103" t="str">
        <f>IF($X210&gt;0,INDEX('CostModel Coef'!J$13:J$16,$X210),"")</f>
        <v/>
      </c>
      <c r="BA210" s="103" t="str">
        <f>IF($X210&gt;0,INDEX('CostModel Coef'!K$13:K$16,$X210),"")</f>
        <v/>
      </c>
      <c r="BB210" s="103" t="str">
        <f>IF($X210&gt;0,INDEX('CostModel Coef'!L$13:L$16,$X210),"")</f>
        <v/>
      </c>
      <c r="BC210" s="103" t="str">
        <f>IF($X210&gt;0,INDEX('CostModel Coef'!M$13:M$16,$X210),"")</f>
        <v/>
      </c>
      <c r="BD210" s="103" t="str">
        <f>IF($X210&gt;0,INDEX('CostModel Coef'!N$13:N$16,$X210),"")</f>
        <v/>
      </c>
      <c r="BE210" s="103" t="str">
        <f>IF($X210&gt;0,INDEX('CostModel Coef'!O$13:O$16,$X210),"")</f>
        <v/>
      </c>
      <c r="BF210" s="103" t="str">
        <f>IF($X210&gt;0,INDEX('CostModel Coef'!P$13:P$16,$X210),"")</f>
        <v/>
      </c>
      <c r="BG210" s="103" t="str">
        <f>IF($X210&gt;0,INDEX('CostModel Coef'!Q$13:Q$16,$X210),"")</f>
        <v/>
      </c>
      <c r="BH210" s="103" t="str">
        <f>IF($X210&gt;0,INDEX('CostModel Coef'!R$13:R$16,$X210),"")</f>
        <v/>
      </c>
      <c r="BI210" s="103" t="str">
        <f>IF($X210&gt;0,INDEX('CostModel Coef'!S$13:S$16,$X210),"")</f>
        <v/>
      </c>
      <c r="BJ210" s="103" t="str">
        <f>IF($X210&gt;0,INDEX('CostModel Coef'!T$13:T$16,$X210),"")</f>
        <v/>
      </c>
      <c r="BK210" s="103" t="str">
        <f>IF($X210&gt;0,INDEX('CostModel Coef'!U$13:U$16,$X210),"")</f>
        <v/>
      </c>
      <c r="BL210" s="103" t="str">
        <f>IF($X210&gt;0,INDEX('CostModel Coef'!V$13:V$16,$X210),"")</f>
        <v/>
      </c>
      <c r="BM210" s="103" t="str">
        <f>IF($X210&gt;0,INDEX('CostModel Coef'!W$13:W$16,$X210),"")</f>
        <v/>
      </c>
      <c r="BN210" s="103" t="str">
        <f>IF($X210&gt;0,INDEX('CostModel Coef'!X$13:X$16,$X210),"")</f>
        <v/>
      </c>
      <c r="BO210" s="103"/>
      <c r="BP210" s="119">
        <v>2000</v>
      </c>
      <c r="BQ210" s="103"/>
      <c r="BR210" s="103"/>
      <c r="BS210" s="119" t="str">
        <f t="shared" si="86"/>
        <v/>
      </c>
      <c r="BT210" s="174">
        <f t="shared" si="78"/>
        <v>-1</v>
      </c>
      <c r="BU210" s="113" t="str">
        <f t="shared" si="88"/>
        <v>OOS</v>
      </c>
      <c r="BV210" s="108" t="str">
        <f t="shared" si="89"/>
        <v>OOS</v>
      </c>
      <c r="BW210" s="108" t="str">
        <f t="shared" si="90"/>
        <v>OOS</v>
      </c>
      <c r="BX210" s="108" t="str">
        <f t="shared" si="91"/>
        <v>OOS</v>
      </c>
      <c r="BY210" s="108" t="str">
        <f t="shared" si="92"/>
        <v>OOS</v>
      </c>
      <c r="BZ210" s="108"/>
      <c r="CA210" s="119" t="str">
        <f t="shared" si="93"/>
        <v/>
      </c>
      <c r="CB210" s="174">
        <f t="shared" si="84"/>
        <v>-1</v>
      </c>
      <c r="CC210" s="113" t="str">
        <f t="shared" si="94"/>
        <v/>
      </c>
      <c r="CD210" s="108" t="str">
        <f t="shared" si="95"/>
        <v/>
      </c>
      <c r="CE210" s="108" t="str">
        <f t="shared" si="96"/>
        <v/>
      </c>
      <c r="CF210" s="108" t="str">
        <f t="shared" si="97"/>
        <v/>
      </c>
      <c r="CG210" s="108" t="str">
        <f t="shared" si="98"/>
        <v/>
      </c>
      <c r="CH210" s="103"/>
      <c r="CI210" s="119" t="str">
        <f t="shared" si="87"/>
        <v/>
      </c>
      <c r="CJ210" s="174">
        <f t="shared" si="85"/>
        <v>-1</v>
      </c>
      <c r="CK210" s="113" t="str">
        <f t="shared" si="99"/>
        <v/>
      </c>
      <c r="CL210" s="108" t="str">
        <f t="shared" si="100"/>
        <v/>
      </c>
      <c r="CM210" s="108" t="str">
        <f t="shared" si="101"/>
        <v/>
      </c>
      <c r="CN210" s="108" t="str">
        <f t="shared" si="102"/>
        <v/>
      </c>
      <c r="CO210" s="108" t="str">
        <f t="shared" si="103"/>
        <v/>
      </c>
    </row>
    <row r="211" spans="1:93">
      <c r="A211" s="103" t="s">
        <v>591</v>
      </c>
      <c r="B211" s="103" t="s">
        <v>165</v>
      </c>
      <c r="C211" s="103" t="s">
        <v>162</v>
      </c>
      <c r="D211" s="250" t="s">
        <v>153</v>
      </c>
      <c r="E211" s="250">
        <v>82</v>
      </c>
      <c r="F211" s="182">
        <v>9020</v>
      </c>
      <c r="G211" s="250" t="s">
        <v>175</v>
      </c>
      <c r="H211" s="250">
        <v>28</v>
      </c>
      <c r="I211" s="250"/>
      <c r="J211" s="250"/>
      <c r="K211" s="250" t="s">
        <v>592</v>
      </c>
      <c r="L211" s="250" t="s">
        <v>61</v>
      </c>
      <c r="M211" s="250">
        <v>28</v>
      </c>
      <c r="N211" s="250"/>
      <c r="O211" s="250"/>
      <c r="P211" s="250" t="s">
        <v>153</v>
      </c>
      <c r="Q211" s="250"/>
      <c r="R211" s="250"/>
      <c r="S211" s="250"/>
      <c r="T211" s="250" t="s">
        <v>155</v>
      </c>
      <c r="U211" s="103" t="s">
        <v>593</v>
      </c>
      <c r="V211" s="106" t="s">
        <v>157</v>
      </c>
      <c r="W211" s="103" t="s">
        <v>158</v>
      </c>
      <c r="X211" s="103">
        <f>IFERROR(MATCH(W211,'CostModel Coef'!$C$9:$C$12,0),0)</f>
        <v>0</v>
      </c>
      <c r="Y211" s="103"/>
      <c r="Z211" s="103" t="str">
        <f>IF($X211&gt;0,INDEX('CostModel Coef'!D$9:D$12,$X211),"")</f>
        <v/>
      </c>
      <c r="AA211" s="103" t="str">
        <f>IF($X211&gt;0,INDEX('CostModel Coef'!E$9:E$12,$X211),"")</f>
        <v/>
      </c>
      <c r="AB211" s="103" t="str">
        <f>IF($X211&gt;0,INDEX('CostModel Coef'!F$9:F$12,$X211),"")</f>
        <v/>
      </c>
      <c r="AC211" s="103" t="str">
        <f>IF($X211&gt;0,INDEX('CostModel Coef'!G$9:G$12,$X211),"")</f>
        <v/>
      </c>
      <c r="AD211" s="103" t="str">
        <f>IF($X211&gt;0,INDEX('CostModel Coef'!H$9:H$12,$X211),"")</f>
        <v/>
      </c>
      <c r="AE211" s="103" t="str">
        <f>IF($X211&gt;0,INDEX('CostModel Coef'!J$9:J$12,$X211),"")</f>
        <v/>
      </c>
      <c r="AF211" s="103" t="str">
        <f>IF($X211&gt;0,INDEX('CostModel Coef'!K$9:K$12,$X211),"")</f>
        <v/>
      </c>
      <c r="AG211" s="103" t="str">
        <f>IF($X211&gt;0,INDEX('CostModel Coef'!L$9:L$12,$X211),"")</f>
        <v/>
      </c>
      <c r="AH211" s="103" t="str">
        <f>IF($X211&gt;0,INDEX('CostModel Coef'!M$9:M$12,$X211),"")</f>
        <v/>
      </c>
      <c r="AI211" s="103" t="str">
        <f>IF($X211&gt;0,INDEX('CostModel Coef'!N$9:N$12,$X211),"")</f>
        <v/>
      </c>
      <c r="AJ211" s="103" t="str">
        <f>IF($X211&gt;0,INDEX('CostModel Coef'!Q$9:Q$12,$X211),"")</f>
        <v/>
      </c>
      <c r="AK211" s="103" t="str">
        <f>IF($X211&gt;0,INDEX('CostModel Coef'!T$9:T$12,$X211),"")</f>
        <v/>
      </c>
      <c r="AL211" s="103"/>
      <c r="AM211" s="108" t="str">
        <f t="shared" si="79"/>
        <v/>
      </c>
      <c r="AN211" s="108" t="str">
        <f t="shared" si="80"/>
        <v/>
      </c>
      <c r="AO211" s="108" t="str">
        <f t="shared" si="81"/>
        <v/>
      </c>
      <c r="AP211" s="108" t="str">
        <f t="shared" si="82"/>
        <v/>
      </c>
      <c r="AQ211" s="108" t="str">
        <f t="shared" si="83"/>
        <v/>
      </c>
      <c r="AR211" s="108"/>
      <c r="AS211" s="108"/>
      <c r="AT211" s="103" t="str">
        <f>IF($X211&gt;0,INDEX('CostModel Coef'!D$13:D$16,$X211),"")</f>
        <v/>
      </c>
      <c r="AU211" s="103" t="str">
        <f>IF($X211&gt;0,INDEX('CostModel Coef'!E$13:E$16,$X211),"")</f>
        <v/>
      </c>
      <c r="AV211" s="103" t="str">
        <f>IF($X211&gt;0,INDEX('CostModel Coef'!F$13:F$16,$X211),"")</f>
        <v/>
      </c>
      <c r="AW211" s="103" t="str">
        <f>IF($X211&gt;0,INDEX('CostModel Coef'!G$13:G$16,$X211),"")</f>
        <v/>
      </c>
      <c r="AX211" s="103" t="str">
        <f>IF($X211&gt;0,INDEX('CostModel Coef'!H$13:H$16,$X211),"")</f>
        <v/>
      </c>
      <c r="AY211" s="103" t="str">
        <f>IF($X211&gt;0,INDEX('CostModel Coef'!I$13:I$16,$X211),"")</f>
        <v/>
      </c>
      <c r="AZ211" s="103" t="str">
        <f>IF($X211&gt;0,INDEX('CostModel Coef'!J$13:J$16,$X211),"")</f>
        <v/>
      </c>
      <c r="BA211" s="103" t="str">
        <f>IF($X211&gt;0,INDEX('CostModel Coef'!K$13:K$16,$X211),"")</f>
        <v/>
      </c>
      <c r="BB211" s="103" t="str">
        <f>IF($X211&gt;0,INDEX('CostModel Coef'!L$13:L$16,$X211),"")</f>
        <v/>
      </c>
      <c r="BC211" s="103" t="str">
        <f>IF($X211&gt;0,INDEX('CostModel Coef'!M$13:M$16,$X211),"")</f>
        <v/>
      </c>
      <c r="BD211" s="103" t="str">
        <f>IF($X211&gt;0,INDEX('CostModel Coef'!N$13:N$16,$X211),"")</f>
        <v/>
      </c>
      <c r="BE211" s="103" t="str">
        <f>IF($X211&gt;0,INDEX('CostModel Coef'!O$13:O$16,$X211),"")</f>
        <v/>
      </c>
      <c r="BF211" s="103" t="str">
        <f>IF($X211&gt;0,INDEX('CostModel Coef'!P$13:P$16,$X211),"")</f>
        <v/>
      </c>
      <c r="BG211" s="103" t="str">
        <f>IF($X211&gt;0,INDEX('CostModel Coef'!Q$13:Q$16,$X211),"")</f>
        <v/>
      </c>
      <c r="BH211" s="103" t="str">
        <f>IF($X211&gt;0,INDEX('CostModel Coef'!R$13:R$16,$X211),"")</f>
        <v/>
      </c>
      <c r="BI211" s="103" t="str">
        <f>IF($X211&gt;0,INDEX('CostModel Coef'!S$13:S$16,$X211),"")</f>
        <v/>
      </c>
      <c r="BJ211" s="103" t="str">
        <f>IF($X211&gt;0,INDEX('CostModel Coef'!T$13:T$16,$X211),"")</f>
        <v/>
      </c>
      <c r="BK211" s="103" t="str">
        <f>IF($X211&gt;0,INDEX('CostModel Coef'!U$13:U$16,$X211),"")</f>
        <v/>
      </c>
      <c r="BL211" s="103" t="str">
        <f>IF($X211&gt;0,INDEX('CostModel Coef'!V$13:V$16,$X211),"")</f>
        <v/>
      </c>
      <c r="BM211" s="103" t="str">
        <f>IF($X211&gt;0,INDEX('CostModel Coef'!W$13:W$16,$X211),"")</f>
        <v/>
      </c>
      <c r="BN211" s="103" t="str">
        <f>IF($X211&gt;0,INDEX('CostModel Coef'!X$13:X$16,$X211),"")</f>
        <v/>
      </c>
      <c r="BO211" s="103"/>
      <c r="BP211" s="119">
        <v>2000</v>
      </c>
      <c r="BQ211" s="103"/>
      <c r="BR211" s="103"/>
      <c r="BS211" s="119" t="str">
        <f t="shared" si="86"/>
        <v/>
      </c>
      <c r="BT211" s="174">
        <f t="shared" si="78"/>
        <v>-1</v>
      </c>
      <c r="BU211" s="113" t="str">
        <f t="shared" si="88"/>
        <v>OOS</v>
      </c>
      <c r="BV211" s="108" t="str">
        <f t="shared" si="89"/>
        <v>OOS</v>
      </c>
      <c r="BW211" s="108" t="str">
        <f t="shared" si="90"/>
        <v>OOS</v>
      </c>
      <c r="BX211" s="108" t="str">
        <f t="shared" si="91"/>
        <v>OOS</v>
      </c>
      <c r="BY211" s="108" t="str">
        <f t="shared" si="92"/>
        <v>OOS</v>
      </c>
      <c r="BZ211" s="108"/>
      <c r="CA211" s="119" t="str">
        <f t="shared" si="93"/>
        <v/>
      </c>
      <c r="CB211" s="174">
        <f t="shared" si="84"/>
        <v>-1</v>
      </c>
      <c r="CC211" s="113" t="str">
        <f t="shared" si="94"/>
        <v/>
      </c>
      <c r="CD211" s="108" t="str">
        <f t="shared" si="95"/>
        <v/>
      </c>
      <c r="CE211" s="108" t="str">
        <f t="shared" si="96"/>
        <v/>
      </c>
      <c r="CF211" s="108" t="str">
        <f t="shared" si="97"/>
        <v/>
      </c>
      <c r="CG211" s="108" t="str">
        <f t="shared" si="98"/>
        <v/>
      </c>
      <c r="CH211" s="103"/>
      <c r="CI211" s="119" t="str">
        <f t="shared" si="87"/>
        <v/>
      </c>
      <c r="CJ211" s="174">
        <f t="shared" si="85"/>
        <v>-1</v>
      </c>
      <c r="CK211" s="113" t="str">
        <f t="shared" si="99"/>
        <v/>
      </c>
      <c r="CL211" s="108" t="str">
        <f t="shared" si="100"/>
        <v/>
      </c>
      <c r="CM211" s="108" t="str">
        <f t="shared" si="101"/>
        <v/>
      </c>
      <c r="CN211" s="108" t="str">
        <f t="shared" si="102"/>
        <v/>
      </c>
      <c r="CO211" s="108" t="str">
        <f t="shared" si="103"/>
        <v/>
      </c>
    </row>
    <row r="212" spans="1:93">
      <c r="A212" s="103" t="s">
        <v>594</v>
      </c>
      <c r="B212" s="103" t="s">
        <v>165</v>
      </c>
      <c r="C212" s="103" t="s">
        <v>162</v>
      </c>
      <c r="D212" s="250" t="s">
        <v>153</v>
      </c>
      <c r="E212" s="250">
        <v>82</v>
      </c>
      <c r="F212" s="182">
        <v>9020</v>
      </c>
      <c r="G212" s="250" t="s">
        <v>175</v>
      </c>
      <c r="H212" s="250">
        <v>29</v>
      </c>
      <c r="I212" s="250"/>
      <c r="J212" s="250"/>
      <c r="K212" s="250" t="s">
        <v>595</v>
      </c>
      <c r="L212" s="250" t="s">
        <v>61</v>
      </c>
      <c r="M212" s="250">
        <v>29</v>
      </c>
      <c r="N212" s="250"/>
      <c r="O212" s="250"/>
      <c r="P212" s="250" t="s">
        <v>153</v>
      </c>
      <c r="Q212" s="250"/>
      <c r="R212" s="250"/>
      <c r="S212" s="250"/>
      <c r="T212" s="250" t="s">
        <v>155</v>
      </c>
      <c r="U212" s="103" t="s">
        <v>596</v>
      </c>
      <c r="V212" s="106" t="s">
        <v>157</v>
      </c>
      <c r="W212" s="103" t="s">
        <v>158</v>
      </c>
      <c r="X212" s="103">
        <f>IFERROR(MATCH(W212,'CostModel Coef'!$C$9:$C$12,0),0)</f>
        <v>0</v>
      </c>
      <c r="Y212" s="103"/>
      <c r="Z212" s="103" t="str">
        <f>IF($X212&gt;0,INDEX('CostModel Coef'!D$9:D$12,$X212),"")</f>
        <v/>
      </c>
      <c r="AA212" s="103" t="str">
        <f>IF($X212&gt;0,INDEX('CostModel Coef'!E$9:E$12,$X212),"")</f>
        <v/>
      </c>
      <c r="AB212" s="103" t="str">
        <f>IF($X212&gt;0,INDEX('CostModel Coef'!F$9:F$12,$X212),"")</f>
        <v/>
      </c>
      <c r="AC212" s="103" t="str">
        <f>IF($X212&gt;0,INDEX('CostModel Coef'!G$9:G$12,$X212),"")</f>
        <v/>
      </c>
      <c r="AD212" s="103" t="str">
        <f>IF($X212&gt;0,INDEX('CostModel Coef'!H$9:H$12,$X212),"")</f>
        <v/>
      </c>
      <c r="AE212" s="103" t="str">
        <f>IF($X212&gt;0,INDEX('CostModel Coef'!J$9:J$12,$X212),"")</f>
        <v/>
      </c>
      <c r="AF212" s="103" t="str">
        <f>IF($X212&gt;0,INDEX('CostModel Coef'!K$9:K$12,$X212),"")</f>
        <v/>
      </c>
      <c r="AG212" s="103" t="str">
        <f>IF($X212&gt;0,INDEX('CostModel Coef'!L$9:L$12,$X212),"")</f>
        <v/>
      </c>
      <c r="AH212" s="103" t="str">
        <f>IF($X212&gt;0,INDEX('CostModel Coef'!M$9:M$12,$X212),"")</f>
        <v/>
      </c>
      <c r="AI212" s="103" t="str">
        <f>IF($X212&gt;0,INDEX('CostModel Coef'!N$9:N$12,$X212),"")</f>
        <v/>
      </c>
      <c r="AJ212" s="103" t="str">
        <f>IF($X212&gt;0,INDEX('CostModel Coef'!Q$9:Q$12,$X212),"")</f>
        <v/>
      </c>
      <c r="AK212" s="103" t="str">
        <f>IF($X212&gt;0,INDEX('CostModel Coef'!T$9:T$12,$X212),"")</f>
        <v/>
      </c>
      <c r="AL212" s="103"/>
      <c r="AM212" s="108" t="str">
        <f t="shared" si="79"/>
        <v/>
      </c>
      <c r="AN212" s="108" t="str">
        <f t="shared" si="80"/>
        <v/>
      </c>
      <c r="AO212" s="108" t="str">
        <f t="shared" si="81"/>
        <v/>
      </c>
      <c r="AP212" s="108" t="str">
        <f t="shared" si="82"/>
        <v/>
      </c>
      <c r="AQ212" s="108" t="str">
        <f t="shared" si="83"/>
        <v/>
      </c>
      <c r="AR212" s="108"/>
      <c r="AS212" s="108"/>
      <c r="AT212" s="103" t="str">
        <f>IF($X212&gt;0,INDEX('CostModel Coef'!D$13:D$16,$X212),"")</f>
        <v/>
      </c>
      <c r="AU212" s="103" t="str">
        <f>IF($X212&gt;0,INDEX('CostModel Coef'!E$13:E$16,$X212),"")</f>
        <v/>
      </c>
      <c r="AV212" s="103" t="str">
        <f>IF($X212&gt;0,INDEX('CostModel Coef'!F$13:F$16,$X212),"")</f>
        <v/>
      </c>
      <c r="AW212" s="103" t="str">
        <f>IF($X212&gt;0,INDEX('CostModel Coef'!G$13:G$16,$X212),"")</f>
        <v/>
      </c>
      <c r="AX212" s="103" t="str">
        <f>IF($X212&gt;0,INDEX('CostModel Coef'!H$13:H$16,$X212),"")</f>
        <v/>
      </c>
      <c r="AY212" s="103" t="str">
        <f>IF($X212&gt;0,INDEX('CostModel Coef'!I$13:I$16,$X212),"")</f>
        <v/>
      </c>
      <c r="AZ212" s="103" t="str">
        <f>IF($X212&gt;0,INDEX('CostModel Coef'!J$13:J$16,$X212),"")</f>
        <v/>
      </c>
      <c r="BA212" s="103" t="str">
        <f>IF($X212&gt;0,INDEX('CostModel Coef'!K$13:K$16,$X212),"")</f>
        <v/>
      </c>
      <c r="BB212" s="103" t="str">
        <f>IF($X212&gt;0,INDEX('CostModel Coef'!L$13:L$16,$X212),"")</f>
        <v/>
      </c>
      <c r="BC212" s="103" t="str">
        <f>IF($X212&gt;0,INDEX('CostModel Coef'!M$13:M$16,$X212),"")</f>
        <v/>
      </c>
      <c r="BD212" s="103" t="str">
        <f>IF($X212&gt;0,INDEX('CostModel Coef'!N$13:N$16,$X212),"")</f>
        <v/>
      </c>
      <c r="BE212" s="103" t="str">
        <f>IF($X212&gt;0,INDEX('CostModel Coef'!O$13:O$16,$X212),"")</f>
        <v/>
      </c>
      <c r="BF212" s="103" t="str">
        <f>IF($X212&gt;0,INDEX('CostModel Coef'!P$13:P$16,$X212),"")</f>
        <v/>
      </c>
      <c r="BG212" s="103" t="str">
        <f>IF($X212&gt;0,INDEX('CostModel Coef'!Q$13:Q$16,$X212),"")</f>
        <v/>
      </c>
      <c r="BH212" s="103" t="str">
        <f>IF($X212&gt;0,INDEX('CostModel Coef'!R$13:R$16,$X212),"")</f>
        <v/>
      </c>
      <c r="BI212" s="103" t="str">
        <f>IF($X212&gt;0,INDEX('CostModel Coef'!S$13:S$16,$X212),"")</f>
        <v/>
      </c>
      <c r="BJ212" s="103" t="str">
        <f>IF($X212&gt;0,INDEX('CostModel Coef'!T$13:T$16,$X212),"")</f>
        <v/>
      </c>
      <c r="BK212" s="103" t="str">
        <f>IF($X212&gt;0,INDEX('CostModel Coef'!U$13:U$16,$X212),"")</f>
        <v/>
      </c>
      <c r="BL212" s="103" t="str">
        <f>IF($X212&gt;0,INDEX('CostModel Coef'!V$13:V$16,$X212),"")</f>
        <v/>
      </c>
      <c r="BM212" s="103" t="str">
        <f>IF($X212&gt;0,INDEX('CostModel Coef'!W$13:W$16,$X212),"")</f>
        <v/>
      </c>
      <c r="BN212" s="103" t="str">
        <f>IF($X212&gt;0,INDEX('CostModel Coef'!X$13:X$16,$X212),"")</f>
        <v/>
      </c>
      <c r="BO212" s="103"/>
      <c r="BP212" s="119">
        <v>2000</v>
      </c>
      <c r="BQ212" s="103"/>
      <c r="BR212" s="103"/>
      <c r="BS212" s="119" t="str">
        <f t="shared" si="86"/>
        <v/>
      </c>
      <c r="BT212" s="174">
        <f t="shared" si="78"/>
        <v>-1</v>
      </c>
      <c r="BU212" s="113" t="str">
        <f t="shared" si="88"/>
        <v>OOS</v>
      </c>
      <c r="BV212" s="108" t="str">
        <f t="shared" si="89"/>
        <v>OOS</v>
      </c>
      <c r="BW212" s="108" t="str">
        <f t="shared" si="90"/>
        <v>OOS</v>
      </c>
      <c r="BX212" s="108" t="str">
        <f t="shared" si="91"/>
        <v>OOS</v>
      </c>
      <c r="BY212" s="108" t="str">
        <f t="shared" si="92"/>
        <v>OOS</v>
      </c>
      <c r="BZ212" s="108"/>
      <c r="CA212" s="119" t="str">
        <f t="shared" si="93"/>
        <v/>
      </c>
      <c r="CB212" s="174">
        <f t="shared" si="84"/>
        <v>-1</v>
      </c>
      <c r="CC212" s="113" t="str">
        <f t="shared" si="94"/>
        <v/>
      </c>
      <c r="CD212" s="108" t="str">
        <f t="shared" si="95"/>
        <v/>
      </c>
      <c r="CE212" s="108" t="str">
        <f t="shared" si="96"/>
        <v/>
      </c>
      <c r="CF212" s="108" t="str">
        <f t="shared" si="97"/>
        <v/>
      </c>
      <c r="CG212" s="108" t="str">
        <f t="shared" si="98"/>
        <v/>
      </c>
      <c r="CH212" s="103"/>
      <c r="CI212" s="119" t="str">
        <f t="shared" si="87"/>
        <v/>
      </c>
      <c r="CJ212" s="174">
        <f t="shared" si="85"/>
        <v>-1</v>
      </c>
      <c r="CK212" s="113" t="str">
        <f t="shared" si="99"/>
        <v/>
      </c>
      <c r="CL212" s="108" t="str">
        <f t="shared" si="100"/>
        <v/>
      </c>
      <c r="CM212" s="108" t="str">
        <f t="shared" si="101"/>
        <v/>
      </c>
      <c r="CN212" s="108" t="str">
        <f t="shared" si="102"/>
        <v/>
      </c>
      <c r="CO212" s="108" t="str">
        <f t="shared" si="103"/>
        <v/>
      </c>
    </row>
    <row r="213" spans="1:93">
      <c r="A213" s="103" t="s">
        <v>597</v>
      </c>
      <c r="B213" s="103" t="s">
        <v>165</v>
      </c>
      <c r="C213" s="103" t="s">
        <v>162</v>
      </c>
      <c r="D213" s="250" t="s">
        <v>153</v>
      </c>
      <c r="E213" s="250">
        <v>82</v>
      </c>
      <c r="F213" s="182">
        <v>9020</v>
      </c>
      <c r="G213" s="250" t="s">
        <v>175</v>
      </c>
      <c r="H213" s="250">
        <v>30</v>
      </c>
      <c r="I213" s="250"/>
      <c r="J213" s="250"/>
      <c r="K213" s="250" t="s">
        <v>598</v>
      </c>
      <c r="L213" s="250" t="s">
        <v>61</v>
      </c>
      <c r="M213" s="250">
        <v>30</v>
      </c>
      <c r="N213" s="250"/>
      <c r="O213" s="250"/>
      <c r="P213" s="250" t="s">
        <v>153</v>
      </c>
      <c r="Q213" s="250"/>
      <c r="R213" s="250"/>
      <c r="S213" s="250"/>
      <c r="T213" s="250" t="s">
        <v>155</v>
      </c>
      <c r="U213" s="103" t="s">
        <v>599</v>
      </c>
      <c r="V213" s="106" t="s">
        <v>157</v>
      </c>
      <c r="W213" s="103" t="s">
        <v>158</v>
      </c>
      <c r="X213" s="103">
        <f>IFERROR(MATCH(W213,'CostModel Coef'!$C$9:$C$12,0),0)</f>
        <v>0</v>
      </c>
      <c r="Y213" s="103"/>
      <c r="Z213" s="103" t="str">
        <f>IF($X213&gt;0,INDEX('CostModel Coef'!D$9:D$12,$X213),"")</f>
        <v/>
      </c>
      <c r="AA213" s="103" t="str">
        <f>IF($X213&gt;0,INDEX('CostModel Coef'!E$9:E$12,$X213),"")</f>
        <v/>
      </c>
      <c r="AB213" s="103" t="str">
        <f>IF($X213&gt;0,INDEX('CostModel Coef'!F$9:F$12,$X213),"")</f>
        <v/>
      </c>
      <c r="AC213" s="103" t="str">
        <f>IF($X213&gt;0,INDEX('CostModel Coef'!G$9:G$12,$X213),"")</f>
        <v/>
      </c>
      <c r="AD213" s="103" t="str">
        <f>IF($X213&gt;0,INDEX('CostModel Coef'!H$9:H$12,$X213),"")</f>
        <v/>
      </c>
      <c r="AE213" s="103" t="str">
        <f>IF($X213&gt;0,INDEX('CostModel Coef'!J$9:J$12,$X213),"")</f>
        <v/>
      </c>
      <c r="AF213" s="103" t="str">
        <f>IF($X213&gt;0,INDEX('CostModel Coef'!K$9:K$12,$X213),"")</f>
        <v/>
      </c>
      <c r="AG213" s="103" t="str">
        <f>IF($X213&gt;0,INDEX('CostModel Coef'!L$9:L$12,$X213),"")</f>
        <v/>
      </c>
      <c r="AH213" s="103" t="str">
        <f>IF($X213&gt;0,INDEX('CostModel Coef'!M$9:M$12,$X213),"")</f>
        <v/>
      </c>
      <c r="AI213" s="103" t="str">
        <f>IF($X213&gt;0,INDEX('CostModel Coef'!N$9:N$12,$X213),"")</f>
        <v/>
      </c>
      <c r="AJ213" s="103" t="str">
        <f>IF($X213&gt;0,INDEX('CostModel Coef'!Q$9:Q$12,$X213),"")</f>
        <v/>
      </c>
      <c r="AK213" s="103" t="str">
        <f>IF($X213&gt;0,INDEX('CostModel Coef'!T$9:T$12,$X213),"")</f>
        <v/>
      </c>
      <c r="AL213" s="103"/>
      <c r="AM213" s="108" t="str">
        <f t="shared" si="79"/>
        <v/>
      </c>
      <c r="AN213" s="108" t="str">
        <f t="shared" si="80"/>
        <v/>
      </c>
      <c r="AO213" s="108" t="str">
        <f t="shared" si="81"/>
        <v/>
      </c>
      <c r="AP213" s="108" t="str">
        <f t="shared" si="82"/>
        <v/>
      </c>
      <c r="AQ213" s="108" t="str">
        <f t="shared" si="83"/>
        <v/>
      </c>
      <c r="AR213" s="108"/>
      <c r="AS213" s="108"/>
      <c r="AT213" s="103" t="str">
        <f>IF($X213&gt;0,INDEX('CostModel Coef'!D$13:D$16,$X213),"")</f>
        <v/>
      </c>
      <c r="AU213" s="103" t="str">
        <f>IF($X213&gt;0,INDEX('CostModel Coef'!E$13:E$16,$X213),"")</f>
        <v/>
      </c>
      <c r="AV213" s="103" t="str">
        <f>IF($X213&gt;0,INDEX('CostModel Coef'!F$13:F$16,$X213),"")</f>
        <v/>
      </c>
      <c r="AW213" s="103" t="str">
        <f>IF($X213&gt;0,INDEX('CostModel Coef'!G$13:G$16,$X213),"")</f>
        <v/>
      </c>
      <c r="AX213" s="103" t="str">
        <f>IF($X213&gt;0,INDEX('CostModel Coef'!H$13:H$16,$X213),"")</f>
        <v/>
      </c>
      <c r="AY213" s="103" t="str">
        <f>IF($X213&gt;0,INDEX('CostModel Coef'!I$13:I$16,$X213),"")</f>
        <v/>
      </c>
      <c r="AZ213" s="103" t="str">
        <f>IF($X213&gt;0,INDEX('CostModel Coef'!J$13:J$16,$X213),"")</f>
        <v/>
      </c>
      <c r="BA213" s="103" t="str">
        <f>IF($X213&gt;0,INDEX('CostModel Coef'!K$13:K$16,$X213),"")</f>
        <v/>
      </c>
      <c r="BB213" s="103" t="str">
        <f>IF($X213&gt;0,INDEX('CostModel Coef'!L$13:L$16,$X213),"")</f>
        <v/>
      </c>
      <c r="BC213" s="103" t="str">
        <f>IF($X213&gt;0,INDEX('CostModel Coef'!M$13:M$16,$X213),"")</f>
        <v/>
      </c>
      <c r="BD213" s="103" t="str">
        <f>IF($X213&gt;0,INDEX('CostModel Coef'!N$13:N$16,$X213),"")</f>
        <v/>
      </c>
      <c r="BE213" s="103" t="str">
        <f>IF($X213&gt;0,INDEX('CostModel Coef'!O$13:O$16,$X213),"")</f>
        <v/>
      </c>
      <c r="BF213" s="103" t="str">
        <f>IF($X213&gt;0,INDEX('CostModel Coef'!P$13:P$16,$X213),"")</f>
        <v/>
      </c>
      <c r="BG213" s="103" t="str">
        <f>IF($X213&gt;0,INDEX('CostModel Coef'!Q$13:Q$16,$X213),"")</f>
        <v/>
      </c>
      <c r="BH213" s="103" t="str">
        <f>IF($X213&gt;0,INDEX('CostModel Coef'!R$13:R$16,$X213),"")</f>
        <v/>
      </c>
      <c r="BI213" s="103" t="str">
        <f>IF($X213&gt;0,INDEX('CostModel Coef'!S$13:S$16,$X213),"")</f>
        <v/>
      </c>
      <c r="BJ213" s="103" t="str">
        <f>IF($X213&gt;0,INDEX('CostModel Coef'!T$13:T$16,$X213),"")</f>
        <v/>
      </c>
      <c r="BK213" s="103" t="str">
        <f>IF($X213&gt;0,INDEX('CostModel Coef'!U$13:U$16,$X213),"")</f>
        <v/>
      </c>
      <c r="BL213" s="103" t="str">
        <f>IF($X213&gt;0,INDEX('CostModel Coef'!V$13:V$16,$X213),"")</f>
        <v/>
      </c>
      <c r="BM213" s="103" t="str">
        <f>IF($X213&gt;0,INDEX('CostModel Coef'!W$13:W$16,$X213),"")</f>
        <v/>
      </c>
      <c r="BN213" s="103" t="str">
        <f>IF($X213&gt;0,INDEX('CostModel Coef'!X$13:X$16,$X213),"")</f>
        <v/>
      </c>
      <c r="BO213" s="103"/>
      <c r="BP213" s="119">
        <v>2000</v>
      </c>
      <c r="BQ213" s="103"/>
      <c r="BR213" s="103"/>
      <c r="BS213" s="119" t="str">
        <f t="shared" si="86"/>
        <v/>
      </c>
      <c r="BT213" s="174">
        <f t="shared" si="78"/>
        <v>-1</v>
      </c>
      <c r="BU213" s="113" t="str">
        <f t="shared" si="88"/>
        <v>OOS</v>
      </c>
      <c r="BV213" s="108" t="str">
        <f t="shared" si="89"/>
        <v>OOS</v>
      </c>
      <c r="BW213" s="108" t="str">
        <f t="shared" si="90"/>
        <v>OOS</v>
      </c>
      <c r="BX213" s="108" t="str">
        <f t="shared" si="91"/>
        <v>OOS</v>
      </c>
      <c r="BY213" s="108" t="str">
        <f t="shared" si="92"/>
        <v>OOS</v>
      </c>
      <c r="BZ213" s="108"/>
      <c r="CA213" s="119" t="str">
        <f t="shared" si="93"/>
        <v/>
      </c>
      <c r="CB213" s="174">
        <f t="shared" si="84"/>
        <v>-1</v>
      </c>
      <c r="CC213" s="113" t="str">
        <f t="shared" si="94"/>
        <v/>
      </c>
      <c r="CD213" s="108" t="str">
        <f t="shared" si="95"/>
        <v/>
      </c>
      <c r="CE213" s="108" t="str">
        <f t="shared" si="96"/>
        <v/>
      </c>
      <c r="CF213" s="108" t="str">
        <f t="shared" si="97"/>
        <v/>
      </c>
      <c r="CG213" s="108" t="str">
        <f t="shared" si="98"/>
        <v/>
      </c>
      <c r="CH213" s="103"/>
      <c r="CI213" s="119" t="str">
        <f t="shared" si="87"/>
        <v/>
      </c>
      <c r="CJ213" s="174">
        <f t="shared" si="85"/>
        <v>-1</v>
      </c>
      <c r="CK213" s="113" t="str">
        <f t="shared" si="99"/>
        <v/>
      </c>
      <c r="CL213" s="108" t="str">
        <f t="shared" si="100"/>
        <v/>
      </c>
      <c r="CM213" s="108" t="str">
        <f t="shared" si="101"/>
        <v/>
      </c>
      <c r="CN213" s="108" t="str">
        <f t="shared" si="102"/>
        <v/>
      </c>
      <c r="CO213" s="108" t="str">
        <f t="shared" si="103"/>
        <v/>
      </c>
    </row>
    <row r="214" spans="1:93">
      <c r="A214" s="103" t="s">
        <v>600</v>
      </c>
      <c r="B214" s="103" t="s">
        <v>165</v>
      </c>
      <c r="C214" s="103" t="s">
        <v>162</v>
      </c>
      <c r="D214" s="250" t="s">
        <v>153</v>
      </c>
      <c r="E214" s="250">
        <v>82</v>
      </c>
      <c r="F214" s="182">
        <v>9020</v>
      </c>
      <c r="G214" s="250" t="s">
        <v>175</v>
      </c>
      <c r="H214" s="250">
        <v>31</v>
      </c>
      <c r="I214" s="250"/>
      <c r="J214" s="250"/>
      <c r="K214" s="250" t="s">
        <v>601</v>
      </c>
      <c r="L214" s="250" t="s">
        <v>61</v>
      </c>
      <c r="M214" s="250">
        <v>31</v>
      </c>
      <c r="N214" s="250"/>
      <c r="O214" s="250"/>
      <c r="P214" s="250" t="s">
        <v>153</v>
      </c>
      <c r="Q214" s="250"/>
      <c r="R214" s="250"/>
      <c r="S214" s="250"/>
      <c r="T214" s="250" t="s">
        <v>155</v>
      </c>
      <c r="U214" s="103" t="s">
        <v>602</v>
      </c>
      <c r="V214" s="106" t="s">
        <v>157</v>
      </c>
      <c r="W214" s="103" t="s">
        <v>158</v>
      </c>
      <c r="X214" s="103">
        <f>IFERROR(MATCH(W214,'CostModel Coef'!$C$9:$C$12,0),0)</f>
        <v>0</v>
      </c>
      <c r="Y214" s="103"/>
      <c r="Z214" s="103" t="str">
        <f>IF($X214&gt;0,INDEX('CostModel Coef'!D$9:D$12,$X214),"")</f>
        <v/>
      </c>
      <c r="AA214" s="103" t="str">
        <f>IF($X214&gt;0,INDEX('CostModel Coef'!E$9:E$12,$X214),"")</f>
        <v/>
      </c>
      <c r="AB214" s="103" t="str">
        <f>IF($X214&gt;0,INDEX('CostModel Coef'!F$9:F$12,$X214),"")</f>
        <v/>
      </c>
      <c r="AC214" s="103" t="str">
        <f>IF($X214&gt;0,INDEX('CostModel Coef'!G$9:G$12,$X214),"")</f>
        <v/>
      </c>
      <c r="AD214" s="103" t="str">
        <f>IF($X214&gt;0,INDEX('CostModel Coef'!H$9:H$12,$X214),"")</f>
        <v/>
      </c>
      <c r="AE214" s="103" t="str">
        <f>IF($X214&gt;0,INDEX('CostModel Coef'!J$9:J$12,$X214),"")</f>
        <v/>
      </c>
      <c r="AF214" s="103" t="str">
        <f>IF($X214&gt;0,INDEX('CostModel Coef'!K$9:K$12,$X214),"")</f>
        <v/>
      </c>
      <c r="AG214" s="103" t="str">
        <f>IF($X214&gt;0,INDEX('CostModel Coef'!L$9:L$12,$X214),"")</f>
        <v/>
      </c>
      <c r="AH214" s="103" t="str">
        <f>IF($X214&gt;0,INDEX('CostModel Coef'!M$9:M$12,$X214),"")</f>
        <v/>
      </c>
      <c r="AI214" s="103" t="str">
        <f>IF($X214&gt;0,INDEX('CostModel Coef'!N$9:N$12,$X214),"")</f>
        <v/>
      </c>
      <c r="AJ214" s="103" t="str">
        <f>IF($X214&gt;0,INDEX('CostModel Coef'!Q$9:Q$12,$X214),"")</f>
        <v/>
      </c>
      <c r="AK214" s="103" t="str">
        <f>IF($X214&gt;0,INDEX('CostModel Coef'!T$9:T$12,$X214),"")</f>
        <v/>
      </c>
      <c r="AL214" s="103"/>
      <c r="AM214" s="108" t="str">
        <f t="shared" si="79"/>
        <v/>
      </c>
      <c r="AN214" s="108" t="str">
        <f t="shared" si="80"/>
        <v/>
      </c>
      <c r="AO214" s="108" t="str">
        <f t="shared" si="81"/>
        <v/>
      </c>
      <c r="AP214" s="108" t="str">
        <f t="shared" si="82"/>
        <v/>
      </c>
      <c r="AQ214" s="108" t="str">
        <f t="shared" si="83"/>
        <v/>
      </c>
      <c r="AR214" s="108"/>
      <c r="AS214" s="108"/>
      <c r="AT214" s="103" t="str">
        <f>IF($X214&gt;0,INDEX('CostModel Coef'!D$13:D$16,$X214),"")</f>
        <v/>
      </c>
      <c r="AU214" s="103" t="str">
        <f>IF($X214&gt;0,INDEX('CostModel Coef'!E$13:E$16,$X214),"")</f>
        <v/>
      </c>
      <c r="AV214" s="103" t="str">
        <f>IF($X214&gt;0,INDEX('CostModel Coef'!F$13:F$16,$X214),"")</f>
        <v/>
      </c>
      <c r="AW214" s="103" t="str">
        <f>IF($X214&gt;0,INDEX('CostModel Coef'!G$13:G$16,$X214),"")</f>
        <v/>
      </c>
      <c r="AX214" s="103" t="str">
        <f>IF($X214&gt;0,INDEX('CostModel Coef'!H$13:H$16,$X214),"")</f>
        <v/>
      </c>
      <c r="AY214" s="103" t="str">
        <f>IF($X214&gt;0,INDEX('CostModel Coef'!I$13:I$16,$X214),"")</f>
        <v/>
      </c>
      <c r="AZ214" s="103" t="str">
        <f>IF($X214&gt;0,INDEX('CostModel Coef'!J$13:J$16,$X214),"")</f>
        <v/>
      </c>
      <c r="BA214" s="103" t="str">
        <f>IF($X214&gt;0,INDEX('CostModel Coef'!K$13:K$16,$X214),"")</f>
        <v/>
      </c>
      <c r="BB214" s="103" t="str">
        <f>IF($X214&gt;0,INDEX('CostModel Coef'!L$13:L$16,$X214),"")</f>
        <v/>
      </c>
      <c r="BC214" s="103" t="str">
        <f>IF($X214&gt;0,INDEX('CostModel Coef'!M$13:M$16,$X214),"")</f>
        <v/>
      </c>
      <c r="BD214" s="103" t="str">
        <f>IF($X214&gt;0,INDEX('CostModel Coef'!N$13:N$16,$X214),"")</f>
        <v/>
      </c>
      <c r="BE214" s="103" t="str">
        <f>IF($X214&gt;0,INDEX('CostModel Coef'!O$13:O$16,$X214),"")</f>
        <v/>
      </c>
      <c r="BF214" s="103" t="str">
        <f>IF($X214&gt;0,INDEX('CostModel Coef'!P$13:P$16,$X214),"")</f>
        <v/>
      </c>
      <c r="BG214" s="103" t="str">
        <f>IF($X214&gt;0,INDEX('CostModel Coef'!Q$13:Q$16,$X214),"")</f>
        <v/>
      </c>
      <c r="BH214" s="103" t="str">
        <f>IF($X214&gt;0,INDEX('CostModel Coef'!R$13:R$16,$X214),"")</f>
        <v/>
      </c>
      <c r="BI214" s="103" t="str">
        <f>IF($X214&gt;0,INDEX('CostModel Coef'!S$13:S$16,$X214),"")</f>
        <v/>
      </c>
      <c r="BJ214" s="103" t="str">
        <f>IF($X214&gt;0,INDEX('CostModel Coef'!T$13:T$16,$X214),"")</f>
        <v/>
      </c>
      <c r="BK214" s="103" t="str">
        <f>IF($X214&gt;0,INDEX('CostModel Coef'!U$13:U$16,$X214),"")</f>
        <v/>
      </c>
      <c r="BL214" s="103" t="str">
        <f>IF($X214&gt;0,INDEX('CostModel Coef'!V$13:V$16,$X214),"")</f>
        <v/>
      </c>
      <c r="BM214" s="103" t="str">
        <f>IF($X214&gt;0,INDEX('CostModel Coef'!W$13:W$16,$X214),"")</f>
        <v/>
      </c>
      <c r="BN214" s="103" t="str">
        <f>IF($X214&gt;0,INDEX('CostModel Coef'!X$13:X$16,$X214),"")</f>
        <v/>
      </c>
      <c r="BO214" s="103"/>
      <c r="BP214" s="119">
        <v>2000</v>
      </c>
      <c r="BQ214" s="103"/>
      <c r="BR214" s="103"/>
      <c r="BS214" s="119" t="str">
        <f t="shared" si="86"/>
        <v/>
      </c>
      <c r="BT214" s="174">
        <f t="shared" si="78"/>
        <v>-1</v>
      </c>
      <c r="BU214" s="113" t="str">
        <f t="shared" si="88"/>
        <v>OOS</v>
      </c>
      <c r="BV214" s="108" t="str">
        <f t="shared" si="89"/>
        <v>OOS</v>
      </c>
      <c r="BW214" s="108" t="str">
        <f t="shared" si="90"/>
        <v>OOS</v>
      </c>
      <c r="BX214" s="108" t="str">
        <f t="shared" si="91"/>
        <v>OOS</v>
      </c>
      <c r="BY214" s="108" t="str">
        <f t="shared" si="92"/>
        <v>OOS</v>
      </c>
      <c r="BZ214" s="108"/>
      <c r="CA214" s="119" t="str">
        <f t="shared" si="93"/>
        <v/>
      </c>
      <c r="CB214" s="174">
        <f t="shared" si="84"/>
        <v>-1</v>
      </c>
      <c r="CC214" s="113" t="str">
        <f t="shared" si="94"/>
        <v/>
      </c>
      <c r="CD214" s="108" t="str">
        <f t="shared" si="95"/>
        <v/>
      </c>
      <c r="CE214" s="108" t="str">
        <f t="shared" si="96"/>
        <v/>
      </c>
      <c r="CF214" s="108" t="str">
        <f t="shared" si="97"/>
        <v/>
      </c>
      <c r="CG214" s="108" t="str">
        <f t="shared" si="98"/>
        <v/>
      </c>
      <c r="CH214" s="103"/>
      <c r="CI214" s="119" t="str">
        <f t="shared" si="87"/>
        <v/>
      </c>
      <c r="CJ214" s="174">
        <f t="shared" si="85"/>
        <v>-1</v>
      </c>
      <c r="CK214" s="113" t="str">
        <f t="shared" si="99"/>
        <v/>
      </c>
      <c r="CL214" s="108" t="str">
        <f t="shared" si="100"/>
        <v/>
      </c>
      <c r="CM214" s="108" t="str">
        <f t="shared" si="101"/>
        <v/>
      </c>
      <c r="CN214" s="108" t="str">
        <f t="shared" si="102"/>
        <v/>
      </c>
      <c r="CO214" s="108" t="str">
        <f t="shared" si="103"/>
        <v/>
      </c>
    </row>
    <row r="215" spans="1:93">
      <c r="A215" s="103" t="s">
        <v>603</v>
      </c>
      <c r="B215" s="103" t="s">
        <v>165</v>
      </c>
      <c r="C215" s="103" t="s">
        <v>162</v>
      </c>
      <c r="D215" s="250" t="s">
        <v>153</v>
      </c>
      <c r="E215" s="250">
        <v>82</v>
      </c>
      <c r="F215" s="182">
        <v>9020</v>
      </c>
      <c r="G215" s="250" t="s">
        <v>175</v>
      </c>
      <c r="H215" s="250">
        <v>32</v>
      </c>
      <c r="I215" s="250"/>
      <c r="J215" s="250"/>
      <c r="K215" s="250" t="s">
        <v>604</v>
      </c>
      <c r="L215" s="250" t="s">
        <v>61</v>
      </c>
      <c r="M215" s="250">
        <v>32</v>
      </c>
      <c r="N215" s="250"/>
      <c r="O215" s="250"/>
      <c r="P215" s="250" t="s">
        <v>153</v>
      </c>
      <c r="Q215" s="250"/>
      <c r="R215" s="250"/>
      <c r="S215" s="250"/>
      <c r="T215" s="250" t="s">
        <v>155</v>
      </c>
      <c r="U215" s="103" t="s">
        <v>605</v>
      </c>
      <c r="V215" s="106" t="s">
        <v>157</v>
      </c>
      <c r="W215" s="103" t="s">
        <v>158</v>
      </c>
      <c r="X215" s="103">
        <f>IFERROR(MATCH(W215,'CostModel Coef'!$C$9:$C$12,0),0)</f>
        <v>0</v>
      </c>
      <c r="Y215" s="103"/>
      <c r="Z215" s="103" t="str">
        <f>IF($X215&gt;0,INDEX('CostModel Coef'!D$9:D$12,$X215),"")</f>
        <v/>
      </c>
      <c r="AA215" s="103" t="str">
        <f>IF($X215&gt;0,INDEX('CostModel Coef'!E$9:E$12,$X215),"")</f>
        <v/>
      </c>
      <c r="AB215" s="103" t="str">
        <f>IF($X215&gt;0,INDEX('CostModel Coef'!F$9:F$12,$X215),"")</f>
        <v/>
      </c>
      <c r="AC215" s="103" t="str">
        <f>IF($X215&gt;0,INDEX('CostModel Coef'!G$9:G$12,$X215),"")</f>
        <v/>
      </c>
      <c r="AD215" s="103" t="str">
        <f>IF($X215&gt;0,INDEX('CostModel Coef'!H$9:H$12,$X215),"")</f>
        <v/>
      </c>
      <c r="AE215" s="103" t="str">
        <f>IF($X215&gt;0,INDEX('CostModel Coef'!J$9:J$12,$X215),"")</f>
        <v/>
      </c>
      <c r="AF215" s="103" t="str">
        <f>IF($X215&gt;0,INDEX('CostModel Coef'!K$9:K$12,$X215),"")</f>
        <v/>
      </c>
      <c r="AG215" s="103" t="str">
        <f>IF($X215&gt;0,INDEX('CostModel Coef'!L$9:L$12,$X215),"")</f>
        <v/>
      </c>
      <c r="AH215" s="103" t="str">
        <f>IF($X215&gt;0,INDEX('CostModel Coef'!M$9:M$12,$X215),"")</f>
        <v/>
      </c>
      <c r="AI215" s="103" t="str">
        <f>IF($X215&gt;0,INDEX('CostModel Coef'!N$9:N$12,$X215),"")</f>
        <v/>
      </c>
      <c r="AJ215" s="103" t="str">
        <f>IF($X215&gt;0,INDEX('CostModel Coef'!Q$9:Q$12,$X215),"")</f>
        <v/>
      </c>
      <c r="AK215" s="103" t="str">
        <f>IF($X215&gt;0,INDEX('CostModel Coef'!T$9:T$12,$X215),"")</f>
        <v/>
      </c>
      <c r="AL215" s="103"/>
      <c r="AM215" s="108" t="str">
        <f t="shared" si="79"/>
        <v/>
      </c>
      <c r="AN215" s="108" t="str">
        <f t="shared" si="80"/>
        <v/>
      </c>
      <c r="AO215" s="108" t="str">
        <f t="shared" si="81"/>
        <v/>
      </c>
      <c r="AP215" s="108" t="str">
        <f t="shared" si="82"/>
        <v/>
      </c>
      <c r="AQ215" s="108" t="str">
        <f t="shared" si="83"/>
        <v/>
      </c>
      <c r="AR215" s="108"/>
      <c r="AS215" s="108"/>
      <c r="AT215" s="103" t="str">
        <f>IF($X215&gt;0,INDEX('CostModel Coef'!D$13:D$16,$X215),"")</f>
        <v/>
      </c>
      <c r="AU215" s="103" t="str">
        <f>IF($X215&gt;0,INDEX('CostModel Coef'!E$13:E$16,$X215),"")</f>
        <v/>
      </c>
      <c r="AV215" s="103" t="str">
        <f>IF($X215&gt;0,INDEX('CostModel Coef'!F$13:F$16,$X215),"")</f>
        <v/>
      </c>
      <c r="AW215" s="103" t="str">
        <f>IF($X215&gt;0,INDEX('CostModel Coef'!G$13:G$16,$X215),"")</f>
        <v/>
      </c>
      <c r="AX215" s="103" t="str">
        <f>IF($X215&gt;0,INDEX('CostModel Coef'!H$13:H$16,$X215),"")</f>
        <v/>
      </c>
      <c r="AY215" s="103" t="str">
        <f>IF($X215&gt;0,INDEX('CostModel Coef'!I$13:I$16,$X215),"")</f>
        <v/>
      </c>
      <c r="AZ215" s="103" t="str">
        <f>IF($X215&gt;0,INDEX('CostModel Coef'!J$13:J$16,$X215),"")</f>
        <v/>
      </c>
      <c r="BA215" s="103" t="str">
        <f>IF($X215&gt;0,INDEX('CostModel Coef'!K$13:K$16,$X215),"")</f>
        <v/>
      </c>
      <c r="BB215" s="103" t="str">
        <f>IF($X215&gt;0,INDEX('CostModel Coef'!L$13:L$16,$X215),"")</f>
        <v/>
      </c>
      <c r="BC215" s="103" t="str">
        <f>IF($X215&gt;0,INDEX('CostModel Coef'!M$13:M$16,$X215),"")</f>
        <v/>
      </c>
      <c r="BD215" s="103" t="str">
        <f>IF($X215&gt;0,INDEX('CostModel Coef'!N$13:N$16,$X215),"")</f>
        <v/>
      </c>
      <c r="BE215" s="103" t="str">
        <f>IF($X215&gt;0,INDEX('CostModel Coef'!O$13:O$16,$X215),"")</f>
        <v/>
      </c>
      <c r="BF215" s="103" t="str">
        <f>IF($X215&gt;0,INDEX('CostModel Coef'!P$13:P$16,$X215),"")</f>
        <v/>
      </c>
      <c r="BG215" s="103" t="str">
        <f>IF($X215&gt;0,INDEX('CostModel Coef'!Q$13:Q$16,$X215),"")</f>
        <v/>
      </c>
      <c r="BH215" s="103" t="str">
        <f>IF($X215&gt;0,INDEX('CostModel Coef'!R$13:R$16,$X215),"")</f>
        <v/>
      </c>
      <c r="BI215" s="103" t="str">
        <f>IF($X215&gt;0,INDEX('CostModel Coef'!S$13:S$16,$X215),"")</f>
        <v/>
      </c>
      <c r="BJ215" s="103" t="str">
        <f>IF($X215&gt;0,INDEX('CostModel Coef'!T$13:T$16,$X215),"")</f>
        <v/>
      </c>
      <c r="BK215" s="103" t="str">
        <f>IF($X215&gt;0,INDEX('CostModel Coef'!U$13:U$16,$X215),"")</f>
        <v/>
      </c>
      <c r="BL215" s="103" t="str">
        <f>IF($X215&gt;0,INDEX('CostModel Coef'!V$13:V$16,$X215),"")</f>
        <v/>
      </c>
      <c r="BM215" s="103" t="str">
        <f>IF($X215&gt;0,INDEX('CostModel Coef'!W$13:W$16,$X215),"")</f>
        <v/>
      </c>
      <c r="BN215" s="103" t="str">
        <f>IF($X215&gt;0,INDEX('CostModel Coef'!X$13:X$16,$X215),"")</f>
        <v/>
      </c>
      <c r="BO215" s="103"/>
      <c r="BP215" s="119">
        <v>2000</v>
      </c>
      <c r="BQ215" s="103"/>
      <c r="BR215" s="103"/>
      <c r="BS215" s="119" t="str">
        <f t="shared" si="86"/>
        <v/>
      </c>
      <c r="BT215" s="174">
        <f t="shared" si="78"/>
        <v>-1</v>
      </c>
      <c r="BU215" s="113" t="str">
        <f t="shared" si="88"/>
        <v>OOS</v>
      </c>
      <c r="BV215" s="108" t="str">
        <f t="shared" si="89"/>
        <v>OOS</v>
      </c>
      <c r="BW215" s="108" t="str">
        <f t="shared" si="90"/>
        <v>OOS</v>
      </c>
      <c r="BX215" s="108" t="str">
        <f t="shared" si="91"/>
        <v>OOS</v>
      </c>
      <c r="BY215" s="108" t="str">
        <f t="shared" si="92"/>
        <v>OOS</v>
      </c>
      <c r="BZ215" s="108"/>
      <c r="CA215" s="119" t="str">
        <f t="shared" si="93"/>
        <v/>
      </c>
      <c r="CB215" s="174">
        <f t="shared" si="84"/>
        <v>-1</v>
      </c>
      <c r="CC215" s="113" t="str">
        <f t="shared" si="94"/>
        <v/>
      </c>
      <c r="CD215" s="108" t="str">
        <f t="shared" si="95"/>
        <v/>
      </c>
      <c r="CE215" s="108" t="str">
        <f t="shared" si="96"/>
        <v/>
      </c>
      <c r="CF215" s="108" t="str">
        <f t="shared" si="97"/>
        <v/>
      </c>
      <c r="CG215" s="108" t="str">
        <f t="shared" si="98"/>
        <v/>
      </c>
      <c r="CH215" s="103"/>
      <c r="CI215" s="119" t="str">
        <f t="shared" si="87"/>
        <v/>
      </c>
      <c r="CJ215" s="174">
        <f t="shared" si="85"/>
        <v>-1</v>
      </c>
      <c r="CK215" s="113" t="str">
        <f t="shared" si="99"/>
        <v/>
      </c>
      <c r="CL215" s="108" t="str">
        <f t="shared" si="100"/>
        <v/>
      </c>
      <c r="CM215" s="108" t="str">
        <f t="shared" si="101"/>
        <v/>
      </c>
      <c r="CN215" s="108" t="str">
        <f t="shared" si="102"/>
        <v/>
      </c>
      <c r="CO215" s="108" t="str">
        <f t="shared" si="103"/>
        <v/>
      </c>
    </row>
    <row r="216" spans="1:93">
      <c r="A216" s="103" t="s">
        <v>606</v>
      </c>
      <c r="B216" s="103" t="s">
        <v>165</v>
      </c>
      <c r="C216" s="103" t="s">
        <v>162</v>
      </c>
      <c r="D216" s="250" t="s">
        <v>153</v>
      </c>
      <c r="E216" s="250">
        <v>82</v>
      </c>
      <c r="F216" s="182">
        <v>9020</v>
      </c>
      <c r="G216" s="250" t="s">
        <v>175</v>
      </c>
      <c r="H216" s="250">
        <v>3</v>
      </c>
      <c r="I216" s="250"/>
      <c r="J216" s="250"/>
      <c r="K216" s="250" t="s">
        <v>607</v>
      </c>
      <c r="L216" s="250" t="s">
        <v>61</v>
      </c>
      <c r="M216" s="250">
        <v>3</v>
      </c>
      <c r="N216" s="250"/>
      <c r="O216" s="250"/>
      <c r="P216" s="250" t="s">
        <v>153</v>
      </c>
      <c r="Q216" s="250"/>
      <c r="R216" s="250"/>
      <c r="S216" s="250"/>
      <c r="T216" s="250" t="s">
        <v>155</v>
      </c>
      <c r="U216" s="103" t="s">
        <v>608</v>
      </c>
      <c r="V216" s="106" t="s">
        <v>157</v>
      </c>
      <c r="W216" s="103" t="s">
        <v>158</v>
      </c>
      <c r="X216" s="103">
        <f>IFERROR(MATCH(W216,'CostModel Coef'!$C$9:$C$12,0),0)</f>
        <v>0</v>
      </c>
      <c r="Y216" s="103"/>
      <c r="Z216" s="103" t="str">
        <f>IF($X216&gt;0,INDEX('CostModel Coef'!D$9:D$12,$X216),"")</f>
        <v/>
      </c>
      <c r="AA216" s="103" t="str">
        <f>IF($X216&gt;0,INDEX('CostModel Coef'!E$9:E$12,$X216),"")</f>
        <v/>
      </c>
      <c r="AB216" s="103" t="str">
        <f>IF($X216&gt;0,INDEX('CostModel Coef'!F$9:F$12,$X216),"")</f>
        <v/>
      </c>
      <c r="AC216" s="103" t="str">
        <f>IF($X216&gt;0,INDEX('CostModel Coef'!G$9:G$12,$X216),"")</f>
        <v/>
      </c>
      <c r="AD216" s="103" t="str">
        <f>IF($X216&gt;0,INDEX('CostModel Coef'!H$9:H$12,$X216),"")</f>
        <v/>
      </c>
      <c r="AE216" s="103" t="str">
        <f>IF($X216&gt;0,INDEX('CostModel Coef'!J$9:J$12,$X216),"")</f>
        <v/>
      </c>
      <c r="AF216" s="103" t="str">
        <f>IF($X216&gt;0,INDEX('CostModel Coef'!K$9:K$12,$X216),"")</f>
        <v/>
      </c>
      <c r="AG216" s="103" t="str">
        <f>IF($X216&gt;0,INDEX('CostModel Coef'!L$9:L$12,$X216),"")</f>
        <v/>
      </c>
      <c r="AH216" s="103" t="str">
        <f>IF($X216&gt;0,INDEX('CostModel Coef'!M$9:M$12,$X216),"")</f>
        <v/>
      </c>
      <c r="AI216" s="103" t="str">
        <f>IF($X216&gt;0,INDEX('CostModel Coef'!N$9:N$12,$X216),"")</f>
        <v/>
      </c>
      <c r="AJ216" s="103" t="str">
        <f>IF($X216&gt;0,INDEX('CostModel Coef'!Q$9:Q$12,$X216),"")</f>
        <v/>
      </c>
      <c r="AK216" s="103" t="str">
        <f>IF($X216&gt;0,INDEX('CostModel Coef'!T$9:T$12,$X216),"")</f>
        <v/>
      </c>
      <c r="AL216" s="103"/>
      <c r="AM216" s="108" t="str">
        <f t="shared" si="79"/>
        <v/>
      </c>
      <c r="AN216" s="108" t="str">
        <f t="shared" si="80"/>
        <v/>
      </c>
      <c r="AO216" s="108" t="str">
        <f t="shared" si="81"/>
        <v/>
      </c>
      <c r="AP216" s="108" t="str">
        <f t="shared" si="82"/>
        <v/>
      </c>
      <c r="AQ216" s="108" t="str">
        <f t="shared" si="83"/>
        <v/>
      </c>
      <c r="AR216" s="108"/>
      <c r="AS216" s="108"/>
      <c r="AT216" s="103" t="str">
        <f>IF($X216&gt;0,INDEX('CostModel Coef'!D$13:D$16,$X216),"")</f>
        <v/>
      </c>
      <c r="AU216" s="103" t="str">
        <f>IF($X216&gt;0,INDEX('CostModel Coef'!E$13:E$16,$X216),"")</f>
        <v/>
      </c>
      <c r="AV216" s="103" t="str">
        <f>IF($X216&gt;0,INDEX('CostModel Coef'!F$13:F$16,$X216),"")</f>
        <v/>
      </c>
      <c r="AW216" s="103" t="str">
        <f>IF($X216&gt;0,INDEX('CostModel Coef'!G$13:G$16,$X216),"")</f>
        <v/>
      </c>
      <c r="AX216" s="103" t="str">
        <f>IF($X216&gt;0,INDEX('CostModel Coef'!H$13:H$16,$X216),"")</f>
        <v/>
      </c>
      <c r="AY216" s="103" t="str">
        <f>IF($X216&gt;0,INDEX('CostModel Coef'!I$13:I$16,$X216),"")</f>
        <v/>
      </c>
      <c r="AZ216" s="103" t="str">
        <f>IF($X216&gt;0,INDEX('CostModel Coef'!J$13:J$16,$X216),"")</f>
        <v/>
      </c>
      <c r="BA216" s="103" t="str">
        <f>IF($X216&gt;0,INDEX('CostModel Coef'!K$13:K$16,$X216),"")</f>
        <v/>
      </c>
      <c r="BB216" s="103" t="str">
        <f>IF($X216&gt;0,INDEX('CostModel Coef'!L$13:L$16,$X216),"")</f>
        <v/>
      </c>
      <c r="BC216" s="103" t="str">
        <f>IF($X216&gt;0,INDEX('CostModel Coef'!M$13:M$16,$X216),"")</f>
        <v/>
      </c>
      <c r="BD216" s="103" t="str">
        <f>IF($X216&gt;0,INDEX('CostModel Coef'!N$13:N$16,$X216),"")</f>
        <v/>
      </c>
      <c r="BE216" s="103" t="str">
        <f>IF($X216&gt;0,INDEX('CostModel Coef'!O$13:O$16,$X216),"")</f>
        <v/>
      </c>
      <c r="BF216" s="103" t="str">
        <f>IF($X216&gt;0,INDEX('CostModel Coef'!P$13:P$16,$X216),"")</f>
        <v/>
      </c>
      <c r="BG216" s="103" t="str">
        <f>IF($X216&gt;0,INDEX('CostModel Coef'!Q$13:Q$16,$X216),"")</f>
        <v/>
      </c>
      <c r="BH216" s="103" t="str">
        <f>IF($X216&gt;0,INDEX('CostModel Coef'!R$13:R$16,$X216),"")</f>
        <v/>
      </c>
      <c r="BI216" s="103" t="str">
        <f>IF($X216&gt;0,INDEX('CostModel Coef'!S$13:S$16,$X216),"")</f>
        <v/>
      </c>
      <c r="BJ216" s="103" t="str">
        <f>IF($X216&gt;0,INDEX('CostModel Coef'!T$13:T$16,$X216),"")</f>
        <v/>
      </c>
      <c r="BK216" s="103" t="str">
        <f>IF($X216&gt;0,INDEX('CostModel Coef'!U$13:U$16,$X216),"")</f>
        <v/>
      </c>
      <c r="BL216" s="103" t="str">
        <f>IF($X216&gt;0,INDEX('CostModel Coef'!V$13:V$16,$X216),"")</f>
        <v/>
      </c>
      <c r="BM216" s="103" t="str">
        <f>IF($X216&gt;0,INDEX('CostModel Coef'!W$13:W$16,$X216),"")</f>
        <v/>
      </c>
      <c r="BN216" s="103" t="str">
        <f>IF($X216&gt;0,INDEX('CostModel Coef'!X$13:X$16,$X216),"")</f>
        <v/>
      </c>
      <c r="BO216" s="103"/>
      <c r="BP216" s="119">
        <v>2000</v>
      </c>
      <c r="BQ216" s="103"/>
      <c r="BR216" s="103"/>
      <c r="BS216" s="119" t="str">
        <f t="shared" si="86"/>
        <v/>
      </c>
      <c r="BT216" s="174">
        <f t="shared" si="78"/>
        <v>-1</v>
      </c>
      <c r="BU216" s="113" t="str">
        <f t="shared" si="88"/>
        <v>OOS</v>
      </c>
      <c r="BV216" s="108" t="str">
        <f t="shared" si="89"/>
        <v>OOS</v>
      </c>
      <c r="BW216" s="108" t="str">
        <f t="shared" si="90"/>
        <v>OOS</v>
      </c>
      <c r="BX216" s="108" t="str">
        <f t="shared" si="91"/>
        <v>OOS</v>
      </c>
      <c r="BY216" s="108" t="str">
        <f t="shared" si="92"/>
        <v>OOS</v>
      </c>
      <c r="BZ216" s="108"/>
      <c r="CA216" s="119" t="str">
        <f t="shared" si="93"/>
        <v/>
      </c>
      <c r="CB216" s="174">
        <f t="shared" si="84"/>
        <v>-1</v>
      </c>
      <c r="CC216" s="113" t="str">
        <f t="shared" si="94"/>
        <v/>
      </c>
      <c r="CD216" s="108" t="str">
        <f t="shared" si="95"/>
        <v/>
      </c>
      <c r="CE216" s="108" t="str">
        <f t="shared" si="96"/>
        <v/>
      </c>
      <c r="CF216" s="108" t="str">
        <f t="shared" si="97"/>
        <v/>
      </c>
      <c r="CG216" s="108" t="str">
        <f t="shared" si="98"/>
        <v/>
      </c>
      <c r="CH216" s="103"/>
      <c r="CI216" s="119" t="str">
        <f t="shared" si="87"/>
        <v/>
      </c>
      <c r="CJ216" s="174">
        <f t="shared" si="85"/>
        <v>-1</v>
      </c>
      <c r="CK216" s="113" t="str">
        <f t="shared" si="99"/>
        <v/>
      </c>
      <c r="CL216" s="108" t="str">
        <f t="shared" si="100"/>
        <v/>
      </c>
      <c r="CM216" s="108" t="str">
        <f t="shared" si="101"/>
        <v/>
      </c>
      <c r="CN216" s="108" t="str">
        <f t="shared" si="102"/>
        <v/>
      </c>
      <c r="CO216" s="108" t="str">
        <f t="shared" si="103"/>
        <v/>
      </c>
    </row>
    <row r="217" spans="1:93">
      <c r="A217" s="103" t="s">
        <v>609</v>
      </c>
      <c r="B217" s="103" t="s">
        <v>174</v>
      </c>
      <c r="C217" s="103" t="s">
        <v>162</v>
      </c>
      <c r="D217" s="250" t="s">
        <v>153</v>
      </c>
      <c r="E217" s="250"/>
      <c r="F217" s="182">
        <v>9020</v>
      </c>
      <c r="G217" s="250" t="s">
        <v>175</v>
      </c>
      <c r="H217" s="250">
        <v>40</v>
      </c>
      <c r="I217" s="250"/>
      <c r="J217" s="250"/>
      <c r="K217" s="250"/>
      <c r="L217" s="250" t="s">
        <v>61</v>
      </c>
      <c r="M217" s="250">
        <v>40</v>
      </c>
      <c r="N217" s="250"/>
      <c r="O217" s="250"/>
      <c r="P217" s="250" t="s">
        <v>153</v>
      </c>
      <c r="Q217" s="250"/>
      <c r="R217" s="250"/>
      <c r="S217" s="250"/>
      <c r="T217" s="250" t="s">
        <v>155</v>
      </c>
      <c r="U217" s="103" t="s">
        <v>610</v>
      </c>
      <c r="V217" s="106" t="s">
        <v>157</v>
      </c>
      <c r="W217" s="103" t="s">
        <v>158</v>
      </c>
      <c r="X217" s="103">
        <f>IFERROR(MATCH(W217,'CostModel Coef'!$C$9:$C$12,0),0)</f>
        <v>0</v>
      </c>
      <c r="Y217" s="103"/>
      <c r="Z217" s="103" t="str">
        <f>IF($X217&gt;0,INDEX('CostModel Coef'!D$9:D$12,$X217),"")</f>
        <v/>
      </c>
      <c r="AA217" s="103" t="str">
        <f>IF($X217&gt;0,INDEX('CostModel Coef'!E$9:E$12,$X217),"")</f>
        <v/>
      </c>
      <c r="AB217" s="103" t="str">
        <f>IF($X217&gt;0,INDEX('CostModel Coef'!F$9:F$12,$X217),"")</f>
        <v/>
      </c>
      <c r="AC217" s="103" t="str">
        <f>IF($X217&gt;0,INDEX('CostModel Coef'!G$9:G$12,$X217),"")</f>
        <v/>
      </c>
      <c r="AD217" s="103" t="str">
        <f>IF($X217&gt;0,INDEX('CostModel Coef'!H$9:H$12,$X217),"")</f>
        <v/>
      </c>
      <c r="AE217" s="103" t="str">
        <f>IF($X217&gt;0,INDEX('CostModel Coef'!J$9:J$12,$X217),"")</f>
        <v/>
      </c>
      <c r="AF217" s="103" t="str">
        <f>IF($X217&gt;0,INDEX('CostModel Coef'!K$9:K$12,$X217),"")</f>
        <v/>
      </c>
      <c r="AG217" s="103" t="str">
        <f>IF($X217&gt;0,INDEX('CostModel Coef'!L$9:L$12,$X217),"")</f>
        <v/>
      </c>
      <c r="AH217" s="103" t="str">
        <f>IF($X217&gt;0,INDEX('CostModel Coef'!M$9:M$12,$X217),"")</f>
        <v/>
      </c>
      <c r="AI217" s="103" t="str">
        <f>IF($X217&gt;0,INDEX('CostModel Coef'!N$9:N$12,$X217),"")</f>
        <v/>
      </c>
      <c r="AJ217" s="103" t="str">
        <f>IF($X217&gt;0,INDEX('CostModel Coef'!Q$9:Q$12,$X217),"")</f>
        <v/>
      </c>
      <c r="AK217" s="103" t="str">
        <f>IF($X217&gt;0,INDEX('CostModel Coef'!T$9:T$12,$X217),"")</f>
        <v/>
      </c>
      <c r="AL217" s="103"/>
      <c r="AM217" s="108" t="str">
        <f t="shared" si="79"/>
        <v/>
      </c>
      <c r="AN217" s="108" t="str">
        <f t="shared" si="80"/>
        <v/>
      </c>
      <c r="AO217" s="108" t="str">
        <f t="shared" si="81"/>
        <v/>
      </c>
      <c r="AP217" s="108" t="str">
        <f t="shared" si="82"/>
        <v/>
      </c>
      <c r="AQ217" s="108" t="str">
        <f t="shared" si="83"/>
        <v/>
      </c>
      <c r="AR217" s="108"/>
      <c r="AS217" s="108"/>
      <c r="AT217" s="103" t="str">
        <f>IF($X217&gt;0,INDEX('CostModel Coef'!D$13:D$16,$X217),"")</f>
        <v/>
      </c>
      <c r="AU217" s="103" t="str">
        <f>IF($X217&gt;0,INDEX('CostModel Coef'!E$13:E$16,$X217),"")</f>
        <v/>
      </c>
      <c r="AV217" s="103" t="str">
        <f>IF($X217&gt;0,INDEX('CostModel Coef'!F$13:F$16,$X217),"")</f>
        <v/>
      </c>
      <c r="AW217" s="103" t="str">
        <f>IF($X217&gt;0,INDEX('CostModel Coef'!G$13:G$16,$X217),"")</f>
        <v/>
      </c>
      <c r="AX217" s="103" t="str">
        <f>IF($X217&gt;0,INDEX('CostModel Coef'!H$13:H$16,$X217),"")</f>
        <v/>
      </c>
      <c r="AY217" s="103" t="str">
        <f>IF($X217&gt;0,INDEX('CostModel Coef'!I$13:I$16,$X217),"")</f>
        <v/>
      </c>
      <c r="AZ217" s="103" t="str">
        <f>IF($X217&gt;0,INDEX('CostModel Coef'!J$13:J$16,$X217),"")</f>
        <v/>
      </c>
      <c r="BA217" s="103" t="str">
        <f>IF($X217&gt;0,INDEX('CostModel Coef'!K$13:K$16,$X217),"")</f>
        <v/>
      </c>
      <c r="BB217" s="103" t="str">
        <f>IF($X217&gt;0,INDEX('CostModel Coef'!L$13:L$16,$X217),"")</f>
        <v/>
      </c>
      <c r="BC217" s="103" t="str">
        <f>IF($X217&gt;0,INDEX('CostModel Coef'!M$13:M$16,$X217),"")</f>
        <v/>
      </c>
      <c r="BD217" s="103" t="str">
        <f>IF($X217&gt;0,INDEX('CostModel Coef'!N$13:N$16,$X217),"")</f>
        <v/>
      </c>
      <c r="BE217" s="103" t="str">
        <f>IF($X217&gt;0,INDEX('CostModel Coef'!O$13:O$16,$X217),"")</f>
        <v/>
      </c>
      <c r="BF217" s="103" t="str">
        <f>IF($X217&gt;0,INDEX('CostModel Coef'!P$13:P$16,$X217),"")</f>
        <v/>
      </c>
      <c r="BG217" s="103" t="str">
        <f>IF($X217&gt;0,INDEX('CostModel Coef'!Q$13:Q$16,$X217),"")</f>
        <v/>
      </c>
      <c r="BH217" s="103" t="str">
        <f>IF($X217&gt;0,INDEX('CostModel Coef'!R$13:R$16,$X217),"")</f>
        <v/>
      </c>
      <c r="BI217" s="103" t="str">
        <f>IF($X217&gt;0,INDEX('CostModel Coef'!S$13:S$16,$X217),"")</f>
        <v/>
      </c>
      <c r="BJ217" s="103" t="str">
        <f>IF($X217&gt;0,INDEX('CostModel Coef'!T$13:T$16,$X217),"")</f>
        <v/>
      </c>
      <c r="BK217" s="103" t="str">
        <f>IF($X217&gt;0,INDEX('CostModel Coef'!U$13:U$16,$X217),"")</f>
        <v/>
      </c>
      <c r="BL217" s="103" t="str">
        <f>IF($X217&gt;0,INDEX('CostModel Coef'!V$13:V$16,$X217),"")</f>
        <v/>
      </c>
      <c r="BM217" s="103" t="str">
        <f>IF($X217&gt;0,INDEX('CostModel Coef'!W$13:W$16,$X217),"")</f>
        <v/>
      </c>
      <c r="BN217" s="103" t="str">
        <f>IF($X217&gt;0,INDEX('CostModel Coef'!X$13:X$16,$X217),"")</f>
        <v/>
      </c>
      <c r="BO217" s="103"/>
      <c r="BP217" s="119">
        <v>2000</v>
      </c>
      <c r="BQ217" s="103"/>
      <c r="BR217" s="103"/>
      <c r="BS217" s="119" t="str">
        <f t="shared" si="86"/>
        <v/>
      </c>
      <c r="BT217" s="174">
        <f t="shared" si="78"/>
        <v>-1</v>
      </c>
      <c r="BU217" s="113" t="str">
        <f t="shared" si="88"/>
        <v>OOS</v>
      </c>
      <c r="BV217" s="108" t="str">
        <f t="shared" si="89"/>
        <v>OOS</v>
      </c>
      <c r="BW217" s="108" t="str">
        <f t="shared" si="90"/>
        <v>OOS</v>
      </c>
      <c r="BX217" s="108" t="str">
        <f t="shared" si="91"/>
        <v>OOS</v>
      </c>
      <c r="BY217" s="108" t="str">
        <f t="shared" si="92"/>
        <v>OOS</v>
      </c>
      <c r="BZ217" s="108"/>
      <c r="CA217" s="119" t="str">
        <f t="shared" si="93"/>
        <v/>
      </c>
      <c r="CB217" s="174">
        <f t="shared" si="84"/>
        <v>-1</v>
      </c>
      <c r="CC217" s="113" t="str">
        <f t="shared" si="94"/>
        <v/>
      </c>
      <c r="CD217" s="108" t="str">
        <f t="shared" si="95"/>
        <v/>
      </c>
      <c r="CE217" s="108" t="str">
        <f t="shared" si="96"/>
        <v/>
      </c>
      <c r="CF217" s="108" t="str">
        <f t="shared" si="97"/>
        <v/>
      </c>
      <c r="CG217" s="108" t="str">
        <f t="shared" si="98"/>
        <v/>
      </c>
      <c r="CH217" s="103"/>
      <c r="CI217" s="119" t="str">
        <f t="shared" si="87"/>
        <v/>
      </c>
      <c r="CJ217" s="174">
        <f t="shared" si="85"/>
        <v>-1</v>
      </c>
      <c r="CK217" s="113" t="str">
        <f t="shared" si="99"/>
        <v/>
      </c>
      <c r="CL217" s="108" t="str">
        <f t="shared" si="100"/>
        <v/>
      </c>
      <c r="CM217" s="108" t="str">
        <f t="shared" si="101"/>
        <v/>
      </c>
      <c r="CN217" s="108" t="str">
        <f t="shared" si="102"/>
        <v/>
      </c>
      <c r="CO217" s="108" t="str">
        <f t="shared" si="103"/>
        <v/>
      </c>
    </row>
    <row r="218" spans="1:93">
      <c r="A218" s="103" t="s">
        <v>611</v>
      </c>
      <c r="B218" s="103" t="s">
        <v>165</v>
      </c>
      <c r="C218" s="103" t="s">
        <v>162</v>
      </c>
      <c r="D218" s="250" t="s">
        <v>153</v>
      </c>
      <c r="E218" s="250">
        <v>82</v>
      </c>
      <c r="F218" s="182">
        <v>9020</v>
      </c>
      <c r="G218" s="250" t="s">
        <v>175</v>
      </c>
      <c r="H218" s="250">
        <v>42</v>
      </c>
      <c r="I218" s="250"/>
      <c r="J218" s="250"/>
      <c r="K218" s="250" t="s">
        <v>612</v>
      </c>
      <c r="L218" s="250" t="s">
        <v>61</v>
      </c>
      <c r="M218" s="250">
        <v>42</v>
      </c>
      <c r="N218" s="250"/>
      <c r="O218" s="250"/>
      <c r="P218" s="250" t="s">
        <v>153</v>
      </c>
      <c r="Q218" s="250"/>
      <c r="R218" s="250"/>
      <c r="S218" s="250"/>
      <c r="T218" s="250" t="s">
        <v>155</v>
      </c>
      <c r="U218" s="103" t="s">
        <v>613</v>
      </c>
      <c r="V218" s="106" t="s">
        <v>157</v>
      </c>
      <c r="W218" s="103" t="s">
        <v>158</v>
      </c>
      <c r="X218" s="103">
        <f>IFERROR(MATCH(W218,'CostModel Coef'!$C$9:$C$12,0),0)</f>
        <v>0</v>
      </c>
      <c r="Y218" s="103"/>
      <c r="Z218" s="103" t="str">
        <f>IF($X218&gt;0,INDEX('CostModel Coef'!D$9:D$12,$X218),"")</f>
        <v/>
      </c>
      <c r="AA218" s="103" t="str">
        <f>IF($X218&gt;0,INDEX('CostModel Coef'!E$9:E$12,$X218),"")</f>
        <v/>
      </c>
      <c r="AB218" s="103" t="str">
        <f>IF($X218&gt;0,INDEX('CostModel Coef'!F$9:F$12,$X218),"")</f>
        <v/>
      </c>
      <c r="AC218" s="103" t="str">
        <f>IF($X218&gt;0,INDEX('CostModel Coef'!G$9:G$12,$X218),"")</f>
        <v/>
      </c>
      <c r="AD218" s="103" t="str">
        <f>IF($X218&gt;0,INDEX('CostModel Coef'!H$9:H$12,$X218),"")</f>
        <v/>
      </c>
      <c r="AE218" s="103" t="str">
        <f>IF($X218&gt;0,INDEX('CostModel Coef'!J$9:J$12,$X218),"")</f>
        <v/>
      </c>
      <c r="AF218" s="103" t="str">
        <f>IF($X218&gt;0,INDEX('CostModel Coef'!K$9:K$12,$X218),"")</f>
        <v/>
      </c>
      <c r="AG218" s="103" t="str">
        <f>IF($X218&gt;0,INDEX('CostModel Coef'!L$9:L$12,$X218),"")</f>
        <v/>
      </c>
      <c r="AH218" s="103" t="str">
        <f>IF($X218&gt;0,INDEX('CostModel Coef'!M$9:M$12,$X218),"")</f>
        <v/>
      </c>
      <c r="AI218" s="103" t="str">
        <f>IF($X218&gt;0,INDEX('CostModel Coef'!N$9:N$12,$X218),"")</f>
        <v/>
      </c>
      <c r="AJ218" s="103" t="str">
        <f>IF($X218&gt;0,INDEX('CostModel Coef'!Q$9:Q$12,$X218),"")</f>
        <v/>
      </c>
      <c r="AK218" s="103" t="str">
        <f>IF($X218&gt;0,INDEX('CostModel Coef'!T$9:T$12,$X218),"")</f>
        <v/>
      </c>
      <c r="AL218" s="103"/>
      <c r="AM218" s="108" t="str">
        <f t="shared" si="79"/>
        <v/>
      </c>
      <c r="AN218" s="108" t="str">
        <f t="shared" si="80"/>
        <v/>
      </c>
      <c r="AO218" s="108" t="str">
        <f t="shared" si="81"/>
        <v/>
      </c>
      <c r="AP218" s="108" t="str">
        <f t="shared" si="82"/>
        <v/>
      </c>
      <c r="AQ218" s="108" t="str">
        <f t="shared" si="83"/>
        <v/>
      </c>
      <c r="AR218" s="108"/>
      <c r="AS218" s="108"/>
      <c r="AT218" s="103" t="str">
        <f>IF($X218&gt;0,INDEX('CostModel Coef'!D$13:D$16,$X218),"")</f>
        <v/>
      </c>
      <c r="AU218" s="103" t="str">
        <f>IF($X218&gt;0,INDEX('CostModel Coef'!E$13:E$16,$X218),"")</f>
        <v/>
      </c>
      <c r="AV218" s="103" t="str">
        <f>IF($X218&gt;0,INDEX('CostModel Coef'!F$13:F$16,$X218),"")</f>
        <v/>
      </c>
      <c r="AW218" s="103" t="str">
        <f>IF($X218&gt;0,INDEX('CostModel Coef'!G$13:G$16,$X218),"")</f>
        <v/>
      </c>
      <c r="AX218" s="103" t="str">
        <f>IF($X218&gt;0,INDEX('CostModel Coef'!H$13:H$16,$X218),"")</f>
        <v/>
      </c>
      <c r="AY218" s="103" t="str">
        <f>IF($X218&gt;0,INDEX('CostModel Coef'!I$13:I$16,$X218),"")</f>
        <v/>
      </c>
      <c r="AZ218" s="103" t="str">
        <f>IF($X218&gt;0,INDEX('CostModel Coef'!J$13:J$16,$X218),"")</f>
        <v/>
      </c>
      <c r="BA218" s="103" t="str">
        <f>IF($X218&gt;0,INDEX('CostModel Coef'!K$13:K$16,$X218),"")</f>
        <v/>
      </c>
      <c r="BB218" s="103" t="str">
        <f>IF($X218&gt;0,INDEX('CostModel Coef'!L$13:L$16,$X218),"")</f>
        <v/>
      </c>
      <c r="BC218" s="103" t="str">
        <f>IF($X218&gt;0,INDEX('CostModel Coef'!M$13:M$16,$X218),"")</f>
        <v/>
      </c>
      <c r="BD218" s="103" t="str">
        <f>IF($X218&gt;0,INDEX('CostModel Coef'!N$13:N$16,$X218),"")</f>
        <v/>
      </c>
      <c r="BE218" s="103" t="str">
        <f>IF($X218&gt;0,INDEX('CostModel Coef'!O$13:O$16,$X218),"")</f>
        <v/>
      </c>
      <c r="BF218" s="103" t="str">
        <f>IF($X218&gt;0,INDEX('CostModel Coef'!P$13:P$16,$X218),"")</f>
        <v/>
      </c>
      <c r="BG218" s="103" t="str">
        <f>IF($X218&gt;0,INDEX('CostModel Coef'!Q$13:Q$16,$X218),"")</f>
        <v/>
      </c>
      <c r="BH218" s="103" t="str">
        <f>IF($X218&gt;0,INDEX('CostModel Coef'!R$13:R$16,$X218),"")</f>
        <v/>
      </c>
      <c r="BI218" s="103" t="str">
        <f>IF($X218&gt;0,INDEX('CostModel Coef'!S$13:S$16,$X218),"")</f>
        <v/>
      </c>
      <c r="BJ218" s="103" t="str">
        <f>IF($X218&gt;0,INDEX('CostModel Coef'!T$13:T$16,$X218),"")</f>
        <v/>
      </c>
      <c r="BK218" s="103" t="str">
        <f>IF($X218&gt;0,INDEX('CostModel Coef'!U$13:U$16,$X218),"")</f>
        <v/>
      </c>
      <c r="BL218" s="103" t="str">
        <f>IF($X218&gt;0,INDEX('CostModel Coef'!V$13:V$16,$X218),"")</f>
        <v/>
      </c>
      <c r="BM218" s="103" t="str">
        <f>IF($X218&gt;0,INDEX('CostModel Coef'!W$13:W$16,$X218),"")</f>
        <v/>
      </c>
      <c r="BN218" s="103" t="str">
        <f>IF($X218&gt;0,INDEX('CostModel Coef'!X$13:X$16,$X218),"")</f>
        <v/>
      </c>
      <c r="BO218" s="103"/>
      <c r="BP218" s="119">
        <v>2000</v>
      </c>
      <c r="BQ218" s="103"/>
      <c r="BR218" s="103"/>
      <c r="BS218" s="119" t="str">
        <f t="shared" si="86"/>
        <v/>
      </c>
      <c r="BT218" s="174">
        <f t="shared" si="78"/>
        <v>-1</v>
      </c>
      <c r="BU218" s="113" t="str">
        <f t="shared" si="88"/>
        <v>OOS</v>
      </c>
      <c r="BV218" s="108" t="str">
        <f t="shared" si="89"/>
        <v>OOS</v>
      </c>
      <c r="BW218" s="108" t="str">
        <f t="shared" si="90"/>
        <v>OOS</v>
      </c>
      <c r="BX218" s="108" t="str">
        <f t="shared" si="91"/>
        <v>OOS</v>
      </c>
      <c r="BY218" s="108" t="str">
        <f t="shared" si="92"/>
        <v>OOS</v>
      </c>
      <c r="BZ218" s="108"/>
      <c r="CA218" s="119" t="str">
        <f t="shared" si="93"/>
        <v/>
      </c>
      <c r="CB218" s="174">
        <f t="shared" si="84"/>
        <v>-1</v>
      </c>
      <c r="CC218" s="113" t="str">
        <f t="shared" si="94"/>
        <v/>
      </c>
      <c r="CD218" s="108" t="str">
        <f t="shared" si="95"/>
        <v/>
      </c>
      <c r="CE218" s="108" t="str">
        <f t="shared" si="96"/>
        <v/>
      </c>
      <c r="CF218" s="108" t="str">
        <f t="shared" si="97"/>
        <v/>
      </c>
      <c r="CG218" s="108" t="str">
        <f t="shared" si="98"/>
        <v/>
      </c>
      <c r="CH218" s="103"/>
      <c r="CI218" s="119" t="str">
        <f t="shared" si="87"/>
        <v/>
      </c>
      <c r="CJ218" s="174">
        <f t="shared" si="85"/>
        <v>-1</v>
      </c>
      <c r="CK218" s="113" t="str">
        <f t="shared" si="99"/>
        <v/>
      </c>
      <c r="CL218" s="108" t="str">
        <f t="shared" si="100"/>
        <v/>
      </c>
      <c r="CM218" s="108" t="str">
        <f t="shared" si="101"/>
        <v/>
      </c>
      <c r="CN218" s="108" t="str">
        <f t="shared" si="102"/>
        <v/>
      </c>
      <c r="CO218" s="108" t="str">
        <f t="shared" si="103"/>
        <v/>
      </c>
    </row>
    <row r="219" spans="1:93">
      <c r="A219" s="103" t="s">
        <v>614</v>
      </c>
      <c r="B219" s="103" t="s">
        <v>174</v>
      </c>
      <c r="C219" s="103" t="s">
        <v>162</v>
      </c>
      <c r="D219" s="250" t="s">
        <v>153</v>
      </c>
      <c r="E219" s="250"/>
      <c r="F219" s="182">
        <v>9020</v>
      </c>
      <c r="G219" s="250" t="s">
        <v>175</v>
      </c>
      <c r="H219" s="250">
        <v>45</v>
      </c>
      <c r="I219" s="250"/>
      <c r="J219" s="250"/>
      <c r="K219" s="250"/>
      <c r="L219" s="250" t="s">
        <v>61</v>
      </c>
      <c r="M219" s="250">
        <v>45</v>
      </c>
      <c r="N219" s="250"/>
      <c r="O219" s="250"/>
      <c r="P219" s="250" t="s">
        <v>153</v>
      </c>
      <c r="Q219" s="250"/>
      <c r="R219" s="250"/>
      <c r="S219" s="250"/>
      <c r="T219" s="250" t="s">
        <v>155</v>
      </c>
      <c r="U219" s="103" t="s">
        <v>615</v>
      </c>
      <c r="V219" s="106" t="s">
        <v>157</v>
      </c>
      <c r="W219" s="103" t="s">
        <v>158</v>
      </c>
      <c r="X219" s="103">
        <f>IFERROR(MATCH(W219,'CostModel Coef'!$C$9:$C$12,0),0)</f>
        <v>0</v>
      </c>
      <c r="Y219" s="103"/>
      <c r="Z219" s="103" t="str">
        <f>IF($X219&gt;0,INDEX('CostModel Coef'!D$9:D$12,$X219),"")</f>
        <v/>
      </c>
      <c r="AA219" s="103" t="str">
        <f>IF($X219&gt;0,INDEX('CostModel Coef'!E$9:E$12,$X219),"")</f>
        <v/>
      </c>
      <c r="AB219" s="103" t="str">
        <f>IF($X219&gt;0,INDEX('CostModel Coef'!F$9:F$12,$X219),"")</f>
        <v/>
      </c>
      <c r="AC219" s="103" t="str">
        <f>IF($X219&gt;0,INDEX('CostModel Coef'!G$9:G$12,$X219),"")</f>
        <v/>
      </c>
      <c r="AD219" s="103" t="str">
        <f>IF($X219&gt;0,INDEX('CostModel Coef'!H$9:H$12,$X219),"")</f>
        <v/>
      </c>
      <c r="AE219" s="103" t="str">
        <f>IF($X219&gt;0,INDEX('CostModel Coef'!J$9:J$12,$X219),"")</f>
        <v/>
      </c>
      <c r="AF219" s="103" t="str">
        <f>IF($X219&gt;0,INDEX('CostModel Coef'!K$9:K$12,$X219),"")</f>
        <v/>
      </c>
      <c r="AG219" s="103" t="str">
        <f>IF($X219&gt;0,INDEX('CostModel Coef'!L$9:L$12,$X219),"")</f>
        <v/>
      </c>
      <c r="AH219" s="103" t="str">
        <f>IF($X219&gt;0,INDEX('CostModel Coef'!M$9:M$12,$X219),"")</f>
        <v/>
      </c>
      <c r="AI219" s="103" t="str">
        <f>IF($X219&gt;0,INDEX('CostModel Coef'!N$9:N$12,$X219),"")</f>
        <v/>
      </c>
      <c r="AJ219" s="103" t="str">
        <f>IF($X219&gt;0,INDEX('CostModel Coef'!Q$9:Q$12,$X219),"")</f>
        <v/>
      </c>
      <c r="AK219" s="103" t="str">
        <f>IF($X219&gt;0,INDEX('CostModel Coef'!T$9:T$12,$X219),"")</f>
        <v/>
      </c>
      <c r="AL219" s="103"/>
      <c r="AM219" s="108" t="str">
        <f t="shared" si="79"/>
        <v/>
      </c>
      <c r="AN219" s="108" t="str">
        <f t="shared" si="80"/>
        <v/>
      </c>
      <c r="AO219" s="108" t="str">
        <f t="shared" si="81"/>
        <v/>
      </c>
      <c r="AP219" s="108" t="str">
        <f t="shared" si="82"/>
        <v/>
      </c>
      <c r="AQ219" s="108" t="str">
        <f t="shared" si="83"/>
        <v/>
      </c>
      <c r="AR219" s="108"/>
      <c r="AS219" s="108"/>
      <c r="AT219" s="103" t="str">
        <f>IF($X219&gt;0,INDEX('CostModel Coef'!D$13:D$16,$X219),"")</f>
        <v/>
      </c>
      <c r="AU219" s="103" t="str">
        <f>IF($X219&gt;0,INDEX('CostModel Coef'!E$13:E$16,$X219),"")</f>
        <v/>
      </c>
      <c r="AV219" s="103" t="str">
        <f>IF($X219&gt;0,INDEX('CostModel Coef'!F$13:F$16,$X219),"")</f>
        <v/>
      </c>
      <c r="AW219" s="103" t="str">
        <f>IF($X219&gt;0,INDEX('CostModel Coef'!G$13:G$16,$X219),"")</f>
        <v/>
      </c>
      <c r="AX219" s="103" t="str">
        <f>IF($X219&gt;0,INDEX('CostModel Coef'!H$13:H$16,$X219),"")</f>
        <v/>
      </c>
      <c r="AY219" s="103" t="str">
        <f>IF($X219&gt;0,INDEX('CostModel Coef'!I$13:I$16,$X219),"")</f>
        <v/>
      </c>
      <c r="AZ219" s="103" t="str">
        <f>IF($X219&gt;0,INDEX('CostModel Coef'!J$13:J$16,$X219),"")</f>
        <v/>
      </c>
      <c r="BA219" s="103" t="str">
        <f>IF($X219&gt;0,INDEX('CostModel Coef'!K$13:K$16,$X219),"")</f>
        <v/>
      </c>
      <c r="BB219" s="103" t="str">
        <f>IF($X219&gt;0,INDEX('CostModel Coef'!L$13:L$16,$X219),"")</f>
        <v/>
      </c>
      <c r="BC219" s="103" t="str">
        <f>IF($X219&gt;0,INDEX('CostModel Coef'!M$13:M$16,$X219),"")</f>
        <v/>
      </c>
      <c r="BD219" s="103" t="str">
        <f>IF($X219&gt;0,INDEX('CostModel Coef'!N$13:N$16,$X219),"")</f>
        <v/>
      </c>
      <c r="BE219" s="103" t="str">
        <f>IF($X219&gt;0,INDEX('CostModel Coef'!O$13:O$16,$X219),"")</f>
        <v/>
      </c>
      <c r="BF219" s="103" t="str">
        <f>IF($X219&gt;0,INDEX('CostModel Coef'!P$13:P$16,$X219),"")</f>
        <v/>
      </c>
      <c r="BG219" s="103" t="str">
        <f>IF($X219&gt;0,INDEX('CostModel Coef'!Q$13:Q$16,$X219),"")</f>
        <v/>
      </c>
      <c r="BH219" s="103" t="str">
        <f>IF($X219&gt;0,INDEX('CostModel Coef'!R$13:R$16,$X219),"")</f>
        <v/>
      </c>
      <c r="BI219" s="103" t="str">
        <f>IF($X219&gt;0,INDEX('CostModel Coef'!S$13:S$16,$X219),"")</f>
        <v/>
      </c>
      <c r="BJ219" s="103" t="str">
        <f>IF($X219&gt;0,INDEX('CostModel Coef'!T$13:T$16,$X219),"")</f>
        <v/>
      </c>
      <c r="BK219" s="103" t="str">
        <f>IF($X219&gt;0,INDEX('CostModel Coef'!U$13:U$16,$X219),"")</f>
        <v/>
      </c>
      <c r="BL219" s="103" t="str">
        <f>IF($X219&gt;0,INDEX('CostModel Coef'!V$13:V$16,$X219),"")</f>
        <v/>
      </c>
      <c r="BM219" s="103" t="str">
        <f>IF($X219&gt;0,INDEX('CostModel Coef'!W$13:W$16,$X219),"")</f>
        <v/>
      </c>
      <c r="BN219" s="103" t="str">
        <f>IF($X219&gt;0,INDEX('CostModel Coef'!X$13:X$16,$X219),"")</f>
        <v/>
      </c>
      <c r="BO219" s="103"/>
      <c r="BP219" s="119">
        <v>2000</v>
      </c>
      <c r="BQ219" s="103"/>
      <c r="BR219" s="103"/>
      <c r="BS219" s="119" t="str">
        <f t="shared" si="86"/>
        <v/>
      </c>
      <c r="BT219" s="174">
        <f t="shared" si="78"/>
        <v>-1</v>
      </c>
      <c r="BU219" s="113" t="str">
        <f t="shared" si="88"/>
        <v>OOS</v>
      </c>
      <c r="BV219" s="108" t="str">
        <f t="shared" si="89"/>
        <v>OOS</v>
      </c>
      <c r="BW219" s="108" t="str">
        <f t="shared" si="90"/>
        <v>OOS</v>
      </c>
      <c r="BX219" s="108" t="str">
        <f t="shared" si="91"/>
        <v>OOS</v>
      </c>
      <c r="BY219" s="108" t="str">
        <f t="shared" si="92"/>
        <v>OOS</v>
      </c>
      <c r="BZ219" s="108"/>
      <c r="CA219" s="119" t="str">
        <f t="shared" si="93"/>
        <v/>
      </c>
      <c r="CB219" s="174">
        <f t="shared" si="84"/>
        <v>-1</v>
      </c>
      <c r="CC219" s="113" t="str">
        <f t="shared" si="94"/>
        <v/>
      </c>
      <c r="CD219" s="108" t="str">
        <f t="shared" si="95"/>
        <v/>
      </c>
      <c r="CE219" s="108" t="str">
        <f t="shared" si="96"/>
        <v/>
      </c>
      <c r="CF219" s="108" t="str">
        <f t="shared" si="97"/>
        <v/>
      </c>
      <c r="CG219" s="108" t="str">
        <f t="shared" si="98"/>
        <v/>
      </c>
      <c r="CH219" s="103"/>
      <c r="CI219" s="119" t="str">
        <f t="shared" si="87"/>
        <v/>
      </c>
      <c r="CJ219" s="174">
        <f t="shared" si="85"/>
        <v>-1</v>
      </c>
      <c r="CK219" s="113" t="str">
        <f t="shared" si="99"/>
        <v/>
      </c>
      <c r="CL219" s="108" t="str">
        <f t="shared" si="100"/>
        <v/>
      </c>
      <c r="CM219" s="108" t="str">
        <f t="shared" si="101"/>
        <v/>
      </c>
      <c r="CN219" s="108" t="str">
        <f t="shared" si="102"/>
        <v/>
      </c>
      <c r="CO219" s="108" t="str">
        <f t="shared" si="103"/>
        <v/>
      </c>
    </row>
    <row r="220" spans="1:93">
      <c r="A220" s="103" t="s">
        <v>616</v>
      </c>
      <c r="B220" s="103" t="s">
        <v>165</v>
      </c>
      <c r="C220" s="103" t="s">
        <v>162</v>
      </c>
      <c r="D220" s="250" t="s">
        <v>153</v>
      </c>
      <c r="E220" s="250">
        <v>82</v>
      </c>
      <c r="F220" s="182">
        <v>9020</v>
      </c>
      <c r="G220" s="250" t="s">
        <v>175</v>
      </c>
      <c r="H220" s="250">
        <v>4</v>
      </c>
      <c r="I220" s="250"/>
      <c r="J220" s="250"/>
      <c r="K220" s="250" t="s">
        <v>617</v>
      </c>
      <c r="L220" s="250" t="s">
        <v>61</v>
      </c>
      <c r="M220" s="250">
        <v>4</v>
      </c>
      <c r="N220" s="250"/>
      <c r="O220" s="250"/>
      <c r="P220" s="250" t="s">
        <v>153</v>
      </c>
      <c r="Q220" s="250"/>
      <c r="R220" s="250"/>
      <c r="S220" s="250"/>
      <c r="T220" s="250" t="s">
        <v>155</v>
      </c>
      <c r="U220" s="103" t="s">
        <v>618</v>
      </c>
      <c r="V220" s="106" t="s">
        <v>157</v>
      </c>
      <c r="W220" s="103" t="s">
        <v>158</v>
      </c>
      <c r="X220" s="103">
        <f>IFERROR(MATCH(W220,'CostModel Coef'!$C$9:$C$12,0),0)</f>
        <v>0</v>
      </c>
      <c r="Y220" s="103"/>
      <c r="Z220" s="103" t="str">
        <f>IF($X220&gt;0,INDEX('CostModel Coef'!D$9:D$12,$X220),"")</f>
        <v/>
      </c>
      <c r="AA220" s="103" t="str">
        <f>IF($X220&gt;0,INDEX('CostModel Coef'!E$9:E$12,$X220),"")</f>
        <v/>
      </c>
      <c r="AB220" s="103" t="str">
        <f>IF($X220&gt;0,INDEX('CostModel Coef'!F$9:F$12,$X220),"")</f>
        <v/>
      </c>
      <c r="AC220" s="103" t="str">
        <f>IF($X220&gt;0,INDEX('CostModel Coef'!G$9:G$12,$X220),"")</f>
        <v/>
      </c>
      <c r="AD220" s="103" t="str">
        <f>IF($X220&gt;0,INDEX('CostModel Coef'!H$9:H$12,$X220),"")</f>
        <v/>
      </c>
      <c r="AE220" s="103" t="str">
        <f>IF($X220&gt;0,INDEX('CostModel Coef'!J$9:J$12,$X220),"")</f>
        <v/>
      </c>
      <c r="AF220" s="103" t="str">
        <f>IF($X220&gt;0,INDEX('CostModel Coef'!K$9:K$12,$X220),"")</f>
        <v/>
      </c>
      <c r="AG220" s="103" t="str">
        <f>IF($X220&gt;0,INDEX('CostModel Coef'!L$9:L$12,$X220),"")</f>
        <v/>
      </c>
      <c r="AH220" s="103" t="str">
        <f>IF($X220&gt;0,INDEX('CostModel Coef'!M$9:M$12,$X220),"")</f>
        <v/>
      </c>
      <c r="AI220" s="103" t="str">
        <f>IF($X220&gt;0,INDEX('CostModel Coef'!N$9:N$12,$X220),"")</f>
        <v/>
      </c>
      <c r="AJ220" s="103" t="str">
        <f>IF($X220&gt;0,INDEX('CostModel Coef'!Q$9:Q$12,$X220),"")</f>
        <v/>
      </c>
      <c r="AK220" s="103" t="str">
        <f>IF($X220&gt;0,INDEX('CostModel Coef'!T$9:T$12,$X220),"")</f>
        <v/>
      </c>
      <c r="AL220" s="103"/>
      <c r="AM220" s="108" t="str">
        <f t="shared" si="79"/>
        <v/>
      </c>
      <c r="AN220" s="108" t="str">
        <f t="shared" si="80"/>
        <v/>
      </c>
      <c r="AO220" s="108" t="str">
        <f t="shared" si="81"/>
        <v/>
      </c>
      <c r="AP220" s="108" t="str">
        <f t="shared" si="82"/>
        <v/>
      </c>
      <c r="AQ220" s="108" t="str">
        <f t="shared" si="83"/>
        <v/>
      </c>
      <c r="AR220" s="108"/>
      <c r="AS220" s="108"/>
      <c r="AT220" s="103" t="str">
        <f>IF($X220&gt;0,INDEX('CostModel Coef'!D$13:D$16,$X220),"")</f>
        <v/>
      </c>
      <c r="AU220" s="103" t="str">
        <f>IF($X220&gt;0,INDEX('CostModel Coef'!E$13:E$16,$X220),"")</f>
        <v/>
      </c>
      <c r="AV220" s="103" t="str">
        <f>IF($X220&gt;0,INDEX('CostModel Coef'!F$13:F$16,$X220),"")</f>
        <v/>
      </c>
      <c r="AW220" s="103" t="str">
        <f>IF($X220&gt;0,INDEX('CostModel Coef'!G$13:G$16,$X220),"")</f>
        <v/>
      </c>
      <c r="AX220" s="103" t="str">
        <f>IF($X220&gt;0,INDEX('CostModel Coef'!H$13:H$16,$X220),"")</f>
        <v/>
      </c>
      <c r="AY220" s="103" t="str">
        <f>IF($X220&gt;0,INDEX('CostModel Coef'!I$13:I$16,$X220),"")</f>
        <v/>
      </c>
      <c r="AZ220" s="103" t="str">
        <f>IF($X220&gt;0,INDEX('CostModel Coef'!J$13:J$16,$X220),"")</f>
        <v/>
      </c>
      <c r="BA220" s="103" t="str">
        <f>IF($X220&gt;0,INDEX('CostModel Coef'!K$13:K$16,$X220),"")</f>
        <v/>
      </c>
      <c r="BB220" s="103" t="str">
        <f>IF($X220&gt;0,INDEX('CostModel Coef'!L$13:L$16,$X220),"")</f>
        <v/>
      </c>
      <c r="BC220" s="103" t="str">
        <f>IF($X220&gt;0,INDEX('CostModel Coef'!M$13:M$16,$X220),"")</f>
        <v/>
      </c>
      <c r="BD220" s="103" t="str">
        <f>IF($X220&gt;0,INDEX('CostModel Coef'!N$13:N$16,$X220),"")</f>
        <v/>
      </c>
      <c r="BE220" s="103" t="str">
        <f>IF($X220&gt;0,INDEX('CostModel Coef'!O$13:O$16,$X220),"")</f>
        <v/>
      </c>
      <c r="BF220" s="103" t="str">
        <f>IF($X220&gt;0,INDEX('CostModel Coef'!P$13:P$16,$X220),"")</f>
        <v/>
      </c>
      <c r="BG220" s="103" t="str">
        <f>IF($X220&gt;0,INDEX('CostModel Coef'!Q$13:Q$16,$X220),"")</f>
        <v/>
      </c>
      <c r="BH220" s="103" t="str">
        <f>IF($X220&gt;0,INDEX('CostModel Coef'!R$13:R$16,$X220),"")</f>
        <v/>
      </c>
      <c r="BI220" s="103" t="str">
        <f>IF($X220&gt;0,INDEX('CostModel Coef'!S$13:S$16,$X220),"")</f>
        <v/>
      </c>
      <c r="BJ220" s="103" t="str">
        <f>IF($X220&gt;0,INDEX('CostModel Coef'!T$13:T$16,$X220),"")</f>
        <v/>
      </c>
      <c r="BK220" s="103" t="str">
        <f>IF($X220&gt;0,INDEX('CostModel Coef'!U$13:U$16,$X220),"")</f>
        <v/>
      </c>
      <c r="BL220" s="103" t="str">
        <f>IF($X220&gt;0,INDEX('CostModel Coef'!V$13:V$16,$X220),"")</f>
        <v/>
      </c>
      <c r="BM220" s="103" t="str">
        <f>IF($X220&gt;0,INDEX('CostModel Coef'!W$13:W$16,$X220),"")</f>
        <v/>
      </c>
      <c r="BN220" s="103" t="str">
        <f>IF($X220&gt;0,INDEX('CostModel Coef'!X$13:X$16,$X220),"")</f>
        <v/>
      </c>
      <c r="BO220" s="103"/>
      <c r="BP220" s="119">
        <v>2000</v>
      </c>
      <c r="BQ220" s="103"/>
      <c r="BR220" s="103"/>
      <c r="BS220" s="119" t="str">
        <f t="shared" si="86"/>
        <v/>
      </c>
      <c r="BT220" s="174">
        <f t="shared" si="78"/>
        <v>-1</v>
      </c>
      <c r="BU220" s="113" t="str">
        <f t="shared" si="88"/>
        <v>OOS</v>
      </c>
      <c r="BV220" s="108" t="str">
        <f t="shared" si="89"/>
        <v>OOS</v>
      </c>
      <c r="BW220" s="108" t="str">
        <f t="shared" si="90"/>
        <v>OOS</v>
      </c>
      <c r="BX220" s="108" t="str">
        <f t="shared" si="91"/>
        <v>OOS</v>
      </c>
      <c r="BY220" s="108" t="str">
        <f t="shared" si="92"/>
        <v>OOS</v>
      </c>
      <c r="BZ220" s="108"/>
      <c r="CA220" s="119" t="str">
        <f t="shared" si="93"/>
        <v/>
      </c>
      <c r="CB220" s="174">
        <f t="shared" si="84"/>
        <v>-1</v>
      </c>
      <c r="CC220" s="113" t="str">
        <f t="shared" si="94"/>
        <v/>
      </c>
      <c r="CD220" s="108" t="str">
        <f t="shared" si="95"/>
        <v/>
      </c>
      <c r="CE220" s="108" t="str">
        <f t="shared" si="96"/>
        <v/>
      </c>
      <c r="CF220" s="108" t="str">
        <f t="shared" si="97"/>
        <v/>
      </c>
      <c r="CG220" s="108" t="str">
        <f t="shared" si="98"/>
        <v/>
      </c>
      <c r="CH220" s="103"/>
      <c r="CI220" s="119" t="str">
        <f t="shared" si="87"/>
        <v/>
      </c>
      <c r="CJ220" s="174">
        <f t="shared" si="85"/>
        <v>-1</v>
      </c>
      <c r="CK220" s="113" t="str">
        <f t="shared" si="99"/>
        <v/>
      </c>
      <c r="CL220" s="108" t="str">
        <f t="shared" si="100"/>
        <v/>
      </c>
      <c r="CM220" s="108" t="str">
        <f t="shared" si="101"/>
        <v/>
      </c>
      <c r="CN220" s="108" t="str">
        <f t="shared" si="102"/>
        <v/>
      </c>
      <c r="CO220" s="108" t="str">
        <f t="shared" si="103"/>
        <v/>
      </c>
    </row>
    <row r="221" spans="1:93">
      <c r="A221" s="103" t="s">
        <v>619</v>
      </c>
      <c r="B221" s="103" t="s">
        <v>165</v>
      </c>
      <c r="C221" s="103" t="s">
        <v>162</v>
      </c>
      <c r="D221" s="250" t="s">
        <v>153</v>
      </c>
      <c r="E221" s="250">
        <v>82</v>
      </c>
      <c r="F221" s="182">
        <v>9020</v>
      </c>
      <c r="G221" s="250" t="s">
        <v>175</v>
      </c>
      <c r="H221" s="250">
        <v>55</v>
      </c>
      <c r="I221" s="250"/>
      <c r="J221" s="250"/>
      <c r="K221" s="250" t="s">
        <v>620</v>
      </c>
      <c r="L221" s="250" t="s">
        <v>61</v>
      </c>
      <c r="M221" s="250">
        <v>55</v>
      </c>
      <c r="N221" s="250"/>
      <c r="O221" s="250"/>
      <c r="P221" s="250" t="s">
        <v>153</v>
      </c>
      <c r="Q221" s="250"/>
      <c r="R221" s="250"/>
      <c r="S221" s="250"/>
      <c r="T221" s="250" t="s">
        <v>155</v>
      </c>
      <c r="U221" s="103" t="s">
        <v>621</v>
      </c>
      <c r="V221" s="106" t="s">
        <v>157</v>
      </c>
      <c r="W221" s="103" t="s">
        <v>158</v>
      </c>
      <c r="X221" s="103">
        <f>IFERROR(MATCH(W221,'CostModel Coef'!$C$9:$C$12,0),0)</f>
        <v>0</v>
      </c>
      <c r="Y221" s="103"/>
      <c r="Z221" s="103" t="str">
        <f>IF($X221&gt;0,INDEX('CostModel Coef'!D$9:D$12,$X221),"")</f>
        <v/>
      </c>
      <c r="AA221" s="103" t="str">
        <f>IF($X221&gt;0,INDEX('CostModel Coef'!E$9:E$12,$X221),"")</f>
        <v/>
      </c>
      <c r="AB221" s="103" t="str">
        <f>IF($X221&gt;0,INDEX('CostModel Coef'!F$9:F$12,$X221),"")</f>
        <v/>
      </c>
      <c r="AC221" s="103" t="str">
        <f>IF($X221&gt;0,INDEX('CostModel Coef'!G$9:G$12,$X221),"")</f>
        <v/>
      </c>
      <c r="AD221" s="103" t="str">
        <f>IF($X221&gt;0,INDEX('CostModel Coef'!H$9:H$12,$X221),"")</f>
        <v/>
      </c>
      <c r="AE221" s="103" t="str">
        <f>IF($X221&gt;0,INDEX('CostModel Coef'!J$9:J$12,$X221),"")</f>
        <v/>
      </c>
      <c r="AF221" s="103" t="str">
        <f>IF($X221&gt;0,INDEX('CostModel Coef'!K$9:K$12,$X221),"")</f>
        <v/>
      </c>
      <c r="AG221" s="103" t="str">
        <f>IF($X221&gt;0,INDEX('CostModel Coef'!L$9:L$12,$X221),"")</f>
        <v/>
      </c>
      <c r="AH221" s="103" t="str">
        <f>IF($X221&gt;0,INDEX('CostModel Coef'!M$9:M$12,$X221),"")</f>
        <v/>
      </c>
      <c r="AI221" s="103" t="str">
        <f>IF($X221&gt;0,INDEX('CostModel Coef'!N$9:N$12,$X221),"")</f>
        <v/>
      </c>
      <c r="AJ221" s="103" t="str">
        <f>IF($X221&gt;0,INDEX('CostModel Coef'!Q$9:Q$12,$X221),"")</f>
        <v/>
      </c>
      <c r="AK221" s="103" t="str">
        <f>IF($X221&gt;0,INDEX('CostModel Coef'!T$9:T$12,$X221),"")</f>
        <v/>
      </c>
      <c r="AL221" s="103"/>
      <c r="AM221" s="108" t="str">
        <f t="shared" si="79"/>
        <v/>
      </c>
      <c r="AN221" s="108" t="str">
        <f t="shared" si="80"/>
        <v/>
      </c>
      <c r="AO221" s="108" t="str">
        <f t="shared" si="81"/>
        <v/>
      </c>
      <c r="AP221" s="108" t="str">
        <f t="shared" si="82"/>
        <v/>
      </c>
      <c r="AQ221" s="108" t="str">
        <f t="shared" si="83"/>
        <v/>
      </c>
      <c r="AR221" s="108"/>
      <c r="AS221" s="108"/>
      <c r="AT221" s="103" t="str">
        <f>IF($X221&gt;0,INDEX('CostModel Coef'!D$13:D$16,$X221),"")</f>
        <v/>
      </c>
      <c r="AU221" s="103" t="str">
        <f>IF($X221&gt;0,INDEX('CostModel Coef'!E$13:E$16,$X221),"")</f>
        <v/>
      </c>
      <c r="AV221" s="103" t="str">
        <f>IF($X221&gt;0,INDEX('CostModel Coef'!F$13:F$16,$X221),"")</f>
        <v/>
      </c>
      <c r="AW221" s="103" t="str">
        <f>IF($X221&gt;0,INDEX('CostModel Coef'!G$13:G$16,$X221),"")</f>
        <v/>
      </c>
      <c r="AX221" s="103" t="str">
        <f>IF($X221&gt;0,INDEX('CostModel Coef'!H$13:H$16,$X221),"")</f>
        <v/>
      </c>
      <c r="AY221" s="103" t="str">
        <f>IF($X221&gt;0,INDEX('CostModel Coef'!I$13:I$16,$X221),"")</f>
        <v/>
      </c>
      <c r="AZ221" s="103" t="str">
        <f>IF($X221&gt;0,INDEX('CostModel Coef'!J$13:J$16,$X221),"")</f>
        <v/>
      </c>
      <c r="BA221" s="103" t="str">
        <f>IF($X221&gt;0,INDEX('CostModel Coef'!K$13:K$16,$X221),"")</f>
        <v/>
      </c>
      <c r="BB221" s="103" t="str">
        <f>IF($X221&gt;0,INDEX('CostModel Coef'!L$13:L$16,$X221),"")</f>
        <v/>
      </c>
      <c r="BC221" s="103" t="str">
        <f>IF($X221&gt;0,INDEX('CostModel Coef'!M$13:M$16,$X221),"")</f>
        <v/>
      </c>
      <c r="BD221" s="103" t="str">
        <f>IF($X221&gt;0,INDEX('CostModel Coef'!N$13:N$16,$X221),"")</f>
        <v/>
      </c>
      <c r="BE221" s="103" t="str">
        <f>IF($X221&gt;0,INDEX('CostModel Coef'!O$13:O$16,$X221),"")</f>
        <v/>
      </c>
      <c r="BF221" s="103" t="str">
        <f>IF($X221&gt;0,INDEX('CostModel Coef'!P$13:P$16,$X221),"")</f>
        <v/>
      </c>
      <c r="BG221" s="103" t="str">
        <f>IF($X221&gt;0,INDEX('CostModel Coef'!Q$13:Q$16,$X221),"")</f>
        <v/>
      </c>
      <c r="BH221" s="103" t="str">
        <f>IF($X221&gt;0,INDEX('CostModel Coef'!R$13:R$16,$X221),"")</f>
        <v/>
      </c>
      <c r="BI221" s="103" t="str">
        <f>IF($X221&gt;0,INDEX('CostModel Coef'!S$13:S$16,$X221),"")</f>
        <v/>
      </c>
      <c r="BJ221" s="103" t="str">
        <f>IF($X221&gt;0,INDEX('CostModel Coef'!T$13:T$16,$X221),"")</f>
        <v/>
      </c>
      <c r="BK221" s="103" t="str">
        <f>IF($X221&gt;0,INDEX('CostModel Coef'!U$13:U$16,$X221),"")</f>
        <v/>
      </c>
      <c r="BL221" s="103" t="str">
        <f>IF($X221&gt;0,INDEX('CostModel Coef'!V$13:V$16,$X221),"")</f>
        <v/>
      </c>
      <c r="BM221" s="103" t="str">
        <f>IF($X221&gt;0,INDEX('CostModel Coef'!W$13:W$16,$X221),"")</f>
        <v/>
      </c>
      <c r="BN221" s="103" t="str">
        <f>IF($X221&gt;0,INDEX('CostModel Coef'!X$13:X$16,$X221),"")</f>
        <v/>
      </c>
      <c r="BO221" s="103"/>
      <c r="BP221" s="119">
        <v>2000</v>
      </c>
      <c r="BQ221" s="103"/>
      <c r="BR221" s="103"/>
      <c r="BS221" s="119" t="str">
        <f t="shared" si="86"/>
        <v/>
      </c>
      <c r="BT221" s="174">
        <f t="shared" si="78"/>
        <v>-1</v>
      </c>
      <c r="BU221" s="113" t="str">
        <f t="shared" si="88"/>
        <v>OOS</v>
      </c>
      <c r="BV221" s="108" t="str">
        <f t="shared" si="89"/>
        <v>OOS</v>
      </c>
      <c r="BW221" s="108" t="str">
        <f t="shared" si="90"/>
        <v>OOS</v>
      </c>
      <c r="BX221" s="108" t="str">
        <f t="shared" si="91"/>
        <v>OOS</v>
      </c>
      <c r="BY221" s="108" t="str">
        <f t="shared" si="92"/>
        <v>OOS</v>
      </c>
      <c r="BZ221" s="108"/>
      <c r="CA221" s="119" t="str">
        <f t="shared" si="93"/>
        <v/>
      </c>
      <c r="CB221" s="174">
        <f t="shared" si="84"/>
        <v>-1</v>
      </c>
      <c r="CC221" s="113" t="str">
        <f t="shared" si="94"/>
        <v/>
      </c>
      <c r="CD221" s="108" t="str">
        <f t="shared" si="95"/>
        <v/>
      </c>
      <c r="CE221" s="108" t="str">
        <f t="shared" si="96"/>
        <v/>
      </c>
      <c r="CF221" s="108" t="str">
        <f t="shared" si="97"/>
        <v/>
      </c>
      <c r="CG221" s="108" t="str">
        <f t="shared" si="98"/>
        <v/>
      </c>
      <c r="CH221" s="103"/>
      <c r="CI221" s="119" t="str">
        <f t="shared" si="87"/>
        <v/>
      </c>
      <c r="CJ221" s="174">
        <f t="shared" si="85"/>
        <v>-1</v>
      </c>
      <c r="CK221" s="113" t="str">
        <f t="shared" si="99"/>
        <v/>
      </c>
      <c r="CL221" s="108" t="str">
        <f t="shared" si="100"/>
        <v/>
      </c>
      <c r="CM221" s="108" t="str">
        <f t="shared" si="101"/>
        <v/>
      </c>
      <c r="CN221" s="108" t="str">
        <f t="shared" si="102"/>
        <v/>
      </c>
      <c r="CO221" s="108" t="str">
        <f t="shared" si="103"/>
        <v/>
      </c>
    </row>
    <row r="222" spans="1:93">
      <c r="A222" s="103" t="s">
        <v>622</v>
      </c>
      <c r="B222" s="103" t="s">
        <v>165</v>
      </c>
      <c r="C222" s="103" t="s">
        <v>162</v>
      </c>
      <c r="D222" s="250" t="s">
        <v>153</v>
      </c>
      <c r="E222" s="250">
        <v>82</v>
      </c>
      <c r="F222" s="182">
        <v>9020</v>
      </c>
      <c r="G222" s="250" t="s">
        <v>175</v>
      </c>
      <c r="H222" s="250">
        <v>5</v>
      </c>
      <c r="I222" s="250"/>
      <c r="J222" s="250"/>
      <c r="K222" s="250" t="s">
        <v>623</v>
      </c>
      <c r="L222" s="250" t="s">
        <v>61</v>
      </c>
      <c r="M222" s="250">
        <v>5</v>
      </c>
      <c r="N222" s="250"/>
      <c r="O222" s="250"/>
      <c r="P222" s="250" t="s">
        <v>153</v>
      </c>
      <c r="Q222" s="250"/>
      <c r="R222" s="250"/>
      <c r="S222" s="250"/>
      <c r="T222" s="250" t="s">
        <v>155</v>
      </c>
      <c r="U222" s="103" t="s">
        <v>624</v>
      </c>
      <c r="V222" s="106" t="s">
        <v>157</v>
      </c>
      <c r="W222" s="103" t="s">
        <v>82</v>
      </c>
      <c r="X222" s="103">
        <f>IFERROR(MATCH(W222,'CostModel Coef'!$C$9:$C$12,0),0)</f>
        <v>2</v>
      </c>
      <c r="Y222" s="103"/>
      <c r="Z222" s="103">
        <f>IF($X222&gt;0,INDEX('CostModel Coef'!D$9:D$12,$X222),"")</f>
        <v>5.0279999999999996</v>
      </c>
      <c r="AA222" s="103">
        <f>IF($X222&gt;0,INDEX('CostModel Coef'!E$9:E$12,$X222),"")</f>
        <v>0.22669576292256455</v>
      </c>
      <c r="AB222" s="103">
        <f>IF($X222&gt;0,INDEX('CostModel Coef'!F$9:F$12,$X222),"")</f>
        <v>0.94713628548481477</v>
      </c>
      <c r="AC222" s="103">
        <f>IF($X222&gt;0,INDEX('CostModel Coef'!G$9:G$12,$X222),"")</f>
        <v>0</v>
      </c>
      <c r="AD222" s="103">
        <f>IF($X222&gt;0,INDEX('CostModel Coef'!H$9:H$12,$X222),"")</f>
        <v>-2.7940999999999998</v>
      </c>
      <c r="AE222" s="103">
        <f>IF($X222&gt;0,INDEX('CostModel Coef'!J$9:J$12,$X222),"")</f>
        <v>0</v>
      </c>
      <c r="AF222" s="103">
        <f>IF($X222&gt;0,INDEX('CostModel Coef'!K$9:K$12,$X222),"")</f>
        <v>-0.57599999999999996</v>
      </c>
      <c r="AG222" s="103">
        <f>IF($X222&gt;0,INDEX('CostModel Coef'!L$9:L$12,$X222),"")</f>
        <v>0</v>
      </c>
      <c r="AH222" s="103">
        <f>IF($X222&gt;0,INDEX('CostModel Coef'!M$9:M$12,$X222),"")</f>
        <v>4.0461</v>
      </c>
      <c r="AI222" s="103">
        <f>IF($X222&gt;0,INDEX('CostModel Coef'!N$9:N$12,$X222),"")</f>
        <v>0</v>
      </c>
      <c r="AJ222" s="103">
        <f>IF($X222&gt;0,INDEX('CostModel Coef'!Q$9:Q$12,$X222),"")</f>
        <v>0.14729999999999999</v>
      </c>
      <c r="AK222" s="103">
        <f>IF($X222&gt;0,INDEX('CostModel Coef'!T$9:T$12,$X222),"")</f>
        <v>0</v>
      </c>
      <c r="AL222" s="103"/>
      <c r="AM222" s="108">
        <f t="shared" si="79"/>
        <v>6.3623320484073789</v>
      </c>
      <c r="AN222" s="108">
        <f t="shared" si="80"/>
        <v>6.9383320484073785</v>
      </c>
      <c r="AO222" s="108">
        <f t="shared" si="81"/>
        <v>4.1442320484073782</v>
      </c>
      <c r="AP222" s="108">
        <f t="shared" si="82"/>
        <v>4.1442320484073782</v>
      </c>
      <c r="AQ222" s="108">
        <f t="shared" si="83"/>
        <v>4.1442320484073782</v>
      </c>
      <c r="AR222" s="108"/>
      <c r="AS222" s="108"/>
      <c r="AT222" s="103">
        <f>IF($X222&gt;0,INDEX('CostModel Coef'!D$13:D$16,$X222),"")</f>
        <v>3.984</v>
      </c>
      <c r="AU222" s="103">
        <f>IF($X222&gt;0,INDEX('CostModel Coef'!E$13:E$16,$X222),"")</f>
        <v>0.38800000000000001</v>
      </c>
      <c r="AV222" s="103">
        <f>IF($X222&gt;0,INDEX('CostModel Coef'!F$13:F$16,$X222),"")</f>
        <v>0.98799999999999999</v>
      </c>
      <c r="AW222" s="103">
        <f>IF($X222&gt;0,INDEX('CostModel Coef'!G$13:G$16,$X222),"")</f>
        <v>0</v>
      </c>
      <c r="AX222" s="103">
        <f>IF($X222&gt;0,INDEX('CostModel Coef'!H$13:H$16,$X222),"")</f>
        <v>-2.3199999999999998</v>
      </c>
      <c r="AY222" s="103">
        <f>IF($X222&gt;0,INDEX('CostModel Coef'!I$13:I$16,$X222),"")</f>
        <v>-1.85</v>
      </c>
      <c r="AZ222" s="103">
        <f>IF($X222&gt;0,INDEX('CostModel Coef'!J$13:J$16,$X222),"")</f>
        <v>0</v>
      </c>
      <c r="BA222" s="103">
        <f>IF($X222&gt;0,INDEX('CostModel Coef'!K$13:K$16,$X222),"")</f>
        <v>-1.0070000000000001</v>
      </c>
      <c r="BB222" s="103">
        <f>IF($X222&gt;0,INDEX('CostModel Coef'!L$13:L$16,$X222),"")</f>
        <v>0</v>
      </c>
      <c r="BC222" s="103">
        <f>IF($X222&gt;0,INDEX('CostModel Coef'!M$13:M$16,$X222),"")</f>
        <v>0</v>
      </c>
      <c r="BD222" s="103">
        <f>IF($X222&gt;0,INDEX('CostModel Coef'!N$13:N$16,$X222),"")</f>
        <v>0.5907</v>
      </c>
      <c r="BE222" s="103">
        <f>IF($X222&gt;0,INDEX('CostModel Coef'!O$13:O$16,$X222),"")</f>
        <v>0.75</v>
      </c>
      <c r="BF222" s="103">
        <f>IF($X222&gt;0,INDEX('CostModel Coef'!P$13:P$16,$X222),"")</f>
        <v>8</v>
      </c>
      <c r="BG222" s="103">
        <f>IF($X222&gt;0,INDEX('CostModel Coef'!Q$13:Q$16,$X222),"")</f>
        <v>1.04E-2</v>
      </c>
      <c r="BH222" s="103">
        <f>IF($X222&gt;0,INDEX('CostModel Coef'!R$13:R$16,$X222),"")</f>
        <v>12</v>
      </c>
      <c r="BI222" s="103">
        <f>IF($X222&gt;0,INDEX('CostModel Coef'!S$13:S$16,$X222),"")</f>
        <v>150</v>
      </c>
      <c r="BJ222" s="103">
        <f>IF($X222&gt;0,INDEX('CostModel Coef'!T$13:T$16,$X222),"")</f>
        <v>0</v>
      </c>
      <c r="BK222" s="103">
        <f>IF($X222&gt;0,INDEX('CostModel Coef'!U$13:U$16,$X222),"")</f>
        <v>0</v>
      </c>
      <c r="BL222" s="103">
        <f>IF($X222&gt;0,INDEX('CostModel Coef'!V$13:V$16,$X222),"")</f>
        <v>0</v>
      </c>
      <c r="BM222" s="103">
        <f>IF($X222&gt;0,INDEX('CostModel Coef'!W$13:W$16,$X222),"")</f>
        <v>0</v>
      </c>
      <c r="BN222" s="103">
        <f>IF($X222&gt;0,INDEX('CostModel Coef'!X$13:X$16,$X222),"")</f>
        <v>0</v>
      </c>
      <c r="BO222" s="103"/>
      <c r="BP222" s="119">
        <v>2000</v>
      </c>
      <c r="BQ222" s="103"/>
      <c r="BR222" s="103"/>
      <c r="BS222" s="119" t="str">
        <f t="shared" si="86"/>
        <v>WRR0409_CFLscw-Refl(5w)</v>
      </c>
      <c r="BT222" s="174">
        <f t="shared" si="78"/>
        <v>20</v>
      </c>
      <c r="BU222" s="113">
        <f t="shared" si="88"/>
        <v>5.7423999999999999</v>
      </c>
      <c r="BV222" s="108">
        <f t="shared" si="89"/>
        <v>6.7493999999999996</v>
      </c>
      <c r="BW222" s="108">
        <f t="shared" si="90"/>
        <v>4.4293999999999993</v>
      </c>
      <c r="BX222" s="108">
        <f t="shared" si="91"/>
        <v>2.5793999999999992</v>
      </c>
      <c r="BY222" s="108">
        <f t="shared" si="92"/>
        <v>2.5793999999999992</v>
      </c>
      <c r="BZ222" s="108"/>
      <c r="CA222" s="119" t="str">
        <f t="shared" si="93"/>
        <v>WRR0407_CFLscw-Refl(5w)</v>
      </c>
      <c r="CB222" s="174">
        <f t="shared" si="84"/>
        <v>20</v>
      </c>
      <c r="CC222" s="113">
        <f t="shared" si="94"/>
        <v>5.7423999999999999</v>
      </c>
      <c r="CD222" s="108">
        <f t="shared" si="95"/>
        <v>6.7493999999999996</v>
      </c>
      <c r="CE222" s="108">
        <f t="shared" si="96"/>
        <v>4.4293999999999993</v>
      </c>
      <c r="CF222" s="108">
        <f t="shared" si="97"/>
        <v>2.5793999999999992</v>
      </c>
      <c r="CG222" s="108">
        <f t="shared" si="98"/>
        <v>2.5793999999999992</v>
      </c>
      <c r="CH222" s="103"/>
      <c r="CI222" s="119" t="str">
        <f t="shared" si="87"/>
        <v/>
      </c>
      <c r="CJ222" s="174">
        <f t="shared" si="85"/>
        <v>-1</v>
      </c>
      <c r="CK222" s="113" t="str">
        <f t="shared" si="99"/>
        <v/>
      </c>
      <c r="CL222" s="108" t="str">
        <f t="shared" si="100"/>
        <v/>
      </c>
      <c r="CM222" s="108" t="str">
        <f t="shared" si="101"/>
        <v/>
      </c>
      <c r="CN222" s="108" t="str">
        <f t="shared" si="102"/>
        <v/>
      </c>
      <c r="CO222" s="108" t="str">
        <f t="shared" si="103"/>
        <v/>
      </c>
    </row>
    <row r="223" spans="1:93">
      <c r="A223" s="103" t="s">
        <v>625</v>
      </c>
      <c r="B223" s="103" t="s">
        <v>165</v>
      </c>
      <c r="C223" s="103" t="s">
        <v>162</v>
      </c>
      <c r="D223" s="250" t="s">
        <v>153</v>
      </c>
      <c r="E223" s="250">
        <v>82</v>
      </c>
      <c r="F223" s="182">
        <v>9020</v>
      </c>
      <c r="G223" s="250" t="s">
        <v>175</v>
      </c>
      <c r="H223" s="250">
        <v>60</v>
      </c>
      <c r="I223" s="250"/>
      <c r="J223" s="250"/>
      <c r="K223" s="250" t="s">
        <v>626</v>
      </c>
      <c r="L223" s="250" t="s">
        <v>61</v>
      </c>
      <c r="M223" s="250">
        <v>60</v>
      </c>
      <c r="N223" s="250"/>
      <c r="O223" s="250"/>
      <c r="P223" s="250" t="s">
        <v>153</v>
      </c>
      <c r="Q223" s="250"/>
      <c r="R223" s="250"/>
      <c r="S223" s="250"/>
      <c r="T223" s="250" t="s">
        <v>155</v>
      </c>
      <c r="U223" s="103" t="s">
        <v>627</v>
      </c>
      <c r="V223" s="106" t="s">
        <v>157</v>
      </c>
      <c r="W223" s="103" t="s">
        <v>158</v>
      </c>
      <c r="X223" s="103">
        <f>IFERROR(MATCH(W223,'CostModel Coef'!$C$9:$C$12,0),0)</f>
        <v>0</v>
      </c>
      <c r="Y223" s="103"/>
      <c r="Z223" s="103" t="str">
        <f>IF($X223&gt;0,INDEX('CostModel Coef'!D$9:D$12,$X223),"")</f>
        <v/>
      </c>
      <c r="AA223" s="103" t="str">
        <f>IF($X223&gt;0,INDEX('CostModel Coef'!E$9:E$12,$X223),"")</f>
        <v/>
      </c>
      <c r="AB223" s="103" t="str">
        <f>IF($X223&gt;0,INDEX('CostModel Coef'!F$9:F$12,$X223),"")</f>
        <v/>
      </c>
      <c r="AC223" s="103" t="str">
        <f>IF($X223&gt;0,INDEX('CostModel Coef'!G$9:G$12,$X223),"")</f>
        <v/>
      </c>
      <c r="AD223" s="103" t="str">
        <f>IF($X223&gt;0,INDEX('CostModel Coef'!H$9:H$12,$X223),"")</f>
        <v/>
      </c>
      <c r="AE223" s="103" t="str">
        <f>IF($X223&gt;0,INDEX('CostModel Coef'!J$9:J$12,$X223),"")</f>
        <v/>
      </c>
      <c r="AF223" s="103" t="str">
        <f>IF($X223&gt;0,INDEX('CostModel Coef'!K$9:K$12,$X223),"")</f>
        <v/>
      </c>
      <c r="AG223" s="103" t="str">
        <f>IF($X223&gt;0,INDEX('CostModel Coef'!L$9:L$12,$X223),"")</f>
        <v/>
      </c>
      <c r="AH223" s="103" t="str">
        <f>IF($X223&gt;0,INDEX('CostModel Coef'!M$9:M$12,$X223),"")</f>
        <v/>
      </c>
      <c r="AI223" s="103" t="str">
        <f>IF($X223&gt;0,INDEX('CostModel Coef'!N$9:N$12,$X223),"")</f>
        <v/>
      </c>
      <c r="AJ223" s="103" t="str">
        <f>IF($X223&gt;0,INDEX('CostModel Coef'!Q$9:Q$12,$X223),"")</f>
        <v/>
      </c>
      <c r="AK223" s="103" t="str">
        <f>IF($X223&gt;0,INDEX('CostModel Coef'!T$9:T$12,$X223),"")</f>
        <v/>
      </c>
      <c r="AL223" s="103"/>
      <c r="AM223" s="108" t="str">
        <f t="shared" si="79"/>
        <v/>
      </c>
      <c r="AN223" s="108" t="str">
        <f t="shared" si="80"/>
        <v/>
      </c>
      <c r="AO223" s="108" t="str">
        <f t="shared" si="81"/>
        <v/>
      </c>
      <c r="AP223" s="108" t="str">
        <f t="shared" si="82"/>
        <v/>
      </c>
      <c r="AQ223" s="108" t="str">
        <f t="shared" si="83"/>
        <v/>
      </c>
      <c r="AR223" s="108"/>
      <c r="AS223" s="108"/>
      <c r="AT223" s="103" t="str">
        <f>IF($X223&gt;0,INDEX('CostModel Coef'!D$13:D$16,$X223),"")</f>
        <v/>
      </c>
      <c r="AU223" s="103" t="str">
        <f>IF($X223&gt;0,INDEX('CostModel Coef'!E$13:E$16,$X223),"")</f>
        <v/>
      </c>
      <c r="AV223" s="103" t="str">
        <f>IF($X223&gt;0,INDEX('CostModel Coef'!F$13:F$16,$X223),"")</f>
        <v/>
      </c>
      <c r="AW223" s="103" t="str">
        <f>IF($X223&gt;0,INDEX('CostModel Coef'!G$13:G$16,$X223),"")</f>
        <v/>
      </c>
      <c r="AX223" s="103" t="str">
        <f>IF($X223&gt;0,INDEX('CostModel Coef'!H$13:H$16,$X223),"")</f>
        <v/>
      </c>
      <c r="AY223" s="103" t="str">
        <f>IF($X223&gt;0,INDEX('CostModel Coef'!I$13:I$16,$X223),"")</f>
        <v/>
      </c>
      <c r="AZ223" s="103" t="str">
        <f>IF($X223&gt;0,INDEX('CostModel Coef'!J$13:J$16,$X223),"")</f>
        <v/>
      </c>
      <c r="BA223" s="103" t="str">
        <f>IF($X223&gt;0,INDEX('CostModel Coef'!K$13:K$16,$X223),"")</f>
        <v/>
      </c>
      <c r="BB223" s="103" t="str">
        <f>IF($X223&gt;0,INDEX('CostModel Coef'!L$13:L$16,$X223),"")</f>
        <v/>
      </c>
      <c r="BC223" s="103" t="str">
        <f>IF($X223&gt;0,INDEX('CostModel Coef'!M$13:M$16,$X223),"")</f>
        <v/>
      </c>
      <c r="BD223" s="103" t="str">
        <f>IF($X223&gt;0,INDEX('CostModel Coef'!N$13:N$16,$X223),"")</f>
        <v/>
      </c>
      <c r="BE223" s="103" t="str">
        <f>IF($X223&gt;0,INDEX('CostModel Coef'!O$13:O$16,$X223),"")</f>
        <v/>
      </c>
      <c r="BF223" s="103" t="str">
        <f>IF($X223&gt;0,INDEX('CostModel Coef'!P$13:P$16,$X223),"")</f>
        <v/>
      </c>
      <c r="BG223" s="103" t="str">
        <f>IF($X223&gt;0,INDEX('CostModel Coef'!Q$13:Q$16,$X223),"")</f>
        <v/>
      </c>
      <c r="BH223" s="103" t="str">
        <f>IF($X223&gt;0,INDEX('CostModel Coef'!R$13:R$16,$X223),"")</f>
        <v/>
      </c>
      <c r="BI223" s="103" t="str">
        <f>IF($X223&gt;0,INDEX('CostModel Coef'!S$13:S$16,$X223),"")</f>
        <v/>
      </c>
      <c r="BJ223" s="103" t="str">
        <f>IF($X223&gt;0,INDEX('CostModel Coef'!T$13:T$16,$X223),"")</f>
        <v/>
      </c>
      <c r="BK223" s="103" t="str">
        <f>IF($X223&gt;0,INDEX('CostModel Coef'!U$13:U$16,$X223),"")</f>
        <v/>
      </c>
      <c r="BL223" s="103" t="str">
        <f>IF($X223&gt;0,INDEX('CostModel Coef'!V$13:V$16,$X223),"")</f>
        <v/>
      </c>
      <c r="BM223" s="103" t="str">
        <f>IF($X223&gt;0,INDEX('CostModel Coef'!W$13:W$16,$X223),"")</f>
        <v/>
      </c>
      <c r="BN223" s="103" t="str">
        <f>IF($X223&gt;0,INDEX('CostModel Coef'!X$13:X$16,$X223),"")</f>
        <v/>
      </c>
      <c r="BO223" s="103"/>
      <c r="BP223" s="119">
        <v>2000</v>
      </c>
      <c r="BQ223" s="103"/>
      <c r="BR223" s="103"/>
      <c r="BS223" s="119" t="str">
        <f t="shared" si="86"/>
        <v/>
      </c>
      <c r="BT223" s="174">
        <f t="shared" si="78"/>
        <v>-1</v>
      </c>
      <c r="BU223" s="113" t="str">
        <f t="shared" si="88"/>
        <v>OOS</v>
      </c>
      <c r="BV223" s="108" t="str">
        <f t="shared" si="89"/>
        <v>OOS</v>
      </c>
      <c r="BW223" s="108" t="str">
        <f t="shared" si="90"/>
        <v>OOS</v>
      </c>
      <c r="BX223" s="108" t="str">
        <f t="shared" si="91"/>
        <v>OOS</v>
      </c>
      <c r="BY223" s="108" t="str">
        <f t="shared" si="92"/>
        <v>OOS</v>
      </c>
      <c r="BZ223" s="108"/>
      <c r="CA223" s="119" t="str">
        <f t="shared" si="93"/>
        <v/>
      </c>
      <c r="CB223" s="174">
        <f t="shared" si="84"/>
        <v>-1</v>
      </c>
      <c r="CC223" s="113" t="str">
        <f t="shared" si="94"/>
        <v/>
      </c>
      <c r="CD223" s="108" t="str">
        <f t="shared" si="95"/>
        <v/>
      </c>
      <c r="CE223" s="108" t="str">
        <f t="shared" si="96"/>
        <v/>
      </c>
      <c r="CF223" s="108" t="str">
        <f t="shared" si="97"/>
        <v/>
      </c>
      <c r="CG223" s="108" t="str">
        <f t="shared" si="98"/>
        <v/>
      </c>
      <c r="CH223" s="103"/>
      <c r="CI223" s="119" t="str">
        <f t="shared" si="87"/>
        <v/>
      </c>
      <c r="CJ223" s="174">
        <f t="shared" si="85"/>
        <v>-1</v>
      </c>
      <c r="CK223" s="113" t="str">
        <f t="shared" si="99"/>
        <v/>
      </c>
      <c r="CL223" s="108" t="str">
        <f t="shared" si="100"/>
        <v/>
      </c>
      <c r="CM223" s="108" t="str">
        <f t="shared" si="101"/>
        <v/>
      </c>
      <c r="CN223" s="108" t="str">
        <f t="shared" si="102"/>
        <v/>
      </c>
      <c r="CO223" s="108" t="str">
        <f t="shared" si="103"/>
        <v/>
      </c>
    </row>
    <row r="224" spans="1:93">
      <c r="A224" s="103" t="s">
        <v>628</v>
      </c>
      <c r="B224" s="103" t="s">
        <v>165</v>
      </c>
      <c r="C224" s="103" t="s">
        <v>162</v>
      </c>
      <c r="D224" s="250" t="s">
        <v>153</v>
      </c>
      <c r="E224" s="250">
        <v>82</v>
      </c>
      <c r="F224" s="182">
        <v>9020</v>
      </c>
      <c r="G224" s="250" t="s">
        <v>175</v>
      </c>
      <c r="H224" s="250">
        <v>6</v>
      </c>
      <c r="I224" s="250"/>
      <c r="J224" s="250"/>
      <c r="K224" s="250" t="s">
        <v>629</v>
      </c>
      <c r="L224" s="250" t="s">
        <v>61</v>
      </c>
      <c r="M224" s="250">
        <v>6</v>
      </c>
      <c r="N224" s="250"/>
      <c r="O224" s="250"/>
      <c r="P224" s="250" t="s">
        <v>153</v>
      </c>
      <c r="Q224" s="250"/>
      <c r="R224" s="250"/>
      <c r="S224" s="250"/>
      <c r="T224" s="250" t="s">
        <v>155</v>
      </c>
      <c r="U224" s="103" t="s">
        <v>630</v>
      </c>
      <c r="V224" s="106" t="s">
        <v>157</v>
      </c>
      <c r="W224" s="103" t="s">
        <v>82</v>
      </c>
      <c r="X224" s="103">
        <f>IFERROR(MATCH(W224,'CostModel Coef'!$C$9:$C$12,0),0)</f>
        <v>2</v>
      </c>
      <c r="Y224" s="103"/>
      <c r="Z224" s="103">
        <f>IF($X224&gt;0,INDEX('CostModel Coef'!D$9:D$12,$X224),"")</f>
        <v>5.0279999999999996</v>
      </c>
      <c r="AA224" s="103">
        <f>IF($X224&gt;0,INDEX('CostModel Coef'!E$9:E$12,$X224),"")</f>
        <v>0.22669576292256455</v>
      </c>
      <c r="AB224" s="103">
        <f>IF($X224&gt;0,INDEX('CostModel Coef'!F$9:F$12,$X224),"")</f>
        <v>0.94713628548481477</v>
      </c>
      <c r="AC224" s="103">
        <f>IF($X224&gt;0,INDEX('CostModel Coef'!G$9:G$12,$X224),"")</f>
        <v>0</v>
      </c>
      <c r="AD224" s="103">
        <f>IF($X224&gt;0,INDEX('CostModel Coef'!H$9:H$12,$X224),"")</f>
        <v>-2.7940999999999998</v>
      </c>
      <c r="AE224" s="103">
        <f>IF($X224&gt;0,INDEX('CostModel Coef'!J$9:J$12,$X224),"")</f>
        <v>0</v>
      </c>
      <c r="AF224" s="103">
        <f>IF($X224&gt;0,INDEX('CostModel Coef'!K$9:K$12,$X224),"")</f>
        <v>-0.57599999999999996</v>
      </c>
      <c r="AG224" s="103">
        <f>IF($X224&gt;0,INDEX('CostModel Coef'!L$9:L$12,$X224),"")</f>
        <v>0</v>
      </c>
      <c r="AH224" s="103">
        <f>IF($X224&gt;0,INDEX('CostModel Coef'!M$9:M$12,$X224),"")</f>
        <v>4.0461</v>
      </c>
      <c r="AI224" s="103">
        <f>IF($X224&gt;0,INDEX('CostModel Coef'!N$9:N$12,$X224),"")</f>
        <v>0</v>
      </c>
      <c r="AJ224" s="103">
        <f>IF($X224&gt;0,INDEX('CostModel Coef'!Q$9:Q$12,$X224),"")</f>
        <v>0.14729999999999999</v>
      </c>
      <c r="AK224" s="103">
        <f>IF($X224&gt;0,INDEX('CostModel Coef'!T$9:T$12,$X224),"")</f>
        <v>0</v>
      </c>
      <c r="AL224" s="103"/>
      <c r="AM224" s="108">
        <f t="shared" si="79"/>
        <v>6.5096320484073793</v>
      </c>
      <c r="AN224" s="108">
        <f t="shared" si="80"/>
        <v>7.0856320484073789</v>
      </c>
      <c r="AO224" s="108">
        <f t="shared" si="81"/>
        <v>4.2915320484073796</v>
      </c>
      <c r="AP224" s="108">
        <f t="shared" si="82"/>
        <v>4.2915320484073796</v>
      </c>
      <c r="AQ224" s="108">
        <f t="shared" si="83"/>
        <v>4.2915320484073796</v>
      </c>
      <c r="AR224" s="108"/>
      <c r="AS224" s="108"/>
      <c r="AT224" s="103">
        <f>IF($X224&gt;0,INDEX('CostModel Coef'!D$13:D$16,$X224),"")</f>
        <v>3.984</v>
      </c>
      <c r="AU224" s="103">
        <f>IF($X224&gt;0,INDEX('CostModel Coef'!E$13:E$16,$X224),"")</f>
        <v>0.38800000000000001</v>
      </c>
      <c r="AV224" s="103">
        <f>IF($X224&gt;0,INDEX('CostModel Coef'!F$13:F$16,$X224),"")</f>
        <v>0.98799999999999999</v>
      </c>
      <c r="AW224" s="103">
        <f>IF($X224&gt;0,INDEX('CostModel Coef'!G$13:G$16,$X224),"")</f>
        <v>0</v>
      </c>
      <c r="AX224" s="103">
        <f>IF($X224&gt;0,INDEX('CostModel Coef'!H$13:H$16,$X224),"")</f>
        <v>-2.3199999999999998</v>
      </c>
      <c r="AY224" s="103">
        <f>IF($X224&gt;0,INDEX('CostModel Coef'!I$13:I$16,$X224),"")</f>
        <v>-1.85</v>
      </c>
      <c r="AZ224" s="103">
        <f>IF($X224&gt;0,INDEX('CostModel Coef'!J$13:J$16,$X224),"")</f>
        <v>0</v>
      </c>
      <c r="BA224" s="103">
        <f>IF($X224&gt;0,INDEX('CostModel Coef'!K$13:K$16,$X224),"")</f>
        <v>-1.0070000000000001</v>
      </c>
      <c r="BB224" s="103">
        <f>IF($X224&gt;0,INDEX('CostModel Coef'!L$13:L$16,$X224),"")</f>
        <v>0</v>
      </c>
      <c r="BC224" s="103">
        <f>IF($X224&gt;0,INDEX('CostModel Coef'!M$13:M$16,$X224),"")</f>
        <v>0</v>
      </c>
      <c r="BD224" s="103">
        <f>IF($X224&gt;0,INDEX('CostModel Coef'!N$13:N$16,$X224),"")</f>
        <v>0.5907</v>
      </c>
      <c r="BE224" s="103">
        <f>IF($X224&gt;0,INDEX('CostModel Coef'!O$13:O$16,$X224),"")</f>
        <v>0.75</v>
      </c>
      <c r="BF224" s="103">
        <f>IF($X224&gt;0,INDEX('CostModel Coef'!P$13:P$16,$X224),"")</f>
        <v>8</v>
      </c>
      <c r="BG224" s="103">
        <f>IF($X224&gt;0,INDEX('CostModel Coef'!Q$13:Q$16,$X224),"")</f>
        <v>1.04E-2</v>
      </c>
      <c r="BH224" s="103">
        <f>IF($X224&gt;0,INDEX('CostModel Coef'!R$13:R$16,$X224),"")</f>
        <v>12</v>
      </c>
      <c r="BI224" s="103">
        <f>IF($X224&gt;0,INDEX('CostModel Coef'!S$13:S$16,$X224),"")</f>
        <v>150</v>
      </c>
      <c r="BJ224" s="103">
        <f>IF($X224&gt;0,INDEX('CostModel Coef'!T$13:T$16,$X224),"")</f>
        <v>0</v>
      </c>
      <c r="BK224" s="103">
        <f>IF($X224&gt;0,INDEX('CostModel Coef'!U$13:U$16,$X224),"")</f>
        <v>0</v>
      </c>
      <c r="BL224" s="103">
        <f>IF($X224&gt;0,INDEX('CostModel Coef'!V$13:V$16,$X224),"")</f>
        <v>0</v>
      </c>
      <c r="BM224" s="103">
        <f>IF($X224&gt;0,INDEX('CostModel Coef'!W$13:W$16,$X224),"")</f>
        <v>0</v>
      </c>
      <c r="BN224" s="103">
        <f>IF($X224&gt;0,INDEX('CostModel Coef'!X$13:X$16,$X224),"")</f>
        <v>0</v>
      </c>
      <c r="BO224" s="103"/>
      <c r="BP224" s="119">
        <v>2000</v>
      </c>
      <c r="BQ224" s="103"/>
      <c r="BR224" s="103"/>
      <c r="BS224" s="119" t="str">
        <f t="shared" si="86"/>
        <v>WRR0409_CFLscw-Refl(6w)</v>
      </c>
      <c r="BT224" s="174">
        <f t="shared" si="78"/>
        <v>25</v>
      </c>
      <c r="BU224" s="113">
        <f t="shared" si="88"/>
        <v>5.7943999999999996</v>
      </c>
      <c r="BV224" s="108">
        <f t="shared" si="89"/>
        <v>6.8013999999999992</v>
      </c>
      <c r="BW224" s="108">
        <f t="shared" si="90"/>
        <v>4.4813999999999989</v>
      </c>
      <c r="BX224" s="108">
        <f t="shared" si="91"/>
        <v>2.6313999999999989</v>
      </c>
      <c r="BY224" s="108">
        <f t="shared" si="92"/>
        <v>2.6313999999999989</v>
      </c>
      <c r="BZ224" s="108"/>
      <c r="CA224" s="119" t="str">
        <f t="shared" si="93"/>
        <v>WRR0407_CFLscw-Refl(6w)</v>
      </c>
      <c r="CB224" s="174">
        <f t="shared" si="84"/>
        <v>24</v>
      </c>
      <c r="CC224" s="113">
        <f t="shared" si="94"/>
        <v>5.7839999999999989</v>
      </c>
      <c r="CD224" s="108">
        <f t="shared" si="95"/>
        <v>6.7909999999999995</v>
      </c>
      <c r="CE224" s="108">
        <f t="shared" si="96"/>
        <v>4.4710000000000001</v>
      </c>
      <c r="CF224" s="108">
        <f t="shared" si="97"/>
        <v>2.621</v>
      </c>
      <c r="CG224" s="108">
        <f t="shared" si="98"/>
        <v>2.621</v>
      </c>
      <c r="CH224" s="103"/>
      <c r="CI224" s="119" t="str">
        <f t="shared" si="87"/>
        <v/>
      </c>
      <c r="CJ224" s="174">
        <f t="shared" si="85"/>
        <v>-1</v>
      </c>
      <c r="CK224" s="113" t="str">
        <f t="shared" si="99"/>
        <v/>
      </c>
      <c r="CL224" s="108" t="str">
        <f t="shared" si="100"/>
        <v/>
      </c>
      <c r="CM224" s="108" t="str">
        <f t="shared" si="101"/>
        <v/>
      </c>
      <c r="CN224" s="108" t="str">
        <f t="shared" si="102"/>
        <v/>
      </c>
      <c r="CO224" s="108" t="str">
        <f t="shared" si="103"/>
        <v/>
      </c>
    </row>
    <row r="225" spans="1:93">
      <c r="A225" s="103" t="s">
        <v>631</v>
      </c>
      <c r="B225" s="103" t="s">
        <v>165</v>
      </c>
      <c r="C225" s="103" t="s">
        <v>162</v>
      </c>
      <c r="D225" s="250" t="s">
        <v>153</v>
      </c>
      <c r="E225" s="250">
        <v>82</v>
      </c>
      <c r="F225" s="182">
        <v>9020</v>
      </c>
      <c r="G225" s="250" t="s">
        <v>175</v>
      </c>
      <c r="H225" s="250">
        <v>7</v>
      </c>
      <c r="I225" s="250"/>
      <c r="J225" s="250"/>
      <c r="K225" s="250" t="s">
        <v>632</v>
      </c>
      <c r="L225" s="250" t="s">
        <v>61</v>
      </c>
      <c r="M225" s="250">
        <v>7</v>
      </c>
      <c r="N225" s="250"/>
      <c r="O225" s="250"/>
      <c r="P225" s="250" t="s">
        <v>153</v>
      </c>
      <c r="Q225" s="250"/>
      <c r="R225" s="250"/>
      <c r="S225" s="250"/>
      <c r="T225" s="250" t="s">
        <v>155</v>
      </c>
      <c r="U225" s="103" t="s">
        <v>633</v>
      </c>
      <c r="V225" s="106" t="s">
        <v>157</v>
      </c>
      <c r="W225" s="103" t="s">
        <v>82</v>
      </c>
      <c r="X225" s="103">
        <f>IFERROR(MATCH(W225,'CostModel Coef'!$C$9:$C$12,0),0)</f>
        <v>2</v>
      </c>
      <c r="Y225" s="103"/>
      <c r="Z225" s="103">
        <f>IF($X225&gt;0,INDEX('CostModel Coef'!D$9:D$12,$X225),"")</f>
        <v>5.0279999999999996</v>
      </c>
      <c r="AA225" s="103">
        <f>IF($X225&gt;0,INDEX('CostModel Coef'!E$9:E$12,$X225),"")</f>
        <v>0.22669576292256455</v>
      </c>
      <c r="AB225" s="103">
        <f>IF($X225&gt;0,INDEX('CostModel Coef'!F$9:F$12,$X225),"")</f>
        <v>0.94713628548481477</v>
      </c>
      <c r="AC225" s="103">
        <f>IF($X225&gt;0,INDEX('CostModel Coef'!G$9:G$12,$X225),"")</f>
        <v>0</v>
      </c>
      <c r="AD225" s="103">
        <f>IF($X225&gt;0,INDEX('CostModel Coef'!H$9:H$12,$X225),"")</f>
        <v>-2.7940999999999998</v>
      </c>
      <c r="AE225" s="103">
        <f>IF($X225&gt;0,INDEX('CostModel Coef'!J$9:J$12,$X225),"")</f>
        <v>0</v>
      </c>
      <c r="AF225" s="103">
        <f>IF($X225&gt;0,INDEX('CostModel Coef'!K$9:K$12,$X225),"")</f>
        <v>-0.57599999999999996</v>
      </c>
      <c r="AG225" s="103">
        <f>IF($X225&gt;0,INDEX('CostModel Coef'!L$9:L$12,$X225),"")</f>
        <v>0</v>
      </c>
      <c r="AH225" s="103">
        <f>IF($X225&gt;0,INDEX('CostModel Coef'!M$9:M$12,$X225),"")</f>
        <v>4.0461</v>
      </c>
      <c r="AI225" s="103">
        <f>IF($X225&gt;0,INDEX('CostModel Coef'!N$9:N$12,$X225),"")</f>
        <v>0</v>
      </c>
      <c r="AJ225" s="103">
        <f>IF($X225&gt;0,INDEX('CostModel Coef'!Q$9:Q$12,$X225),"")</f>
        <v>0.14729999999999999</v>
      </c>
      <c r="AK225" s="103">
        <f>IF($X225&gt;0,INDEX('CostModel Coef'!T$9:T$12,$X225),"")</f>
        <v>0</v>
      </c>
      <c r="AL225" s="103"/>
      <c r="AM225" s="108">
        <f t="shared" si="79"/>
        <v>6.6569320484073797</v>
      </c>
      <c r="AN225" s="108">
        <f t="shared" si="80"/>
        <v>7.2329320484073794</v>
      </c>
      <c r="AO225" s="108">
        <f t="shared" si="81"/>
        <v>4.4388320484073791</v>
      </c>
      <c r="AP225" s="108">
        <f t="shared" si="82"/>
        <v>4.4388320484073791</v>
      </c>
      <c r="AQ225" s="108">
        <f t="shared" si="83"/>
        <v>4.4388320484073791</v>
      </c>
      <c r="AR225" s="108"/>
      <c r="AS225" s="108"/>
      <c r="AT225" s="103">
        <f>IF($X225&gt;0,INDEX('CostModel Coef'!D$13:D$16,$X225),"")</f>
        <v>3.984</v>
      </c>
      <c r="AU225" s="103">
        <f>IF($X225&gt;0,INDEX('CostModel Coef'!E$13:E$16,$X225),"")</f>
        <v>0.38800000000000001</v>
      </c>
      <c r="AV225" s="103">
        <f>IF($X225&gt;0,INDEX('CostModel Coef'!F$13:F$16,$X225),"")</f>
        <v>0.98799999999999999</v>
      </c>
      <c r="AW225" s="103">
        <f>IF($X225&gt;0,INDEX('CostModel Coef'!G$13:G$16,$X225),"")</f>
        <v>0</v>
      </c>
      <c r="AX225" s="103">
        <f>IF($X225&gt;0,INDEX('CostModel Coef'!H$13:H$16,$X225),"")</f>
        <v>-2.3199999999999998</v>
      </c>
      <c r="AY225" s="103">
        <f>IF($X225&gt;0,INDEX('CostModel Coef'!I$13:I$16,$X225),"")</f>
        <v>-1.85</v>
      </c>
      <c r="AZ225" s="103">
        <f>IF($X225&gt;0,INDEX('CostModel Coef'!J$13:J$16,$X225),"")</f>
        <v>0</v>
      </c>
      <c r="BA225" s="103">
        <f>IF($X225&gt;0,INDEX('CostModel Coef'!K$13:K$16,$X225),"")</f>
        <v>-1.0070000000000001</v>
      </c>
      <c r="BB225" s="103">
        <f>IF($X225&gt;0,INDEX('CostModel Coef'!L$13:L$16,$X225),"")</f>
        <v>0</v>
      </c>
      <c r="BC225" s="103">
        <f>IF($X225&gt;0,INDEX('CostModel Coef'!M$13:M$16,$X225),"")</f>
        <v>0</v>
      </c>
      <c r="BD225" s="103">
        <f>IF($X225&gt;0,INDEX('CostModel Coef'!N$13:N$16,$X225),"")</f>
        <v>0.5907</v>
      </c>
      <c r="BE225" s="103">
        <f>IF($X225&gt;0,INDEX('CostModel Coef'!O$13:O$16,$X225),"")</f>
        <v>0.75</v>
      </c>
      <c r="BF225" s="103">
        <f>IF($X225&gt;0,INDEX('CostModel Coef'!P$13:P$16,$X225),"")</f>
        <v>8</v>
      </c>
      <c r="BG225" s="103">
        <f>IF($X225&gt;0,INDEX('CostModel Coef'!Q$13:Q$16,$X225),"")</f>
        <v>1.04E-2</v>
      </c>
      <c r="BH225" s="103">
        <f>IF($X225&gt;0,INDEX('CostModel Coef'!R$13:R$16,$X225),"")</f>
        <v>12</v>
      </c>
      <c r="BI225" s="103">
        <f>IF($X225&gt;0,INDEX('CostModel Coef'!S$13:S$16,$X225),"")</f>
        <v>150</v>
      </c>
      <c r="BJ225" s="103">
        <f>IF($X225&gt;0,INDEX('CostModel Coef'!T$13:T$16,$X225),"")</f>
        <v>0</v>
      </c>
      <c r="BK225" s="103">
        <f>IF($X225&gt;0,INDEX('CostModel Coef'!U$13:U$16,$X225),"")</f>
        <v>0</v>
      </c>
      <c r="BL225" s="103">
        <f>IF($X225&gt;0,INDEX('CostModel Coef'!V$13:V$16,$X225),"")</f>
        <v>0</v>
      </c>
      <c r="BM225" s="103">
        <f>IF($X225&gt;0,INDEX('CostModel Coef'!W$13:W$16,$X225),"")</f>
        <v>0</v>
      </c>
      <c r="BN225" s="103">
        <f>IF($X225&gt;0,INDEX('CostModel Coef'!X$13:X$16,$X225),"")</f>
        <v>0</v>
      </c>
      <c r="BO225" s="103"/>
      <c r="BP225" s="119">
        <v>2000</v>
      </c>
      <c r="BQ225" s="103"/>
      <c r="BR225" s="103"/>
      <c r="BS225" s="119" t="str">
        <f t="shared" si="86"/>
        <v>WRR0409_CFLscw-Refl(7w)</v>
      </c>
      <c r="BT225" s="174">
        <f t="shared" si="78"/>
        <v>29</v>
      </c>
      <c r="BU225" s="113">
        <f t="shared" si="88"/>
        <v>5.8359999999999985</v>
      </c>
      <c r="BV225" s="108">
        <f t="shared" si="89"/>
        <v>6.8429999999999991</v>
      </c>
      <c r="BW225" s="108">
        <f t="shared" si="90"/>
        <v>4.5229999999999997</v>
      </c>
      <c r="BX225" s="108">
        <f t="shared" si="91"/>
        <v>2.6729999999999996</v>
      </c>
      <c r="BY225" s="108">
        <f t="shared" si="92"/>
        <v>2.6729999999999996</v>
      </c>
      <c r="BZ225" s="108"/>
      <c r="CA225" s="119" t="str">
        <f t="shared" si="93"/>
        <v>WRR0407_CFLscw-Refl(7w)</v>
      </c>
      <c r="CB225" s="174">
        <f t="shared" si="84"/>
        <v>28</v>
      </c>
      <c r="CC225" s="113">
        <f t="shared" si="94"/>
        <v>5.8255999999999997</v>
      </c>
      <c r="CD225" s="108">
        <f t="shared" si="95"/>
        <v>6.8325999999999993</v>
      </c>
      <c r="CE225" s="108">
        <f t="shared" si="96"/>
        <v>4.5125999999999991</v>
      </c>
      <c r="CF225" s="108">
        <f t="shared" si="97"/>
        <v>2.662599999999999</v>
      </c>
      <c r="CG225" s="108">
        <f t="shared" si="98"/>
        <v>2.662599999999999</v>
      </c>
      <c r="CH225" s="103"/>
      <c r="CI225" s="119" t="str">
        <f t="shared" si="87"/>
        <v/>
      </c>
      <c r="CJ225" s="174">
        <f t="shared" si="85"/>
        <v>-1</v>
      </c>
      <c r="CK225" s="113" t="str">
        <f t="shared" si="99"/>
        <v/>
      </c>
      <c r="CL225" s="108" t="str">
        <f t="shared" si="100"/>
        <v/>
      </c>
      <c r="CM225" s="108" t="str">
        <f t="shared" si="101"/>
        <v/>
      </c>
      <c r="CN225" s="108" t="str">
        <f t="shared" si="102"/>
        <v/>
      </c>
      <c r="CO225" s="108" t="str">
        <f t="shared" si="103"/>
        <v/>
      </c>
    </row>
    <row r="226" spans="1:93">
      <c r="A226" s="103" t="s">
        <v>634</v>
      </c>
      <c r="B226" s="103" t="s">
        <v>165</v>
      </c>
      <c r="C226" s="103" t="s">
        <v>162</v>
      </c>
      <c r="D226" s="250" t="s">
        <v>153</v>
      </c>
      <c r="E226" s="250">
        <v>82</v>
      </c>
      <c r="F226" s="182">
        <v>9020</v>
      </c>
      <c r="G226" s="250" t="s">
        <v>175</v>
      </c>
      <c r="H226" s="250">
        <v>80</v>
      </c>
      <c r="I226" s="250"/>
      <c r="J226" s="250"/>
      <c r="K226" s="250" t="s">
        <v>635</v>
      </c>
      <c r="L226" s="250" t="s">
        <v>61</v>
      </c>
      <c r="M226" s="250">
        <v>80</v>
      </c>
      <c r="N226" s="250"/>
      <c r="O226" s="250"/>
      <c r="P226" s="250" t="s">
        <v>153</v>
      </c>
      <c r="Q226" s="250"/>
      <c r="R226" s="250"/>
      <c r="S226" s="250"/>
      <c r="T226" s="250" t="s">
        <v>155</v>
      </c>
      <c r="U226" s="103" t="s">
        <v>636</v>
      </c>
      <c r="V226" s="106" t="s">
        <v>157</v>
      </c>
      <c r="W226" s="103" t="s">
        <v>158</v>
      </c>
      <c r="X226" s="103">
        <f>IFERROR(MATCH(W226,'CostModel Coef'!$C$9:$C$12,0),0)</f>
        <v>0</v>
      </c>
      <c r="Y226" s="103"/>
      <c r="Z226" s="103" t="str">
        <f>IF($X226&gt;0,INDEX('CostModel Coef'!D$9:D$12,$X226),"")</f>
        <v/>
      </c>
      <c r="AA226" s="103" t="str">
        <f>IF($X226&gt;0,INDEX('CostModel Coef'!E$9:E$12,$X226),"")</f>
        <v/>
      </c>
      <c r="AB226" s="103" t="str">
        <f>IF($X226&gt;0,INDEX('CostModel Coef'!F$9:F$12,$X226),"")</f>
        <v/>
      </c>
      <c r="AC226" s="103" t="str">
        <f>IF($X226&gt;0,INDEX('CostModel Coef'!G$9:G$12,$X226),"")</f>
        <v/>
      </c>
      <c r="AD226" s="103" t="str">
        <f>IF($X226&gt;0,INDEX('CostModel Coef'!H$9:H$12,$X226),"")</f>
        <v/>
      </c>
      <c r="AE226" s="103" t="str">
        <f>IF($X226&gt;0,INDEX('CostModel Coef'!J$9:J$12,$X226),"")</f>
        <v/>
      </c>
      <c r="AF226" s="103" t="str">
        <f>IF($X226&gt;0,INDEX('CostModel Coef'!K$9:K$12,$X226),"")</f>
        <v/>
      </c>
      <c r="AG226" s="103" t="str">
        <f>IF($X226&gt;0,INDEX('CostModel Coef'!L$9:L$12,$X226),"")</f>
        <v/>
      </c>
      <c r="AH226" s="103" t="str">
        <f>IF($X226&gt;0,INDEX('CostModel Coef'!M$9:M$12,$X226),"")</f>
        <v/>
      </c>
      <c r="AI226" s="103" t="str">
        <f>IF($X226&gt;0,INDEX('CostModel Coef'!N$9:N$12,$X226),"")</f>
        <v/>
      </c>
      <c r="AJ226" s="103" t="str">
        <f>IF($X226&gt;0,INDEX('CostModel Coef'!Q$9:Q$12,$X226),"")</f>
        <v/>
      </c>
      <c r="AK226" s="103" t="str">
        <f>IF($X226&gt;0,INDEX('CostModel Coef'!T$9:T$12,$X226),"")</f>
        <v/>
      </c>
      <c r="AL226" s="103"/>
      <c r="AM226" s="108" t="str">
        <f t="shared" si="79"/>
        <v/>
      </c>
      <c r="AN226" s="108" t="str">
        <f t="shared" si="80"/>
        <v/>
      </c>
      <c r="AO226" s="108" t="str">
        <f t="shared" si="81"/>
        <v/>
      </c>
      <c r="AP226" s="108" t="str">
        <f t="shared" si="82"/>
        <v/>
      </c>
      <c r="AQ226" s="108" t="str">
        <f t="shared" si="83"/>
        <v/>
      </c>
      <c r="AR226" s="108"/>
      <c r="AS226" s="108"/>
      <c r="AT226" s="103" t="str">
        <f>IF($X226&gt;0,INDEX('CostModel Coef'!D$13:D$16,$X226),"")</f>
        <v/>
      </c>
      <c r="AU226" s="103" t="str">
        <f>IF($X226&gt;0,INDEX('CostModel Coef'!E$13:E$16,$X226),"")</f>
        <v/>
      </c>
      <c r="AV226" s="103" t="str">
        <f>IF($X226&gt;0,INDEX('CostModel Coef'!F$13:F$16,$X226),"")</f>
        <v/>
      </c>
      <c r="AW226" s="103" t="str">
        <f>IF($X226&gt;0,INDEX('CostModel Coef'!G$13:G$16,$X226),"")</f>
        <v/>
      </c>
      <c r="AX226" s="103" t="str">
        <f>IF($X226&gt;0,INDEX('CostModel Coef'!H$13:H$16,$X226),"")</f>
        <v/>
      </c>
      <c r="AY226" s="103" t="str">
        <f>IF($X226&gt;0,INDEX('CostModel Coef'!I$13:I$16,$X226),"")</f>
        <v/>
      </c>
      <c r="AZ226" s="103" t="str">
        <f>IF($X226&gt;0,INDEX('CostModel Coef'!J$13:J$16,$X226),"")</f>
        <v/>
      </c>
      <c r="BA226" s="103" t="str">
        <f>IF($X226&gt;0,INDEX('CostModel Coef'!K$13:K$16,$X226),"")</f>
        <v/>
      </c>
      <c r="BB226" s="103" t="str">
        <f>IF($X226&gt;0,INDEX('CostModel Coef'!L$13:L$16,$X226),"")</f>
        <v/>
      </c>
      <c r="BC226" s="103" t="str">
        <f>IF($X226&gt;0,INDEX('CostModel Coef'!M$13:M$16,$X226),"")</f>
        <v/>
      </c>
      <c r="BD226" s="103" t="str">
        <f>IF($X226&gt;0,INDEX('CostModel Coef'!N$13:N$16,$X226),"")</f>
        <v/>
      </c>
      <c r="BE226" s="103" t="str">
        <f>IF($X226&gt;0,INDEX('CostModel Coef'!O$13:O$16,$X226),"")</f>
        <v/>
      </c>
      <c r="BF226" s="103" t="str">
        <f>IF($X226&gt;0,INDEX('CostModel Coef'!P$13:P$16,$X226),"")</f>
        <v/>
      </c>
      <c r="BG226" s="103" t="str">
        <f>IF($X226&gt;0,INDEX('CostModel Coef'!Q$13:Q$16,$X226),"")</f>
        <v/>
      </c>
      <c r="BH226" s="103" t="str">
        <f>IF($X226&gt;0,INDEX('CostModel Coef'!R$13:R$16,$X226),"")</f>
        <v/>
      </c>
      <c r="BI226" s="103" t="str">
        <f>IF($X226&gt;0,INDEX('CostModel Coef'!S$13:S$16,$X226),"")</f>
        <v/>
      </c>
      <c r="BJ226" s="103" t="str">
        <f>IF($X226&gt;0,INDEX('CostModel Coef'!T$13:T$16,$X226),"")</f>
        <v/>
      </c>
      <c r="BK226" s="103" t="str">
        <f>IF($X226&gt;0,INDEX('CostModel Coef'!U$13:U$16,$X226),"")</f>
        <v/>
      </c>
      <c r="BL226" s="103" t="str">
        <f>IF($X226&gt;0,INDEX('CostModel Coef'!V$13:V$16,$X226),"")</f>
        <v/>
      </c>
      <c r="BM226" s="103" t="str">
        <f>IF($X226&gt;0,INDEX('CostModel Coef'!W$13:W$16,$X226),"")</f>
        <v/>
      </c>
      <c r="BN226" s="103" t="str">
        <f>IF($X226&gt;0,INDEX('CostModel Coef'!X$13:X$16,$X226),"")</f>
        <v/>
      </c>
      <c r="BO226" s="103"/>
      <c r="BP226" s="119">
        <v>2000</v>
      </c>
      <c r="BQ226" s="103"/>
      <c r="BR226" s="103"/>
      <c r="BS226" s="119" t="str">
        <f t="shared" si="86"/>
        <v/>
      </c>
      <c r="BT226" s="174">
        <f t="shared" si="78"/>
        <v>-1</v>
      </c>
      <c r="BU226" s="113" t="str">
        <f t="shared" si="88"/>
        <v>OOS</v>
      </c>
      <c r="BV226" s="108" t="str">
        <f t="shared" si="89"/>
        <v>OOS</v>
      </c>
      <c r="BW226" s="108" t="str">
        <f t="shared" si="90"/>
        <v>OOS</v>
      </c>
      <c r="BX226" s="108" t="str">
        <f t="shared" si="91"/>
        <v>OOS</v>
      </c>
      <c r="BY226" s="108" t="str">
        <f t="shared" si="92"/>
        <v>OOS</v>
      </c>
      <c r="BZ226" s="108"/>
      <c r="CA226" s="119" t="str">
        <f t="shared" si="93"/>
        <v/>
      </c>
      <c r="CB226" s="174">
        <f t="shared" si="84"/>
        <v>-1</v>
      </c>
      <c r="CC226" s="113" t="str">
        <f t="shared" si="94"/>
        <v/>
      </c>
      <c r="CD226" s="108" t="str">
        <f t="shared" si="95"/>
        <v/>
      </c>
      <c r="CE226" s="108" t="str">
        <f t="shared" si="96"/>
        <v/>
      </c>
      <c r="CF226" s="108" t="str">
        <f t="shared" si="97"/>
        <v/>
      </c>
      <c r="CG226" s="108" t="str">
        <f t="shared" si="98"/>
        <v/>
      </c>
      <c r="CH226" s="103"/>
      <c r="CI226" s="119" t="str">
        <f t="shared" si="87"/>
        <v/>
      </c>
      <c r="CJ226" s="174">
        <f t="shared" si="85"/>
        <v>-1</v>
      </c>
      <c r="CK226" s="113" t="str">
        <f t="shared" si="99"/>
        <v/>
      </c>
      <c r="CL226" s="108" t="str">
        <f t="shared" si="100"/>
        <v/>
      </c>
      <c r="CM226" s="108" t="str">
        <f t="shared" si="101"/>
        <v/>
      </c>
      <c r="CN226" s="108" t="str">
        <f t="shared" si="102"/>
        <v/>
      </c>
      <c r="CO226" s="108" t="str">
        <f t="shared" si="103"/>
        <v/>
      </c>
    </row>
    <row r="227" spans="1:93">
      <c r="A227" s="103" t="s">
        <v>637</v>
      </c>
      <c r="B227" s="103" t="s">
        <v>165</v>
      </c>
      <c r="C227" s="103" t="s">
        <v>162</v>
      </c>
      <c r="D227" s="250" t="s">
        <v>153</v>
      </c>
      <c r="E227" s="250">
        <v>82</v>
      </c>
      <c r="F227" s="182">
        <v>9020</v>
      </c>
      <c r="G227" s="250" t="s">
        <v>175</v>
      </c>
      <c r="H227" s="250">
        <v>8</v>
      </c>
      <c r="I227" s="250"/>
      <c r="J227" s="250"/>
      <c r="K227" s="250" t="s">
        <v>638</v>
      </c>
      <c r="L227" s="250" t="s">
        <v>61</v>
      </c>
      <c r="M227" s="250">
        <v>8</v>
      </c>
      <c r="N227" s="250"/>
      <c r="O227" s="250"/>
      <c r="P227" s="250" t="s">
        <v>153</v>
      </c>
      <c r="Q227" s="250"/>
      <c r="R227" s="250"/>
      <c r="S227" s="250"/>
      <c r="T227" s="250" t="s">
        <v>155</v>
      </c>
      <c r="U227" s="103" t="s">
        <v>639</v>
      </c>
      <c r="V227" s="106" t="s">
        <v>157</v>
      </c>
      <c r="W227" s="103" t="s">
        <v>82</v>
      </c>
      <c r="X227" s="103">
        <f>IFERROR(MATCH(W227,'CostModel Coef'!$C$9:$C$12,0),0)</f>
        <v>2</v>
      </c>
      <c r="Y227" s="103"/>
      <c r="Z227" s="103">
        <f>IF($X227&gt;0,INDEX('CostModel Coef'!D$9:D$12,$X227),"")</f>
        <v>5.0279999999999996</v>
      </c>
      <c r="AA227" s="103">
        <f>IF($X227&gt;0,INDEX('CostModel Coef'!E$9:E$12,$X227),"")</f>
        <v>0.22669576292256455</v>
      </c>
      <c r="AB227" s="103">
        <f>IF($X227&gt;0,INDEX('CostModel Coef'!F$9:F$12,$X227),"")</f>
        <v>0.94713628548481477</v>
      </c>
      <c r="AC227" s="103">
        <f>IF($X227&gt;0,INDEX('CostModel Coef'!G$9:G$12,$X227),"")</f>
        <v>0</v>
      </c>
      <c r="AD227" s="103">
        <f>IF($X227&gt;0,INDEX('CostModel Coef'!H$9:H$12,$X227),"")</f>
        <v>-2.7940999999999998</v>
      </c>
      <c r="AE227" s="103">
        <f>IF($X227&gt;0,INDEX('CostModel Coef'!J$9:J$12,$X227),"")</f>
        <v>0</v>
      </c>
      <c r="AF227" s="103">
        <f>IF($X227&gt;0,INDEX('CostModel Coef'!K$9:K$12,$X227),"")</f>
        <v>-0.57599999999999996</v>
      </c>
      <c r="AG227" s="103">
        <f>IF($X227&gt;0,INDEX('CostModel Coef'!L$9:L$12,$X227),"")</f>
        <v>0</v>
      </c>
      <c r="AH227" s="103">
        <f>IF($X227&gt;0,INDEX('CostModel Coef'!M$9:M$12,$X227),"")</f>
        <v>4.0461</v>
      </c>
      <c r="AI227" s="103">
        <f>IF($X227&gt;0,INDEX('CostModel Coef'!N$9:N$12,$X227),"")</f>
        <v>0</v>
      </c>
      <c r="AJ227" s="103">
        <f>IF($X227&gt;0,INDEX('CostModel Coef'!Q$9:Q$12,$X227),"")</f>
        <v>0.14729999999999999</v>
      </c>
      <c r="AK227" s="103">
        <f>IF($X227&gt;0,INDEX('CostModel Coef'!T$9:T$12,$X227),"")</f>
        <v>0</v>
      </c>
      <c r="AL227" s="103"/>
      <c r="AM227" s="108">
        <f t="shared" si="79"/>
        <v>6.8042320484073793</v>
      </c>
      <c r="AN227" s="108">
        <f t="shared" si="80"/>
        <v>7.3802320484073789</v>
      </c>
      <c r="AO227" s="108">
        <f t="shared" si="81"/>
        <v>4.5861320484073786</v>
      </c>
      <c r="AP227" s="108">
        <f t="shared" si="82"/>
        <v>4.5861320484073786</v>
      </c>
      <c r="AQ227" s="108">
        <f t="shared" si="83"/>
        <v>4.5861320484073786</v>
      </c>
      <c r="AR227" s="108"/>
      <c r="AS227" s="108"/>
      <c r="AT227" s="103">
        <f>IF($X227&gt;0,INDEX('CostModel Coef'!D$13:D$16,$X227),"")</f>
        <v>3.984</v>
      </c>
      <c r="AU227" s="103">
        <f>IF($X227&gt;0,INDEX('CostModel Coef'!E$13:E$16,$X227),"")</f>
        <v>0.38800000000000001</v>
      </c>
      <c r="AV227" s="103">
        <f>IF($X227&gt;0,INDEX('CostModel Coef'!F$13:F$16,$X227),"")</f>
        <v>0.98799999999999999</v>
      </c>
      <c r="AW227" s="103">
        <f>IF($X227&gt;0,INDEX('CostModel Coef'!G$13:G$16,$X227),"")</f>
        <v>0</v>
      </c>
      <c r="AX227" s="103">
        <f>IF($X227&gt;0,INDEX('CostModel Coef'!H$13:H$16,$X227),"")</f>
        <v>-2.3199999999999998</v>
      </c>
      <c r="AY227" s="103">
        <f>IF($X227&gt;0,INDEX('CostModel Coef'!I$13:I$16,$X227),"")</f>
        <v>-1.85</v>
      </c>
      <c r="AZ227" s="103">
        <f>IF($X227&gt;0,INDEX('CostModel Coef'!J$13:J$16,$X227),"")</f>
        <v>0</v>
      </c>
      <c r="BA227" s="103">
        <f>IF($X227&gt;0,INDEX('CostModel Coef'!K$13:K$16,$X227),"")</f>
        <v>-1.0070000000000001</v>
      </c>
      <c r="BB227" s="103">
        <f>IF($X227&gt;0,INDEX('CostModel Coef'!L$13:L$16,$X227),"")</f>
        <v>0</v>
      </c>
      <c r="BC227" s="103">
        <f>IF($X227&gt;0,INDEX('CostModel Coef'!M$13:M$16,$X227),"")</f>
        <v>0</v>
      </c>
      <c r="BD227" s="103">
        <f>IF($X227&gt;0,INDEX('CostModel Coef'!N$13:N$16,$X227),"")</f>
        <v>0.5907</v>
      </c>
      <c r="BE227" s="103">
        <f>IF($X227&gt;0,INDEX('CostModel Coef'!O$13:O$16,$X227),"")</f>
        <v>0.75</v>
      </c>
      <c r="BF227" s="103">
        <f>IF($X227&gt;0,INDEX('CostModel Coef'!P$13:P$16,$X227),"")</f>
        <v>8</v>
      </c>
      <c r="BG227" s="103">
        <f>IF($X227&gt;0,INDEX('CostModel Coef'!Q$13:Q$16,$X227),"")</f>
        <v>1.04E-2</v>
      </c>
      <c r="BH227" s="103">
        <f>IF($X227&gt;0,INDEX('CostModel Coef'!R$13:R$16,$X227),"")</f>
        <v>12</v>
      </c>
      <c r="BI227" s="103">
        <f>IF($X227&gt;0,INDEX('CostModel Coef'!S$13:S$16,$X227),"")</f>
        <v>150</v>
      </c>
      <c r="BJ227" s="103">
        <f>IF($X227&gt;0,INDEX('CostModel Coef'!T$13:T$16,$X227),"")</f>
        <v>0</v>
      </c>
      <c r="BK227" s="103">
        <f>IF($X227&gt;0,INDEX('CostModel Coef'!U$13:U$16,$X227),"")</f>
        <v>0</v>
      </c>
      <c r="BL227" s="103">
        <f>IF($X227&gt;0,INDEX('CostModel Coef'!V$13:V$16,$X227),"")</f>
        <v>0</v>
      </c>
      <c r="BM227" s="103">
        <f>IF($X227&gt;0,INDEX('CostModel Coef'!W$13:W$16,$X227),"")</f>
        <v>0</v>
      </c>
      <c r="BN227" s="103">
        <f>IF($X227&gt;0,INDEX('CostModel Coef'!X$13:X$16,$X227),"")</f>
        <v>0</v>
      </c>
      <c r="BO227" s="103"/>
      <c r="BP227" s="119">
        <v>2000</v>
      </c>
      <c r="BQ227" s="103"/>
      <c r="BR227" s="103"/>
      <c r="BS227" s="119" t="str">
        <f t="shared" si="86"/>
        <v>WRR0409_CFLscw-Refl(8w)</v>
      </c>
      <c r="BT227" s="174">
        <f t="shared" si="78"/>
        <v>33</v>
      </c>
      <c r="BU227" s="113">
        <f t="shared" si="88"/>
        <v>5.8775999999999993</v>
      </c>
      <c r="BV227" s="108">
        <f t="shared" si="89"/>
        <v>6.8845999999999998</v>
      </c>
      <c r="BW227" s="108">
        <f t="shared" si="90"/>
        <v>4.5646000000000004</v>
      </c>
      <c r="BX227" s="108">
        <f t="shared" si="91"/>
        <v>2.7146000000000003</v>
      </c>
      <c r="BY227" s="108">
        <f t="shared" si="92"/>
        <v>2.7146000000000003</v>
      </c>
      <c r="BZ227" s="108"/>
      <c r="CA227" s="119" t="str">
        <f t="shared" si="93"/>
        <v>WRR0407_CFLscw-Refl(8w)</v>
      </c>
      <c r="CB227" s="174">
        <f t="shared" si="84"/>
        <v>33</v>
      </c>
      <c r="CC227" s="113">
        <f t="shared" si="94"/>
        <v>5.8775999999999993</v>
      </c>
      <c r="CD227" s="108">
        <f t="shared" si="95"/>
        <v>6.8845999999999998</v>
      </c>
      <c r="CE227" s="108">
        <f t="shared" si="96"/>
        <v>4.5646000000000004</v>
      </c>
      <c r="CF227" s="108">
        <f t="shared" si="97"/>
        <v>2.7146000000000003</v>
      </c>
      <c r="CG227" s="108">
        <f t="shared" si="98"/>
        <v>2.7146000000000003</v>
      </c>
      <c r="CH227" s="103"/>
      <c r="CI227" s="119" t="str">
        <f t="shared" si="87"/>
        <v/>
      </c>
      <c r="CJ227" s="174">
        <f t="shared" si="85"/>
        <v>-1</v>
      </c>
      <c r="CK227" s="113" t="str">
        <f t="shared" si="99"/>
        <v/>
      </c>
      <c r="CL227" s="108" t="str">
        <f t="shared" si="100"/>
        <v/>
      </c>
      <c r="CM227" s="108" t="str">
        <f t="shared" si="101"/>
        <v/>
      </c>
      <c r="CN227" s="108" t="str">
        <f t="shared" si="102"/>
        <v/>
      </c>
      <c r="CO227" s="108" t="str">
        <f t="shared" si="103"/>
        <v/>
      </c>
    </row>
    <row r="228" spans="1:93">
      <c r="A228" s="103" t="s">
        <v>640</v>
      </c>
      <c r="B228" s="103" t="s">
        <v>165</v>
      </c>
      <c r="C228" s="103" t="s">
        <v>162</v>
      </c>
      <c r="D228" s="250" t="s">
        <v>153</v>
      </c>
      <c r="E228" s="250">
        <v>82</v>
      </c>
      <c r="F228" s="182">
        <v>9020</v>
      </c>
      <c r="G228" s="250" t="s">
        <v>175</v>
      </c>
      <c r="H228" s="250">
        <v>9</v>
      </c>
      <c r="I228" s="250"/>
      <c r="J228" s="250"/>
      <c r="K228" s="250" t="s">
        <v>641</v>
      </c>
      <c r="L228" s="250" t="s">
        <v>61</v>
      </c>
      <c r="M228" s="250">
        <v>9</v>
      </c>
      <c r="N228" s="250"/>
      <c r="O228" s="250"/>
      <c r="P228" s="250" t="s">
        <v>153</v>
      </c>
      <c r="Q228" s="250"/>
      <c r="R228" s="250"/>
      <c r="S228" s="250"/>
      <c r="T228" s="250" t="s">
        <v>155</v>
      </c>
      <c r="U228" s="103" t="s">
        <v>642</v>
      </c>
      <c r="V228" s="106" t="s">
        <v>157</v>
      </c>
      <c r="W228" s="103" t="s">
        <v>82</v>
      </c>
      <c r="X228" s="103">
        <f>IFERROR(MATCH(W228,'CostModel Coef'!$C$9:$C$12,0),0)</f>
        <v>2</v>
      </c>
      <c r="Y228" s="103"/>
      <c r="Z228" s="103">
        <f>IF($X228&gt;0,INDEX('CostModel Coef'!D$9:D$12,$X228),"")</f>
        <v>5.0279999999999996</v>
      </c>
      <c r="AA228" s="103">
        <f>IF($X228&gt;0,INDEX('CostModel Coef'!E$9:E$12,$X228),"")</f>
        <v>0.22669576292256455</v>
      </c>
      <c r="AB228" s="103">
        <f>IF($X228&gt;0,INDEX('CostModel Coef'!F$9:F$12,$X228),"")</f>
        <v>0.94713628548481477</v>
      </c>
      <c r="AC228" s="103">
        <f>IF($X228&gt;0,INDEX('CostModel Coef'!G$9:G$12,$X228),"")</f>
        <v>0</v>
      </c>
      <c r="AD228" s="103">
        <f>IF($X228&gt;0,INDEX('CostModel Coef'!H$9:H$12,$X228),"")</f>
        <v>-2.7940999999999998</v>
      </c>
      <c r="AE228" s="103">
        <f>IF($X228&gt;0,INDEX('CostModel Coef'!J$9:J$12,$X228),"")</f>
        <v>0</v>
      </c>
      <c r="AF228" s="103">
        <f>IF($X228&gt;0,INDEX('CostModel Coef'!K$9:K$12,$X228),"")</f>
        <v>-0.57599999999999996</v>
      </c>
      <c r="AG228" s="103">
        <f>IF($X228&gt;0,INDEX('CostModel Coef'!L$9:L$12,$X228),"")</f>
        <v>0</v>
      </c>
      <c r="AH228" s="103">
        <f>IF($X228&gt;0,INDEX('CostModel Coef'!M$9:M$12,$X228),"")</f>
        <v>4.0461</v>
      </c>
      <c r="AI228" s="103">
        <f>IF($X228&gt;0,INDEX('CostModel Coef'!N$9:N$12,$X228),"")</f>
        <v>0</v>
      </c>
      <c r="AJ228" s="103">
        <f>IF($X228&gt;0,INDEX('CostModel Coef'!Q$9:Q$12,$X228),"")</f>
        <v>0.14729999999999999</v>
      </c>
      <c r="AK228" s="103">
        <f>IF($X228&gt;0,INDEX('CostModel Coef'!T$9:T$12,$X228),"")</f>
        <v>0</v>
      </c>
      <c r="AL228" s="103"/>
      <c r="AM228" s="108">
        <f t="shared" si="79"/>
        <v>6.9515320484073788</v>
      </c>
      <c r="AN228" s="108">
        <f t="shared" si="80"/>
        <v>7.5275320484073784</v>
      </c>
      <c r="AO228" s="108">
        <f t="shared" si="81"/>
        <v>4.7334320484073782</v>
      </c>
      <c r="AP228" s="108">
        <f t="shared" si="82"/>
        <v>4.7334320484073782</v>
      </c>
      <c r="AQ228" s="108">
        <f t="shared" si="83"/>
        <v>4.7334320484073782</v>
      </c>
      <c r="AR228" s="108"/>
      <c r="AS228" s="108"/>
      <c r="AT228" s="103">
        <f>IF($X228&gt;0,INDEX('CostModel Coef'!D$13:D$16,$X228),"")</f>
        <v>3.984</v>
      </c>
      <c r="AU228" s="103">
        <f>IF($X228&gt;0,INDEX('CostModel Coef'!E$13:E$16,$X228),"")</f>
        <v>0.38800000000000001</v>
      </c>
      <c r="AV228" s="103">
        <f>IF($X228&gt;0,INDEX('CostModel Coef'!F$13:F$16,$X228),"")</f>
        <v>0.98799999999999999</v>
      </c>
      <c r="AW228" s="103">
        <f>IF($X228&gt;0,INDEX('CostModel Coef'!G$13:G$16,$X228),"")</f>
        <v>0</v>
      </c>
      <c r="AX228" s="103">
        <f>IF($X228&gt;0,INDEX('CostModel Coef'!H$13:H$16,$X228),"")</f>
        <v>-2.3199999999999998</v>
      </c>
      <c r="AY228" s="103">
        <f>IF($X228&gt;0,INDEX('CostModel Coef'!I$13:I$16,$X228),"")</f>
        <v>-1.85</v>
      </c>
      <c r="AZ228" s="103">
        <f>IF($X228&gt;0,INDEX('CostModel Coef'!J$13:J$16,$X228),"")</f>
        <v>0</v>
      </c>
      <c r="BA228" s="103">
        <f>IF($X228&gt;0,INDEX('CostModel Coef'!K$13:K$16,$X228),"")</f>
        <v>-1.0070000000000001</v>
      </c>
      <c r="BB228" s="103">
        <f>IF($X228&gt;0,INDEX('CostModel Coef'!L$13:L$16,$X228),"")</f>
        <v>0</v>
      </c>
      <c r="BC228" s="103">
        <f>IF($X228&gt;0,INDEX('CostModel Coef'!M$13:M$16,$X228),"")</f>
        <v>0</v>
      </c>
      <c r="BD228" s="103">
        <f>IF($X228&gt;0,INDEX('CostModel Coef'!N$13:N$16,$X228),"")</f>
        <v>0.5907</v>
      </c>
      <c r="BE228" s="103">
        <f>IF($X228&gt;0,INDEX('CostModel Coef'!O$13:O$16,$X228),"")</f>
        <v>0.75</v>
      </c>
      <c r="BF228" s="103">
        <f>IF($X228&gt;0,INDEX('CostModel Coef'!P$13:P$16,$X228),"")</f>
        <v>8</v>
      </c>
      <c r="BG228" s="103">
        <f>IF($X228&gt;0,INDEX('CostModel Coef'!Q$13:Q$16,$X228),"")</f>
        <v>1.04E-2</v>
      </c>
      <c r="BH228" s="103">
        <f>IF($X228&gt;0,INDEX('CostModel Coef'!R$13:R$16,$X228),"")</f>
        <v>12</v>
      </c>
      <c r="BI228" s="103">
        <f>IF($X228&gt;0,INDEX('CostModel Coef'!S$13:S$16,$X228),"")</f>
        <v>150</v>
      </c>
      <c r="BJ228" s="103">
        <f>IF($X228&gt;0,INDEX('CostModel Coef'!T$13:T$16,$X228),"")</f>
        <v>0</v>
      </c>
      <c r="BK228" s="103">
        <f>IF($X228&gt;0,INDEX('CostModel Coef'!U$13:U$16,$X228),"")</f>
        <v>0</v>
      </c>
      <c r="BL228" s="103">
        <f>IF($X228&gt;0,INDEX('CostModel Coef'!V$13:V$16,$X228),"")</f>
        <v>0</v>
      </c>
      <c r="BM228" s="103">
        <f>IF($X228&gt;0,INDEX('CostModel Coef'!W$13:W$16,$X228),"")</f>
        <v>0</v>
      </c>
      <c r="BN228" s="103">
        <f>IF($X228&gt;0,INDEX('CostModel Coef'!X$13:X$16,$X228),"")</f>
        <v>0</v>
      </c>
      <c r="BO228" s="103"/>
      <c r="BP228" s="119">
        <v>2000</v>
      </c>
      <c r="BQ228" s="103"/>
      <c r="BR228" s="103"/>
      <c r="BS228" s="119" t="str">
        <f t="shared" si="86"/>
        <v>WRR0409_CFLscw-Refl(9w)</v>
      </c>
      <c r="BT228" s="174">
        <f t="shared" si="78"/>
        <v>37</v>
      </c>
      <c r="BU228" s="113">
        <f t="shared" si="88"/>
        <v>5.9192</v>
      </c>
      <c r="BV228" s="108">
        <f t="shared" si="89"/>
        <v>6.9261999999999997</v>
      </c>
      <c r="BW228" s="108">
        <f t="shared" si="90"/>
        <v>4.6061999999999994</v>
      </c>
      <c r="BX228" s="108">
        <f t="shared" si="91"/>
        <v>2.7561999999999993</v>
      </c>
      <c r="BY228" s="108">
        <f t="shared" si="92"/>
        <v>2.7561999999999993</v>
      </c>
      <c r="BZ228" s="108"/>
      <c r="CA228" s="119" t="str">
        <f t="shared" si="93"/>
        <v>WRR0407_CFLscw-Refl(9w)</v>
      </c>
      <c r="CB228" s="174">
        <f t="shared" si="84"/>
        <v>37</v>
      </c>
      <c r="CC228" s="113">
        <f t="shared" si="94"/>
        <v>5.9192</v>
      </c>
      <c r="CD228" s="108">
        <f t="shared" si="95"/>
        <v>6.9261999999999997</v>
      </c>
      <c r="CE228" s="108">
        <f t="shared" si="96"/>
        <v>4.6061999999999994</v>
      </c>
      <c r="CF228" s="108">
        <f t="shared" si="97"/>
        <v>2.7561999999999993</v>
      </c>
      <c r="CG228" s="108">
        <f t="shared" si="98"/>
        <v>2.7561999999999993</v>
      </c>
      <c r="CH228" s="103"/>
      <c r="CI228" s="119" t="str">
        <f t="shared" si="87"/>
        <v/>
      </c>
      <c r="CJ228" s="174">
        <f t="shared" si="85"/>
        <v>-1</v>
      </c>
      <c r="CK228" s="113" t="str">
        <f t="shared" si="99"/>
        <v/>
      </c>
      <c r="CL228" s="108" t="str">
        <f t="shared" si="100"/>
        <v/>
      </c>
      <c r="CM228" s="108" t="str">
        <f t="shared" si="101"/>
        <v/>
      </c>
      <c r="CN228" s="108" t="str">
        <f t="shared" si="102"/>
        <v/>
      </c>
      <c r="CO228" s="108" t="str">
        <f t="shared" si="103"/>
        <v/>
      </c>
    </row>
    <row r="229" spans="1:93">
      <c r="A229" s="103" t="s">
        <v>643</v>
      </c>
      <c r="B229" s="103" t="s">
        <v>165</v>
      </c>
      <c r="C229" s="103" t="s">
        <v>152</v>
      </c>
      <c r="D229" s="250" t="s">
        <v>153</v>
      </c>
      <c r="E229" s="250">
        <v>82</v>
      </c>
      <c r="F229" s="182">
        <v>9020</v>
      </c>
      <c r="G229" s="250" t="s">
        <v>175</v>
      </c>
      <c r="H229" s="250">
        <v>100</v>
      </c>
      <c r="I229" s="250"/>
      <c r="J229" s="250"/>
      <c r="K229" s="250" t="s">
        <v>644</v>
      </c>
      <c r="L229" s="250" t="s">
        <v>61</v>
      </c>
      <c r="M229" s="250">
        <v>100</v>
      </c>
      <c r="N229" s="250"/>
      <c r="O229" s="250"/>
      <c r="P229" s="250" t="s">
        <v>153</v>
      </c>
      <c r="Q229" s="250"/>
      <c r="R229" s="250"/>
      <c r="S229" s="250"/>
      <c r="T229" s="250" t="s">
        <v>155</v>
      </c>
      <c r="U229" s="103" t="s">
        <v>645</v>
      </c>
      <c r="V229" s="106" t="s">
        <v>157</v>
      </c>
      <c r="W229" s="103" t="s">
        <v>158</v>
      </c>
      <c r="X229" s="103">
        <f>IFERROR(MATCH(W229,'CostModel Coef'!$C$9:$C$12,0),0)</f>
        <v>0</v>
      </c>
      <c r="Y229" s="103"/>
      <c r="Z229" s="103" t="str">
        <f>IF($X229&gt;0,INDEX('CostModel Coef'!D$9:D$12,$X229),"")</f>
        <v/>
      </c>
      <c r="AA229" s="103" t="str">
        <f>IF($X229&gt;0,INDEX('CostModel Coef'!E$9:E$12,$X229),"")</f>
        <v/>
      </c>
      <c r="AB229" s="103" t="str">
        <f>IF($X229&gt;0,INDEX('CostModel Coef'!F$9:F$12,$X229),"")</f>
        <v/>
      </c>
      <c r="AC229" s="103" t="str">
        <f>IF($X229&gt;0,INDEX('CostModel Coef'!G$9:G$12,$X229),"")</f>
        <v/>
      </c>
      <c r="AD229" s="103" t="str">
        <f>IF($X229&gt;0,INDEX('CostModel Coef'!H$9:H$12,$X229),"")</f>
        <v/>
      </c>
      <c r="AE229" s="103" t="str">
        <f>IF($X229&gt;0,INDEX('CostModel Coef'!J$9:J$12,$X229),"")</f>
        <v/>
      </c>
      <c r="AF229" s="103" t="str">
        <f>IF($X229&gt;0,INDEX('CostModel Coef'!K$9:K$12,$X229),"")</f>
        <v/>
      </c>
      <c r="AG229" s="103" t="str">
        <f>IF($X229&gt;0,INDEX('CostModel Coef'!L$9:L$12,$X229),"")</f>
        <v/>
      </c>
      <c r="AH229" s="103" t="str">
        <f>IF($X229&gt;0,INDEX('CostModel Coef'!M$9:M$12,$X229),"")</f>
        <v/>
      </c>
      <c r="AI229" s="103" t="str">
        <f>IF($X229&gt;0,INDEX('CostModel Coef'!N$9:N$12,$X229),"")</f>
        <v/>
      </c>
      <c r="AJ229" s="103" t="str">
        <f>IF($X229&gt;0,INDEX('CostModel Coef'!Q$9:Q$12,$X229),"")</f>
        <v/>
      </c>
      <c r="AK229" s="103" t="str">
        <f>IF($X229&gt;0,INDEX('CostModel Coef'!T$9:T$12,$X229),"")</f>
        <v/>
      </c>
      <c r="AL229" s="103"/>
      <c r="AM229" s="108" t="str">
        <f t="shared" si="79"/>
        <v/>
      </c>
      <c r="AN229" s="108" t="str">
        <f t="shared" si="80"/>
        <v/>
      </c>
      <c r="AO229" s="108" t="str">
        <f t="shared" si="81"/>
        <v/>
      </c>
      <c r="AP229" s="108" t="str">
        <f t="shared" si="82"/>
        <v/>
      </c>
      <c r="AQ229" s="108" t="str">
        <f t="shared" si="83"/>
        <v/>
      </c>
      <c r="AR229" s="108"/>
      <c r="AS229" s="108"/>
      <c r="AT229" s="103" t="str">
        <f>IF($X229&gt;0,INDEX('CostModel Coef'!D$13:D$16,$X229),"")</f>
        <v/>
      </c>
      <c r="AU229" s="103" t="str">
        <f>IF($X229&gt;0,INDEX('CostModel Coef'!E$13:E$16,$X229),"")</f>
        <v/>
      </c>
      <c r="AV229" s="103" t="str">
        <f>IF($X229&gt;0,INDEX('CostModel Coef'!F$13:F$16,$X229),"")</f>
        <v/>
      </c>
      <c r="AW229" s="103" t="str">
        <f>IF($X229&gt;0,INDEX('CostModel Coef'!G$13:G$16,$X229),"")</f>
        <v/>
      </c>
      <c r="AX229" s="103" t="str">
        <f>IF($X229&gt;0,INDEX('CostModel Coef'!H$13:H$16,$X229),"")</f>
        <v/>
      </c>
      <c r="AY229" s="103" t="str">
        <f>IF($X229&gt;0,INDEX('CostModel Coef'!I$13:I$16,$X229),"")</f>
        <v/>
      </c>
      <c r="AZ229" s="103" t="str">
        <f>IF($X229&gt;0,INDEX('CostModel Coef'!J$13:J$16,$X229),"")</f>
        <v/>
      </c>
      <c r="BA229" s="103" t="str">
        <f>IF($X229&gt;0,INDEX('CostModel Coef'!K$13:K$16,$X229),"")</f>
        <v/>
      </c>
      <c r="BB229" s="103" t="str">
        <f>IF($X229&gt;0,INDEX('CostModel Coef'!L$13:L$16,$X229),"")</f>
        <v/>
      </c>
      <c r="BC229" s="103" t="str">
        <f>IF($X229&gt;0,INDEX('CostModel Coef'!M$13:M$16,$X229),"")</f>
        <v/>
      </c>
      <c r="BD229" s="103" t="str">
        <f>IF($X229&gt;0,INDEX('CostModel Coef'!N$13:N$16,$X229),"")</f>
        <v/>
      </c>
      <c r="BE229" s="103" t="str">
        <f>IF($X229&gt;0,INDEX('CostModel Coef'!O$13:O$16,$X229),"")</f>
        <v/>
      </c>
      <c r="BF229" s="103" t="str">
        <f>IF($X229&gt;0,INDEX('CostModel Coef'!P$13:P$16,$X229),"")</f>
        <v/>
      </c>
      <c r="BG229" s="103" t="str">
        <f>IF($X229&gt;0,INDEX('CostModel Coef'!Q$13:Q$16,$X229),"")</f>
        <v/>
      </c>
      <c r="BH229" s="103" t="str">
        <f>IF($X229&gt;0,INDEX('CostModel Coef'!R$13:R$16,$X229),"")</f>
        <v/>
      </c>
      <c r="BI229" s="103" t="str">
        <f>IF($X229&gt;0,INDEX('CostModel Coef'!S$13:S$16,$X229),"")</f>
        <v/>
      </c>
      <c r="BJ229" s="103" t="str">
        <f>IF($X229&gt;0,INDEX('CostModel Coef'!T$13:T$16,$X229),"")</f>
        <v/>
      </c>
      <c r="BK229" s="103" t="str">
        <f>IF($X229&gt;0,INDEX('CostModel Coef'!U$13:U$16,$X229),"")</f>
        <v/>
      </c>
      <c r="BL229" s="103" t="str">
        <f>IF($X229&gt;0,INDEX('CostModel Coef'!V$13:V$16,$X229),"")</f>
        <v/>
      </c>
      <c r="BM229" s="103" t="str">
        <f>IF($X229&gt;0,INDEX('CostModel Coef'!W$13:W$16,$X229),"")</f>
        <v/>
      </c>
      <c r="BN229" s="103" t="str">
        <f>IF($X229&gt;0,INDEX('CostModel Coef'!X$13:X$16,$X229),"")</f>
        <v/>
      </c>
      <c r="BO229" s="103"/>
      <c r="BP229" s="119">
        <v>2000</v>
      </c>
      <c r="BQ229" s="103"/>
      <c r="BR229" s="103"/>
      <c r="BS229" s="119" t="str">
        <f t="shared" si="86"/>
        <v/>
      </c>
      <c r="BT229" s="174">
        <f t="shared" si="78"/>
        <v>-1</v>
      </c>
      <c r="BU229" s="113" t="str">
        <f t="shared" si="88"/>
        <v>OOS</v>
      </c>
      <c r="BV229" s="108" t="str">
        <f t="shared" si="89"/>
        <v>OOS</v>
      </c>
      <c r="BW229" s="108" t="str">
        <f t="shared" si="90"/>
        <v>OOS</v>
      </c>
      <c r="BX229" s="108" t="str">
        <f t="shared" si="91"/>
        <v>OOS</v>
      </c>
      <c r="BY229" s="108" t="str">
        <f t="shared" si="92"/>
        <v>OOS</v>
      </c>
      <c r="BZ229" s="108"/>
      <c r="CA229" s="119" t="str">
        <f t="shared" si="93"/>
        <v/>
      </c>
      <c r="CB229" s="174">
        <f t="shared" si="84"/>
        <v>-1</v>
      </c>
      <c r="CC229" s="113" t="str">
        <f t="shared" si="94"/>
        <v/>
      </c>
      <c r="CD229" s="108" t="str">
        <f t="shared" si="95"/>
        <v/>
      </c>
      <c r="CE229" s="108" t="str">
        <f t="shared" si="96"/>
        <v/>
      </c>
      <c r="CF229" s="108" t="str">
        <f t="shared" si="97"/>
        <v/>
      </c>
      <c r="CG229" s="108" t="str">
        <f t="shared" si="98"/>
        <v/>
      </c>
      <c r="CH229" s="103"/>
      <c r="CI229" s="119" t="str">
        <f t="shared" si="87"/>
        <v/>
      </c>
      <c r="CJ229" s="174">
        <f t="shared" si="85"/>
        <v>-1</v>
      </c>
      <c r="CK229" s="113" t="str">
        <f t="shared" si="99"/>
        <v/>
      </c>
      <c r="CL229" s="108" t="str">
        <f t="shared" si="100"/>
        <v/>
      </c>
      <c r="CM229" s="108" t="str">
        <f t="shared" si="101"/>
        <v/>
      </c>
      <c r="CN229" s="108" t="str">
        <f t="shared" si="102"/>
        <v/>
      </c>
      <c r="CO229" s="108" t="str">
        <f t="shared" si="103"/>
        <v/>
      </c>
    </row>
    <row r="230" spans="1:93">
      <c r="A230" s="103" t="s">
        <v>646</v>
      </c>
      <c r="B230" s="103" t="s">
        <v>165</v>
      </c>
      <c r="C230" s="103" t="s">
        <v>152</v>
      </c>
      <c r="D230" s="250" t="s">
        <v>153</v>
      </c>
      <c r="E230" s="250">
        <v>82</v>
      </c>
      <c r="F230" s="182">
        <v>9020</v>
      </c>
      <c r="G230" s="250" t="s">
        <v>175</v>
      </c>
      <c r="H230" s="250">
        <v>10</v>
      </c>
      <c r="I230" s="250">
        <v>382</v>
      </c>
      <c r="J230" s="250">
        <v>478</v>
      </c>
      <c r="K230" s="250" t="s">
        <v>647</v>
      </c>
      <c r="L230" s="250" t="s">
        <v>61</v>
      </c>
      <c r="M230" s="250">
        <v>10</v>
      </c>
      <c r="N230" s="250"/>
      <c r="O230" s="250"/>
      <c r="P230" s="250" t="s">
        <v>153</v>
      </c>
      <c r="Q230" s="250"/>
      <c r="R230" s="250"/>
      <c r="S230" s="250"/>
      <c r="T230" s="250" t="s">
        <v>155</v>
      </c>
      <c r="U230" s="103" t="s">
        <v>648</v>
      </c>
      <c r="V230" s="106" t="s">
        <v>157</v>
      </c>
      <c r="W230" s="103" t="s">
        <v>81</v>
      </c>
      <c r="X230" s="103">
        <f>IFERROR(MATCH(W230,'CostModel Coef'!$C$9:$C$12,0),0)</f>
        <v>1</v>
      </c>
      <c r="Y230" s="103"/>
      <c r="Z230" s="103">
        <f>IF($X230&gt;0,INDEX('CostModel Coef'!D$9:D$12,$X230),"")</f>
        <v>3.0430000000000001</v>
      </c>
      <c r="AA230" s="103">
        <f>IF($X230&gt;0,INDEX('CostModel Coef'!E$9:E$12,$X230),"")</f>
        <v>-0.14966150225589619</v>
      </c>
      <c r="AB230" s="103">
        <f>IF($X230&gt;0,INDEX('CostModel Coef'!F$9:F$12,$X230),"")</f>
        <v>0.52692151711335011</v>
      </c>
      <c r="AC230" s="103">
        <f>IF($X230&gt;0,INDEX('CostModel Coef'!G$9:G$12,$X230),"")</f>
        <v>1.8411</v>
      </c>
      <c r="AD230" s="103">
        <f>IF($X230&gt;0,INDEX('CostModel Coef'!H$9:H$12,$X230),"")</f>
        <v>-1.8050999999999999</v>
      </c>
      <c r="AE230" s="103">
        <f>IF($X230&gt;0,INDEX('CostModel Coef'!J$9:J$12,$X230),"")</f>
        <v>-1.1288</v>
      </c>
      <c r="AF230" s="103">
        <f>IF($X230&gt;0,INDEX('CostModel Coef'!K$9:K$12,$X230),"")</f>
        <v>-1.845</v>
      </c>
      <c r="AG230" s="103">
        <f>IF($X230&gt;0,INDEX('CostModel Coef'!L$9:L$12,$X230),"")</f>
        <v>6.7507000000000001</v>
      </c>
      <c r="AH230" s="103">
        <f>IF($X230&gt;0,INDEX('CostModel Coef'!M$9:M$12,$X230),"")</f>
        <v>5.8051000000000004</v>
      </c>
      <c r="AI230" s="103">
        <f>IF($X230&gt;0,INDEX('CostModel Coef'!N$9:N$12,$X230),"")</f>
        <v>6.1600000000000002E-2</v>
      </c>
      <c r="AJ230" s="103">
        <f>IF($X230&gt;0,INDEX('CostModel Coef'!Q$9:Q$12,$X230),"")</f>
        <v>6.6500000000000004E-2</v>
      </c>
      <c r="AK230" s="103">
        <f>IF($X230&gt;0,INDEX('CostModel Coef'!T$9:T$12,$X230),"")</f>
        <v>9.35E-2</v>
      </c>
      <c r="AL230" s="103"/>
      <c r="AM230" s="108">
        <f t="shared" si="79"/>
        <v>2.7958920148574551</v>
      </c>
      <c r="AN230" s="108">
        <f t="shared" si="80"/>
        <v>4.6408920148574548</v>
      </c>
      <c r="AO230" s="108">
        <f t="shared" si="81"/>
        <v>2.8357920148574549</v>
      </c>
      <c r="AP230" s="108">
        <f t="shared" si="82"/>
        <v>2.8357920148574549</v>
      </c>
      <c r="AQ230" s="108">
        <f t="shared" si="83"/>
        <v>1.7069920148574549</v>
      </c>
      <c r="AR230" s="108"/>
      <c r="AS230" s="108"/>
      <c r="AT230" s="103">
        <f>IF($X230&gt;0,INDEX('CostModel Coef'!D$13:D$16,$X230),"")</f>
        <v>2.1320000000000001</v>
      </c>
      <c r="AU230" s="103">
        <f>IF($X230&gt;0,INDEX('CostModel Coef'!E$13:E$16,$X230),"")</f>
        <v>0.23699999999999999</v>
      </c>
      <c r="AV230" s="103">
        <f>IF($X230&gt;0,INDEX('CostModel Coef'!F$13:F$16,$X230),"")</f>
        <v>0.59899999999999998</v>
      </c>
      <c r="AW230" s="103">
        <f>IF($X230&gt;0,INDEX('CostModel Coef'!G$13:G$16,$X230),"")</f>
        <v>0</v>
      </c>
      <c r="AX230" s="103">
        <f>IF($X230&gt;0,INDEX('CostModel Coef'!H$13:H$16,$X230),"")</f>
        <v>-1.69</v>
      </c>
      <c r="AY230" s="103">
        <f>IF($X230&gt;0,INDEX('CostModel Coef'!I$13:I$16,$X230),"")</f>
        <v>-1.1599999999999999</v>
      </c>
      <c r="AZ230" s="103">
        <f>IF($X230&gt;0,INDEX('CostModel Coef'!J$13:J$16,$X230),"")</f>
        <v>0</v>
      </c>
      <c r="BA230" s="103">
        <f>IF($X230&gt;0,INDEX('CostModel Coef'!K$13:K$16,$X230),"")</f>
        <v>-2.4630000000000001</v>
      </c>
      <c r="BB230" s="103">
        <f>IF($X230&gt;0,INDEX('CostModel Coef'!L$13:L$16,$X230),"")</f>
        <v>0.46179999999999999</v>
      </c>
      <c r="BC230" s="103">
        <f>IF($X230&gt;0,INDEX('CostModel Coef'!M$13:M$16,$X230),"")</f>
        <v>0</v>
      </c>
      <c r="BD230" s="103">
        <f>IF($X230&gt;0,INDEX('CostModel Coef'!N$13:N$16,$X230),"")</f>
        <v>0.19869999999999999</v>
      </c>
      <c r="BE230" s="103">
        <f>IF($X230&gt;0,INDEX('CostModel Coef'!O$13:O$16,$X230),"")</f>
        <v>0.6</v>
      </c>
      <c r="BF230" s="103">
        <f>IF($X230&gt;0,INDEX('CostModel Coef'!P$13:P$16,$X230),"")</f>
        <v>15</v>
      </c>
      <c r="BG230" s="103">
        <f>IF($X230&gt;0,INDEX('CostModel Coef'!Q$13:Q$16,$X230),"")</f>
        <v>0</v>
      </c>
      <c r="BH230" s="103">
        <f>IF($X230&gt;0,INDEX('CostModel Coef'!R$13:R$16,$X230),"")</f>
        <v>3</v>
      </c>
      <c r="BI230" s="103">
        <f>IF($X230&gt;0,INDEX('CostModel Coef'!S$13:S$16,$X230),"")</f>
        <v>150</v>
      </c>
      <c r="BJ230" s="103">
        <f>IF($X230&gt;0,INDEX('CostModel Coef'!T$13:T$16,$X230),"")</f>
        <v>0</v>
      </c>
      <c r="BK230" s="103">
        <f>IF($X230&gt;0,INDEX('CostModel Coef'!U$13:U$16,$X230),"")</f>
        <v>9.1999999999999998E-3</v>
      </c>
      <c r="BL230" s="103">
        <f>IF($X230&gt;0,INDEX('CostModel Coef'!V$13:V$16,$X230),"")</f>
        <v>-8.8000000000000005E-3</v>
      </c>
      <c r="BM230" s="103">
        <f>IF($X230&gt;0,INDEX('CostModel Coef'!W$13:W$16,$X230),"")</f>
        <v>0</v>
      </c>
      <c r="BN230" s="103">
        <f>IF($X230&gt;0,INDEX('CostModel Coef'!X$13:X$16,$X230),"")</f>
        <v>0</v>
      </c>
      <c r="BO230" s="103"/>
      <c r="BP230" s="119">
        <v>2000</v>
      </c>
      <c r="BQ230" s="103"/>
      <c r="BR230" s="103"/>
      <c r="BS230" s="119" t="str">
        <f t="shared" si="86"/>
        <v>WRR0347_CFLscw(10w)</v>
      </c>
      <c r="BT230" s="174">
        <f t="shared" si="78"/>
        <v>35</v>
      </c>
      <c r="BU230" s="113">
        <f t="shared" si="88"/>
        <v>0.94839999999999991</v>
      </c>
      <c r="BV230" s="108">
        <f t="shared" si="89"/>
        <v>3.4114</v>
      </c>
      <c r="BW230" s="108">
        <f t="shared" si="90"/>
        <v>1.7214</v>
      </c>
      <c r="BX230" s="108">
        <f t="shared" si="91"/>
        <v>0.56140000000000012</v>
      </c>
      <c r="BY230" s="108">
        <f t="shared" si="92"/>
        <v>0.56140000000000012</v>
      </c>
      <c r="BZ230" s="108"/>
      <c r="CA230" s="119" t="str">
        <f t="shared" si="93"/>
        <v>WRR0407_CFLscw(10w)</v>
      </c>
      <c r="CB230" s="174">
        <f t="shared" si="84"/>
        <v>41</v>
      </c>
      <c r="CC230" s="113">
        <f t="shared" si="94"/>
        <v>1.0036</v>
      </c>
      <c r="CD230" s="108">
        <f t="shared" si="95"/>
        <v>3.4666000000000001</v>
      </c>
      <c r="CE230" s="108">
        <f t="shared" si="96"/>
        <v>1.7766000000000002</v>
      </c>
      <c r="CF230" s="108">
        <f t="shared" si="97"/>
        <v>0.61660000000000026</v>
      </c>
      <c r="CG230" s="108">
        <f t="shared" si="98"/>
        <v>0.61660000000000026</v>
      </c>
      <c r="CH230" s="103"/>
      <c r="CI230" s="119" t="str">
        <f t="shared" si="87"/>
        <v>WRR0347_CFLscw(10w)</v>
      </c>
      <c r="CJ230" s="174">
        <f t="shared" si="85"/>
        <v>35</v>
      </c>
      <c r="CK230" s="113">
        <f t="shared" si="99"/>
        <v>0.94839999999999991</v>
      </c>
      <c r="CL230" s="108">
        <f t="shared" si="100"/>
        <v>3.4114</v>
      </c>
      <c r="CM230" s="108">
        <f t="shared" si="101"/>
        <v>1.7214</v>
      </c>
      <c r="CN230" s="108">
        <f t="shared" si="102"/>
        <v>0.56140000000000012</v>
      </c>
      <c r="CO230" s="108">
        <f t="shared" si="103"/>
        <v>0.56140000000000012</v>
      </c>
    </row>
    <row r="231" spans="1:93">
      <c r="A231" s="103" t="s">
        <v>649</v>
      </c>
      <c r="B231" s="103" t="s">
        <v>174</v>
      </c>
      <c r="C231" s="103" t="s">
        <v>153</v>
      </c>
      <c r="D231" s="250" t="s">
        <v>153</v>
      </c>
      <c r="E231" s="250"/>
      <c r="F231" s="182">
        <v>9020</v>
      </c>
      <c r="G231" s="250" t="s">
        <v>175</v>
      </c>
      <c r="H231" s="250">
        <v>117</v>
      </c>
      <c r="I231" s="250"/>
      <c r="J231" s="250"/>
      <c r="K231" s="250"/>
      <c r="L231" s="250" t="s">
        <v>61</v>
      </c>
      <c r="M231" s="250">
        <v>117</v>
      </c>
      <c r="N231" s="250"/>
      <c r="O231" s="250"/>
      <c r="P231" s="250" t="s">
        <v>153</v>
      </c>
      <c r="Q231" s="250"/>
      <c r="R231" s="250"/>
      <c r="S231" s="250"/>
      <c r="T231" s="250" t="s">
        <v>155</v>
      </c>
      <c r="U231" s="103" t="s">
        <v>650</v>
      </c>
      <c r="V231" s="106" t="s">
        <v>157</v>
      </c>
      <c r="W231" s="103" t="s">
        <v>158</v>
      </c>
      <c r="X231" s="103">
        <f>IFERROR(MATCH(W231,'CostModel Coef'!$C$9:$C$12,0),0)</f>
        <v>0</v>
      </c>
      <c r="Y231" s="103"/>
      <c r="Z231" s="103" t="str">
        <f>IF($X231&gt;0,INDEX('CostModel Coef'!D$9:D$12,$X231),"")</f>
        <v/>
      </c>
      <c r="AA231" s="103" t="str">
        <f>IF($X231&gt;0,INDEX('CostModel Coef'!E$9:E$12,$X231),"")</f>
        <v/>
      </c>
      <c r="AB231" s="103" t="str">
        <f>IF($X231&gt;0,INDEX('CostModel Coef'!F$9:F$12,$X231),"")</f>
        <v/>
      </c>
      <c r="AC231" s="103" t="str">
        <f>IF($X231&gt;0,INDEX('CostModel Coef'!G$9:G$12,$X231),"")</f>
        <v/>
      </c>
      <c r="AD231" s="103" t="str">
        <f>IF($X231&gt;0,INDEX('CostModel Coef'!H$9:H$12,$X231),"")</f>
        <v/>
      </c>
      <c r="AE231" s="103" t="str">
        <f>IF($X231&gt;0,INDEX('CostModel Coef'!J$9:J$12,$X231),"")</f>
        <v/>
      </c>
      <c r="AF231" s="103" t="str">
        <f>IF($X231&gt;0,INDEX('CostModel Coef'!K$9:K$12,$X231),"")</f>
        <v/>
      </c>
      <c r="AG231" s="103" t="str">
        <f>IF($X231&gt;0,INDEX('CostModel Coef'!L$9:L$12,$X231),"")</f>
        <v/>
      </c>
      <c r="AH231" s="103" t="str">
        <f>IF($X231&gt;0,INDEX('CostModel Coef'!M$9:M$12,$X231),"")</f>
        <v/>
      </c>
      <c r="AI231" s="103" t="str">
        <f>IF($X231&gt;0,INDEX('CostModel Coef'!N$9:N$12,$X231),"")</f>
        <v/>
      </c>
      <c r="AJ231" s="103" t="str">
        <f>IF($X231&gt;0,INDEX('CostModel Coef'!Q$9:Q$12,$X231),"")</f>
        <v/>
      </c>
      <c r="AK231" s="103" t="str">
        <f>IF($X231&gt;0,INDEX('CostModel Coef'!T$9:T$12,$X231),"")</f>
        <v/>
      </c>
      <c r="AL231" s="103"/>
      <c r="AM231" s="108" t="str">
        <f t="shared" si="79"/>
        <v/>
      </c>
      <c r="AN231" s="108" t="str">
        <f t="shared" si="80"/>
        <v/>
      </c>
      <c r="AO231" s="108" t="str">
        <f t="shared" si="81"/>
        <v/>
      </c>
      <c r="AP231" s="108" t="str">
        <f t="shared" si="82"/>
        <v/>
      </c>
      <c r="AQ231" s="108" t="str">
        <f t="shared" si="83"/>
        <v/>
      </c>
      <c r="AR231" s="108"/>
      <c r="AS231" s="108"/>
      <c r="AT231" s="103" t="str">
        <f>IF($X231&gt;0,INDEX('CostModel Coef'!D$13:D$16,$X231),"")</f>
        <v/>
      </c>
      <c r="AU231" s="103" t="str">
        <f>IF($X231&gt;0,INDEX('CostModel Coef'!E$13:E$16,$X231),"")</f>
        <v/>
      </c>
      <c r="AV231" s="103" t="str">
        <f>IF($X231&gt;0,INDEX('CostModel Coef'!F$13:F$16,$X231),"")</f>
        <v/>
      </c>
      <c r="AW231" s="103" t="str">
        <f>IF($X231&gt;0,INDEX('CostModel Coef'!G$13:G$16,$X231),"")</f>
        <v/>
      </c>
      <c r="AX231" s="103" t="str">
        <f>IF($X231&gt;0,INDEX('CostModel Coef'!H$13:H$16,$X231),"")</f>
        <v/>
      </c>
      <c r="AY231" s="103" t="str">
        <f>IF($X231&gt;0,INDEX('CostModel Coef'!I$13:I$16,$X231),"")</f>
        <v/>
      </c>
      <c r="AZ231" s="103" t="str">
        <f>IF($X231&gt;0,INDEX('CostModel Coef'!J$13:J$16,$X231),"")</f>
        <v/>
      </c>
      <c r="BA231" s="103" t="str">
        <f>IF($X231&gt;0,INDEX('CostModel Coef'!K$13:K$16,$X231),"")</f>
        <v/>
      </c>
      <c r="BB231" s="103" t="str">
        <f>IF($X231&gt;0,INDEX('CostModel Coef'!L$13:L$16,$X231),"")</f>
        <v/>
      </c>
      <c r="BC231" s="103" t="str">
        <f>IF($X231&gt;0,INDEX('CostModel Coef'!M$13:M$16,$X231),"")</f>
        <v/>
      </c>
      <c r="BD231" s="103" t="str">
        <f>IF($X231&gt;0,INDEX('CostModel Coef'!N$13:N$16,$X231),"")</f>
        <v/>
      </c>
      <c r="BE231" s="103" t="str">
        <f>IF($X231&gt;0,INDEX('CostModel Coef'!O$13:O$16,$X231),"")</f>
        <v/>
      </c>
      <c r="BF231" s="103" t="str">
        <f>IF($X231&gt;0,INDEX('CostModel Coef'!P$13:P$16,$X231),"")</f>
        <v/>
      </c>
      <c r="BG231" s="103" t="str">
        <f>IF($X231&gt;0,INDEX('CostModel Coef'!Q$13:Q$16,$X231),"")</f>
        <v/>
      </c>
      <c r="BH231" s="103" t="str">
        <f>IF($X231&gt;0,INDEX('CostModel Coef'!R$13:R$16,$X231),"")</f>
        <v/>
      </c>
      <c r="BI231" s="103" t="str">
        <f>IF($X231&gt;0,INDEX('CostModel Coef'!S$13:S$16,$X231),"")</f>
        <v/>
      </c>
      <c r="BJ231" s="103" t="str">
        <f>IF($X231&gt;0,INDEX('CostModel Coef'!T$13:T$16,$X231),"")</f>
        <v/>
      </c>
      <c r="BK231" s="103" t="str">
        <f>IF($X231&gt;0,INDEX('CostModel Coef'!U$13:U$16,$X231),"")</f>
        <v/>
      </c>
      <c r="BL231" s="103" t="str">
        <f>IF($X231&gt;0,INDEX('CostModel Coef'!V$13:V$16,$X231),"")</f>
        <v/>
      </c>
      <c r="BM231" s="103" t="str">
        <f>IF($X231&gt;0,INDEX('CostModel Coef'!W$13:W$16,$X231),"")</f>
        <v/>
      </c>
      <c r="BN231" s="103" t="str">
        <f>IF($X231&gt;0,INDEX('CostModel Coef'!X$13:X$16,$X231),"")</f>
        <v/>
      </c>
      <c r="BO231" s="103"/>
      <c r="BP231" s="119">
        <v>2000</v>
      </c>
      <c r="BQ231" s="103"/>
      <c r="BR231" s="103"/>
      <c r="BS231" s="119" t="str">
        <f t="shared" si="86"/>
        <v/>
      </c>
      <c r="BT231" s="174">
        <f t="shared" si="78"/>
        <v>-1</v>
      </c>
      <c r="BU231" s="113" t="str">
        <f t="shared" si="88"/>
        <v>OOS</v>
      </c>
      <c r="BV231" s="108" t="str">
        <f t="shared" si="89"/>
        <v>OOS</v>
      </c>
      <c r="BW231" s="108" t="str">
        <f t="shared" si="90"/>
        <v>OOS</v>
      </c>
      <c r="BX231" s="108" t="str">
        <f t="shared" si="91"/>
        <v>OOS</v>
      </c>
      <c r="BY231" s="108" t="str">
        <f t="shared" si="92"/>
        <v>OOS</v>
      </c>
      <c r="BZ231" s="108"/>
      <c r="CA231" s="119" t="str">
        <f t="shared" si="93"/>
        <v/>
      </c>
      <c r="CB231" s="174">
        <f t="shared" si="84"/>
        <v>-1</v>
      </c>
      <c r="CC231" s="113" t="str">
        <f t="shared" si="94"/>
        <v/>
      </c>
      <c r="CD231" s="108" t="str">
        <f t="shared" si="95"/>
        <v/>
      </c>
      <c r="CE231" s="108" t="str">
        <f t="shared" si="96"/>
        <v/>
      </c>
      <c r="CF231" s="108" t="str">
        <f t="shared" si="97"/>
        <v/>
      </c>
      <c r="CG231" s="108" t="str">
        <f t="shared" si="98"/>
        <v/>
      </c>
      <c r="CH231" s="103"/>
      <c r="CI231" s="119" t="str">
        <f t="shared" si="87"/>
        <v/>
      </c>
      <c r="CJ231" s="174">
        <f t="shared" si="85"/>
        <v>-1</v>
      </c>
      <c r="CK231" s="113" t="str">
        <f t="shared" si="99"/>
        <v/>
      </c>
      <c r="CL231" s="108" t="str">
        <f t="shared" si="100"/>
        <v/>
      </c>
      <c r="CM231" s="108" t="str">
        <f t="shared" si="101"/>
        <v/>
      </c>
      <c r="CN231" s="108" t="str">
        <f t="shared" si="102"/>
        <v/>
      </c>
      <c r="CO231" s="108" t="str">
        <f t="shared" si="103"/>
        <v/>
      </c>
    </row>
    <row r="232" spans="1:93">
      <c r="A232" s="103" t="s">
        <v>651</v>
      </c>
      <c r="B232" s="103" t="s">
        <v>165</v>
      </c>
      <c r="C232" s="103" t="s">
        <v>152</v>
      </c>
      <c r="D232" s="250" t="s">
        <v>153</v>
      </c>
      <c r="E232" s="250">
        <v>82</v>
      </c>
      <c r="F232" s="182">
        <v>9020</v>
      </c>
      <c r="G232" s="250" t="s">
        <v>175</v>
      </c>
      <c r="H232" s="250">
        <v>11</v>
      </c>
      <c r="I232" s="250">
        <v>420</v>
      </c>
      <c r="J232" s="250">
        <v>525</v>
      </c>
      <c r="K232" s="250" t="s">
        <v>652</v>
      </c>
      <c r="L232" s="250" t="s">
        <v>61</v>
      </c>
      <c r="M232" s="250">
        <v>11</v>
      </c>
      <c r="N232" s="250"/>
      <c r="O232" s="250"/>
      <c r="P232" s="250" t="s">
        <v>153</v>
      </c>
      <c r="Q232" s="250"/>
      <c r="R232" s="250"/>
      <c r="S232" s="250"/>
      <c r="T232" s="250" t="s">
        <v>155</v>
      </c>
      <c r="U232" s="103" t="s">
        <v>653</v>
      </c>
      <c r="V232" s="106" t="s">
        <v>157</v>
      </c>
      <c r="W232" s="103" t="s">
        <v>81</v>
      </c>
      <c r="X232" s="103">
        <f>IFERROR(MATCH(W232,'CostModel Coef'!$C$9:$C$12,0),0)</f>
        <v>1</v>
      </c>
      <c r="Y232" s="103"/>
      <c r="Z232" s="103">
        <f>IF($X232&gt;0,INDEX('CostModel Coef'!D$9:D$12,$X232),"")</f>
        <v>3.0430000000000001</v>
      </c>
      <c r="AA232" s="103">
        <f>IF($X232&gt;0,INDEX('CostModel Coef'!E$9:E$12,$X232),"")</f>
        <v>-0.14966150225589619</v>
      </c>
      <c r="AB232" s="103">
        <f>IF($X232&gt;0,INDEX('CostModel Coef'!F$9:F$12,$X232),"")</f>
        <v>0.52692151711335011</v>
      </c>
      <c r="AC232" s="103">
        <f>IF($X232&gt;0,INDEX('CostModel Coef'!G$9:G$12,$X232),"")</f>
        <v>1.8411</v>
      </c>
      <c r="AD232" s="103">
        <f>IF($X232&gt;0,INDEX('CostModel Coef'!H$9:H$12,$X232),"")</f>
        <v>-1.8050999999999999</v>
      </c>
      <c r="AE232" s="103">
        <f>IF($X232&gt;0,INDEX('CostModel Coef'!J$9:J$12,$X232),"")</f>
        <v>-1.1288</v>
      </c>
      <c r="AF232" s="103">
        <f>IF($X232&gt;0,INDEX('CostModel Coef'!K$9:K$12,$X232),"")</f>
        <v>-1.845</v>
      </c>
      <c r="AG232" s="103">
        <f>IF($X232&gt;0,INDEX('CostModel Coef'!L$9:L$12,$X232),"")</f>
        <v>6.7507000000000001</v>
      </c>
      <c r="AH232" s="103">
        <f>IF($X232&gt;0,INDEX('CostModel Coef'!M$9:M$12,$X232),"")</f>
        <v>5.8051000000000004</v>
      </c>
      <c r="AI232" s="103">
        <f>IF($X232&gt;0,INDEX('CostModel Coef'!N$9:N$12,$X232),"")</f>
        <v>6.1600000000000002E-2</v>
      </c>
      <c r="AJ232" s="103">
        <f>IF($X232&gt;0,INDEX('CostModel Coef'!Q$9:Q$12,$X232),"")</f>
        <v>6.6500000000000004E-2</v>
      </c>
      <c r="AK232" s="103">
        <f>IF($X232&gt;0,INDEX('CostModel Coef'!T$9:T$12,$X232),"")</f>
        <v>9.35E-2</v>
      </c>
      <c r="AL232" s="103"/>
      <c r="AM232" s="108">
        <f t="shared" si="79"/>
        <v>2.8623920148574546</v>
      </c>
      <c r="AN232" s="108">
        <f t="shared" si="80"/>
        <v>4.7073920148574544</v>
      </c>
      <c r="AO232" s="108">
        <f t="shared" si="81"/>
        <v>2.9022920148574545</v>
      </c>
      <c r="AP232" s="108">
        <f t="shared" si="82"/>
        <v>2.9022920148574545</v>
      </c>
      <c r="AQ232" s="108">
        <f t="shared" si="83"/>
        <v>1.7734920148574544</v>
      </c>
      <c r="AR232" s="108"/>
      <c r="AS232" s="108"/>
      <c r="AT232" s="103">
        <f>IF($X232&gt;0,INDEX('CostModel Coef'!D$13:D$16,$X232),"")</f>
        <v>2.1320000000000001</v>
      </c>
      <c r="AU232" s="103">
        <f>IF($X232&gt;0,INDEX('CostModel Coef'!E$13:E$16,$X232),"")</f>
        <v>0.23699999999999999</v>
      </c>
      <c r="AV232" s="103">
        <f>IF($X232&gt;0,INDEX('CostModel Coef'!F$13:F$16,$X232),"")</f>
        <v>0.59899999999999998</v>
      </c>
      <c r="AW232" s="103">
        <f>IF($X232&gt;0,INDEX('CostModel Coef'!G$13:G$16,$X232),"")</f>
        <v>0</v>
      </c>
      <c r="AX232" s="103">
        <f>IF($X232&gt;0,INDEX('CostModel Coef'!H$13:H$16,$X232),"")</f>
        <v>-1.69</v>
      </c>
      <c r="AY232" s="103">
        <f>IF($X232&gt;0,INDEX('CostModel Coef'!I$13:I$16,$X232),"")</f>
        <v>-1.1599999999999999</v>
      </c>
      <c r="AZ232" s="103">
        <f>IF($X232&gt;0,INDEX('CostModel Coef'!J$13:J$16,$X232),"")</f>
        <v>0</v>
      </c>
      <c r="BA232" s="103">
        <f>IF($X232&gt;0,INDEX('CostModel Coef'!K$13:K$16,$X232),"")</f>
        <v>-2.4630000000000001</v>
      </c>
      <c r="BB232" s="103">
        <f>IF($X232&gt;0,INDEX('CostModel Coef'!L$13:L$16,$X232),"")</f>
        <v>0.46179999999999999</v>
      </c>
      <c r="BC232" s="103">
        <f>IF($X232&gt;0,INDEX('CostModel Coef'!M$13:M$16,$X232),"")</f>
        <v>0</v>
      </c>
      <c r="BD232" s="103">
        <f>IF($X232&gt;0,INDEX('CostModel Coef'!N$13:N$16,$X232),"")</f>
        <v>0.19869999999999999</v>
      </c>
      <c r="BE232" s="103">
        <f>IF($X232&gt;0,INDEX('CostModel Coef'!O$13:O$16,$X232),"")</f>
        <v>0.6</v>
      </c>
      <c r="BF232" s="103">
        <f>IF($X232&gt;0,INDEX('CostModel Coef'!P$13:P$16,$X232),"")</f>
        <v>15</v>
      </c>
      <c r="BG232" s="103">
        <f>IF($X232&gt;0,INDEX('CostModel Coef'!Q$13:Q$16,$X232),"")</f>
        <v>0</v>
      </c>
      <c r="BH232" s="103">
        <f>IF($X232&gt;0,INDEX('CostModel Coef'!R$13:R$16,$X232),"")</f>
        <v>3</v>
      </c>
      <c r="BI232" s="103">
        <f>IF($X232&gt;0,INDEX('CostModel Coef'!S$13:S$16,$X232),"")</f>
        <v>150</v>
      </c>
      <c r="BJ232" s="103">
        <f>IF($X232&gt;0,INDEX('CostModel Coef'!T$13:T$16,$X232),"")</f>
        <v>0</v>
      </c>
      <c r="BK232" s="103">
        <f>IF($X232&gt;0,INDEX('CostModel Coef'!U$13:U$16,$X232),"")</f>
        <v>9.1999999999999998E-3</v>
      </c>
      <c r="BL232" s="103">
        <f>IF($X232&gt;0,INDEX('CostModel Coef'!V$13:V$16,$X232),"")</f>
        <v>-8.8000000000000005E-3</v>
      </c>
      <c r="BM232" s="103">
        <f>IF($X232&gt;0,INDEX('CostModel Coef'!W$13:W$16,$X232),"")</f>
        <v>0</v>
      </c>
      <c r="BN232" s="103">
        <f>IF($X232&gt;0,INDEX('CostModel Coef'!X$13:X$16,$X232),"")</f>
        <v>0</v>
      </c>
      <c r="BO232" s="103"/>
      <c r="BP232" s="119">
        <v>2000</v>
      </c>
      <c r="BQ232" s="103"/>
      <c r="BR232" s="103"/>
      <c r="BS232" s="119" t="str">
        <f t="shared" si="86"/>
        <v>WRR0347_CFLscw(11w)</v>
      </c>
      <c r="BT232" s="174">
        <f t="shared" si="78"/>
        <v>38</v>
      </c>
      <c r="BU232" s="113">
        <f t="shared" si="88"/>
        <v>0.97599999999999998</v>
      </c>
      <c r="BV232" s="108">
        <f t="shared" si="89"/>
        <v>3.4390000000000001</v>
      </c>
      <c r="BW232" s="108">
        <f t="shared" si="90"/>
        <v>1.7490000000000001</v>
      </c>
      <c r="BX232" s="108">
        <f t="shared" si="91"/>
        <v>0.58900000000000019</v>
      </c>
      <c r="BY232" s="108">
        <f t="shared" si="92"/>
        <v>0.58900000000000019</v>
      </c>
      <c r="BZ232" s="108"/>
      <c r="CA232" s="119" t="str">
        <f t="shared" si="93"/>
        <v>WRR0407_CFLscw(11w)</v>
      </c>
      <c r="CB232" s="174">
        <f t="shared" si="84"/>
        <v>45</v>
      </c>
      <c r="CC232" s="113">
        <f t="shared" si="94"/>
        <v>1.0404</v>
      </c>
      <c r="CD232" s="108">
        <f t="shared" si="95"/>
        <v>3.5034000000000001</v>
      </c>
      <c r="CE232" s="108">
        <f t="shared" si="96"/>
        <v>1.8134000000000001</v>
      </c>
      <c r="CF232" s="108">
        <f t="shared" si="97"/>
        <v>0.6534000000000002</v>
      </c>
      <c r="CG232" s="108">
        <f t="shared" si="98"/>
        <v>0.6534000000000002</v>
      </c>
      <c r="CH232" s="103"/>
      <c r="CI232" s="119" t="str">
        <f t="shared" si="87"/>
        <v>WRR0347_CFLscw(11w)</v>
      </c>
      <c r="CJ232" s="174">
        <f t="shared" si="85"/>
        <v>38</v>
      </c>
      <c r="CK232" s="113">
        <f t="shared" si="99"/>
        <v>0.97599999999999998</v>
      </c>
      <c r="CL232" s="108">
        <f t="shared" si="100"/>
        <v>3.4390000000000001</v>
      </c>
      <c r="CM232" s="108">
        <f t="shared" si="101"/>
        <v>1.7490000000000001</v>
      </c>
      <c r="CN232" s="108">
        <f t="shared" si="102"/>
        <v>0.58900000000000019</v>
      </c>
      <c r="CO232" s="108">
        <f t="shared" si="103"/>
        <v>0.58900000000000019</v>
      </c>
    </row>
    <row r="233" spans="1:93">
      <c r="A233" s="103" t="s">
        <v>654</v>
      </c>
      <c r="B233" s="103" t="s">
        <v>174</v>
      </c>
      <c r="C233" s="103" t="s">
        <v>152</v>
      </c>
      <c r="D233" s="250" t="s">
        <v>153</v>
      </c>
      <c r="E233" s="250"/>
      <c r="F233" s="182">
        <v>9020</v>
      </c>
      <c r="G233" s="250" t="s">
        <v>175</v>
      </c>
      <c r="H233" s="250">
        <v>120</v>
      </c>
      <c r="I233" s="250"/>
      <c r="J233" s="250"/>
      <c r="K233" s="250"/>
      <c r="L233" s="250" t="s">
        <v>61</v>
      </c>
      <c r="M233" s="250">
        <v>120</v>
      </c>
      <c r="N233" s="250"/>
      <c r="O233" s="250"/>
      <c r="P233" s="250" t="s">
        <v>153</v>
      </c>
      <c r="Q233" s="250"/>
      <c r="R233" s="250"/>
      <c r="S233" s="250"/>
      <c r="T233" s="250" t="s">
        <v>155</v>
      </c>
      <c r="U233" s="103" t="s">
        <v>655</v>
      </c>
      <c r="V233" s="106" t="s">
        <v>157</v>
      </c>
      <c r="W233" s="103" t="s">
        <v>81</v>
      </c>
      <c r="X233" s="103">
        <f>IFERROR(MATCH(W233,'CostModel Coef'!$C$9:$C$12,0),0)</f>
        <v>1</v>
      </c>
      <c r="Y233" s="103"/>
      <c r="Z233" s="103">
        <f>IF($X233&gt;0,INDEX('CostModel Coef'!D$9:D$12,$X233),"")</f>
        <v>3.0430000000000001</v>
      </c>
      <c r="AA233" s="103">
        <f>IF($X233&gt;0,INDEX('CostModel Coef'!E$9:E$12,$X233),"")</f>
        <v>-0.14966150225589619</v>
      </c>
      <c r="AB233" s="103">
        <f>IF($X233&gt;0,INDEX('CostModel Coef'!F$9:F$12,$X233),"")</f>
        <v>0.52692151711335011</v>
      </c>
      <c r="AC233" s="103">
        <f>IF($X233&gt;0,INDEX('CostModel Coef'!G$9:G$12,$X233),"")</f>
        <v>1.8411</v>
      </c>
      <c r="AD233" s="103">
        <f>IF($X233&gt;0,INDEX('CostModel Coef'!H$9:H$12,$X233),"")</f>
        <v>-1.8050999999999999</v>
      </c>
      <c r="AE233" s="103">
        <f>IF($X233&gt;0,INDEX('CostModel Coef'!J$9:J$12,$X233),"")</f>
        <v>-1.1288</v>
      </c>
      <c r="AF233" s="103">
        <f>IF($X233&gt;0,INDEX('CostModel Coef'!K$9:K$12,$X233),"")</f>
        <v>-1.845</v>
      </c>
      <c r="AG233" s="103">
        <f>IF($X233&gt;0,INDEX('CostModel Coef'!L$9:L$12,$X233),"")</f>
        <v>6.7507000000000001</v>
      </c>
      <c r="AH233" s="103">
        <f>IF($X233&gt;0,INDEX('CostModel Coef'!M$9:M$12,$X233),"")</f>
        <v>5.8051000000000004</v>
      </c>
      <c r="AI233" s="103">
        <f>IF($X233&gt;0,INDEX('CostModel Coef'!N$9:N$12,$X233),"")</f>
        <v>6.1600000000000002E-2</v>
      </c>
      <c r="AJ233" s="103">
        <f>IF($X233&gt;0,INDEX('CostModel Coef'!Q$9:Q$12,$X233),"")</f>
        <v>6.6500000000000004E-2</v>
      </c>
      <c r="AK233" s="103">
        <f>IF($X233&gt;0,INDEX('CostModel Coef'!T$9:T$12,$X233),"")</f>
        <v>9.35E-2</v>
      </c>
      <c r="AL233" s="103"/>
      <c r="AM233" s="108">
        <f t="shared" si="79"/>
        <v>18.993392014857456</v>
      </c>
      <c r="AN233" s="108">
        <f t="shared" si="80"/>
        <v>20.838392014857455</v>
      </c>
      <c r="AO233" s="108">
        <f t="shared" si="81"/>
        <v>19.033292014857455</v>
      </c>
      <c r="AP233" s="108">
        <f t="shared" si="82"/>
        <v>19.033292014857455</v>
      </c>
      <c r="AQ233" s="108">
        <f t="shared" si="83"/>
        <v>17.904492014857453</v>
      </c>
      <c r="AR233" s="108"/>
      <c r="AS233" s="108"/>
      <c r="AT233" s="103">
        <f>IF($X233&gt;0,INDEX('CostModel Coef'!D$13:D$16,$X233),"")</f>
        <v>2.1320000000000001</v>
      </c>
      <c r="AU233" s="103">
        <f>IF($X233&gt;0,INDEX('CostModel Coef'!E$13:E$16,$X233),"")</f>
        <v>0.23699999999999999</v>
      </c>
      <c r="AV233" s="103">
        <f>IF($X233&gt;0,INDEX('CostModel Coef'!F$13:F$16,$X233),"")</f>
        <v>0.59899999999999998</v>
      </c>
      <c r="AW233" s="103">
        <f>IF($X233&gt;0,INDEX('CostModel Coef'!G$13:G$16,$X233),"")</f>
        <v>0</v>
      </c>
      <c r="AX233" s="103">
        <f>IF($X233&gt;0,INDEX('CostModel Coef'!H$13:H$16,$X233),"")</f>
        <v>-1.69</v>
      </c>
      <c r="AY233" s="103">
        <f>IF($X233&gt;0,INDEX('CostModel Coef'!I$13:I$16,$X233),"")</f>
        <v>-1.1599999999999999</v>
      </c>
      <c r="AZ233" s="103">
        <f>IF($X233&gt;0,INDEX('CostModel Coef'!J$13:J$16,$X233),"")</f>
        <v>0</v>
      </c>
      <c r="BA233" s="103">
        <f>IF($X233&gt;0,INDEX('CostModel Coef'!K$13:K$16,$X233),"")</f>
        <v>-2.4630000000000001</v>
      </c>
      <c r="BB233" s="103">
        <f>IF($X233&gt;0,INDEX('CostModel Coef'!L$13:L$16,$X233),"")</f>
        <v>0.46179999999999999</v>
      </c>
      <c r="BC233" s="103">
        <f>IF($X233&gt;0,INDEX('CostModel Coef'!M$13:M$16,$X233),"")</f>
        <v>0</v>
      </c>
      <c r="BD233" s="103">
        <f>IF($X233&gt;0,INDEX('CostModel Coef'!N$13:N$16,$X233),"")</f>
        <v>0.19869999999999999</v>
      </c>
      <c r="BE233" s="103">
        <f>IF($X233&gt;0,INDEX('CostModel Coef'!O$13:O$16,$X233),"")</f>
        <v>0.6</v>
      </c>
      <c r="BF233" s="103">
        <f>IF($X233&gt;0,INDEX('CostModel Coef'!P$13:P$16,$X233),"")</f>
        <v>15</v>
      </c>
      <c r="BG233" s="103">
        <f>IF($X233&gt;0,INDEX('CostModel Coef'!Q$13:Q$16,$X233),"")</f>
        <v>0</v>
      </c>
      <c r="BH233" s="103">
        <f>IF($X233&gt;0,INDEX('CostModel Coef'!R$13:R$16,$X233),"")</f>
        <v>3</v>
      </c>
      <c r="BI233" s="103">
        <f>IF($X233&gt;0,INDEX('CostModel Coef'!S$13:S$16,$X233),"")</f>
        <v>150</v>
      </c>
      <c r="BJ233" s="103">
        <f>IF($X233&gt;0,INDEX('CostModel Coef'!T$13:T$16,$X233),"")</f>
        <v>0</v>
      </c>
      <c r="BK233" s="103">
        <f>IF($X233&gt;0,INDEX('CostModel Coef'!U$13:U$16,$X233),"")</f>
        <v>9.1999999999999998E-3</v>
      </c>
      <c r="BL233" s="103">
        <f>IF($X233&gt;0,INDEX('CostModel Coef'!V$13:V$16,$X233),"")</f>
        <v>-8.8000000000000005E-3</v>
      </c>
      <c r="BM233" s="103">
        <f>IF($X233&gt;0,INDEX('CostModel Coef'!W$13:W$16,$X233),"")</f>
        <v>0</v>
      </c>
      <c r="BN233" s="103">
        <f>IF($X233&gt;0,INDEX('CostModel Coef'!X$13:X$16,$X233),"")</f>
        <v>0</v>
      </c>
      <c r="BO233" s="103"/>
      <c r="BP233" s="119">
        <v>2000</v>
      </c>
      <c r="BQ233" s="103"/>
      <c r="BR233" s="103"/>
      <c r="BS233" s="119" t="str">
        <f t="shared" si="86"/>
        <v>WRR0347_CFLscw(120w)</v>
      </c>
      <c r="BT233" s="174">
        <f t="shared" si="78"/>
        <v>416</v>
      </c>
      <c r="BU233" s="113" t="str">
        <f t="shared" si="88"/>
        <v>OOS</v>
      </c>
      <c r="BV233" s="108" t="str">
        <f t="shared" si="89"/>
        <v>OOS</v>
      </c>
      <c r="BW233" s="108" t="str">
        <f t="shared" si="90"/>
        <v>OOS</v>
      </c>
      <c r="BX233" s="108" t="str">
        <f t="shared" si="91"/>
        <v>OOS</v>
      </c>
      <c r="BY233" s="108" t="str">
        <f t="shared" si="92"/>
        <v>OOS</v>
      </c>
      <c r="BZ233" s="108"/>
      <c r="CA233" s="119" t="str">
        <f t="shared" si="93"/>
        <v>WRR0407_CFLscw(120w)</v>
      </c>
      <c r="CB233" s="174">
        <f t="shared" si="84"/>
        <v>488</v>
      </c>
      <c r="CC233" s="113" t="str">
        <f t="shared" si="94"/>
        <v/>
      </c>
      <c r="CD233" s="108" t="str">
        <f t="shared" si="95"/>
        <v/>
      </c>
      <c r="CE233" s="108" t="str">
        <f t="shared" si="96"/>
        <v/>
      </c>
      <c r="CF233" s="108" t="str">
        <f t="shared" si="97"/>
        <v/>
      </c>
      <c r="CG233" s="108" t="str">
        <f t="shared" si="98"/>
        <v/>
      </c>
      <c r="CH233" s="103"/>
      <c r="CI233" s="119" t="str">
        <f t="shared" si="87"/>
        <v>WRR0347_CFLscw(120w)</v>
      </c>
      <c r="CJ233" s="174">
        <f t="shared" si="85"/>
        <v>416</v>
      </c>
      <c r="CK233" s="113" t="str">
        <f t="shared" si="99"/>
        <v/>
      </c>
      <c r="CL233" s="108" t="str">
        <f t="shared" si="100"/>
        <v/>
      </c>
      <c r="CM233" s="108" t="str">
        <f t="shared" si="101"/>
        <v/>
      </c>
      <c r="CN233" s="108" t="str">
        <f t="shared" si="102"/>
        <v/>
      </c>
      <c r="CO233" s="108" t="str">
        <f t="shared" si="103"/>
        <v/>
      </c>
    </row>
    <row r="234" spans="1:93">
      <c r="A234" s="103" t="s">
        <v>656</v>
      </c>
      <c r="B234" s="103" t="s">
        <v>174</v>
      </c>
      <c r="C234" s="103" t="s">
        <v>153</v>
      </c>
      <c r="D234" s="250" t="s">
        <v>153</v>
      </c>
      <c r="E234" s="250"/>
      <c r="F234" s="182">
        <v>9020</v>
      </c>
      <c r="G234" s="250" t="s">
        <v>175</v>
      </c>
      <c r="H234" s="250">
        <v>128</v>
      </c>
      <c r="I234" s="250"/>
      <c r="J234" s="250"/>
      <c r="K234" s="250"/>
      <c r="L234" s="250" t="s">
        <v>61</v>
      </c>
      <c r="M234" s="250">
        <v>128</v>
      </c>
      <c r="N234" s="250"/>
      <c r="O234" s="250"/>
      <c r="P234" s="250" t="s">
        <v>153</v>
      </c>
      <c r="Q234" s="250"/>
      <c r="R234" s="250"/>
      <c r="S234" s="250"/>
      <c r="T234" s="250" t="s">
        <v>155</v>
      </c>
      <c r="U234" s="103" t="s">
        <v>657</v>
      </c>
      <c r="V234" s="106" t="s">
        <v>157</v>
      </c>
      <c r="W234" s="103" t="s">
        <v>158</v>
      </c>
      <c r="X234" s="103">
        <f>IFERROR(MATCH(W234,'CostModel Coef'!$C$9:$C$12,0),0)</f>
        <v>0</v>
      </c>
      <c r="Y234" s="103"/>
      <c r="Z234" s="103" t="str">
        <f>IF($X234&gt;0,INDEX('CostModel Coef'!D$9:D$12,$X234),"")</f>
        <v/>
      </c>
      <c r="AA234" s="103" t="str">
        <f>IF($X234&gt;0,INDEX('CostModel Coef'!E$9:E$12,$X234),"")</f>
        <v/>
      </c>
      <c r="AB234" s="103" t="str">
        <f>IF($X234&gt;0,INDEX('CostModel Coef'!F$9:F$12,$X234),"")</f>
        <v/>
      </c>
      <c r="AC234" s="103" t="str">
        <f>IF($X234&gt;0,INDEX('CostModel Coef'!G$9:G$12,$X234),"")</f>
        <v/>
      </c>
      <c r="AD234" s="103" t="str">
        <f>IF($X234&gt;0,INDEX('CostModel Coef'!H$9:H$12,$X234),"")</f>
        <v/>
      </c>
      <c r="AE234" s="103" t="str">
        <f>IF($X234&gt;0,INDEX('CostModel Coef'!J$9:J$12,$X234),"")</f>
        <v/>
      </c>
      <c r="AF234" s="103" t="str">
        <f>IF($X234&gt;0,INDEX('CostModel Coef'!K$9:K$12,$X234),"")</f>
        <v/>
      </c>
      <c r="AG234" s="103" t="str">
        <f>IF($X234&gt;0,INDEX('CostModel Coef'!L$9:L$12,$X234),"")</f>
        <v/>
      </c>
      <c r="AH234" s="103" t="str">
        <f>IF($X234&gt;0,INDEX('CostModel Coef'!M$9:M$12,$X234),"")</f>
        <v/>
      </c>
      <c r="AI234" s="103" t="str">
        <f>IF($X234&gt;0,INDEX('CostModel Coef'!N$9:N$12,$X234),"")</f>
        <v/>
      </c>
      <c r="AJ234" s="103" t="str">
        <f>IF($X234&gt;0,INDEX('CostModel Coef'!Q$9:Q$12,$X234),"")</f>
        <v/>
      </c>
      <c r="AK234" s="103" t="str">
        <f>IF($X234&gt;0,INDEX('CostModel Coef'!T$9:T$12,$X234),"")</f>
        <v/>
      </c>
      <c r="AL234" s="103"/>
      <c r="AM234" s="108" t="str">
        <f t="shared" si="79"/>
        <v/>
      </c>
      <c r="AN234" s="108" t="str">
        <f t="shared" si="80"/>
        <v/>
      </c>
      <c r="AO234" s="108" t="str">
        <f t="shared" si="81"/>
        <v/>
      </c>
      <c r="AP234" s="108" t="str">
        <f t="shared" si="82"/>
        <v/>
      </c>
      <c r="AQ234" s="108" t="str">
        <f t="shared" si="83"/>
        <v/>
      </c>
      <c r="AR234" s="108"/>
      <c r="AS234" s="108"/>
      <c r="AT234" s="103" t="str">
        <f>IF($X234&gt;0,INDEX('CostModel Coef'!D$13:D$16,$X234),"")</f>
        <v/>
      </c>
      <c r="AU234" s="103" t="str">
        <f>IF($X234&gt;0,INDEX('CostModel Coef'!E$13:E$16,$X234),"")</f>
        <v/>
      </c>
      <c r="AV234" s="103" t="str">
        <f>IF($X234&gt;0,INDEX('CostModel Coef'!F$13:F$16,$X234),"")</f>
        <v/>
      </c>
      <c r="AW234" s="103" t="str">
        <f>IF($X234&gt;0,INDEX('CostModel Coef'!G$13:G$16,$X234),"")</f>
        <v/>
      </c>
      <c r="AX234" s="103" t="str">
        <f>IF($X234&gt;0,INDEX('CostModel Coef'!H$13:H$16,$X234),"")</f>
        <v/>
      </c>
      <c r="AY234" s="103" t="str">
        <f>IF($X234&gt;0,INDEX('CostModel Coef'!I$13:I$16,$X234),"")</f>
        <v/>
      </c>
      <c r="AZ234" s="103" t="str">
        <f>IF($X234&gt;0,INDEX('CostModel Coef'!J$13:J$16,$X234),"")</f>
        <v/>
      </c>
      <c r="BA234" s="103" t="str">
        <f>IF($X234&gt;0,INDEX('CostModel Coef'!K$13:K$16,$X234),"")</f>
        <v/>
      </c>
      <c r="BB234" s="103" t="str">
        <f>IF($X234&gt;0,INDEX('CostModel Coef'!L$13:L$16,$X234),"")</f>
        <v/>
      </c>
      <c r="BC234" s="103" t="str">
        <f>IF($X234&gt;0,INDEX('CostModel Coef'!M$13:M$16,$X234),"")</f>
        <v/>
      </c>
      <c r="BD234" s="103" t="str">
        <f>IF($X234&gt;0,INDEX('CostModel Coef'!N$13:N$16,$X234),"")</f>
        <v/>
      </c>
      <c r="BE234" s="103" t="str">
        <f>IF($X234&gt;0,INDEX('CostModel Coef'!O$13:O$16,$X234),"")</f>
        <v/>
      </c>
      <c r="BF234" s="103" t="str">
        <f>IF($X234&gt;0,INDEX('CostModel Coef'!P$13:P$16,$X234),"")</f>
        <v/>
      </c>
      <c r="BG234" s="103" t="str">
        <f>IF($X234&gt;0,INDEX('CostModel Coef'!Q$13:Q$16,$X234),"")</f>
        <v/>
      </c>
      <c r="BH234" s="103" t="str">
        <f>IF($X234&gt;0,INDEX('CostModel Coef'!R$13:R$16,$X234),"")</f>
        <v/>
      </c>
      <c r="BI234" s="103" t="str">
        <f>IF($X234&gt;0,INDEX('CostModel Coef'!S$13:S$16,$X234),"")</f>
        <v/>
      </c>
      <c r="BJ234" s="103" t="str">
        <f>IF($X234&gt;0,INDEX('CostModel Coef'!T$13:T$16,$X234),"")</f>
        <v/>
      </c>
      <c r="BK234" s="103" t="str">
        <f>IF($X234&gt;0,INDEX('CostModel Coef'!U$13:U$16,$X234),"")</f>
        <v/>
      </c>
      <c r="BL234" s="103" t="str">
        <f>IF($X234&gt;0,INDEX('CostModel Coef'!V$13:V$16,$X234),"")</f>
        <v/>
      </c>
      <c r="BM234" s="103" t="str">
        <f>IF($X234&gt;0,INDEX('CostModel Coef'!W$13:W$16,$X234),"")</f>
        <v/>
      </c>
      <c r="BN234" s="103" t="str">
        <f>IF($X234&gt;0,INDEX('CostModel Coef'!X$13:X$16,$X234),"")</f>
        <v/>
      </c>
      <c r="BO234" s="103"/>
      <c r="BP234" s="119">
        <v>2000</v>
      </c>
      <c r="BQ234" s="103"/>
      <c r="BR234" s="103"/>
      <c r="BS234" s="119" t="str">
        <f t="shared" si="86"/>
        <v/>
      </c>
      <c r="BT234" s="174">
        <f t="shared" si="78"/>
        <v>-1</v>
      </c>
      <c r="BU234" s="113" t="str">
        <f t="shared" si="88"/>
        <v>OOS</v>
      </c>
      <c r="BV234" s="108" t="str">
        <f t="shared" si="89"/>
        <v>OOS</v>
      </c>
      <c r="BW234" s="108" t="str">
        <f t="shared" si="90"/>
        <v>OOS</v>
      </c>
      <c r="BX234" s="108" t="str">
        <f t="shared" si="91"/>
        <v>OOS</v>
      </c>
      <c r="BY234" s="108" t="str">
        <f t="shared" si="92"/>
        <v>OOS</v>
      </c>
      <c r="BZ234" s="108"/>
      <c r="CA234" s="119" t="str">
        <f t="shared" si="93"/>
        <v/>
      </c>
      <c r="CB234" s="174">
        <f t="shared" si="84"/>
        <v>-1</v>
      </c>
      <c r="CC234" s="113" t="str">
        <f t="shared" si="94"/>
        <v/>
      </c>
      <c r="CD234" s="108" t="str">
        <f t="shared" si="95"/>
        <v/>
      </c>
      <c r="CE234" s="108" t="str">
        <f t="shared" si="96"/>
        <v/>
      </c>
      <c r="CF234" s="108" t="str">
        <f t="shared" si="97"/>
        <v/>
      </c>
      <c r="CG234" s="108" t="str">
        <f t="shared" si="98"/>
        <v/>
      </c>
      <c r="CH234" s="103"/>
      <c r="CI234" s="119" t="str">
        <f t="shared" si="87"/>
        <v/>
      </c>
      <c r="CJ234" s="174">
        <f t="shared" si="85"/>
        <v>-1</v>
      </c>
      <c r="CK234" s="113" t="str">
        <f t="shared" si="99"/>
        <v/>
      </c>
      <c r="CL234" s="108" t="str">
        <f t="shared" si="100"/>
        <v/>
      </c>
      <c r="CM234" s="108" t="str">
        <f t="shared" si="101"/>
        <v/>
      </c>
      <c r="CN234" s="108" t="str">
        <f t="shared" si="102"/>
        <v/>
      </c>
      <c r="CO234" s="108" t="str">
        <f t="shared" si="103"/>
        <v/>
      </c>
    </row>
    <row r="235" spans="1:93">
      <c r="A235" s="103" t="s">
        <v>658</v>
      </c>
      <c r="B235" s="103" t="s">
        <v>165</v>
      </c>
      <c r="C235" s="103" t="s">
        <v>152</v>
      </c>
      <c r="D235" s="250" t="s">
        <v>153</v>
      </c>
      <c r="E235" s="250">
        <v>82</v>
      </c>
      <c r="F235" s="182">
        <v>9020</v>
      </c>
      <c r="G235" s="250" t="s">
        <v>175</v>
      </c>
      <c r="H235" s="250">
        <v>12</v>
      </c>
      <c r="I235" s="250">
        <v>540</v>
      </c>
      <c r="J235" s="250">
        <v>675</v>
      </c>
      <c r="K235" s="250" t="s">
        <v>659</v>
      </c>
      <c r="L235" s="250" t="s">
        <v>61</v>
      </c>
      <c r="M235" s="250">
        <v>12</v>
      </c>
      <c r="N235" s="250"/>
      <c r="O235" s="250"/>
      <c r="P235" s="250" t="s">
        <v>153</v>
      </c>
      <c r="Q235" s="250"/>
      <c r="R235" s="250"/>
      <c r="S235" s="250"/>
      <c r="T235" s="250" t="s">
        <v>155</v>
      </c>
      <c r="U235" s="103" t="s">
        <v>660</v>
      </c>
      <c r="V235" s="106" t="s">
        <v>157</v>
      </c>
      <c r="W235" s="103" t="s">
        <v>81</v>
      </c>
      <c r="X235" s="103">
        <f>IFERROR(MATCH(W235,'CostModel Coef'!$C$9:$C$12,0),0)</f>
        <v>1</v>
      </c>
      <c r="Y235" s="103"/>
      <c r="Z235" s="103">
        <f>IF($X235&gt;0,INDEX('CostModel Coef'!D$9:D$12,$X235),"")</f>
        <v>3.0430000000000001</v>
      </c>
      <c r="AA235" s="103">
        <f>IF($X235&gt;0,INDEX('CostModel Coef'!E$9:E$12,$X235),"")</f>
        <v>-0.14966150225589619</v>
      </c>
      <c r="AB235" s="103">
        <f>IF($X235&gt;0,INDEX('CostModel Coef'!F$9:F$12,$X235),"")</f>
        <v>0.52692151711335011</v>
      </c>
      <c r="AC235" s="103">
        <f>IF($X235&gt;0,INDEX('CostModel Coef'!G$9:G$12,$X235),"")</f>
        <v>1.8411</v>
      </c>
      <c r="AD235" s="103">
        <f>IF($X235&gt;0,INDEX('CostModel Coef'!H$9:H$12,$X235),"")</f>
        <v>-1.8050999999999999</v>
      </c>
      <c r="AE235" s="103">
        <f>IF($X235&gt;0,INDEX('CostModel Coef'!J$9:J$12,$X235),"")</f>
        <v>-1.1288</v>
      </c>
      <c r="AF235" s="103">
        <f>IF($X235&gt;0,INDEX('CostModel Coef'!K$9:K$12,$X235),"")</f>
        <v>-1.845</v>
      </c>
      <c r="AG235" s="103">
        <f>IF($X235&gt;0,INDEX('CostModel Coef'!L$9:L$12,$X235),"")</f>
        <v>6.7507000000000001</v>
      </c>
      <c r="AH235" s="103">
        <f>IF($X235&gt;0,INDEX('CostModel Coef'!M$9:M$12,$X235),"")</f>
        <v>5.8051000000000004</v>
      </c>
      <c r="AI235" s="103">
        <f>IF($X235&gt;0,INDEX('CostModel Coef'!N$9:N$12,$X235),"")</f>
        <v>6.1600000000000002E-2</v>
      </c>
      <c r="AJ235" s="103">
        <f>IF($X235&gt;0,INDEX('CostModel Coef'!Q$9:Q$12,$X235),"")</f>
        <v>6.6500000000000004E-2</v>
      </c>
      <c r="AK235" s="103">
        <f>IF($X235&gt;0,INDEX('CostModel Coef'!T$9:T$12,$X235),"")</f>
        <v>9.35E-2</v>
      </c>
      <c r="AL235" s="103"/>
      <c r="AM235" s="108">
        <f t="shared" si="79"/>
        <v>2.9288920148574542</v>
      </c>
      <c r="AN235" s="108">
        <f t="shared" si="80"/>
        <v>4.773892014857454</v>
      </c>
      <c r="AO235" s="108">
        <f t="shared" si="81"/>
        <v>2.968792014857454</v>
      </c>
      <c r="AP235" s="108">
        <f t="shared" si="82"/>
        <v>2.968792014857454</v>
      </c>
      <c r="AQ235" s="108">
        <f t="shared" si="83"/>
        <v>1.839992014857454</v>
      </c>
      <c r="AR235" s="108"/>
      <c r="AS235" s="108"/>
      <c r="AT235" s="103">
        <f>IF($X235&gt;0,INDEX('CostModel Coef'!D$13:D$16,$X235),"")</f>
        <v>2.1320000000000001</v>
      </c>
      <c r="AU235" s="103">
        <f>IF($X235&gt;0,INDEX('CostModel Coef'!E$13:E$16,$X235),"")</f>
        <v>0.23699999999999999</v>
      </c>
      <c r="AV235" s="103">
        <f>IF($X235&gt;0,INDEX('CostModel Coef'!F$13:F$16,$X235),"")</f>
        <v>0.59899999999999998</v>
      </c>
      <c r="AW235" s="103">
        <f>IF($X235&gt;0,INDEX('CostModel Coef'!G$13:G$16,$X235),"")</f>
        <v>0</v>
      </c>
      <c r="AX235" s="103">
        <f>IF($X235&gt;0,INDEX('CostModel Coef'!H$13:H$16,$X235),"")</f>
        <v>-1.69</v>
      </c>
      <c r="AY235" s="103">
        <f>IF($X235&gt;0,INDEX('CostModel Coef'!I$13:I$16,$X235),"")</f>
        <v>-1.1599999999999999</v>
      </c>
      <c r="AZ235" s="103">
        <f>IF($X235&gt;0,INDEX('CostModel Coef'!J$13:J$16,$X235),"")</f>
        <v>0</v>
      </c>
      <c r="BA235" s="103">
        <f>IF($X235&gt;0,INDEX('CostModel Coef'!K$13:K$16,$X235),"")</f>
        <v>-2.4630000000000001</v>
      </c>
      <c r="BB235" s="103">
        <f>IF($X235&gt;0,INDEX('CostModel Coef'!L$13:L$16,$X235),"")</f>
        <v>0.46179999999999999</v>
      </c>
      <c r="BC235" s="103">
        <f>IF($X235&gt;0,INDEX('CostModel Coef'!M$13:M$16,$X235),"")</f>
        <v>0</v>
      </c>
      <c r="BD235" s="103">
        <f>IF($X235&gt;0,INDEX('CostModel Coef'!N$13:N$16,$X235),"")</f>
        <v>0.19869999999999999</v>
      </c>
      <c r="BE235" s="103">
        <f>IF($X235&gt;0,INDEX('CostModel Coef'!O$13:O$16,$X235),"")</f>
        <v>0.6</v>
      </c>
      <c r="BF235" s="103">
        <f>IF($X235&gt;0,INDEX('CostModel Coef'!P$13:P$16,$X235),"")</f>
        <v>15</v>
      </c>
      <c r="BG235" s="103">
        <f>IF($X235&gt;0,INDEX('CostModel Coef'!Q$13:Q$16,$X235),"")</f>
        <v>0</v>
      </c>
      <c r="BH235" s="103">
        <f>IF($X235&gt;0,INDEX('CostModel Coef'!R$13:R$16,$X235),"")</f>
        <v>3</v>
      </c>
      <c r="BI235" s="103">
        <f>IF($X235&gt;0,INDEX('CostModel Coef'!S$13:S$16,$X235),"")</f>
        <v>150</v>
      </c>
      <c r="BJ235" s="103">
        <f>IF($X235&gt;0,INDEX('CostModel Coef'!T$13:T$16,$X235),"")</f>
        <v>0</v>
      </c>
      <c r="BK235" s="103">
        <f>IF($X235&gt;0,INDEX('CostModel Coef'!U$13:U$16,$X235),"")</f>
        <v>9.1999999999999998E-3</v>
      </c>
      <c r="BL235" s="103">
        <f>IF($X235&gt;0,INDEX('CostModel Coef'!V$13:V$16,$X235),"")</f>
        <v>-8.8000000000000005E-3</v>
      </c>
      <c r="BM235" s="103">
        <f>IF($X235&gt;0,INDEX('CostModel Coef'!W$13:W$16,$X235),"")</f>
        <v>0</v>
      </c>
      <c r="BN235" s="103">
        <f>IF($X235&gt;0,INDEX('CostModel Coef'!X$13:X$16,$X235),"")</f>
        <v>0</v>
      </c>
      <c r="BO235" s="103"/>
      <c r="BP235" s="119">
        <v>2000</v>
      </c>
      <c r="BQ235" s="103"/>
      <c r="BR235" s="103"/>
      <c r="BS235" s="119" t="str">
        <f t="shared" si="86"/>
        <v>WRR0347_CFLscw(12w)</v>
      </c>
      <c r="BT235" s="174">
        <f t="shared" si="78"/>
        <v>42</v>
      </c>
      <c r="BU235" s="113">
        <f t="shared" si="88"/>
        <v>1.0127999999999999</v>
      </c>
      <c r="BV235" s="108">
        <f t="shared" si="89"/>
        <v>3.4758</v>
      </c>
      <c r="BW235" s="108">
        <f t="shared" si="90"/>
        <v>1.7858000000000001</v>
      </c>
      <c r="BX235" s="108">
        <f t="shared" si="91"/>
        <v>0.62580000000000013</v>
      </c>
      <c r="BY235" s="108">
        <f t="shared" si="92"/>
        <v>0.62580000000000013</v>
      </c>
      <c r="BZ235" s="108"/>
      <c r="CA235" s="119" t="str">
        <f t="shared" si="93"/>
        <v>WRR0407_CFLscw(12w)</v>
      </c>
      <c r="CB235" s="174">
        <f t="shared" si="84"/>
        <v>49</v>
      </c>
      <c r="CC235" s="113">
        <f t="shared" si="94"/>
        <v>1.0771999999999999</v>
      </c>
      <c r="CD235" s="108">
        <f t="shared" si="95"/>
        <v>3.5402</v>
      </c>
      <c r="CE235" s="108">
        <f t="shared" si="96"/>
        <v>1.8502000000000001</v>
      </c>
      <c r="CF235" s="108">
        <f t="shared" si="97"/>
        <v>0.69020000000000015</v>
      </c>
      <c r="CG235" s="108">
        <f t="shared" si="98"/>
        <v>0.69020000000000015</v>
      </c>
      <c r="CH235" s="103"/>
      <c r="CI235" s="119" t="str">
        <f t="shared" si="87"/>
        <v>WRR0347_CFLscw(12w)</v>
      </c>
      <c r="CJ235" s="174">
        <f t="shared" si="85"/>
        <v>42</v>
      </c>
      <c r="CK235" s="113">
        <f t="shared" si="99"/>
        <v>1.0127999999999999</v>
      </c>
      <c r="CL235" s="108">
        <f t="shared" si="100"/>
        <v>3.4758</v>
      </c>
      <c r="CM235" s="108">
        <f t="shared" si="101"/>
        <v>1.7858000000000001</v>
      </c>
      <c r="CN235" s="108">
        <f t="shared" si="102"/>
        <v>0.62580000000000013</v>
      </c>
      <c r="CO235" s="108">
        <f t="shared" si="103"/>
        <v>0.62580000000000013</v>
      </c>
    </row>
    <row r="236" spans="1:93">
      <c r="A236" s="103" t="s">
        <v>661</v>
      </c>
      <c r="B236" s="103" t="s">
        <v>165</v>
      </c>
      <c r="C236" s="103" t="s">
        <v>152</v>
      </c>
      <c r="D236" s="250" t="s">
        <v>153</v>
      </c>
      <c r="E236" s="250">
        <v>82</v>
      </c>
      <c r="F236" s="182">
        <v>9020</v>
      </c>
      <c r="G236" s="250" t="s">
        <v>175</v>
      </c>
      <c r="H236" s="250">
        <v>13</v>
      </c>
      <c r="I236" s="250">
        <v>660</v>
      </c>
      <c r="J236" s="250">
        <v>825</v>
      </c>
      <c r="K236" s="250" t="s">
        <v>662</v>
      </c>
      <c r="L236" s="250" t="s">
        <v>61</v>
      </c>
      <c r="M236" s="250">
        <v>13</v>
      </c>
      <c r="N236" s="250"/>
      <c r="O236" s="250"/>
      <c r="P236" s="250" t="s">
        <v>153</v>
      </c>
      <c r="Q236" s="250"/>
      <c r="R236" s="250"/>
      <c r="S236" s="250"/>
      <c r="T236" s="250" t="s">
        <v>155</v>
      </c>
      <c r="U236" s="103" t="s">
        <v>663</v>
      </c>
      <c r="V236" s="106" t="s">
        <v>157</v>
      </c>
      <c r="W236" s="103" t="s">
        <v>81</v>
      </c>
      <c r="X236" s="103">
        <f>IFERROR(MATCH(W236,'CostModel Coef'!$C$9:$C$12,0),0)</f>
        <v>1</v>
      </c>
      <c r="Y236" s="103"/>
      <c r="Z236" s="103">
        <f>IF($X236&gt;0,INDEX('CostModel Coef'!D$9:D$12,$X236),"")</f>
        <v>3.0430000000000001</v>
      </c>
      <c r="AA236" s="103">
        <f>IF($X236&gt;0,INDEX('CostModel Coef'!E$9:E$12,$X236),"")</f>
        <v>-0.14966150225589619</v>
      </c>
      <c r="AB236" s="103">
        <f>IF($X236&gt;0,INDEX('CostModel Coef'!F$9:F$12,$X236),"")</f>
        <v>0.52692151711335011</v>
      </c>
      <c r="AC236" s="103">
        <f>IF($X236&gt;0,INDEX('CostModel Coef'!G$9:G$12,$X236),"")</f>
        <v>1.8411</v>
      </c>
      <c r="AD236" s="103">
        <f>IF($X236&gt;0,INDEX('CostModel Coef'!H$9:H$12,$X236),"")</f>
        <v>-1.8050999999999999</v>
      </c>
      <c r="AE236" s="103">
        <f>IF($X236&gt;0,INDEX('CostModel Coef'!J$9:J$12,$X236),"")</f>
        <v>-1.1288</v>
      </c>
      <c r="AF236" s="103">
        <f>IF($X236&gt;0,INDEX('CostModel Coef'!K$9:K$12,$X236),"")</f>
        <v>-1.845</v>
      </c>
      <c r="AG236" s="103">
        <f>IF($X236&gt;0,INDEX('CostModel Coef'!L$9:L$12,$X236),"")</f>
        <v>6.7507000000000001</v>
      </c>
      <c r="AH236" s="103">
        <f>IF($X236&gt;0,INDEX('CostModel Coef'!M$9:M$12,$X236),"")</f>
        <v>5.8051000000000004</v>
      </c>
      <c r="AI236" s="103">
        <f>IF($X236&gt;0,INDEX('CostModel Coef'!N$9:N$12,$X236),"")</f>
        <v>6.1600000000000002E-2</v>
      </c>
      <c r="AJ236" s="103">
        <f>IF($X236&gt;0,INDEX('CostModel Coef'!Q$9:Q$12,$X236),"")</f>
        <v>6.6500000000000004E-2</v>
      </c>
      <c r="AK236" s="103">
        <f>IF($X236&gt;0,INDEX('CostModel Coef'!T$9:T$12,$X236),"")</f>
        <v>9.35E-2</v>
      </c>
      <c r="AL236" s="103"/>
      <c r="AM236" s="108">
        <f t="shared" si="79"/>
        <v>2.9953920148574547</v>
      </c>
      <c r="AN236" s="108">
        <f t="shared" si="80"/>
        <v>4.8403920148574544</v>
      </c>
      <c r="AO236" s="108">
        <f t="shared" si="81"/>
        <v>3.0352920148574545</v>
      </c>
      <c r="AP236" s="108">
        <f t="shared" si="82"/>
        <v>3.0352920148574545</v>
      </c>
      <c r="AQ236" s="108">
        <f t="shared" si="83"/>
        <v>1.9064920148574545</v>
      </c>
      <c r="AR236" s="108"/>
      <c r="AS236" s="108"/>
      <c r="AT236" s="103">
        <f>IF($X236&gt;0,INDEX('CostModel Coef'!D$13:D$16,$X236),"")</f>
        <v>2.1320000000000001</v>
      </c>
      <c r="AU236" s="103">
        <f>IF($X236&gt;0,INDEX('CostModel Coef'!E$13:E$16,$X236),"")</f>
        <v>0.23699999999999999</v>
      </c>
      <c r="AV236" s="103">
        <f>IF($X236&gt;0,INDEX('CostModel Coef'!F$13:F$16,$X236),"")</f>
        <v>0.59899999999999998</v>
      </c>
      <c r="AW236" s="103">
        <f>IF($X236&gt;0,INDEX('CostModel Coef'!G$13:G$16,$X236),"")</f>
        <v>0</v>
      </c>
      <c r="AX236" s="103">
        <f>IF($X236&gt;0,INDEX('CostModel Coef'!H$13:H$16,$X236),"")</f>
        <v>-1.69</v>
      </c>
      <c r="AY236" s="103">
        <f>IF($X236&gt;0,INDEX('CostModel Coef'!I$13:I$16,$X236),"")</f>
        <v>-1.1599999999999999</v>
      </c>
      <c r="AZ236" s="103">
        <f>IF($X236&gt;0,INDEX('CostModel Coef'!J$13:J$16,$X236),"")</f>
        <v>0</v>
      </c>
      <c r="BA236" s="103">
        <f>IF($X236&gt;0,INDEX('CostModel Coef'!K$13:K$16,$X236),"")</f>
        <v>-2.4630000000000001</v>
      </c>
      <c r="BB236" s="103">
        <f>IF($X236&gt;0,INDEX('CostModel Coef'!L$13:L$16,$X236),"")</f>
        <v>0.46179999999999999</v>
      </c>
      <c r="BC236" s="103">
        <f>IF($X236&gt;0,INDEX('CostModel Coef'!M$13:M$16,$X236),"")</f>
        <v>0</v>
      </c>
      <c r="BD236" s="103">
        <f>IF($X236&gt;0,INDEX('CostModel Coef'!N$13:N$16,$X236),"")</f>
        <v>0.19869999999999999</v>
      </c>
      <c r="BE236" s="103">
        <f>IF($X236&gt;0,INDEX('CostModel Coef'!O$13:O$16,$X236),"")</f>
        <v>0.6</v>
      </c>
      <c r="BF236" s="103">
        <f>IF($X236&gt;0,INDEX('CostModel Coef'!P$13:P$16,$X236),"")</f>
        <v>15</v>
      </c>
      <c r="BG236" s="103">
        <f>IF($X236&gt;0,INDEX('CostModel Coef'!Q$13:Q$16,$X236),"")</f>
        <v>0</v>
      </c>
      <c r="BH236" s="103">
        <f>IF($X236&gt;0,INDEX('CostModel Coef'!R$13:R$16,$X236),"")</f>
        <v>3</v>
      </c>
      <c r="BI236" s="103">
        <f>IF($X236&gt;0,INDEX('CostModel Coef'!S$13:S$16,$X236),"")</f>
        <v>150</v>
      </c>
      <c r="BJ236" s="103">
        <f>IF($X236&gt;0,INDEX('CostModel Coef'!T$13:T$16,$X236),"")</f>
        <v>0</v>
      </c>
      <c r="BK236" s="103">
        <f>IF($X236&gt;0,INDEX('CostModel Coef'!U$13:U$16,$X236),"")</f>
        <v>9.1999999999999998E-3</v>
      </c>
      <c r="BL236" s="103">
        <f>IF($X236&gt;0,INDEX('CostModel Coef'!V$13:V$16,$X236),"")</f>
        <v>-8.8000000000000005E-3</v>
      </c>
      <c r="BM236" s="103">
        <f>IF($X236&gt;0,INDEX('CostModel Coef'!W$13:W$16,$X236),"")</f>
        <v>0</v>
      </c>
      <c r="BN236" s="103">
        <f>IF($X236&gt;0,INDEX('CostModel Coef'!X$13:X$16,$X236),"")</f>
        <v>0</v>
      </c>
      <c r="BO236" s="103"/>
      <c r="BP236" s="119">
        <v>2000</v>
      </c>
      <c r="BQ236" s="103"/>
      <c r="BR236" s="103"/>
      <c r="BS236" s="119" t="str">
        <f t="shared" si="86"/>
        <v>WRR0347_CFLscw(13w)</v>
      </c>
      <c r="BT236" s="174">
        <f t="shared" si="78"/>
        <v>45</v>
      </c>
      <c r="BU236" s="113">
        <f t="shared" si="88"/>
        <v>1.0404</v>
      </c>
      <c r="BV236" s="108">
        <f t="shared" si="89"/>
        <v>3.5034000000000001</v>
      </c>
      <c r="BW236" s="108">
        <f t="shared" si="90"/>
        <v>1.8134000000000001</v>
      </c>
      <c r="BX236" s="108">
        <f t="shared" si="91"/>
        <v>0.6534000000000002</v>
      </c>
      <c r="BY236" s="108">
        <f t="shared" si="92"/>
        <v>0.6534000000000002</v>
      </c>
      <c r="BZ236" s="108"/>
      <c r="CA236" s="119" t="str">
        <f t="shared" si="93"/>
        <v>WRR0407_CFLscw(13w)</v>
      </c>
      <c r="CB236" s="174">
        <f t="shared" si="84"/>
        <v>53</v>
      </c>
      <c r="CC236" s="113">
        <f t="shared" si="94"/>
        <v>1.1139999999999999</v>
      </c>
      <c r="CD236" s="108">
        <f t="shared" si="95"/>
        <v>3.577</v>
      </c>
      <c r="CE236" s="108">
        <f t="shared" si="96"/>
        <v>1.887</v>
      </c>
      <c r="CF236" s="108">
        <f t="shared" si="97"/>
        <v>0.72700000000000009</v>
      </c>
      <c r="CG236" s="108">
        <f t="shared" si="98"/>
        <v>0.72700000000000009</v>
      </c>
      <c r="CH236" s="103"/>
      <c r="CI236" s="119" t="str">
        <f t="shared" si="87"/>
        <v>WRR0347_CFLscw(13w)</v>
      </c>
      <c r="CJ236" s="174">
        <f t="shared" si="85"/>
        <v>45</v>
      </c>
      <c r="CK236" s="113">
        <f t="shared" si="99"/>
        <v>1.0404</v>
      </c>
      <c r="CL236" s="108">
        <f t="shared" si="100"/>
        <v>3.5034000000000001</v>
      </c>
      <c r="CM236" s="108">
        <f t="shared" si="101"/>
        <v>1.8134000000000001</v>
      </c>
      <c r="CN236" s="108">
        <f t="shared" si="102"/>
        <v>0.6534000000000002</v>
      </c>
      <c r="CO236" s="108">
        <f t="shared" si="103"/>
        <v>0.6534000000000002</v>
      </c>
    </row>
    <row r="237" spans="1:93">
      <c r="A237" s="103" t="s">
        <v>664</v>
      </c>
      <c r="B237" s="103" t="s">
        <v>165</v>
      </c>
      <c r="C237" s="103" t="s">
        <v>152</v>
      </c>
      <c r="D237" s="250" t="s">
        <v>153</v>
      </c>
      <c r="E237" s="250">
        <v>82</v>
      </c>
      <c r="F237" s="182">
        <v>9020</v>
      </c>
      <c r="G237" s="250" t="s">
        <v>175</v>
      </c>
      <c r="H237" s="250">
        <v>14</v>
      </c>
      <c r="I237" s="250">
        <v>713</v>
      </c>
      <c r="J237" s="250">
        <v>890</v>
      </c>
      <c r="K237" s="250" t="s">
        <v>665</v>
      </c>
      <c r="L237" s="250" t="s">
        <v>61</v>
      </c>
      <c r="M237" s="250">
        <v>14</v>
      </c>
      <c r="N237" s="250"/>
      <c r="O237" s="250"/>
      <c r="P237" s="250" t="s">
        <v>153</v>
      </c>
      <c r="Q237" s="250"/>
      <c r="R237" s="250"/>
      <c r="S237" s="250"/>
      <c r="T237" s="250" t="s">
        <v>155</v>
      </c>
      <c r="U237" s="103" t="s">
        <v>666</v>
      </c>
      <c r="V237" s="106" t="s">
        <v>157</v>
      </c>
      <c r="W237" s="103" t="s">
        <v>81</v>
      </c>
      <c r="X237" s="103">
        <f>IFERROR(MATCH(W237,'CostModel Coef'!$C$9:$C$12,0),0)</f>
        <v>1</v>
      </c>
      <c r="Y237" s="103"/>
      <c r="Z237" s="103">
        <f>IF($X237&gt;0,INDEX('CostModel Coef'!D$9:D$12,$X237),"")</f>
        <v>3.0430000000000001</v>
      </c>
      <c r="AA237" s="103">
        <f>IF($X237&gt;0,INDEX('CostModel Coef'!E$9:E$12,$X237),"")</f>
        <v>-0.14966150225589619</v>
      </c>
      <c r="AB237" s="103">
        <f>IF($X237&gt;0,INDEX('CostModel Coef'!F$9:F$12,$X237),"")</f>
        <v>0.52692151711335011</v>
      </c>
      <c r="AC237" s="103">
        <f>IF($X237&gt;0,INDEX('CostModel Coef'!G$9:G$12,$X237),"")</f>
        <v>1.8411</v>
      </c>
      <c r="AD237" s="103">
        <f>IF($X237&gt;0,INDEX('CostModel Coef'!H$9:H$12,$X237),"")</f>
        <v>-1.8050999999999999</v>
      </c>
      <c r="AE237" s="103">
        <f>IF($X237&gt;0,INDEX('CostModel Coef'!J$9:J$12,$X237),"")</f>
        <v>-1.1288</v>
      </c>
      <c r="AF237" s="103">
        <f>IF($X237&gt;0,INDEX('CostModel Coef'!K$9:K$12,$X237),"")</f>
        <v>-1.845</v>
      </c>
      <c r="AG237" s="103">
        <f>IF($X237&gt;0,INDEX('CostModel Coef'!L$9:L$12,$X237),"")</f>
        <v>6.7507000000000001</v>
      </c>
      <c r="AH237" s="103">
        <f>IF($X237&gt;0,INDEX('CostModel Coef'!M$9:M$12,$X237),"")</f>
        <v>5.8051000000000004</v>
      </c>
      <c r="AI237" s="103">
        <f>IF($X237&gt;0,INDEX('CostModel Coef'!N$9:N$12,$X237),"")</f>
        <v>6.1600000000000002E-2</v>
      </c>
      <c r="AJ237" s="103">
        <f>IF($X237&gt;0,INDEX('CostModel Coef'!Q$9:Q$12,$X237),"")</f>
        <v>6.6500000000000004E-2</v>
      </c>
      <c r="AK237" s="103">
        <f>IF($X237&gt;0,INDEX('CostModel Coef'!T$9:T$12,$X237),"")</f>
        <v>9.35E-2</v>
      </c>
      <c r="AL237" s="103"/>
      <c r="AM237" s="108">
        <f t="shared" si="79"/>
        <v>3.0618920148574551</v>
      </c>
      <c r="AN237" s="108">
        <f t="shared" si="80"/>
        <v>4.9068920148574549</v>
      </c>
      <c r="AO237" s="108">
        <f t="shared" si="81"/>
        <v>3.1017920148574549</v>
      </c>
      <c r="AP237" s="108">
        <f t="shared" si="82"/>
        <v>3.1017920148574549</v>
      </c>
      <c r="AQ237" s="108">
        <f t="shared" si="83"/>
        <v>1.9729920148574549</v>
      </c>
      <c r="AR237" s="108"/>
      <c r="AS237" s="108"/>
      <c r="AT237" s="103">
        <f>IF($X237&gt;0,INDEX('CostModel Coef'!D$13:D$16,$X237),"")</f>
        <v>2.1320000000000001</v>
      </c>
      <c r="AU237" s="103">
        <f>IF($X237&gt;0,INDEX('CostModel Coef'!E$13:E$16,$X237),"")</f>
        <v>0.23699999999999999</v>
      </c>
      <c r="AV237" s="103">
        <f>IF($X237&gt;0,INDEX('CostModel Coef'!F$13:F$16,$X237),"")</f>
        <v>0.59899999999999998</v>
      </c>
      <c r="AW237" s="103">
        <f>IF($X237&gt;0,INDEX('CostModel Coef'!G$13:G$16,$X237),"")</f>
        <v>0</v>
      </c>
      <c r="AX237" s="103">
        <f>IF($X237&gt;0,INDEX('CostModel Coef'!H$13:H$16,$X237),"")</f>
        <v>-1.69</v>
      </c>
      <c r="AY237" s="103">
        <f>IF($X237&gt;0,INDEX('CostModel Coef'!I$13:I$16,$X237),"")</f>
        <v>-1.1599999999999999</v>
      </c>
      <c r="AZ237" s="103">
        <f>IF($X237&gt;0,INDEX('CostModel Coef'!J$13:J$16,$X237),"")</f>
        <v>0</v>
      </c>
      <c r="BA237" s="103">
        <f>IF($X237&gt;0,INDEX('CostModel Coef'!K$13:K$16,$X237),"")</f>
        <v>-2.4630000000000001</v>
      </c>
      <c r="BB237" s="103">
        <f>IF($X237&gt;0,INDEX('CostModel Coef'!L$13:L$16,$X237),"")</f>
        <v>0.46179999999999999</v>
      </c>
      <c r="BC237" s="103">
        <f>IF($X237&gt;0,INDEX('CostModel Coef'!M$13:M$16,$X237),"")</f>
        <v>0</v>
      </c>
      <c r="BD237" s="103">
        <f>IF($X237&gt;0,INDEX('CostModel Coef'!N$13:N$16,$X237),"")</f>
        <v>0.19869999999999999</v>
      </c>
      <c r="BE237" s="103">
        <f>IF($X237&gt;0,INDEX('CostModel Coef'!O$13:O$16,$X237),"")</f>
        <v>0.6</v>
      </c>
      <c r="BF237" s="103">
        <f>IF($X237&gt;0,INDEX('CostModel Coef'!P$13:P$16,$X237),"")</f>
        <v>15</v>
      </c>
      <c r="BG237" s="103">
        <f>IF($X237&gt;0,INDEX('CostModel Coef'!Q$13:Q$16,$X237),"")</f>
        <v>0</v>
      </c>
      <c r="BH237" s="103">
        <f>IF($X237&gt;0,INDEX('CostModel Coef'!R$13:R$16,$X237),"")</f>
        <v>3</v>
      </c>
      <c r="BI237" s="103">
        <f>IF($X237&gt;0,INDEX('CostModel Coef'!S$13:S$16,$X237),"")</f>
        <v>150</v>
      </c>
      <c r="BJ237" s="103">
        <f>IF($X237&gt;0,INDEX('CostModel Coef'!T$13:T$16,$X237),"")</f>
        <v>0</v>
      </c>
      <c r="BK237" s="103">
        <f>IF($X237&gt;0,INDEX('CostModel Coef'!U$13:U$16,$X237),"")</f>
        <v>9.1999999999999998E-3</v>
      </c>
      <c r="BL237" s="103">
        <f>IF($X237&gt;0,INDEX('CostModel Coef'!V$13:V$16,$X237),"")</f>
        <v>-8.8000000000000005E-3</v>
      </c>
      <c r="BM237" s="103">
        <f>IF($X237&gt;0,INDEX('CostModel Coef'!W$13:W$16,$X237),"")</f>
        <v>0</v>
      </c>
      <c r="BN237" s="103">
        <f>IF($X237&gt;0,INDEX('CostModel Coef'!X$13:X$16,$X237),"")</f>
        <v>0</v>
      </c>
      <c r="BO237" s="103"/>
      <c r="BP237" s="119">
        <v>2000</v>
      </c>
      <c r="BQ237" s="103"/>
      <c r="BR237" s="103"/>
      <c r="BS237" s="119" t="str">
        <f t="shared" si="86"/>
        <v>WRR0347_CFLscw(14w)</v>
      </c>
      <c r="BT237" s="174">
        <f t="shared" si="78"/>
        <v>49</v>
      </c>
      <c r="BU237" s="113">
        <f t="shared" si="88"/>
        <v>1.0771999999999999</v>
      </c>
      <c r="BV237" s="108">
        <f t="shared" si="89"/>
        <v>3.5402</v>
      </c>
      <c r="BW237" s="108">
        <f t="shared" si="90"/>
        <v>1.8502000000000001</v>
      </c>
      <c r="BX237" s="108">
        <f t="shared" si="91"/>
        <v>0.69020000000000015</v>
      </c>
      <c r="BY237" s="108">
        <f t="shared" si="92"/>
        <v>0.69020000000000015</v>
      </c>
      <c r="BZ237" s="108"/>
      <c r="CA237" s="119" t="str">
        <f t="shared" si="93"/>
        <v>WRR0407_CFLscw(14w)</v>
      </c>
      <c r="CB237" s="174">
        <f t="shared" si="84"/>
        <v>57</v>
      </c>
      <c r="CC237" s="113">
        <f t="shared" si="94"/>
        <v>1.1508000000000003</v>
      </c>
      <c r="CD237" s="108">
        <f t="shared" si="95"/>
        <v>3.6138000000000003</v>
      </c>
      <c r="CE237" s="108">
        <f t="shared" si="96"/>
        <v>1.9238000000000004</v>
      </c>
      <c r="CF237" s="108">
        <f t="shared" si="97"/>
        <v>0.76380000000000048</v>
      </c>
      <c r="CG237" s="108">
        <f t="shared" si="98"/>
        <v>0.76380000000000048</v>
      </c>
      <c r="CH237" s="103"/>
      <c r="CI237" s="119" t="str">
        <f t="shared" si="87"/>
        <v>WRR0347_CFLscw(14w)</v>
      </c>
      <c r="CJ237" s="174">
        <f t="shared" si="85"/>
        <v>49</v>
      </c>
      <c r="CK237" s="113">
        <f t="shared" si="99"/>
        <v>1.0771999999999999</v>
      </c>
      <c r="CL237" s="108">
        <f t="shared" si="100"/>
        <v>3.5402</v>
      </c>
      <c r="CM237" s="108">
        <f t="shared" si="101"/>
        <v>1.8502000000000001</v>
      </c>
      <c r="CN237" s="108">
        <f t="shared" si="102"/>
        <v>0.69020000000000015</v>
      </c>
      <c r="CO237" s="108">
        <f t="shared" si="103"/>
        <v>0.69020000000000015</v>
      </c>
    </row>
    <row r="238" spans="1:93">
      <c r="A238" s="103" t="s">
        <v>667</v>
      </c>
      <c r="B238" s="103" t="s">
        <v>165</v>
      </c>
      <c r="C238" s="103" t="s">
        <v>152</v>
      </c>
      <c r="D238" s="250" t="s">
        <v>153</v>
      </c>
      <c r="E238" s="250">
        <v>82</v>
      </c>
      <c r="F238" s="182">
        <v>9020</v>
      </c>
      <c r="G238" s="250" t="s">
        <v>175</v>
      </c>
      <c r="H238" s="250">
        <v>150</v>
      </c>
      <c r="I238" s="250"/>
      <c r="J238" s="250"/>
      <c r="K238" s="250" t="s">
        <v>668</v>
      </c>
      <c r="L238" s="250" t="s">
        <v>61</v>
      </c>
      <c r="M238" s="250">
        <v>150</v>
      </c>
      <c r="N238" s="250"/>
      <c r="O238" s="250"/>
      <c r="P238" s="250" t="s">
        <v>153</v>
      </c>
      <c r="Q238" s="250"/>
      <c r="R238" s="250"/>
      <c r="S238" s="250"/>
      <c r="T238" s="250" t="s">
        <v>155</v>
      </c>
      <c r="U238" s="103" t="s">
        <v>669</v>
      </c>
      <c r="V238" s="106" t="s">
        <v>157</v>
      </c>
      <c r="W238" s="103" t="s">
        <v>158</v>
      </c>
      <c r="X238" s="103">
        <f>IFERROR(MATCH(W238,'CostModel Coef'!$C$9:$C$12,0),0)</f>
        <v>0</v>
      </c>
      <c r="Y238" s="103"/>
      <c r="Z238" s="103" t="str">
        <f>IF($X238&gt;0,INDEX('CostModel Coef'!D$9:D$12,$X238),"")</f>
        <v/>
      </c>
      <c r="AA238" s="103" t="str">
        <f>IF($X238&gt;0,INDEX('CostModel Coef'!E$9:E$12,$X238),"")</f>
        <v/>
      </c>
      <c r="AB238" s="103" t="str">
        <f>IF($X238&gt;0,INDEX('CostModel Coef'!F$9:F$12,$X238),"")</f>
        <v/>
      </c>
      <c r="AC238" s="103" t="str">
        <f>IF($X238&gt;0,INDEX('CostModel Coef'!G$9:G$12,$X238),"")</f>
        <v/>
      </c>
      <c r="AD238" s="103" t="str">
        <f>IF($X238&gt;0,INDEX('CostModel Coef'!H$9:H$12,$X238),"")</f>
        <v/>
      </c>
      <c r="AE238" s="103" t="str">
        <f>IF($X238&gt;0,INDEX('CostModel Coef'!J$9:J$12,$X238),"")</f>
        <v/>
      </c>
      <c r="AF238" s="103" t="str">
        <f>IF($X238&gt;0,INDEX('CostModel Coef'!K$9:K$12,$X238),"")</f>
        <v/>
      </c>
      <c r="AG238" s="103" t="str">
        <f>IF($X238&gt;0,INDEX('CostModel Coef'!L$9:L$12,$X238),"")</f>
        <v/>
      </c>
      <c r="AH238" s="103" t="str">
        <f>IF($X238&gt;0,INDEX('CostModel Coef'!M$9:M$12,$X238),"")</f>
        <v/>
      </c>
      <c r="AI238" s="103" t="str">
        <f>IF($X238&gt;0,INDEX('CostModel Coef'!N$9:N$12,$X238),"")</f>
        <v/>
      </c>
      <c r="AJ238" s="103" t="str">
        <f>IF($X238&gt;0,INDEX('CostModel Coef'!Q$9:Q$12,$X238),"")</f>
        <v/>
      </c>
      <c r="AK238" s="103" t="str">
        <f>IF($X238&gt;0,INDEX('CostModel Coef'!T$9:T$12,$X238),"")</f>
        <v/>
      </c>
      <c r="AL238" s="103"/>
      <c r="AM238" s="108" t="str">
        <f t="shared" si="79"/>
        <v/>
      </c>
      <c r="AN238" s="108" t="str">
        <f t="shared" si="80"/>
        <v/>
      </c>
      <c r="AO238" s="108" t="str">
        <f t="shared" si="81"/>
        <v/>
      </c>
      <c r="AP238" s="108" t="str">
        <f t="shared" si="82"/>
        <v/>
      </c>
      <c r="AQ238" s="108" t="str">
        <f t="shared" si="83"/>
        <v/>
      </c>
      <c r="AR238" s="108"/>
      <c r="AS238" s="108"/>
      <c r="AT238" s="103" t="str">
        <f>IF($X238&gt;0,INDEX('CostModel Coef'!D$13:D$16,$X238),"")</f>
        <v/>
      </c>
      <c r="AU238" s="103" t="str">
        <f>IF($X238&gt;0,INDEX('CostModel Coef'!E$13:E$16,$X238),"")</f>
        <v/>
      </c>
      <c r="AV238" s="103" t="str">
        <f>IF($X238&gt;0,INDEX('CostModel Coef'!F$13:F$16,$X238),"")</f>
        <v/>
      </c>
      <c r="AW238" s="103" t="str">
        <f>IF($X238&gt;0,INDEX('CostModel Coef'!G$13:G$16,$X238),"")</f>
        <v/>
      </c>
      <c r="AX238" s="103" t="str">
        <f>IF($X238&gt;0,INDEX('CostModel Coef'!H$13:H$16,$X238),"")</f>
        <v/>
      </c>
      <c r="AY238" s="103" t="str">
        <f>IF($X238&gt;0,INDEX('CostModel Coef'!I$13:I$16,$X238),"")</f>
        <v/>
      </c>
      <c r="AZ238" s="103" t="str">
        <f>IF($X238&gt;0,INDEX('CostModel Coef'!J$13:J$16,$X238),"")</f>
        <v/>
      </c>
      <c r="BA238" s="103" t="str">
        <f>IF($X238&gt;0,INDEX('CostModel Coef'!K$13:K$16,$X238),"")</f>
        <v/>
      </c>
      <c r="BB238" s="103" t="str">
        <f>IF($X238&gt;0,INDEX('CostModel Coef'!L$13:L$16,$X238),"")</f>
        <v/>
      </c>
      <c r="BC238" s="103" t="str">
        <f>IF($X238&gt;0,INDEX('CostModel Coef'!M$13:M$16,$X238),"")</f>
        <v/>
      </c>
      <c r="BD238" s="103" t="str">
        <f>IF($X238&gt;0,INDEX('CostModel Coef'!N$13:N$16,$X238),"")</f>
        <v/>
      </c>
      <c r="BE238" s="103" t="str">
        <f>IF($X238&gt;0,INDEX('CostModel Coef'!O$13:O$16,$X238),"")</f>
        <v/>
      </c>
      <c r="BF238" s="103" t="str">
        <f>IF($X238&gt;0,INDEX('CostModel Coef'!P$13:P$16,$X238),"")</f>
        <v/>
      </c>
      <c r="BG238" s="103" t="str">
        <f>IF($X238&gt;0,INDEX('CostModel Coef'!Q$13:Q$16,$X238),"")</f>
        <v/>
      </c>
      <c r="BH238" s="103" t="str">
        <f>IF($X238&gt;0,INDEX('CostModel Coef'!R$13:R$16,$X238),"")</f>
        <v/>
      </c>
      <c r="BI238" s="103" t="str">
        <f>IF($X238&gt;0,INDEX('CostModel Coef'!S$13:S$16,$X238),"")</f>
        <v/>
      </c>
      <c r="BJ238" s="103" t="str">
        <f>IF($X238&gt;0,INDEX('CostModel Coef'!T$13:T$16,$X238),"")</f>
        <v/>
      </c>
      <c r="BK238" s="103" t="str">
        <f>IF($X238&gt;0,INDEX('CostModel Coef'!U$13:U$16,$X238),"")</f>
        <v/>
      </c>
      <c r="BL238" s="103" t="str">
        <f>IF($X238&gt;0,INDEX('CostModel Coef'!V$13:V$16,$X238),"")</f>
        <v/>
      </c>
      <c r="BM238" s="103" t="str">
        <f>IF($X238&gt;0,INDEX('CostModel Coef'!W$13:W$16,$X238),"")</f>
        <v/>
      </c>
      <c r="BN238" s="103" t="str">
        <f>IF($X238&gt;0,INDEX('CostModel Coef'!X$13:X$16,$X238),"")</f>
        <v/>
      </c>
      <c r="BO238" s="103"/>
      <c r="BP238" s="119">
        <v>2000</v>
      </c>
      <c r="BQ238" s="103"/>
      <c r="BR238" s="103"/>
      <c r="BS238" s="119" t="str">
        <f t="shared" si="86"/>
        <v/>
      </c>
      <c r="BT238" s="174">
        <f t="shared" si="78"/>
        <v>-1</v>
      </c>
      <c r="BU238" s="113" t="str">
        <f t="shared" si="88"/>
        <v>OOS</v>
      </c>
      <c r="BV238" s="108" t="str">
        <f t="shared" si="89"/>
        <v>OOS</v>
      </c>
      <c r="BW238" s="108" t="str">
        <f t="shared" si="90"/>
        <v>OOS</v>
      </c>
      <c r="BX238" s="108" t="str">
        <f t="shared" si="91"/>
        <v>OOS</v>
      </c>
      <c r="BY238" s="108" t="str">
        <f t="shared" si="92"/>
        <v>OOS</v>
      </c>
      <c r="BZ238" s="108"/>
      <c r="CA238" s="119" t="str">
        <f t="shared" si="93"/>
        <v/>
      </c>
      <c r="CB238" s="174">
        <f t="shared" si="84"/>
        <v>-1</v>
      </c>
      <c r="CC238" s="113" t="str">
        <f t="shared" si="94"/>
        <v/>
      </c>
      <c r="CD238" s="108" t="str">
        <f t="shared" si="95"/>
        <v/>
      </c>
      <c r="CE238" s="108" t="str">
        <f t="shared" si="96"/>
        <v/>
      </c>
      <c r="CF238" s="108" t="str">
        <f t="shared" si="97"/>
        <v/>
      </c>
      <c r="CG238" s="108" t="str">
        <f t="shared" si="98"/>
        <v/>
      </c>
      <c r="CH238" s="103"/>
      <c r="CI238" s="119" t="str">
        <f t="shared" si="87"/>
        <v/>
      </c>
      <c r="CJ238" s="174">
        <f t="shared" si="85"/>
        <v>-1</v>
      </c>
      <c r="CK238" s="113" t="str">
        <f t="shared" si="99"/>
        <v/>
      </c>
      <c r="CL238" s="108" t="str">
        <f t="shared" si="100"/>
        <v/>
      </c>
      <c r="CM238" s="108" t="str">
        <f t="shared" si="101"/>
        <v/>
      </c>
      <c r="CN238" s="108" t="str">
        <f t="shared" si="102"/>
        <v/>
      </c>
      <c r="CO238" s="108" t="str">
        <f t="shared" si="103"/>
        <v/>
      </c>
    </row>
    <row r="239" spans="1:93">
      <c r="A239" s="103" t="s">
        <v>670</v>
      </c>
      <c r="B239" s="103" t="s">
        <v>165</v>
      </c>
      <c r="C239" s="103" t="s">
        <v>152</v>
      </c>
      <c r="D239" s="250" t="s">
        <v>153</v>
      </c>
      <c r="E239" s="250">
        <v>82</v>
      </c>
      <c r="F239" s="182">
        <v>9020</v>
      </c>
      <c r="G239" s="250" t="s">
        <v>175</v>
      </c>
      <c r="H239" s="250">
        <v>15</v>
      </c>
      <c r="I239" s="250">
        <v>765</v>
      </c>
      <c r="J239" s="250">
        <v>955</v>
      </c>
      <c r="K239" s="250" t="s">
        <v>671</v>
      </c>
      <c r="L239" s="250" t="s">
        <v>61</v>
      </c>
      <c r="M239" s="250">
        <v>15</v>
      </c>
      <c r="N239" s="250"/>
      <c r="O239" s="250"/>
      <c r="P239" s="250" t="s">
        <v>153</v>
      </c>
      <c r="Q239" s="250"/>
      <c r="R239" s="250"/>
      <c r="S239" s="250"/>
      <c r="T239" s="250" t="s">
        <v>155</v>
      </c>
      <c r="U239" s="103" t="s">
        <v>672</v>
      </c>
      <c r="V239" s="106" t="s">
        <v>157</v>
      </c>
      <c r="W239" s="103" t="s">
        <v>81</v>
      </c>
      <c r="X239" s="103">
        <f>IFERROR(MATCH(W239,'CostModel Coef'!$C$9:$C$12,0),0)</f>
        <v>1</v>
      </c>
      <c r="Y239" s="103"/>
      <c r="Z239" s="103">
        <f>IF($X239&gt;0,INDEX('CostModel Coef'!D$9:D$12,$X239),"")</f>
        <v>3.0430000000000001</v>
      </c>
      <c r="AA239" s="103">
        <f>IF($X239&gt;0,INDEX('CostModel Coef'!E$9:E$12,$X239),"")</f>
        <v>-0.14966150225589619</v>
      </c>
      <c r="AB239" s="103">
        <f>IF($X239&gt;0,INDEX('CostModel Coef'!F$9:F$12,$X239),"")</f>
        <v>0.52692151711335011</v>
      </c>
      <c r="AC239" s="103">
        <f>IF($X239&gt;0,INDEX('CostModel Coef'!G$9:G$12,$X239),"")</f>
        <v>1.8411</v>
      </c>
      <c r="AD239" s="103">
        <f>IF($X239&gt;0,INDEX('CostModel Coef'!H$9:H$12,$X239),"")</f>
        <v>-1.8050999999999999</v>
      </c>
      <c r="AE239" s="103">
        <f>IF($X239&gt;0,INDEX('CostModel Coef'!J$9:J$12,$X239),"")</f>
        <v>-1.1288</v>
      </c>
      <c r="AF239" s="103">
        <f>IF($X239&gt;0,INDEX('CostModel Coef'!K$9:K$12,$X239),"")</f>
        <v>-1.845</v>
      </c>
      <c r="AG239" s="103">
        <f>IF($X239&gt;0,INDEX('CostModel Coef'!L$9:L$12,$X239),"")</f>
        <v>6.7507000000000001</v>
      </c>
      <c r="AH239" s="103">
        <f>IF($X239&gt;0,INDEX('CostModel Coef'!M$9:M$12,$X239),"")</f>
        <v>5.8051000000000004</v>
      </c>
      <c r="AI239" s="103">
        <f>IF($X239&gt;0,INDEX('CostModel Coef'!N$9:N$12,$X239),"")</f>
        <v>6.1600000000000002E-2</v>
      </c>
      <c r="AJ239" s="103">
        <f>IF($X239&gt;0,INDEX('CostModel Coef'!Q$9:Q$12,$X239),"")</f>
        <v>6.6500000000000004E-2</v>
      </c>
      <c r="AK239" s="103">
        <f>IF($X239&gt;0,INDEX('CostModel Coef'!T$9:T$12,$X239),"")</f>
        <v>9.35E-2</v>
      </c>
      <c r="AL239" s="103"/>
      <c r="AM239" s="108">
        <f t="shared" si="79"/>
        <v>3.1283920148574547</v>
      </c>
      <c r="AN239" s="108">
        <f t="shared" si="80"/>
        <v>4.9733920148574544</v>
      </c>
      <c r="AO239" s="108">
        <f t="shared" si="81"/>
        <v>3.1682920148574545</v>
      </c>
      <c r="AP239" s="108">
        <f t="shared" si="82"/>
        <v>3.1682920148574545</v>
      </c>
      <c r="AQ239" s="108">
        <f t="shared" si="83"/>
        <v>2.0394920148574545</v>
      </c>
      <c r="AR239" s="108"/>
      <c r="AS239" s="108"/>
      <c r="AT239" s="103">
        <f>IF($X239&gt;0,INDEX('CostModel Coef'!D$13:D$16,$X239),"")</f>
        <v>2.1320000000000001</v>
      </c>
      <c r="AU239" s="103">
        <f>IF($X239&gt;0,INDEX('CostModel Coef'!E$13:E$16,$X239),"")</f>
        <v>0.23699999999999999</v>
      </c>
      <c r="AV239" s="103">
        <f>IF($X239&gt;0,INDEX('CostModel Coef'!F$13:F$16,$X239),"")</f>
        <v>0.59899999999999998</v>
      </c>
      <c r="AW239" s="103">
        <f>IF($X239&gt;0,INDEX('CostModel Coef'!G$13:G$16,$X239),"")</f>
        <v>0</v>
      </c>
      <c r="AX239" s="103">
        <f>IF($X239&gt;0,INDEX('CostModel Coef'!H$13:H$16,$X239),"")</f>
        <v>-1.69</v>
      </c>
      <c r="AY239" s="103">
        <f>IF($X239&gt;0,INDEX('CostModel Coef'!I$13:I$16,$X239),"")</f>
        <v>-1.1599999999999999</v>
      </c>
      <c r="AZ239" s="103">
        <f>IF($X239&gt;0,INDEX('CostModel Coef'!J$13:J$16,$X239),"")</f>
        <v>0</v>
      </c>
      <c r="BA239" s="103">
        <f>IF($X239&gt;0,INDEX('CostModel Coef'!K$13:K$16,$X239),"")</f>
        <v>-2.4630000000000001</v>
      </c>
      <c r="BB239" s="103">
        <f>IF($X239&gt;0,INDEX('CostModel Coef'!L$13:L$16,$X239),"")</f>
        <v>0.46179999999999999</v>
      </c>
      <c r="BC239" s="103">
        <f>IF($X239&gt;0,INDEX('CostModel Coef'!M$13:M$16,$X239),"")</f>
        <v>0</v>
      </c>
      <c r="BD239" s="103">
        <f>IF($X239&gt;0,INDEX('CostModel Coef'!N$13:N$16,$X239),"")</f>
        <v>0.19869999999999999</v>
      </c>
      <c r="BE239" s="103">
        <f>IF($X239&gt;0,INDEX('CostModel Coef'!O$13:O$16,$X239),"")</f>
        <v>0.6</v>
      </c>
      <c r="BF239" s="103">
        <f>IF($X239&gt;0,INDEX('CostModel Coef'!P$13:P$16,$X239),"")</f>
        <v>15</v>
      </c>
      <c r="BG239" s="103">
        <f>IF($X239&gt;0,INDEX('CostModel Coef'!Q$13:Q$16,$X239),"")</f>
        <v>0</v>
      </c>
      <c r="BH239" s="103">
        <f>IF($X239&gt;0,INDEX('CostModel Coef'!R$13:R$16,$X239),"")</f>
        <v>3</v>
      </c>
      <c r="BI239" s="103">
        <f>IF($X239&gt;0,INDEX('CostModel Coef'!S$13:S$16,$X239),"")</f>
        <v>150</v>
      </c>
      <c r="BJ239" s="103">
        <f>IF($X239&gt;0,INDEX('CostModel Coef'!T$13:T$16,$X239),"")</f>
        <v>0</v>
      </c>
      <c r="BK239" s="103">
        <f>IF($X239&gt;0,INDEX('CostModel Coef'!U$13:U$16,$X239),"")</f>
        <v>9.1999999999999998E-3</v>
      </c>
      <c r="BL239" s="103">
        <f>IF($X239&gt;0,INDEX('CostModel Coef'!V$13:V$16,$X239),"")</f>
        <v>-8.8000000000000005E-3</v>
      </c>
      <c r="BM239" s="103">
        <f>IF($X239&gt;0,INDEX('CostModel Coef'!W$13:W$16,$X239),"")</f>
        <v>0</v>
      </c>
      <c r="BN239" s="103">
        <f>IF($X239&gt;0,INDEX('CostModel Coef'!X$13:X$16,$X239),"")</f>
        <v>0</v>
      </c>
      <c r="BO239" s="103"/>
      <c r="BP239" s="119">
        <v>2000</v>
      </c>
      <c r="BQ239" s="103"/>
      <c r="BR239" s="103"/>
      <c r="BS239" s="119" t="str">
        <f t="shared" si="86"/>
        <v>WRR0347_CFLscw(15w)</v>
      </c>
      <c r="BT239" s="174">
        <f t="shared" si="78"/>
        <v>52</v>
      </c>
      <c r="BU239" s="113">
        <f t="shared" si="88"/>
        <v>1.1048</v>
      </c>
      <c r="BV239" s="108">
        <f t="shared" si="89"/>
        <v>3.5678000000000001</v>
      </c>
      <c r="BW239" s="108">
        <f t="shared" si="90"/>
        <v>1.8778000000000001</v>
      </c>
      <c r="BX239" s="108">
        <f t="shared" si="91"/>
        <v>0.71780000000000022</v>
      </c>
      <c r="BY239" s="108">
        <f t="shared" si="92"/>
        <v>0.71780000000000022</v>
      </c>
      <c r="BZ239" s="108"/>
      <c r="CA239" s="119" t="str">
        <f t="shared" si="93"/>
        <v>WRR0407_CFLscw(15w)</v>
      </c>
      <c r="CB239" s="174">
        <f t="shared" si="84"/>
        <v>61</v>
      </c>
      <c r="CC239" s="113">
        <f t="shared" si="94"/>
        <v>1.1876000000000002</v>
      </c>
      <c r="CD239" s="108">
        <f t="shared" si="95"/>
        <v>3.6506000000000003</v>
      </c>
      <c r="CE239" s="108">
        <f t="shared" si="96"/>
        <v>1.9606000000000003</v>
      </c>
      <c r="CF239" s="108">
        <f t="shared" si="97"/>
        <v>0.80060000000000042</v>
      </c>
      <c r="CG239" s="108">
        <f t="shared" si="98"/>
        <v>0.80060000000000042</v>
      </c>
      <c r="CH239" s="103"/>
      <c r="CI239" s="119" t="str">
        <f t="shared" si="87"/>
        <v>WRR0347_CFLscw(15w)</v>
      </c>
      <c r="CJ239" s="174">
        <f t="shared" si="85"/>
        <v>52</v>
      </c>
      <c r="CK239" s="113">
        <f t="shared" si="99"/>
        <v>1.1048</v>
      </c>
      <c r="CL239" s="108">
        <f t="shared" si="100"/>
        <v>3.5678000000000001</v>
      </c>
      <c r="CM239" s="108">
        <f t="shared" si="101"/>
        <v>1.8778000000000001</v>
      </c>
      <c r="CN239" s="108">
        <f t="shared" si="102"/>
        <v>0.71780000000000022</v>
      </c>
      <c r="CO239" s="108">
        <f t="shared" si="103"/>
        <v>0.71780000000000022</v>
      </c>
    </row>
    <row r="240" spans="1:93">
      <c r="A240" s="103" t="s">
        <v>673</v>
      </c>
      <c r="B240" s="103" t="s">
        <v>165</v>
      </c>
      <c r="C240" s="103" t="s">
        <v>152</v>
      </c>
      <c r="D240" s="250" t="s">
        <v>153</v>
      </c>
      <c r="E240" s="250">
        <v>82</v>
      </c>
      <c r="F240" s="182">
        <v>9020</v>
      </c>
      <c r="G240" s="250" t="s">
        <v>175</v>
      </c>
      <c r="H240" s="250">
        <v>16</v>
      </c>
      <c r="I240" s="250">
        <v>810</v>
      </c>
      <c r="J240" s="250">
        <v>1015</v>
      </c>
      <c r="K240" s="250" t="s">
        <v>674</v>
      </c>
      <c r="L240" s="250" t="s">
        <v>61</v>
      </c>
      <c r="M240" s="250">
        <v>16</v>
      </c>
      <c r="N240" s="250"/>
      <c r="O240" s="250"/>
      <c r="P240" s="250" t="s">
        <v>153</v>
      </c>
      <c r="Q240" s="250"/>
      <c r="R240" s="250"/>
      <c r="S240" s="250"/>
      <c r="T240" s="250" t="s">
        <v>155</v>
      </c>
      <c r="U240" s="103" t="s">
        <v>675</v>
      </c>
      <c r="V240" s="106" t="s">
        <v>157</v>
      </c>
      <c r="W240" s="103" t="s">
        <v>81</v>
      </c>
      <c r="X240" s="103">
        <f>IFERROR(MATCH(W240,'CostModel Coef'!$C$9:$C$12,0),0)</f>
        <v>1</v>
      </c>
      <c r="Y240" s="103"/>
      <c r="Z240" s="103">
        <f>IF($X240&gt;0,INDEX('CostModel Coef'!D$9:D$12,$X240),"")</f>
        <v>3.0430000000000001</v>
      </c>
      <c r="AA240" s="103">
        <f>IF($X240&gt;0,INDEX('CostModel Coef'!E$9:E$12,$X240),"")</f>
        <v>-0.14966150225589619</v>
      </c>
      <c r="AB240" s="103">
        <f>IF($X240&gt;0,INDEX('CostModel Coef'!F$9:F$12,$X240),"")</f>
        <v>0.52692151711335011</v>
      </c>
      <c r="AC240" s="103">
        <f>IF($X240&gt;0,INDEX('CostModel Coef'!G$9:G$12,$X240),"")</f>
        <v>1.8411</v>
      </c>
      <c r="AD240" s="103">
        <f>IF($X240&gt;0,INDEX('CostModel Coef'!H$9:H$12,$X240),"")</f>
        <v>-1.8050999999999999</v>
      </c>
      <c r="AE240" s="103">
        <f>IF($X240&gt;0,INDEX('CostModel Coef'!J$9:J$12,$X240),"")</f>
        <v>-1.1288</v>
      </c>
      <c r="AF240" s="103">
        <f>IF($X240&gt;0,INDEX('CostModel Coef'!K$9:K$12,$X240),"")</f>
        <v>-1.845</v>
      </c>
      <c r="AG240" s="103">
        <f>IF($X240&gt;0,INDEX('CostModel Coef'!L$9:L$12,$X240),"")</f>
        <v>6.7507000000000001</v>
      </c>
      <c r="AH240" s="103">
        <f>IF($X240&gt;0,INDEX('CostModel Coef'!M$9:M$12,$X240),"")</f>
        <v>5.8051000000000004</v>
      </c>
      <c r="AI240" s="103">
        <f>IF($X240&gt;0,INDEX('CostModel Coef'!N$9:N$12,$X240),"")</f>
        <v>6.1600000000000002E-2</v>
      </c>
      <c r="AJ240" s="103">
        <f>IF($X240&gt;0,INDEX('CostModel Coef'!Q$9:Q$12,$X240),"")</f>
        <v>6.6500000000000004E-2</v>
      </c>
      <c r="AK240" s="103">
        <f>IF($X240&gt;0,INDEX('CostModel Coef'!T$9:T$12,$X240),"")</f>
        <v>9.35E-2</v>
      </c>
      <c r="AL240" s="103"/>
      <c r="AM240" s="108">
        <f t="shared" si="79"/>
        <v>3.1948920148574542</v>
      </c>
      <c r="AN240" s="108">
        <f t="shared" si="80"/>
        <v>5.039892014857454</v>
      </c>
      <c r="AO240" s="108">
        <f t="shared" si="81"/>
        <v>3.234792014857454</v>
      </c>
      <c r="AP240" s="108">
        <f t="shared" si="82"/>
        <v>3.234792014857454</v>
      </c>
      <c r="AQ240" s="108">
        <f t="shared" si="83"/>
        <v>2.105992014857454</v>
      </c>
      <c r="AR240" s="108"/>
      <c r="AS240" s="108"/>
      <c r="AT240" s="103">
        <f>IF($X240&gt;0,INDEX('CostModel Coef'!D$13:D$16,$X240),"")</f>
        <v>2.1320000000000001</v>
      </c>
      <c r="AU240" s="103">
        <f>IF($X240&gt;0,INDEX('CostModel Coef'!E$13:E$16,$X240),"")</f>
        <v>0.23699999999999999</v>
      </c>
      <c r="AV240" s="103">
        <f>IF($X240&gt;0,INDEX('CostModel Coef'!F$13:F$16,$X240),"")</f>
        <v>0.59899999999999998</v>
      </c>
      <c r="AW240" s="103">
        <f>IF($X240&gt;0,INDEX('CostModel Coef'!G$13:G$16,$X240),"")</f>
        <v>0</v>
      </c>
      <c r="AX240" s="103">
        <f>IF($X240&gt;0,INDEX('CostModel Coef'!H$13:H$16,$X240),"")</f>
        <v>-1.69</v>
      </c>
      <c r="AY240" s="103">
        <f>IF($X240&gt;0,INDEX('CostModel Coef'!I$13:I$16,$X240),"")</f>
        <v>-1.1599999999999999</v>
      </c>
      <c r="AZ240" s="103">
        <f>IF($X240&gt;0,INDEX('CostModel Coef'!J$13:J$16,$X240),"")</f>
        <v>0</v>
      </c>
      <c r="BA240" s="103">
        <f>IF($X240&gt;0,INDEX('CostModel Coef'!K$13:K$16,$X240),"")</f>
        <v>-2.4630000000000001</v>
      </c>
      <c r="BB240" s="103">
        <f>IF($X240&gt;0,INDEX('CostModel Coef'!L$13:L$16,$X240),"")</f>
        <v>0.46179999999999999</v>
      </c>
      <c r="BC240" s="103">
        <f>IF($X240&gt;0,INDEX('CostModel Coef'!M$13:M$16,$X240),"")</f>
        <v>0</v>
      </c>
      <c r="BD240" s="103">
        <f>IF($X240&gt;0,INDEX('CostModel Coef'!N$13:N$16,$X240),"")</f>
        <v>0.19869999999999999</v>
      </c>
      <c r="BE240" s="103">
        <f>IF($X240&gt;0,INDEX('CostModel Coef'!O$13:O$16,$X240),"")</f>
        <v>0.6</v>
      </c>
      <c r="BF240" s="103">
        <f>IF($X240&gt;0,INDEX('CostModel Coef'!P$13:P$16,$X240),"")</f>
        <v>15</v>
      </c>
      <c r="BG240" s="103">
        <f>IF($X240&gt;0,INDEX('CostModel Coef'!Q$13:Q$16,$X240),"")</f>
        <v>0</v>
      </c>
      <c r="BH240" s="103">
        <f>IF($X240&gt;0,INDEX('CostModel Coef'!R$13:R$16,$X240),"")</f>
        <v>3</v>
      </c>
      <c r="BI240" s="103">
        <f>IF($X240&gt;0,INDEX('CostModel Coef'!S$13:S$16,$X240),"")</f>
        <v>150</v>
      </c>
      <c r="BJ240" s="103">
        <f>IF($X240&gt;0,INDEX('CostModel Coef'!T$13:T$16,$X240),"")</f>
        <v>0</v>
      </c>
      <c r="BK240" s="103">
        <f>IF($X240&gt;0,INDEX('CostModel Coef'!U$13:U$16,$X240),"")</f>
        <v>9.1999999999999998E-3</v>
      </c>
      <c r="BL240" s="103">
        <f>IF($X240&gt;0,INDEX('CostModel Coef'!V$13:V$16,$X240),"")</f>
        <v>-8.8000000000000005E-3</v>
      </c>
      <c r="BM240" s="103">
        <f>IF($X240&gt;0,INDEX('CostModel Coef'!W$13:W$16,$X240),"")</f>
        <v>0</v>
      </c>
      <c r="BN240" s="103">
        <f>IF($X240&gt;0,INDEX('CostModel Coef'!X$13:X$16,$X240),"")</f>
        <v>0</v>
      </c>
      <c r="BO240" s="103"/>
      <c r="BP240" s="119">
        <v>2000</v>
      </c>
      <c r="BQ240" s="103"/>
      <c r="BR240" s="103"/>
      <c r="BS240" s="119" t="str">
        <f t="shared" si="86"/>
        <v>WRR0347_CFLscw(16w)</v>
      </c>
      <c r="BT240" s="174">
        <f t="shared" si="78"/>
        <v>56</v>
      </c>
      <c r="BU240" s="113">
        <f t="shared" si="88"/>
        <v>1.1415999999999999</v>
      </c>
      <c r="BV240" s="108">
        <f t="shared" si="89"/>
        <v>3.6046</v>
      </c>
      <c r="BW240" s="108">
        <f t="shared" si="90"/>
        <v>1.9146000000000001</v>
      </c>
      <c r="BX240" s="108">
        <f t="shared" si="91"/>
        <v>0.75460000000000016</v>
      </c>
      <c r="BY240" s="108">
        <f t="shared" si="92"/>
        <v>0.75460000000000016</v>
      </c>
      <c r="BZ240" s="108"/>
      <c r="CA240" s="119" t="str">
        <f t="shared" si="93"/>
        <v>WRR0407_CFLscw(16w)</v>
      </c>
      <c r="CB240" s="174">
        <f t="shared" si="84"/>
        <v>65</v>
      </c>
      <c r="CC240" s="113">
        <f t="shared" si="94"/>
        <v>1.2244000000000002</v>
      </c>
      <c r="CD240" s="108">
        <f t="shared" si="95"/>
        <v>3.6874000000000002</v>
      </c>
      <c r="CE240" s="108">
        <f t="shared" si="96"/>
        <v>1.9974000000000003</v>
      </c>
      <c r="CF240" s="108">
        <f t="shared" si="97"/>
        <v>0.83740000000000037</v>
      </c>
      <c r="CG240" s="108">
        <f t="shared" si="98"/>
        <v>0.83740000000000037</v>
      </c>
      <c r="CH240" s="103"/>
      <c r="CI240" s="119" t="str">
        <f t="shared" si="87"/>
        <v>WRR0347_CFLscw(16w)</v>
      </c>
      <c r="CJ240" s="174">
        <f t="shared" si="85"/>
        <v>56</v>
      </c>
      <c r="CK240" s="113">
        <f t="shared" si="99"/>
        <v>1.1415999999999999</v>
      </c>
      <c r="CL240" s="108">
        <f t="shared" si="100"/>
        <v>3.6046</v>
      </c>
      <c r="CM240" s="108">
        <f t="shared" si="101"/>
        <v>1.9146000000000001</v>
      </c>
      <c r="CN240" s="108">
        <f t="shared" si="102"/>
        <v>0.75460000000000016</v>
      </c>
      <c r="CO240" s="108">
        <f t="shared" si="103"/>
        <v>0.75460000000000016</v>
      </c>
    </row>
    <row r="241" spans="1:93">
      <c r="A241" s="103" t="s">
        <v>676</v>
      </c>
      <c r="B241" s="103" t="s">
        <v>165</v>
      </c>
      <c r="C241" s="103" t="s">
        <v>152</v>
      </c>
      <c r="D241" s="250" t="s">
        <v>153</v>
      </c>
      <c r="E241" s="250">
        <v>82</v>
      </c>
      <c r="F241" s="182">
        <v>9020</v>
      </c>
      <c r="G241" s="250" t="s">
        <v>175</v>
      </c>
      <c r="H241" s="250">
        <v>17</v>
      </c>
      <c r="I241" s="250">
        <v>845</v>
      </c>
      <c r="J241" s="250">
        <v>1055</v>
      </c>
      <c r="K241" s="250" t="s">
        <v>677</v>
      </c>
      <c r="L241" s="250" t="s">
        <v>61</v>
      </c>
      <c r="M241" s="250">
        <v>17</v>
      </c>
      <c r="N241" s="250"/>
      <c r="O241" s="250"/>
      <c r="P241" s="250" t="s">
        <v>153</v>
      </c>
      <c r="Q241" s="250"/>
      <c r="R241" s="250"/>
      <c r="S241" s="250"/>
      <c r="T241" s="250" t="s">
        <v>155</v>
      </c>
      <c r="U241" s="103" t="s">
        <v>678</v>
      </c>
      <c r="V241" s="106" t="s">
        <v>157</v>
      </c>
      <c r="W241" s="103" t="s">
        <v>81</v>
      </c>
      <c r="X241" s="103">
        <f>IFERROR(MATCH(W241,'CostModel Coef'!$C$9:$C$12,0),0)</f>
        <v>1</v>
      </c>
      <c r="Y241" s="103"/>
      <c r="Z241" s="103">
        <f>IF($X241&gt;0,INDEX('CostModel Coef'!D$9:D$12,$X241),"")</f>
        <v>3.0430000000000001</v>
      </c>
      <c r="AA241" s="103">
        <f>IF($X241&gt;0,INDEX('CostModel Coef'!E$9:E$12,$X241),"")</f>
        <v>-0.14966150225589619</v>
      </c>
      <c r="AB241" s="103">
        <f>IF($X241&gt;0,INDEX('CostModel Coef'!F$9:F$12,$X241),"")</f>
        <v>0.52692151711335011</v>
      </c>
      <c r="AC241" s="103">
        <f>IF($X241&gt;0,INDEX('CostModel Coef'!G$9:G$12,$X241),"")</f>
        <v>1.8411</v>
      </c>
      <c r="AD241" s="103">
        <f>IF($X241&gt;0,INDEX('CostModel Coef'!H$9:H$12,$X241),"")</f>
        <v>-1.8050999999999999</v>
      </c>
      <c r="AE241" s="103">
        <f>IF($X241&gt;0,INDEX('CostModel Coef'!J$9:J$12,$X241),"")</f>
        <v>-1.1288</v>
      </c>
      <c r="AF241" s="103">
        <f>IF($X241&gt;0,INDEX('CostModel Coef'!K$9:K$12,$X241),"")</f>
        <v>-1.845</v>
      </c>
      <c r="AG241" s="103">
        <f>IF($X241&gt;0,INDEX('CostModel Coef'!L$9:L$12,$X241),"")</f>
        <v>6.7507000000000001</v>
      </c>
      <c r="AH241" s="103">
        <f>IF($X241&gt;0,INDEX('CostModel Coef'!M$9:M$12,$X241),"")</f>
        <v>5.8051000000000004</v>
      </c>
      <c r="AI241" s="103">
        <f>IF($X241&gt;0,INDEX('CostModel Coef'!N$9:N$12,$X241),"")</f>
        <v>6.1600000000000002E-2</v>
      </c>
      <c r="AJ241" s="103">
        <f>IF($X241&gt;0,INDEX('CostModel Coef'!Q$9:Q$12,$X241),"")</f>
        <v>6.6500000000000004E-2</v>
      </c>
      <c r="AK241" s="103">
        <f>IF($X241&gt;0,INDEX('CostModel Coef'!T$9:T$12,$X241),"")</f>
        <v>9.35E-2</v>
      </c>
      <c r="AL241" s="103"/>
      <c r="AM241" s="108">
        <f t="shared" si="79"/>
        <v>3.2613920148574547</v>
      </c>
      <c r="AN241" s="108">
        <f t="shared" si="80"/>
        <v>5.1063920148574544</v>
      </c>
      <c r="AO241" s="108">
        <f t="shared" si="81"/>
        <v>3.3012920148574545</v>
      </c>
      <c r="AP241" s="108">
        <f t="shared" si="82"/>
        <v>3.3012920148574545</v>
      </c>
      <c r="AQ241" s="108">
        <f t="shared" si="83"/>
        <v>2.1724920148574545</v>
      </c>
      <c r="AR241" s="108"/>
      <c r="AS241" s="108"/>
      <c r="AT241" s="103">
        <f>IF($X241&gt;0,INDEX('CostModel Coef'!D$13:D$16,$X241),"")</f>
        <v>2.1320000000000001</v>
      </c>
      <c r="AU241" s="103">
        <f>IF($X241&gt;0,INDEX('CostModel Coef'!E$13:E$16,$X241),"")</f>
        <v>0.23699999999999999</v>
      </c>
      <c r="AV241" s="103">
        <f>IF($X241&gt;0,INDEX('CostModel Coef'!F$13:F$16,$X241),"")</f>
        <v>0.59899999999999998</v>
      </c>
      <c r="AW241" s="103">
        <f>IF($X241&gt;0,INDEX('CostModel Coef'!G$13:G$16,$X241),"")</f>
        <v>0</v>
      </c>
      <c r="AX241" s="103">
        <f>IF($X241&gt;0,INDEX('CostModel Coef'!H$13:H$16,$X241),"")</f>
        <v>-1.69</v>
      </c>
      <c r="AY241" s="103">
        <f>IF($X241&gt;0,INDEX('CostModel Coef'!I$13:I$16,$X241),"")</f>
        <v>-1.1599999999999999</v>
      </c>
      <c r="AZ241" s="103">
        <f>IF($X241&gt;0,INDEX('CostModel Coef'!J$13:J$16,$X241),"")</f>
        <v>0</v>
      </c>
      <c r="BA241" s="103">
        <f>IF($X241&gt;0,INDEX('CostModel Coef'!K$13:K$16,$X241),"")</f>
        <v>-2.4630000000000001</v>
      </c>
      <c r="BB241" s="103">
        <f>IF($X241&gt;0,INDEX('CostModel Coef'!L$13:L$16,$X241),"")</f>
        <v>0.46179999999999999</v>
      </c>
      <c r="BC241" s="103">
        <f>IF($X241&gt;0,INDEX('CostModel Coef'!M$13:M$16,$X241),"")</f>
        <v>0</v>
      </c>
      <c r="BD241" s="103">
        <f>IF($X241&gt;0,INDEX('CostModel Coef'!N$13:N$16,$X241),"")</f>
        <v>0.19869999999999999</v>
      </c>
      <c r="BE241" s="103">
        <f>IF($X241&gt;0,INDEX('CostModel Coef'!O$13:O$16,$X241),"")</f>
        <v>0.6</v>
      </c>
      <c r="BF241" s="103">
        <f>IF($X241&gt;0,INDEX('CostModel Coef'!P$13:P$16,$X241),"")</f>
        <v>15</v>
      </c>
      <c r="BG241" s="103">
        <f>IF($X241&gt;0,INDEX('CostModel Coef'!Q$13:Q$16,$X241),"")</f>
        <v>0</v>
      </c>
      <c r="BH241" s="103">
        <f>IF($X241&gt;0,INDEX('CostModel Coef'!R$13:R$16,$X241),"")</f>
        <v>3</v>
      </c>
      <c r="BI241" s="103">
        <f>IF($X241&gt;0,INDEX('CostModel Coef'!S$13:S$16,$X241),"")</f>
        <v>150</v>
      </c>
      <c r="BJ241" s="103">
        <f>IF($X241&gt;0,INDEX('CostModel Coef'!T$13:T$16,$X241),"")</f>
        <v>0</v>
      </c>
      <c r="BK241" s="103">
        <f>IF($X241&gt;0,INDEX('CostModel Coef'!U$13:U$16,$X241),"")</f>
        <v>9.1999999999999998E-3</v>
      </c>
      <c r="BL241" s="103">
        <f>IF($X241&gt;0,INDEX('CostModel Coef'!V$13:V$16,$X241),"")</f>
        <v>-8.8000000000000005E-3</v>
      </c>
      <c r="BM241" s="103">
        <f>IF($X241&gt;0,INDEX('CostModel Coef'!W$13:W$16,$X241),"")</f>
        <v>0</v>
      </c>
      <c r="BN241" s="103">
        <f>IF($X241&gt;0,INDEX('CostModel Coef'!X$13:X$16,$X241),"")</f>
        <v>0</v>
      </c>
      <c r="BO241" s="103"/>
      <c r="BP241" s="119">
        <v>2000</v>
      </c>
      <c r="BQ241" s="103"/>
      <c r="BR241" s="103"/>
      <c r="BS241" s="119" t="str">
        <f t="shared" si="86"/>
        <v>WRR0347_CFLscw(17w)</v>
      </c>
      <c r="BT241" s="174">
        <f t="shared" si="78"/>
        <v>59</v>
      </c>
      <c r="BU241" s="113">
        <f t="shared" si="88"/>
        <v>1.1692</v>
      </c>
      <c r="BV241" s="108">
        <f t="shared" si="89"/>
        <v>3.6322000000000001</v>
      </c>
      <c r="BW241" s="108">
        <f t="shared" si="90"/>
        <v>1.9422000000000001</v>
      </c>
      <c r="BX241" s="108">
        <f t="shared" si="91"/>
        <v>0.78220000000000023</v>
      </c>
      <c r="BY241" s="108">
        <f t="shared" si="92"/>
        <v>0.78220000000000023</v>
      </c>
      <c r="BZ241" s="108"/>
      <c r="CA241" s="119" t="str">
        <f t="shared" si="93"/>
        <v>WRR0407_CFLscw(17w)</v>
      </c>
      <c r="CB241" s="174">
        <f t="shared" si="84"/>
        <v>69</v>
      </c>
      <c r="CC241" s="113">
        <f t="shared" si="94"/>
        <v>1.2612000000000001</v>
      </c>
      <c r="CD241" s="108">
        <f t="shared" si="95"/>
        <v>3.7242000000000002</v>
      </c>
      <c r="CE241" s="108">
        <f t="shared" si="96"/>
        <v>2.0342000000000002</v>
      </c>
      <c r="CF241" s="108">
        <f t="shared" si="97"/>
        <v>0.87420000000000031</v>
      </c>
      <c r="CG241" s="108">
        <f t="shared" si="98"/>
        <v>0.87420000000000031</v>
      </c>
      <c r="CH241" s="103"/>
      <c r="CI241" s="119" t="str">
        <f t="shared" si="87"/>
        <v>WRR0347_CFLscw(17w)</v>
      </c>
      <c r="CJ241" s="174">
        <f t="shared" si="85"/>
        <v>59</v>
      </c>
      <c r="CK241" s="113">
        <f t="shared" si="99"/>
        <v>1.1692</v>
      </c>
      <c r="CL241" s="108">
        <f t="shared" si="100"/>
        <v>3.6322000000000001</v>
      </c>
      <c r="CM241" s="108">
        <f t="shared" si="101"/>
        <v>1.9422000000000001</v>
      </c>
      <c r="CN241" s="108">
        <f t="shared" si="102"/>
        <v>0.78220000000000023</v>
      </c>
      <c r="CO241" s="108">
        <f t="shared" si="103"/>
        <v>0.78220000000000023</v>
      </c>
    </row>
    <row r="242" spans="1:93">
      <c r="A242" s="103" t="s">
        <v>679</v>
      </c>
      <c r="B242" s="103" t="s">
        <v>165</v>
      </c>
      <c r="C242" s="103" t="s">
        <v>152</v>
      </c>
      <c r="D242" s="250" t="s">
        <v>153</v>
      </c>
      <c r="E242" s="250">
        <v>82</v>
      </c>
      <c r="F242" s="182">
        <v>9020</v>
      </c>
      <c r="G242" s="250" t="s">
        <v>175</v>
      </c>
      <c r="H242" s="250">
        <v>18</v>
      </c>
      <c r="I242" s="250">
        <v>885</v>
      </c>
      <c r="J242" s="250">
        <v>1105</v>
      </c>
      <c r="K242" s="250" t="s">
        <v>680</v>
      </c>
      <c r="L242" s="250" t="s">
        <v>61</v>
      </c>
      <c r="M242" s="250">
        <v>18</v>
      </c>
      <c r="N242" s="250"/>
      <c r="O242" s="250"/>
      <c r="P242" s="250" t="s">
        <v>153</v>
      </c>
      <c r="Q242" s="250"/>
      <c r="R242" s="250"/>
      <c r="S242" s="250"/>
      <c r="T242" s="250" t="s">
        <v>155</v>
      </c>
      <c r="U242" s="103" t="s">
        <v>681</v>
      </c>
      <c r="V242" s="106" t="s">
        <v>157</v>
      </c>
      <c r="W242" s="103" t="s">
        <v>81</v>
      </c>
      <c r="X242" s="103">
        <f>IFERROR(MATCH(W242,'CostModel Coef'!$C$9:$C$12,0),0)</f>
        <v>1</v>
      </c>
      <c r="Y242" s="103"/>
      <c r="Z242" s="103">
        <f>IF($X242&gt;0,INDEX('CostModel Coef'!D$9:D$12,$X242),"")</f>
        <v>3.0430000000000001</v>
      </c>
      <c r="AA242" s="103">
        <f>IF($X242&gt;0,INDEX('CostModel Coef'!E$9:E$12,$X242),"")</f>
        <v>-0.14966150225589619</v>
      </c>
      <c r="AB242" s="103">
        <f>IF($X242&gt;0,INDEX('CostModel Coef'!F$9:F$12,$X242),"")</f>
        <v>0.52692151711335011</v>
      </c>
      <c r="AC242" s="103">
        <f>IF($X242&gt;0,INDEX('CostModel Coef'!G$9:G$12,$X242),"")</f>
        <v>1.8411</v>
      </c>
      <c r="AD242" s="103">
        <f>IF($X242&gt;0,INDEX('CostModel Coef'!H$9:H$12,$X242),"")</f>
        <v>-1.8050999999999999</v>
      </c>
      <c r="AE242" s="103">
        <f>IF($X242&gt;0,INDEX('CostModel Coef'!J$9:J$12,$X242),"")</f>
        <v>-1.1288</v>
      </c>
      <c r="AF242" s="103">
        <f>IF($X242&gt;0,INDEX('CostModel Coef'!K$9:K$12,$X242),"")</f>
        <v>-1.845</v>
      </c>
      <c r="AG242" s="103">
        <f>IF($X242&gt;0,INDEX('CostModel Coef'!L$9:L$12,$X242),"")</f>
        <v>6.7507000000000001</v>
      </c>
      <c r="AH242" s="103">
        <f>IF($X242&gt;0,INDEX('CostModel Coef'!M$9:M$12,$X242),"")</f>
        <v>5.8051000000000004</v>
      </c>
      <c r="AI242" s="103">
        <f>IF($X242&gt;0,INDEX('CostModel Coef'!N$9:N$12,$X242),"")</f>
        <v>6.1600000000000002E-2</v>
      </c>
      <c r="AJ242" s="103">
        <f>IF($X242&gt;0,INDEX('CostModel Coef'!Q$9:Q$12,$X242),"")</f>
        <v>6.6500000000000004E-2</v>
      </c>
      <c r="AK242" s="103">
        <f>IF($X242&gt;0,INDEX('CostModel Coef'!T$9:T$12,$X242),"")</f>
        <v>9.35E-2</v>
      </c>
      <c r="AL242" s="103"/>
      <c r="AM242" s="108">
        <f t="shared" si="79"/>
        <v>3.3278920148574551</v>
      </c>
      <c r="AN242" s="108">
        <f t="shared" si="80"/>
        <v>5.1728920148574549</v>
      </c>
      <c r="AO242" s="108">
        <f t="shared" si="81"/>
        <v>3.3677920148574549</v>
      </c>
      <c r="AP242" s="108">
        <f t="shared" si="82"/>
        <v>3.3677920148574549</v>
      </c>
      <c r="AQ242" s="108">
        <f t="shared" si="83"/>
        <v>2.2389920148574549</v>
      </c>
      <c r="AR242" s="108"/>
      <c r="AS242" s="108"/>
      <c r="AT242" s="103">
        <f>IF($X242&gt;0,INDEX('CostModel Coef'!D$13:D$16,$X242),"")</f>
        <v>2.1320000000000001</v>
      </c>
      <c r="AU242" s="103">
        <f>IF($X242&gt;0,INDEX('CostModel Coef'!E$13:E$16,$X242),"")</f>
        <v>0.23699999999999999</v>
      </c>
      <c r="AV242" s="103">
        <f>IF($X242&gt;0,INDEX('CostModel Coef'!F$13:F$16,$X242),"")</f>
        <v>0.59899999999999998</v>
      </c>
      <c r="AW242" s="103">
        <f>IF($X242&gt;0,INDEX('CostModel Coef'!G$13:G$16,$X242),"")</f>
        <v>0</v>
      </c>
      <c r="AX242" s="103">
        <f>IF($X242&gt;0,INDEX('CostModel Coef'!H$13:H$16,$X242),"")</f>
        <v>-1.69</v>
      </c>
      <c r="AY242" s="103">
        <f>IF($X242&gt;0,INDEX('CostModel Coef'!I$13:I$16,$X242),"")</f>
        <v>-1.1599999999999999</v>
      </c>
      <c r="AZ242" s="103">
        <f>IF($X242&gt;0,INDEX('CostModel Coef'!J$13:J$16,$X242),"")</f>
        <v>0</v>
      </c>
      <c r="BA242" s="103">
        <f>IF($X242&gt;0,INDEX('CostModel Coef'!K$13:K$16,$X242),"")</f>
        <v>-2.4630000000000001</v>
      </c>
      <c r="BB242" s="103">
        <f>IF($X242&gt;0,INDEX('CostModel Coef'!L$13:L$16,$X242),"")</f>
        <v>0.46179999999999999</v>
      </c>
      <c r="BC242" s="103">
        <f>IF($X242&gt;0,INDEX('CostModel Coef'!M$13:M$16,$X242),"")</f>
        <v>0</v>
      </c>
      <c r="BD242" s="103">
        <f>IF($X242&gt;0,INDEX('CostModel Coef'!N$13:N$16,$X242),"")</f>
        <v>0.19869999999999999</v>
      </c>
      <c r="BE242" s="103">
        <f>IF($X242&gt;0,INDEX('CostModel Coef'!O$13:O$16,$X242),"")</f>
        <v>0.6</v>
      </c>
      <c r="BF242" s="103">
        <f>IF($X242&gt;0,INDEX('CostModel Coef'!P$13:P$16,$X242),"")</f>
        <v>15</v>
      </c>
      <c r="BG242" s="103">
        <f>IF($X242&gt;0,INDEX('CostModel Coef'!Q$13:Q$16,$X242),"")</f>
        <v>0</v>
      </c>
      <c r="BH242" s="103">
        <f>IF($X242&gt;0,INDEX('CostModel Coef'!R$13:R$16,$X242),"")</f>
        <v>3</v>
      </c>
      <c r="BI242" s="103">
        <f>IF($X242&gt;0,INDEX('CostModel Coef'!S$13:S$16,$X242),"")</f>
        <v>150</v>
      </c>
      <c r="BJ242" s="103">
        <f>IF($X242&gt;0,INDEX('CostModel Coef'!T$13:T$16,$X242),"")</f>
        <v>0</v>
      </c>
      <c r="BK242" s="103">
        <f>IF($X242&gt;0,INDEX('CostModel Coef'!U$13:U$16,$X242),"")</f>
        <v>9.1999999999999998E-3</v>
      </c>
      <c r="BL242" s="103">
        <f>IF($X242&gt;0,INDEX('CostModel Coef'!V$13:V$16,$X242),"")</f>
        <v>-8.8000000000000005E-3</v>
      </c>
      <c r="BM242" s="103">
        <f>IF($X242&gt;0,INDEX('CostModel Coef'!W$13:W$16,$X242),"")</f>
        <v>0</v>
      </c>
      <c r="BN242" s="103">
        <f>IF($X242&gt;0,INDEX('CostModel Coef'!X$13:X$16,$X242),"")</f>
        <v>0</v>
      </c>
      <c r="BO242" s="103"/>
      <c r="BP242" s="119">
        <v>2000</v>
      </c>
      <c r="BQ242" s="103"/>
      <c r="BR242" s="103"/>
      <c r="BS242" s="119" t="str">
        <f t="shared" si="86"/>
        <v>WRR0347_CFLscw(18w)</v>
      </c>
      <c r="BT242" s="174">
        <f t="shared" si="78"/>
        <v>62</v>
      </c>
      <c r="BU242" s="113">
        <f t="shared" si="88"/>
        <v>1.1968000000000001</v>
      </c>
      <c r="BV242" s="108">
        <f t="shared" si="89"/>
        <v>3.6598000000000002</v>
      </c>
      <c r="BW242" s="108">
        <f t="shared" si="90"/>
        <v>1.9698000000000002</v>
      </c>
      <c r="BX242" s="108">
        <f t="shared" si="91"/>
        <v>0.8098000000000003</v>
      </c>
      <c r="BY242" s="108">
        <f t="shared" si="92"/>
        <v>0.8098000000000003</v>
      </c>
      <c r="BZ242" s="108"/>
      <c r="CA242" s="119" t="str">
        <f t="shared" si="93"/>
        <v>WRR0407_CFLscw(18w)</v>
      </c>
      <c r="CB242" s="174">
        <f t="shared" si="84"/>
        <v>73</v>
      </c>
      <c r="CC242" s="113">
        <f t="shared" si="94"/>
        <v>1.298</v>
      </c>
      <c r="CD242" s="108">
        <f t="shared" si="95"/>
        <v>3.7610000000000001</v>
      </c>
      <c r="CE242" s="108">
        <f t="shared" si="96"/>
        <v>2.0710000000000002</v>
      </c>
      <c r="CF242" s="108">
        <f t="shared" si="97"/>
        <v>0.91100000000000025</v>
      </c>
      <c r="CG242" s="108">
        <f t="shared" si="98"/>
        <v>0.91100000000000025</v>
      </c>
      <c r="CH242" s="103"/>
      <c r="CI242" s="119" t="str">
        <f t="shared" si="87"/>
        <v>WRR0347_CFLscw(18w)</v>
      </c>
      <c r="CJ242" s="174">
        <f t="shared" si="85"/>
        <v>62</v>
      </c>
      <c r="CK242" s="113">
        <f t="shared" si="99"/>
        <v>1.1968000000000001</v>
      </c>
      <c r="CL242" s="108">
        <f t="shared" si="100"/>
        <v>3.6598000000000002</v>
      </c>
      <c r="CM242" s="108">
        <f t="shared" si="101"/>
        <v>1.9698000000000002</v>
      </c>
      <c r="CN242" s="108">
        <f t="shared" si="102"/>
        <v>0.8098000000000003</v>
      </c>
      <c r="CO242" s="108">
        <f t="shared" si="103"/>
        <v>0.8098000000000003</v>
      </c>
    </row>
    <row r="243" spans="1:93">
      <c r="A243" s="103" t="s">
        <v>682</v>
      </c>
      <c r="B243" s="103" t="s">
        <v>174</v>
      </c>
      <c r="C243" s="103" t="s">
        <v>153</v>
      </c>
      <c r="D243" s="250" t="s">
        <v>153</v>
      </c>
      <c r="E243" s="250"/>
      <c r="F243" s="182">
        <v>9020</v>
      </c>
      <c r="G243" s="250" t="s">
        <v>175</v>
      </c>
      <c r="H243" s="250">
        <v>195</v>
      </c>
      <c r="I243" s="250"/>
      <c r="J243" s="250"/>
      <c r="K243" s="250"/>
      <c r="L243" s="250" t="s">
        <v>61</v>
      </c>
      <c r="M243" s="250">
        <v>195</v>
      </c>
      <c r="N243" s="250"/>
      <c r="O243" s="250"/>
      <c r="P243" s="250" t="s">
        <v>153</v>
      </c>
      <c r="Q243" s="250"/>
      <c r="R243" s="250"/>
      <c r="S243" s="250"/>
      <c r="T243" s="250" t="s">
        <v>155</v>
      </c>
      <c r="U243" s="103" t="s">
        <v>683</v>
      </c>
      <c r="V243" s="106" t="s">
        <v>157</v>
      </c>
      <c r="W243" s="103" t="s">
        <v>158</v>
      </c>
      <c r="X243" s="103">
        <f>IFERROR(MATCH(W243,'CostModel Coef'!$C$9:$C$12,0),0)</f>
        <v>0</v>
      </c>
      <c r="Y243" s="103"/>
      <c r="Z243" s="103" t="str">
        <f>IF($X243&gt;0,INDEX('CostModel Coef'!D$9:D$12,$X243),"")</f>
        <v/>
      </c>
      <c r="AA243" s="103" t="str">
        <f>IF($X243&gt;0,INDEX('CostModel Coef'!E$9:E$12,$X243),"")</f>
        <v/>
      </c>
      <c r="AB243" s="103" t="str">
        <f>IF($X243&gt;0,INDEX('CostModel Coef'!F$9:F$12,$X243),"")</f>
        <v/>
      </c>
      <c r="AC243" s="103" t="str">
        <f>IF($X243&gt;0,INDEX('CostModel Coef'!G$9:G$12,$X243),"")</f>
        <v/>
      </c>
      <c r="AD243" s="103" t="str">
        <f>IF($X243&gt;0,INDEX('CostModel Coef'!H$9:H$12,$X243),"")</f>
        <v/>
      </c>
      <c r="AE243" s="103" t="str">
        <f>IF($X243&gt;0,INDEX('CostModel Coef'!J$9:J$12,$X243),"")</f>
        <v/>
      </c>
      <c r="AF243" s="103" t="str">
        <f>IF($X243&gt;0,INDEX('CostModel Coef'!K$9:K$12,$X243),"")</f>
        <v/>
      </c>
      <c r="AG243" s="103" t="str">
        <f>IF($X243&gt;0,INDEX('CostModel Coef'!L$9:L$12,$X243),"")</f>
        <v/>
      </c>
      <c r="AH243" s="103" t="str">
        <f>IF($X243&gt;0,INDEX('CostModel Coef'!M$9:M$12,$X243),"")</f>
        <v/>
      </c>
      <c r="AI243" s="103" t="str">
        <f>IF($X243&gt;0,INDEX('CostModel Coef'!N$9:N$12,$X243),"")</f>
        <v/>
      </c>
      <c r="AJ243" s="103" t="str">
        <f>IF($X243&gt;0,INDEX('CostModel Coef'!Q$9:Q$12,$X243),"")</f>
        <v/>
      </c>
      <c r="AK243" s="103" t="str">
        <f>IF($X243&gt;0,INDEX('CostModel Coef'!T$9:T$12,$X243),"")</f>
        <v/>
      </c>
      <c r="AL243" s="103"/>
      <c r="AM243" s="108" t="str">
        <f t="shared" si="79"/>
        <v/>
      </c>
      <c r="AN243" s="108" t="str">
        <f t="shared" si="80"/>
        <v/>
      </c>
      <c r="AO243" s="108" t="str">
        <f t="shared" si="81"/>
        <v/>
      </c>
      <c r="AP243" s="108" t="str">
        <f t="shared" si="82"/>
        <v/>
      </c>
      <c r="AQ243" s="108" t="str">
        <f t="shared" si="83"/>
        <v/>
      </c>
      <c r="AR243" s="108"/>
      <c r="AS243" s="108"/>
      <c r="AT243" s="103" t="str">
        <f>IF($X243&gt;0,INDEX('CostModel Coef'!D$13:D$16,$X243),"")</f>
        <v/>
      </c>
      <c r="AU243" s="103" t="str">
        <f>IF($X243&gt;0,INDEX('CostModel Coef'!E$13:E$16,$X243),"")</f>
        <v/>
      </c>
      <c r="AV243" s="103" t="str">
        <f>IF($X243&gt;0,INDEX('CostModel Coef'!F$13:F$16,$X243),"")</f>
        <v/>
      </c>
      <c r="AW243" s="103" t="str">
        <f>IF($X243&gt;0,INDEX('CostModel Coef'!G$13:G$16,$X243),"")</f>
        <v/>
      </c>
      <c r="AX243" s="103" t="str">
        <f>IF($X243&gt;0,INDEX('CostModel Coef'!H$13:H$16,$X243),"")</f>
        <v/>
      </c>
      <c r="AY243" s="103" t="str">
        <f>IF($X243&gt;0,INDEX('CostModel Coef'!I$13:I$16,$X243),"")</f>
        <v/>
      </c>
      <c r="AZ243" s="103" t="str">
        <f>IF($X243&gt;0,INDEX('CostModel Coef'!J$13:J$16,$X243),"")</f>
        <v/>
      </c>
      <c r="BA243" s="103" t="str">
        <f>IF($X243&gt;0,INDEX('CostModel Coef'!K$13:K$16,$X243),"")</f>
        <v/>
      </c>
      <c r="BB243" s="103" t="str">
        <f>IF($X243&gt;0,INDEX('CostModel Coef'!L$13:L$16,$X243),"")</f>
        <v/>
      </c>
      <c r="BC243" s="103" t="str">
        <f>IF($X243&gt;0,INDEX('CostModel Coef'!M$13:M$16,$X243),"")</f>
        <v/>
      </c>
      <c r="BD243" s="103" t="str">
        <f>IF($X243&gt;0,INDEX('CostModel Coef'!N$13:N$16,$X243),"")</f>
        <v/>
      </c>
      <c r="BE243" s="103" t="str">
        <f>IF($X243&gt;0,INDEX('CostModel Coef'!O$13:O$16,$X243),"")</f>
        <v/>
      </c>
      <c r="BF243" s="103" t="str">
        <f>IF($X243&gt;0,INDEX('CostModel Coef'!P$13:P$16,$X243),"")</f>
        <v/>
      </c>
      <c r="BG243" s="103" t="str">
        <f>IF($X243&gt;0,INDEX('CostModel Coef'!Q$13:Q$16,$X243),"")</f>
        <v/>
      </c>
      <c r="BH243" s="103" t="str">
        <f>IF($X243&gt;0,INDEX('CostModel Coef'!R$13:R$16,$X243),"")</f>
        <v/>
      </c>
      <c r="BI243" s="103" t="str">
        <f>IF($X243&gt;0,INDEX('CostModel Coef'!S$13:S$16,$X243),"")</f>
        <v/>
      </c>
      <c r="BJ243" s="103" t="str">
        <f>IF($X243&gt;0,INDEX('CostModel Coef'!T$13:T$16,$X243),"")</f>
        <v/>
      </c>
      <c r="BK243" s="103" t="str">
        <f>IF($X243&gt;0,INDEX('CostModel Coef'!U$13:U$16,$X243),"")</f>
        <v/>
      </c>
      <c r="BL243" s="103" t="str">
        <f>IF($X243&gt;0,INDEX('CostModel Coef'!V$13:V$16,$X243),"")</f>
        <v/>
      </c>
      <c r="BM243" s="103" t="str">
        <f>IF($X243&gt;0,INDEX('CostModel Coef'!W$13:W$16,$X243),"")</f>
        <v/>
      </c>
      <c r="BN243" s="103" t="str">
        <f>IF($X243&gt;0,INDEX('CostModel Coef'!X$13:X$16,$X243),"")</f>
        <v/>
      </c>
      <c r="BO243" s="103"/>
      <c r="BP243" s="119">
        <v>2000</v>
      </c>
      <c r="BQ243" s="103"/>
      <c r="BR243" s="103"/>
      <c r="BS243" s="119" t="str">
        <f t="shared" si="86"/>
        <v/>
      </c>
      <c r="BT243" s="174">
        <f t="shared" si="78"/>
        <v>-1</v>
      </c>
      <c r="BU243" s="113" t="str">
        <f t="shared" si="88"/>
        <v>OOS</v>
      </c>
      <c r="BV243" s="108" t="str">
        <f t="shared" si="89"/>
        <v>OOS</v>
      </c>
      <c r="BW243" s="108" t="str">
        <f t="shared" si="90"/>
        <v>OOS</v>
      </c>
      <c r="BX243" s="108" t="str">
        <f t="shared" si="91"/>
        <v>OOS</v>
      </c>
      <c r="BY243" s="108" t="str">
        <f t="shared" si="92"/>
        <v>OOS</v>
      </c>
      <c r="BZ243" s="108"/>
      <c r="CA243" s="119" t="str">
        <f t="shared" si="93"/>
        <v/>
      </c>
      <c r="CB243" s="174">
        <f t="shared" si="84"/>
        <v>-1</v>
      </c>
      <c r="CC243" s="113" t="str">
        <f t="shared" si="94"/>
        <v/>
      </c>
      <c r="CD243" s="108" t="str">
        <f t="shared" si="95"/>
        <v/>
      </c>
      <c r="CE243" s="108" t="str">
        <f t="shared" si="96"/>
        <v/>
      </c>
      <c r="CF243" s="108" t="str">
        <f t="shared" si="97"/>
        <v/>
      </c>
      <c r="CG243" s="108" t="str">
        <f t="shared" si="98"/>
        <v/>
      </c>
      <c r="CH243" s="103"/>
      <c r="CI243" s="119" t="str">
        <f t="shared" si="87"/>
        <v/>
      </c>
      <c r="CJ243" s="174">
        <f t="shared" si="85"/>
        <v>-1</v>
      </c>
      <c r="CK243" s="113" t="str">
        <f t="shared" si="99"/>
        <v/>
      </c>
      <c r="CL243" s="108" t="str">
        <f t="shared" si="100"/>
        <v/>
      </c>
      <c r="CM243" s="108" t="str">
        <f t="shared" si="101"/>
        <v/>
      </c>
      <c r="CN243" s="108" t="str">
        <f t="shared" si="102"/>
        <v/>
      </c>
      <c r="CO243" s="108" t="str">
        <f t="shared" si="103"/>
        <v/>
      </c>
    </row>
    <row r="244" spans="1:93">
      <c r="A244" s="103" t="s">
        <v>684</v>
      </c>
      <c r="B244" s="103" t="s">
        <v>165</v>
      </c>
      <c r="C244" s="103" t="s">
        <v>152</v>
      </c>
      <c r="D244" s="250" t="s">
        <v>153</v>
      </c>
      <c r="E244" s="250">
        <v>82</v>
      </c>
      <c r="F244" s="182">
        <v>9020</v>
      </c>
      <c r="G244" s="250" t="s">
        <v>175</v>
      </c>
      <c r="H244" s="250">
        <v>19</v>
      </c>
      <c r="I244" s="250">
        <v>925</v>
      </c>
      <c r="J244" s="250">
        <v>1155</v>
      </c>
      <c r="K244" s="250" t="s">
        <v>685</v>
      </c>
      <c r="L244" s="250" t="s">
        <v>61</v>
      </c>
      <c r="M244" s="250">
        <v>19</v>
      </c>
      <c r="N244" s="250"/>
      <c r="O244" s="250"/>
      <c r="P244" s="250" t="s">
        <v>153</v>
      </c>
      <c r="Q244" s="250"/>
      <c r="R244" s="250"/>
      <c r="S244" s="250"/>
      <c r="T244" s="250" t="s">
        <v>155</v>
      </c>
      <c r="U244" s="103" t="s">
        <v>686</v>
      </c>
      <c r="V244" s="106" t="s">
        <v>157</v>
      </c>
      <c r="W244" s="103" t="s">
        <v>81</v>
      </c>
      <c r="X244" s="103">
        <f>IFERROR(MATCH(W244,'CostModel Coef'!$C$9:$C$12,0),0)</f>
        <v>1</v>
      </c>
      <c r="Y244" s="103"/>
      <c r="Z244" s="103">
        <f>IF($X244&gt;0,INDEX('CostModel Coef'!D$9:D$12,$X244),"")</f>
        <v>3.0430000000000001</v>
      </c>
      <c r="AA244" s="103">
        <f>IF($X244&gt;0,INDEX('CostModel Coef'!E$9:E$12,$X244),"")</f>
        <v>-0.14966150225589619</v>
      </c>
      <c r="AB244" s="103">
        <f>IF($X244&gt;0,INDEX('CostModel Coef'!F$9:F$12,$X244),"")</f>
        <v>0.52692151711335011</v>
      </c>
      <c r="AC244" s="103">
        <f>IF($X244&gt;0,INDEX('CostModel Coef'!G$9:G$12,$X244),"")</f>
        <v>1.8411</v>
      </c>
      <c r="AD244" s="103">
        <f>IF($X244&gt;0,INDEX('CostModel Coef'!H$9:H$12,$X244),"")</f>
        <v>-1.8050999999999999</v>
      </c>
      <c r="AE244" s="103">
        <f>IF($X244&gt;0,INDEX('CostModel Coef'!J$9:J$12,$X244),"")</f>
        <v>-1.1288</v>
      </c>
      <c r="AF244" s="103">
        <f>IF($X244&gt;0,INDEX('CostModel Coef'!K$9:K$12,$X244),"")</f>
        <v>-1.845</v>
      </c>
      <c r="AG244" s="103">
        <f>IF($X244&gt;0,INDEX('CostModel Coef'!L$9:L$12,$X244),"")</f>
        <v>6.7507000000000001</v>
      </c>
      <c r="AH244" s="103">
        <f>IF($X244&gt;0,INDEX('CostModel Coef'!M$9:M$12,$X244),"")</f>
        <v>5.8051000000000004</v>
      </c>
      <c r="AI244" s="103">
        <f>IF($X244&gt;0,INDEX('CostModel Coef'!N$9:N$12,$X244),"")</f>
        <v>6.1600000000000002E-2</v>
      </c>
      <c r="AJ244" s="103">
        <f>IF($X244&gt;0,INDEX('CostModel Coef'!Q$9:Q$12,$X244),"")</f>
        <v>6.6500000000000004E-2</v>
      </c>
      <c r="AK244" s="103">
        <f>IF($X244&gt;0,INDEX('CostModel Coef'!T$9:T$12,$X244),"")</f>
        <v>9.35E-2</v>
      </c>
      <c r="AL244" s="103"/>
      <c r="AM244" s="108">
        <f t="shared" si="79"/>
        <v>3.3943920148574547</v>
      </c>
      <c r="AN244" s="108">
        <f t="shared" si="80"/>
        <v>5.2393920148574544</v>
      </c>
      <c r="AO244" s="108">
        <f t="shared" si="81"/>
        <v>3.4342920148574545</v>
      </c>
      <c r="AP244" s="108">
        <f t="shared" si="82"/>
        <v>3.4342920148574545</v>
      </c>
      <c r="AQ244" s="108">
        <f t="shared" si="83"/>
        <v>2.3054920148574545</v>
      </c>
      <c r="AR244" s="108"/>
      <c r="AS244" s="108"/>
      <c r="AT244" s="103">
        <f>IF($X244&gt;0,INDEX('CostModel Coef'!D$13:D$16,$X244),"")</f>
        <v>2.1320000000000001</v>
      </c>
      <c r="AU244" s="103">
        <f>IF($X244&gt;0,INDEX('CostModel Coef'!E$13:E$16,$X244),"")</f>
        <v>0.23699999999999999</v>
      </c>
      <c r="AV244" s="103">
        <f>IF($X244&gt;0,INDEX('CostModel Coef'!F$13:F$16,$X244),"")</f>
        <v>0.59899999999999998</v>
      </c>
      <c r="AW244" s="103">
        <f>IF($X244&gt;0,INDEX('CostModel Coef'!G$13:G$16,$X244),"")</f>
        <v>0</v>
      </c>
      <c r="AX244" s="103">
        <f>IF($X244&gt;0,INDEX('CostModel Coef'!H$13:H$16,$X244),"")</f>
        <v>-1.69</v>
      </c>
      <c r="AY244" s="103">
        <f>IF($X244&gt;0,INDEX('CostModel Coef'!I$13:I$16,$X244),"")</f>
        <v>-1.1599999999999999</v>
      </c>
      <c r="AZ244" s="103">
        <f>IF($X244&gt;0,INDEX('CostModel Coef'!J$13:J$16,$X244),"")</f>
        <v>0</v>
      </c>
      <c r="BA244" s="103">
        <f>IF($X244&gt;0,INDEX('CostModel Coef'!K$13:K$16,$X244),"")</f>
        <v>-2.4630000000000001</v>
      </c>
      <c r="BB244" s="103">
        <f>IF($X244&gt;0,INDEX('CostModel Coef'!L$13:L$16,$X244),"")</f>
        <v>0.46179999999999999</v>
      </c>
      <c r="BC244" s="103">
        <f>IF($X244&gt;0,INDEX('CostModel Coef'!M$13:M$16,$X244),"")</f>
        <v>0</v>
      </c>
      <c r="BD244" s="103">
        <f>IF($X244&gt;0,INDEX('CostModel Coef'!N$13:N$16,$X244),"")</f>
        <v>0.19869999999999999</v>
      </c>
      <c r="BE244" s="103">
        <f>IF($X244&gt;0,INDEX('CostModel Coef'!O$13:O$16,$X244),"")</f>
        <v>0.6</v>
      </c>
      <c r="BF244" s="103">
        <f>IF($X244&gt;0,INDEX('CostModel Coef'!P$13:P$16,$X244),"")</f>
        <v>15</v>
      </c>
      <c r="BG244" s="103">
        <f>IF($X244&gt;0,INDEX('CostModel Coef'!Q$13:Q$16,$X244),"")</f>
        <v>0</v>
      </c>
      <c r="BH244" s="103">
        <f>IF($X244&gt;0,INDEX('CostModel Coef'!R$13:R$16,$X244),"")</f>
        <v>3</v>
      </c>
      <c r="BI244" s="103">
        <f>IF($X244&gt;0,INDEX('CostModel Coef'!S$13:S$16,$X244),"")</f>
        <v>150</v>
      </c>
      <c r="BJ244" s="103">
        <f>IF($X244&gt;0,INDEX('CostModel Coef'!T$13:T$16,$X244),"")</f>
        <v>0</v>
      </c>
      <c r="BK244" s="103">
        <f>IF($X244&gt;0,INDEX('CostModel Coef'!U$13:U$16,$X244),"")</f>
        <v>9.1999999999999998E-3</v>
      </c>
      <c r="BL244" s="103">
        <f>IF($X244&gt;0,INDEX('CostModel Coef'!V$13:V$16,$X244),"")</f>
        <v>-8.8000000000000005E-3</v>
      </c>
      <c r="BM244" s="103">
        <f>IF($X244&gt;0,INDEX('CostModel Coef'!W$13:W$16,$X244),"")</f>
        <v>0</v>
      </c>
      <c r="BN244" s="103">
        <f>IF($X244&gt;0,INDEX('CostModel Coef'!X$13:X$16,$X244),"")</f>
        <v>0</v>
      </c>
      <c r="BO244" s="103"/>
      <c r="BP244" s="119">
        <v>2000</v>
      </c>
      <c r="BQ244" s="103"/>
      <c r="BR244" s="103"/>
      <c r="BS244" s="119" t="str">
        <f t="shared" si="86"/>
        <v>WRR0347_CFLscw(19w)</v>
      </c>
      <c r="BT244" s="174">
        <f t="shared" si="78"/>
        <v>66</v>
      </c>
      <c r="BU244" s="113">
        <f t="shared" si="88"/>
        <v>1.2336</v>
      </c>
      <c r="BV244" s="108">
        <f t="shared" si="89"/>
        <v>3.6966000000000001</v>
      </c>
      <c r="BW244" s="108">
        <f t="shared" si="90"/>
        <v>2.0066000000000002</v>
      </c>
      <c r="BX244" s="108">
        <f t="shared" si="91"/>
        <v>0.84660000000000024</v>
      </c>
      <c r="BY244" s="108">
        <f t="shared" si="92"/>
        <v>0.84660000000000024</v>
      </c>
      <c r="BZ244" s="108"/>
      <c r="CA244" s="119" t="str">
        <f t="shared" si="93"/>
        <v>WRR0407_CFLscw(19w)</v>
      </c>
      <c r="CB244" s="174">
        <f t="shared" si="84"/>
        <v>77</v>
      </c>
      <c r="CC244" s="113">
        <f t="shared" si="94"/>
        <v>1.3172000000000001</v>
      </c>
      <c r="CD244" s="108">
        <f t="shared" si="95"/>
        <v>3.7802000000000002</v>
      </c>
      <c r="CE244" s="108">
        <f t="shared" si="96"/>
        <v>2.0902000000000003</v>
      </c>
      <c r="CF244" s="108">
        <f t="shared" si="97"/>
        <v>0.93020000000000036</v>
      </c>
      <c r="CG244" s="108">
        <f t="shared" si="98"/>
        <v>0.93020000000000036</v>
      </c>
      <c r="CH244" s="103"/>
      <c r="CI244" s="119" t="str">
        <f t="shared" si="87"/>
        <v>WRR0347_CFLscw(19w)</v>
      </c>
      <c r="CJ244" s="174">
        <f t="shared" si="85"/>
        <v>66</v>
      </c>
      <c r="CK244" s="113">
        <f t="shared" si="99"/>
        <v>1.2336</v>
      </c>
      <c r="CL244" s="108">
        <f t="shared" si="100"/>
        <v>3.6966000000000001</v>
      </c>
      <c r="CM244" s="108">
        <f t="shared" si="101"/>
        <v>2.0066000000000002</v>
      </c>
      <c r="CN244" s="108">
        <f t="shared" si="102"/>
        <v>0.84660000000000024</v>
      </c>
      <c r="CO244" s="108">
        <f t="shared" si="103"/>
        <v>0.84660000000000024</v>
      </c>
    </row>
    <row r="245" spans="1:93">
      <c r="A245" s="103" t="s">
        <v>687</v>
      </c>
      <c r="B245" s="103" t="s">
        <v>165</v>
      </c>
      <c r="C245" s="103" t="s">
        <v>152</v>
      </c>
      <c r="D245" s="250" t="s">
        <v>153</v>
      </c>
      <c r="E245" s="250">
        <v>82</v>
      </c>
      <c r="F245" s="182">
        <v>9020</v>
      </c>
      <c r="G245" s="250" t="s">
        <v>175</v>
      </c>
      <c r="H245" s="250">
        <v>200</v>
      </c>
      <c r="I245" s="250"/>
      <c r="J245" s="250"/>
      <c r="K245" s="250" t="s">
        <v>688</v>
      </c>
      <c r="L245" s="250" t="s">
        <v>61</v>
      </c>
      <c r="M245" s="250">
        <v>200</v>
      </c>
      <c r="N245" s="250"/>
      <c r="O245" s="250"/>
      <c r="P245" s="250" t="s">
        <v>153</v>
      </c>
      <c r="Q245" s="250"/>
      <c r="R245" s="250"/>
      <c r="S245" s="250"/>
      <c r="T245" s="250" t="s">
        <v>155</v>
      </c>
      <c r="U245" s="103" t="s">
        <v>689</v>
      </c>
      <c r="V245" s="106" t="s">
        <v>157</v>
      </c>
      <c r="W245" s="103" t="s">
        <v>158</v>
      </c>
      <c r="X245" s="103">
        <f>IFERROR(MATCH(W245,'CostModel Coef'!$C$9:$C$12,0),0)</f>
        <v>0</v>
      </c>
      <c r="Y245" s="103"/>
      <c r="Z245" s="103" t="str">
        <f>IF($X245&gt;0,INDEX('CostModel Coef'!D$9:D$12,$X245),"")</f>
        <v/>
      </c>
      <c r="AA245" s="103" t="str">
        <f>IF($X245&gt;0,INDEX('CostModel Coef'!E$9:E$12,$X245),"")</f>
        <v/>
      </c>
      <c r="AB245" s="103" t="str">
        <f>IF($X245&gt;0,INDEX('CostModel Coef'!F$9:F$12,$X245),"")</f>
        <v/>
      </c>
      <c r="AC245" s="103" t="str">
        <f>IF($X245&gt;0,INDEX('CostModel Coef'!G$9:G$12,$X245),"")</f>
        <v/>
      </c>
      <c r="AD245" s="103" t="str">
        <f>IF($X245&gt;0,INDEX('CostModel Coef'!H$9:H$12,$X245),"")</f>
        <v/>
      </c>
      <c r="AE245" s="103" t="str">
        <f>IF($X245&gt;0,INDEX('CostModel Coef'!J$9:J$12,$X245),"")</f>
        <v/>
      </c>
      <c r="AF245" s="103" t="str">
        <f>IF($X245&gt;0,INDEX('CostModel Coef'!K$9:K$12,$X245),"")</f>
        <v/>
      </c>
      <c r="AG245" s="103" t="str">
        <f>IF($X245&gt;0,INDEX('CostModel Coef'!L$9:L$12,$X245),"")</f>
        <v/>
      </c>
      <c r="AH245" s="103" t="str">
        <f>IF($X245&gt;0,INDEX('CostModel Coef'!M$9:M$12,$X245),"")</f>
        <v/>
      </c>
      <c r="AI245" s="103" t="str">
        <f>IF($X245&gt;0,INDEX('CostModel Coef'!N$9:N$12,$X245),"")</f>
        <v/>
      </c>
      <c r="AJ245" s="103" t="str">
        <f>IF($X245&gt;0,INDEX('CostModel Coef'!Q$9:Q$12,$X245),"")</f>
        <v/>
      </c>
      <c r="AK245" s="103" t="str">
        <f>IF($X245&gt;0,INDEX('CostModel Coef'!T$9:T$12,$X245),"")</f>
        <v/>
      </c>
      <c r="AL245" s="103"/>
      <c r="AM245" s="108" t="str">
        <f t="shared" si="79"/>
        <v/>
      </c>
      <c r="AN245" s="108" t="str">
        <f t="shared" si="80"/>
        <v/>
      </c>
      <c r="AO245" s="108" t="str">
        <f t="shared" si="81"/>
        <v/>
      </c>
      <c r="AP245" s="108" t="str">
        <f t="shared" si="82"/>
        <v/>
      </c>
      <c r="AQ245" s="108" t="str">
        <f t="shared" si="83"/>
        <v/>
      </c>
      <c r="AR245" s="108"/>
      <c r="AS245" s="108"/>
      <c r="AT245" s="103" t="str">
        <f>IF($X245&gt;0,INDEX('CostModel Coef'!D$13:D$16,$X245),"")</f>
        <v/>
      </c>
      <c r="AU245" s="103" t="str">
        <f>IF($X245&gt;0,INDEX('CostModel Coef'!E$13:E$16,$X245),"")</f>
        <v/>
      </c>
      <c r="AV245" s="103" t="str">
        <f>IF($X245&gt;0,INDEX('CostModel Coef'!F$13:F$16,$X245),"")</f>
        <v/>
      </c>
      <c r="AW245" s="103" t="str">
        <f>IF($X245&gt;0,INDEX('CostModel Coef'!G$13:G$16,$X245),"")</f>
        <v/>
      </c>
      <c r="AX245" s="103" t="str">
        <f>IF($X245&gt;0,INDEX('CostModel Coef'!H$13:H$16,$X245),"")</f>
        <v/>
      </c>
      <c r="AY245" s="103" t="str">
        <f>IF($X245&gt;0,INDEX('CostModel Coef'!I$13:I$16,$X245),"")</f>
        <v/>
      </c>
      <c r="AZ245" s="103" t="str">
        <f>IF($X245&gt;0,INDEX('CostModel Coef'!J$13:J$16,$X245),"")</f>
        <v/>
      </c>
      <c r="BA245" s="103" t="str">
        <f>IF($X245&gt;0,INDEX('CostModel Coef'!K$13:K$16,$X245),"")</f>
        <v/>
      </c>
      <c r="BB245" s="103" t="str">
        <f>IF($X245&gt;0,INDEX('CostModel Coef'!L$13:L$16,$X245),"")</f>
        <v/>
      </c>
      <c r="BC245" s="103" t="str">
        <f>IF($X245&gt;0,INDEX('CostModel Coef'!M$13:M$16,$X245),"")</f>
        <v/>
      </c>
      <c r="BD245" s="103" t="str">
        <f>IF($X245&gt;0,INDEX('CostModel Coef'!N$13:N$16,$X245),"")</f>
        <v/>
      </c>
      <c r="BE245" s="103" t="str">
        <f>IF($X245&gt;0,INDEX('CostModel Coef'!O$13:O$16,$X245),"")</f>
        <v/>
      </c>
      <c r="BF245" s="103" t="str">
        <f>IF($X245&gt;0,INDEX('CostModel Coef'!P$13:P$16,$X245),"")</f>
        <v/>
      </c>
      <c r="BG245" s="103" t="str">
        <f>IF($X245&gt;0,INDEX('CostModel Coef'!Q$13:Q$16,$X245),"")</f>
        <v/>
      </c>
      <c r="BH245" s="103" t="str">
        <f>IF($X245&gt;0,INDEX('CostModel Coef'!R$13:R$16,$X245),"")</f>
        <v/>
      </c>
      <c r="BI245" s="103" t="str">
        <f>IF($X245&gt;0,INDEX('CostModel Coef'!S$13:S$16,$X245),"")</f>
        <v/>
      </c>
      <c r="BJ245" s="103" t="str">
        <f>IF($X245&gt;0,INDEX('CostModel Coef'!T$13:T$16,$X245),"")</f>
        <v/>
      </c>
      <c r="BK245" s="103" t="str">
        <f>IF($X245&gt;0,INDEX('CostModel Coef'!U$13:U$16,$X245),"")</f>
        <v/>
      </c>
      <c r="BL245" s="103" t="str">
        <f>IF($X245&gt;0,INDEX('CostModel Coef'!V$13:V$16,$X245),"")</f>
        <v/>
      </c>
      <c r="BM245" s="103" t="str">
        <f>IF($X245&gt;0,INDEX('CostModel Coef'!W$13:W$16,$X245),"")</f>
        <v/>
      </c>
      <c r="BN245" s="103" t="str">
        <f>IF($X245&gt;0,INDEX('CostModel Coef'!X$13:X$16,$X245),"")</f>
        <v/>
      </c>
      <c r="BO245" s="103"/>
      <c r="BP245" s="119">
        <v>2000</v>
      </c>
      <c r="BQ245" s="103"/>
      <c r="BR245" s="103"/>
      <c r="BS245" s="119" t="str">
        <f t="shared" si="86"/>
        <v/>
      </c>
      <c r="BT245" s="174">
        <f t="shared" si="78"/>
        <v>-1</v>
      </c>
      <c r="BU245" s="113" t="str">
        <f t="shared" si="88"/>
        <v>OOS</v>
      </c>
      <c r="BV245" s="108" t="str">
        <f t="shared" si="89"/>
        <v>OOS</v>
      </c>
      <c r="BW245" s="108" t="str">
        <f t="shared" si="90"/>
        <v>OOS</v>
      </c>
      <c r="BX245" s="108" t="str">
        <f t="shared" si="91"/>
        <v>OOS</v>
      </c>
      <c r="BY245" s="108" t="str">
        <f t="shared" si="92"/>
        <v>OOS</v>
      </c>
      <c r="BZ245" s="108"/>
      <c r="CA245" s="119" t="str">
        <f t="shared" si="93"/>
        <v/>
      </c>
      <c r="CB245" s="174">
        <f t="shared" si="84"/>
        <v>-1</v>
      </c>
      <c r="CC245" s="113" t="str">
        <f t="shared" si="94"/>
        <v/>
      </c>
      <c r="CD245" s="108" t="str">
        <f t="shared" si="95"/>
        <v/>
      </c>
      <c r="CE245" s="108" t="str">
        <f t="shared" si="96"/>
        <v/>
      </c>
      <c r="CF245" s="108" t="str">
        <f t="shared" si="97"/>
        <v/>
      </c>
      <c r="CG245" s="108" t="str">
        <f t="shared" si="98"/>
        <v/>
      </c>
      <c r="CH245" s="103"/>
      <c r="CI245" s="119" t="str">
        <f t="shared" si="87"/>
        <v/>
      </c>
      <c r="CJ245" s="174">
        <f t="shared" si="85"/>
        <v>-1</v>
      </c>
      <c r="CK245" s="113" t="str">
        <f t="shared" si="99"/>
        <v/>
      </c>
      <c r="CL245" s="108" t="str">
        <f t="shared" si="100"/>
        <v/>
      </c>
      <c r="CM245" s="108" t="str">
        <f t="shared" si="101"/>
        <v/>
      </c>
      <c r="CN245" s="108" t="str">
        <f t="shared" si="102"/>
        <v/>
      </c>
      <c r="CO245" s="108" t="str">
        <f t="shared" si="103"/>
        <v/>
      </c>
    </row>
    <row r="246" spans="1:93">
      <c r="A246" s="103" t="s">
        <v>690</v>
      </c>
      <c r="B246" s="103" t="s">
        <v>165</v>
      </c>
      <c r="C246" s="103" t="s">
        <v>152</v>
      </c>
      <c r="D246" s="250" t="s">
        <v>153</v>
      </c>
      <c r="E246" s="250">
        <v>82</v>
      </c>
      <c r="F246" s="182">
        <v>9020</v>
      </c>
      <c r="G246" s="250" t="s">
        <v>175</v>
      </c>
      <c r="H246" s="250">
        <v>20</v>
      </c>
      <c r="I246" s="250">
        <v>965</v>
      </c>
      <c r="J246" s="250">
        <v>1205</v>
      </c>
      <c r="K246" s="250" t="s">
        <v>691</v>
      </c>
      <c r="L246" s="250" t="s">
        <v>61</v>
      </c>
      <c r="M246" s="250">
        <v>20</v>
      </c>
      <c r="N246" s="250"/>
      <c r="O246" s="250"/>
      <c r="P246" s="250" t="s">
        <v>153</v>
      </c>
      <c r="Q246" s="250"/>
      <c r="R246" s="250"/>
      <c r="S246" s="250"/>
      <c r="T246" s="250" t="s">
        <v>155</v>
      </c>
      <c r="U246" s="103" t="s">
        <v>692</v>
      </c>
      <c r="V246" s="106" t="s">
        <v>157</v>
      </c>
      <c r="W246" s="103" t="s">
        <v>81</v>
      </c>
      <c r="X246" s="103">
        <f>IFERROR(MATCH(W246,'CostModel Coef'!$C$9:$C$12,0),0)</f>
        <v>1</v>
      </c>
      <c r="Y246" s="103"/>
      <c r="Z246" s="103">
        <f>IF($X246&gt;0,INDEX('CostModel Coef'!D$9:D$12,$X246),"")</f>
        <v>3.0430000000000001</v>
      </c>
      <c r="AA246" s="103">
        <f>IF($X246&gt;0,INDEX('CostModel Coef'!E$9:E$12,$X246),"")</f>
        <v>-0.14966150225589619</v>
      </c>
      <c r="AB246" s="103">
        <f>IF($X246&gt;0,INDEX('CostModel Coef'!F$9:F$12,$X246),"")</f>
        <v>0.52692151711335011</v>
      </c>
      <c r="AC246" s="103">
        <f>IF($X246&gt;0,INDEX('CostModel Coef'!G$9:G$12,$X246),"")</f>
        <v>1.8411</v>
      </c>
      <c r="AD246" s="103">
        <f>IF($X246&gt;0,INDEX('CostModel Coef'!H$9:H$12,$X246),"")</f>
        <v>-1.8050999999999999</v>
      </c>
      <c r="AE246" s="103">
        <f>IF($X246&gt;0,INDEX('CostModel Coef'!J$9:J$12,$X246),"")</f>
        <v>-1.1288</v>
      </c>
      <c r="AF246" s="103">
        <f>IF($X246&gt;0,INDEX('CostModel Coef'!K$9:K$12,$X246),"")</f>
        <v>-1.845</v>
      </c>
      <c r="AG246" s="103">
        <f>IF($X246&gt;0,INDEX('CostModel Coef'!L$9:L$12,$X246),"")</f>
        <v>6.7507000000000001</v>
      </c>
      <c r="AH246" s="103">
        <f>IF($X246&gt;0,INDEX('CostModel Coef'!M$9:M$12,$X246),"")</f>
        <v>5.8051000000000004</v>
      </c>
      <c r="AI246" s="103">
        <f>IF($X246&gt;0,INDEX('CostModel Coef'!N$9:N$12,$X246),"")</f>
        <v>6.1600000000000002E-2</v>
      </c>
      <c r="AJ246" s="103">
        <f>IF($X246&gt;0,INDEX('CostModel Coef'!Q$9:Q$12,$X246),"")</f>
        <v>6.6500000000000004E-2</v>
      </c>
      <c r="AK246" s="103">
        <f>IF($X246&gt;0,INDEX('CostModel Coef'!T$9:T$12,$X246),"")</f>
        <v>9.35E-2</v>
      </c>
      <c r="AL246" s="103"/>
      <c r="AM246" s="108">
        <f t="shared" si="79"/>
        <v>3.4608920148574542</v>
      </c>
      <c r="AN246" s="108">
        <f t="shared" si="80"/>
        <v>5.305892014857454</v>
      </c>
      <c r="AO246" s="108">
        <f t="shared" si="81"/>
        <v>3.5007920148574541</v>
      </c>
      <c r="AP246" s="108">
        <f t="shared" si="82"/>
        <v>3.5007920148574541</v>
      </c>
      <c r="AQ246" s="108">
        <f t="shared" si="83"/>
        <v>2.371992014857454</v>
      </c>
      <c r="AR246" s="108"/>
      <c r="AS246" s="108"/>
      <c r="AT246" s="103">
        <f>IF($X246&gt;0,INDEX('CostModel Coef'!D$13:D$16,$X246),"")</f>
        <v>2.1320000000000001</v>
      </c>
      <c r="AU246" s="103">
        <f>IF($X246&gt;0,INDEX('CostModel Coef'!E$13:E$16,$X246),"")</f>
        <v>0.23699999999999999</v>
      </c>
      <c r="AV246" s="103">
        <f>IF($X246&gt;0,INDEX('CostModel Coef'!F$13:F$16,$X246),"")</f>
        <v>0.59899999999999998</v>
      </c>
      <c r="AW246" s="103">
        <f>IF($X246&gt;0,INDEX('CostModel Coef'!G$13:G$16,$X246),"")</f>
        <v>0</v>
      </c>
      <c r="AX246" s="103">
        <f>IF($X246&gt;0,INDEX('CostModel Coef'!H$13:H$16,$X246),"")</f>
        <v>-1.69</v>
      </c>
      <c r="AY246" s="103">
        <f>IF($X246&gt;0,INDEX('CostModel Coef'!I$13:I$16,$X246),"")</f>
        <v>-1.1599999999999999</v>
      </c>
      <c r="AZ246" s="103">
        <f>IF($X246&gt;0,INDEX('CostModel Coef'!J$13:J$16,$X246),"")</f>
        <v>0</v>
      </c>
      <c r="BA246" s="103">
        <f>IF($X246&gt;0,INDEX('CostModel Coef'!K$13:K$16,$X246),"")</f>
        <v>-2.4630000000000001</v>
      </c>
      <c r="BB246" s="103">
        <f>IF($X246&gt;0,INDEX('CostModel Coef'!L$13:L$16,$X246),"")</f>
        <v>0.46179999999999999</v>
      </c>
      <c r="BC246" s="103">
        <f>IF($X246&gt;0,INDEX('CostModel Coef'!M$13:M$16,$X246),"")</f>
        <v>0</v>
      </c>
      <c r="BD246" s="103">
        <f>IF($X246&gt;0,INDEX('CostModel Coef'!N$13:N$16,$X246),"")</f>
        <v>0.19869999999999999</v>
      </c>
      <c r="BE246" s="103">
        <f>IF($X246&gt;0,INDEX('CostModel Coef'!O$13:O$16,$X246),"")</f>
        <v>0.6</v>
      </c>
      <c r="BF246" s="103">
        <f>IF($X246&gt;0,INDEX('CostModel Coef'!P$13:P$16,$X246),"")</f>
        <v>15</v>
      </c>
      <c r="BG246" s="103">
        <f>IF($X246&gt;0,INDEX('CostModel Coef'!Q$13:Q$16,$X246),"")</f>
        <v>0</v>
      </c>
      <c r="BH246" s="103">
        <f>IF($X246&gt;0,INDEX('CostModel Coef'!R$13:R$16,$X246),"")</f>
        <v>3</v>
      </c>
      <c r="BI246" s="103">
        <f>IF($X246&gt;0,INDEX('CostModel Coef'!S$13:S$16,$X246),"")</f>
        <v>150</v>
      </c>
      <c r="BJ246" s="103">
        <f>IF($X246&gt;0,INDEX('CostModel Coef'!T$13:T$16,$X246),"")</f>
        <v>0</v>
      </c>
      <c r="BK246" s="103">
        <f>IF($X246&gt;0,INDEX('CostModel Coef'!U$13:U$16,$X246),"")</f>
        <v>9.1999999999999998E-3</v>
      </c>
      <c r="BL246" s="103">
        <f>IF($X246&gt;0,INDEX('CostModel Coef'!V$13:V$16,$X246),"")</f>
        <v>-8.8000000000000005E-3</v>
      </c>
      <c r="BM246" s="103">
        <f>IF($X246&gt;0,INDEX('CostModel Coef'!W$13:W$16,$X246),"")</f>
        <v>0</v>
      </c>
      <c r="BN246" s="103">
        <f>IF($X246&gt;0,INDEX('CostModel Coef'!X$13:X$16,$X246),"")</f>
        <v>0</v>
      </c>
      <c r="BO246" s="103"/>
      <c r="BP246" s="119">
        <v>2000</v>
      </c>
      <c r="BQ246" s="103"/>
      <c r="BR246" s="103"/>
      <c r="BS246" s="119" t="str">
        <f t="shared" si="86"/>
        <v>WRR0347_CFLscw(20w)</v>
      </c>
      <c r="BT246" s="174">
        <f t="shared" si="78"/>
        <v>69</v>
      </c>
      <c r="BU246" s="113">
        <f t="shared" si="88"/>
        <v>1.2612000000000001</v>
      </c>
      <c r="BV246" s="108">
        <f t="shared" si="89"/>
        <v>3.7242000000000002</v>
      </c>
      <c r="BW246" s="108">
        <f t="shared" si="90"/>
        <v>2.0342000000000002</v>
      </c>
      <c r="BX246" s="108">
        <f t="shared" si="91"/>
        <v>0.87420000000000031</v>
      </c>
      <c r="BY246" s="108">
        <f t="shared" si="92"/>
        <v>0.87420000000000031</v>
      </c>
      <c r="BZ246" s="108"/>
      <c r="CA246" s="119" t="str">
        <f t="shared" si="93"/>
        <v>WRR0407_CFLscw(20w)</v>
      </c>
      <c r="CB246" s="174">
        <f t="shared" si="84"/>
        <v>81</v>
      </c>
      <c r="CC246" s="113">
        <f t="shared" si="94"/>
        <v>1.3188</v>
      </c>
      <c r="CD246" s="108">
        <f t="shared" si="95"/>
        <v>3.7818000000000001</v>
      </c>
      <c r="CE246" s="108">
        <f t="shared" si="96"/>
        <v>2.0918000000000001</v>
      </c>
      <c r="CF246" s="108">
        <f t="shared" si="97"/>
        <v>0.93180000000000018</v>
      </c>
      <c r="CG246" s="108">
        <f t="shared" si="98"/>
        <v>0.93180000000000018</v>
      </c>
      <c r="CH246" s="103"/>
      <c r="CI246" s="119" t="str">
        <f t="shared" si="87"/>
        <v>WRR0347_CFLscw(20w)</v>
      </c>
      <c r="CJ246" s="174">
        <f t="shared" si="85"/>
        <v>69</v>
      </c>
      <c r="CK246" s="113">
        <f t="shared" si="99"/>
        <v>1.2612000000000001</v>
      </c>
      <c r="CL246" s="108">
        <f t="shared" si="100"/>
        <v>3.7242000000000002</v>
      </c>
      <c r="CM246" s="108">
        <f t="shared" si="101"/>
        <v>2.0342000000000002</v>
      </c>
      <c r="CN246" s="108">
        <f t="shared" si="102"/>
        <v>0.87420000000000031</v>
      </c>
      <c r="CO246" s="108">
        <f t="shared" si="103"/>
        <v>0.87420000000000031</v>
      </c>
    </row>
    <row r="247" spans="1:93">
      <c r="A247" s="103" t="s">
        <v>693</v>
      </c>
      <c r="B247" s="103" t="s">
        <v>165</v>
      </c>
      <c r="C247" s="103" t="s">
        <v>152</v>
      </c>
      <c r="D247" s="250" t="s">
        <v>153</v>
      </c>
      <c r="E247" s="250">
        <v>82</v>
      </c>
      <c r="F247" s="182">
        <v>9020</v>
      </c>
      <c r="G247" s="250" t="s">
        <v>175</v>
      </c>
      <c r="H247" s="250">
        <v>21</v>
      </c>
      <c r="I247" s="250">
        <v>1070</v>
      </c>
      <c r="J247" s="250">
        <v>1337</v>
      </c>
      <c r="K247" s="250" t="s">
        <v>694</v>
      </c>
      <c r="L247" s="250" t="s">
        <v>61</v>
      </c>
      <c r="M247" s="250">
        <v>21</v>
      </c>
      <c r="N247" s="250"/>
      <c r="O247" s="250"/>
      <c r="P247" s="250" t="s">
        <v>153</v>
      </c>
      <c r="Q247" s="250"/>
      <c r="R247" s="250"/>
      <c r="S247" s="250"/>
      <c r="T247" s="250" t="s">
        <v>155</v>
      </c>
      <c r="U247" s="103" t="s">
        <v>695</v>
      </c>
      <c r="V247" s="106" t="s">
        <v>157</v>
      </c>
      <c r="W247" s="103" t="s">
        <v>81</v>
      </c>
      <c r="X247" s="103">
        <f>IFERROR(MATCH(W247,'CostModel Coef'!$C$9:$C$12,0),0)</f>
        <v>1</v>
      </c>
      <c r="Y247" s="103"/>
      <c r="Z247" s="103">
        <f>IF($X247&gt;0,INDEX('CostModel Coef'!D$9:D$12,$X247),"")</f>
        <v>3.0430000000000001</v>
      </c>
      <c r="AA247" s="103">
        <f>IF($X247&gt;0,INDEX('CostModel Coef'!E$9:E$12,$X247),"")</f>
        <v>-0.14966150225589619</v>
      </c>
      <c r="AB247" s="103">
        <f>IF($X247&gt;0,INDEX('CostModel Coef'!F$9:F$12,$X247),"")</f>
        <v>0.52692151711335011</v>
      </c>
      <c r="AC247" s="103">
        <f>IF($X247&gt;0,INDEX('CostModel Coef'!G$9:G$12,$X247),"")</f>
        <v>1.8411</v>
      </c>
      <c r="AD247" s="103">
        <f>IF($X247&gt;0,INDEX('CostModel Coef'!H$9:H$12,$X247),"")</f>
        <v>-1.8050999999999999</v>
      </c>
      <c r="AE247" s="103">
        <f>IF($X247&gt;0,INDEX('CostModel Coef'!J$9:J$12,$X247),"")</f>
        <v>-1.1288</v>
      </c>
      <c r="AF247" s="103">
        <f>IF($X247&gt;0,INDEX('CostModel Coef'!K$9:K$12,$X247),"")</f>
        <v>-1.845</v>
      </c>
      <c r="AG247" s="103">
        <f>IF($X247&gt;0,INDEX('CostModel Coef'!L$9:L$12,$X247),"")</f>
        <v>6.7507000000000001</v>
      </c>
      <c r="AH247" s="103">
        <f>IF($X247&gt;0,INDEX('CostModel Coef'!M$9:M$12,$X247),"")</f>
        <v>5.8051000000000004</v>
      </c>
      <c r="AI247" s="103">
        <f>IF($X247&gt;0,INDEX('CostModel Coef'!N$9:N$12,$X247),"")</f>
        <v>6.1600000000000002E-2</v>
      </c>
      <c r="AJ247" s="103">
        <f>IF($X247&gt;0,INDEX('CostModel Coef'!Q$9:Q$12,$X247),"")</f>
        <v>6.6500000000000004E-2</v>
      </c>
      <c r="AK247" s="103">
        <f>IF($X247&gt;0,INDEX('CostModel Coef'!T$9:T$12,$X247),"")</f>
        <v>9.35E-2</v>
      </c>
      <c r="AL247" s="103"/>
      <c r="AM247" s="108">
        <f t="shared" si="79"/>
        <v>3.5273920148574547</v>
      </c>
      <c r="AN247" s="108">
        <f t="shared" si="80"/>
        <v>5.3723920148574544</v>
      </c>
      <c r="AO247" s="108">
        <f t="shared" si="81"/>
        <v>3.5672920148574545</v>
      </c>
      <c r="AP247" s="108">
        <f t="shared" si="82"/>
        <v>3.5672920148574545</v>
      </c>
      <c r="AQ247" s="108">
        <f t="shared" si="83"/>
        <v>2.4384920148574545</v>
      </c>
      <c r="AR247" s="108"/>
      <c r="AS247" s="108"/>
      <c r="AT247" s="103">
        <f>IF($X247&gt;0,INDEX('CostModel Coef'!D$13:D$16,$X247),"")</f>
        <v>2.1320000000000001</v>
      </c>
      <c r="AU247" s="103">
        <f>IF($X247&gt;0,INDEX('CostModel Coef'!E$13:E$16,$X247),"")</f>
        <v>0.23699999999999999</v>
      </c>
      <c r="AV247" s="103">
        <f>IF($X247&gt;0,INDEX('CostModel Coef'!F$13:F$16,$X247),"")</f>
        <v>0.59899999999999998</v>
      </c>
      <c r="AW247" s="103">
        <f>IF($X247&gt;0,INDEX('CostModel Coef'!G$13:G$16,$X247),"")</f>
        <v>0</v>
      </c>
      <c r="AX247" s="103">
        <f>IF($X247&gt;0,INDEX('CostModel Coef'!H$13:H$16,$X247),"")</f>
        <v>-1.69</v>
      </c>
      <c r="AY247" s="103">
        <f>IF($X247&gt;0,INDEX('CostModel Coef'!I$13:I$16,$X247),"")</f>
        <v>-1.1599999999999999</v>
      </c>
      <c r="AZ247" s="103">
        <f>IF($X247&gt;0,INDEX('CostModel Coef'!J$13:J$16,$X247),"")</f>
        <v>0</v>
      </c>
      <c r="BA247" s="103">
        <f>IF($X247&gt;0,INDEX('CostModel Coef'!K$13:K$16,$X247),"")</f>
        <v>-2.4630000000000001</v>
      </c>
      <c r="BB247" s="103">
        <f>IF($X247&gt;0,INDEX('CostModel Coef'!L$13:L$16,$X247),"")</f>
        <v>0.46179999999999999</v>
      </c>
      <c r="BC247" s="103">
        <f>IF($X247&gt;0,INDEX('CostModel Coef'!M$13:M$16,$X247),"")</f>
        <v>0</v>
      </c>
      <c r="BD247" s="103">
        <f>IF($X247&gt;0,INDEX('CostModel Coef'!N$13:N$16,$X247),"")</f>
        <v>0.19869999999999999</v>
      </c>
      <c r="BE247" s="103">
        <f>IF($X247&gt;0,INDEX('CostModel Coef'!O$13:O$16,$X247),"")</f>
        <v>0.6</v>
      </c>
      <c r="BF247" s="103">
        <f>IF($X247&gt;0,INDEX('CostModel Coef'!P$13:P$16,$X247),"")</f>
        <v>15</v>
      </c>
      <c r="BG247" s="103">
        <f>IF($X247&gt;0,INDEX('CostModel Coef'!Q$13:Q$16,$X247),"")</f>
        <v>0</v>
      </c>
      <c r="BH247" s="103">
        <f>IF($X247&gt;0,INDEX('CostModel Coef'!R$13:R$16,$X247),"")</f>
        <v>3</v>
      </c>
      <c r="BI247" s="103">
        <f>IF($X247&gt;0,INDEX('CostModel Coef'!S$13:S$16,$X247),"")</f>
        <v>150</v>
      </c>
      <c r="BJ247" s="103">
        <f>IF($X247&gt;0,INDEX('CostModel Coef'!T$13:T$16,$X247),"")</f>
        <v>0</v>
      </c>
      <c r="BK247" s="103">
        <f>IF($X247&gt;0,INDEX('CostModel Coef'!U$13:U$16,$X247),"")</f>
        <v>9.1999999999999998E-3</v>
      </c>
      <c r="BL247" s="103">
        <f>IF($X247&gt;0,INDEX('CostModel Coef'!V$13:V$16,$X247),"")</f>
        <v>-8.8000000000000005E-3</v>
      </c>
      <c r="BM247" s="103">
        <f>IF($X247&gt;0,INDEX('CostModel Coef'!W$13:W$16,$X247),"")</f>
        <v>0</v>
      </c>
      <c r="BN247" s="103">
        <f>IF($X247&gt;0,INDEX('CostModel Coef'!X$13:X$16,$X247),"")</f>
        <v>0</v>
      </c>
      <c r="BO247" s="103"/>
      <c r="BP247" s="119">
        <v>2000</v>
      </c>
      <c r="BQ247" s="103"/>
      <c r="BR247" s="103"/>
      <c r="BS247" s="119" t="str">
        <f t="shared" si="86"/>
        <v>WRR0347_CFLscw(21w)</v>
      </c>
      <c r="BT247" s="174">
        <f t="shared" si="78"/>
        <v>73</v>
      </c>
      <c r="BU247" s="113">
        <f t="shared" si="88"/>
        <v>1.298</v>
      </c>
      <c r="BV247" s="108">
        <f t="shared" si="89"/>
        <v>3.7610000000000001</v>
      </c>
      <c r="BW247" s="108">
        <f t="shared" si="90"/>
        <v>2.0710000000000002</v>
      </c>
      <c r="BX247" s="108">
        <f t="shared" si="91"/>
        <v>0.91100000000000025</v>
      </c>
      <c r="BY247" s="108">
        <f t="shared" si="92"/>
        <v>0.91100000000000025</v>
      </c>
      <c r="BZ247" s="108"/>
      <c r="CA247" s="119" t="str">
        <f t="shared" si="93"/>
        <v>WRR0407_CFLscw(21w)</v>
      </c>
      <c r="CB247" s="174">
        <f t="shared" si="84"/>
        <v>85</v>
      </c>
      <c r="CC247" s="113">
        <f t="shared" si="94"/>
        <v>1.3204000000000002</v>
      </c>
      <c r="CD247" s="108">
        <f t="shared" si="95"/>
        <v>3.7834000000000003</v>
      </c>
      <c r="CE247" s="108">
        <f t="shared" si="96"/>
        <v>2.0934000000000004</v>
      </c>
      <c r="CF247" s="108">
        <f t="shared" si="97"/>
        <v>0.93340000000000045</v>
      </c>
      <c r="CG247" s="108">
        <f t="shared" si="98"/>
        <v>0.93340000000000045</v>
      </c>
      <c r="CH247" s="103"/>
      <c r="CI247" s="119" t="str">
        <f t="shared" si="87"/>
        <v>WRR0347_CFLscw(21w)</v>
      </c>
      <c r="CJ247" s="174">
        <f t="shared" si="85"/>
        <v>73</v>
      </c>
      <c r="CK247" s="113">
        <f t="shared" si="99"/>
        <v>1.298</v>
      </c>
      <c r="CL247" s="108">
        <f t="shared" si="100"/>
        <v>3.7610000000000001</v>
      </c>
      <c r="CM247" s="108">
        <f t="shared" si="101"/>
        <v>2.0710000000000002</v>
      </c>
      <c r="CN247" s="108">
        <f t="shared" si="102"/>
        <v>0.91100000000000025</v>
      </c>
      <c r="CO247" s="108">
        <f t="shared" si="103"/>
        <v>0.91100000000000025</v>
      </c>
    </row>
    <row r="248" spans="1:93">
      <c r="A248" s="103" t="s">
        <v>696</v>
      </c>
      <c r="B248" s="103" t="s">
        <v>165</v>
      </c>
      <c r="C248" s="103" t="s">
        <v>152</v>
      </c>
      <c r="D248" s="250" t="s">
        <v>153</v>
      </c>
      <c r="E248" s="250">
        <v>82</v>
      </c>
      <c r="F248" s="182">
        <v>9020</v>
      </c>
      <c r="G248" s="250" t="s">
        <v>175</v>
      </c>
      <c r="H248" s="250">
        <v>22</v>
      </c>
      <c r="I248" s="250">
        <v>1175</v>
      </c>
      <c r="J248" s="250">
        <v>1468</v>
      </c>
      <c r="K248" s="250" t="s">
        <v>697</v>
      </c>
      <c r="L248" s="250" t="s">
        <v>61</v>
      </c>
      <c r="M248" s="250">
        <v>22</v>
      </c>
      <c r="N248" s="250"/>
      <c r="O248" s="250"/>
      <c r="P248" s="250" t="s">
        <v>153</v>
      </c>
      <c r="Q248" s="250"/>
      <c r="R248" s="250"/>
      <c r="S248" s="250"/>
      <c r="T248" s="250" t="s">
        <v>155</v>
      </c>
      <c r="U248" s="103" t="s">
        <v>698</v>
      </c>
      <c r="V248" s="106" t="s">
        <v>157</v>
      </c>
      <c r="W248" s="103" t="s">
        <v>81</v>
      </c>
      <c r="X248" s="103">
        <f>IFERROR(MATCH(W248,'CostModel Coef'!$C$9:$C$12,0),0)</f>
        <v>1</v>
      </c>
      <c r="Y248" s="103"/>
      <c r="Z248" s="103">
        <f>IF($X248&gt;0,INDEX('CostModel Coef'!D$9:D$12,$X248),"")</f>
        <v>3.0430000000000001</v>
      </c>
      <c r="AA248" s="103">
        <f>IF($X248&gt;0,INDEX('CostModel Coef'!E$9:E$12,$X248),"")</f>
        <v>-0.14966150225589619</v>
      </c>
      <c r="AB248" s="103">
        <f>IF($X248&gt;0,INDEX('CostModel Coef'!F$9:F$12,$X248),"")</f>
        <v>0.52692151711335011</v>
      </c>
      <c r="AC248" s="103">
        <f>IF($X248&gt;0,INDEX('CostModel Coef'!G$9:G$12,$X248),"")</f>
        <v>1.8411</v>
      </c>
      <c r="AD248" s="103">
        <f>IF($X248&gt;0,INDEX('CostModel Coef'!H$9:H$12,$X248),"")</f>
        <v>-1.8050999999999999</v>
      </c>
      <c r="AE248" s="103">
        <f>IF($X248&gt;0,INDEX('CostModel Coef'!J$9:J$12,$X248),"")</f>
        <v>-1.1288</v>
      </c>
      <c r="AF248" s="103">
        <f>IF($X248&gt;0,INDEX('CostModel Coef'!K$9:K$12,$X248),"")</f>
        <v>-1.845</v>
      </c>
      <c r="AG248" s="103">
        <f>IF($X248&gt;0,INDEX('CostModel Coef'!L$9:L$12,$X248),"")</f>
        <v>6.7507000000000001</v>
      </c>
      <c r="AH248" s="103">
        <f>IF($X248&gt;0,INDEX('CostModel Coef'!M$9:M$12,$X248),"")</f>
        <v>5.8051000000000004</v>
      </c>
      <c r="AI248" s="103">
        <f>IF($X248&gt;0,INDEX('CostModel Coef'!N$9:N$12,$X248),"")</f>
        <v>6.1600000000000002E-2</v>
      </c>
      <c r="AJ248" s="103">
        <f>IF($X248&gt;0,INDEX('CostModel Coef'!Q$9:Q$12,$X248),"")</f>
        <v>6.6500000000000004E-2</v>
      </c>
      <c r="AK248" s="103">
        <f>IF($X248&gt;0,INDEX('CostModel Coef'!T$9:T$12,$X248),"")</f>
        <v>9.35E-2</v>
      </c>
      <c r="AL248" s="103"/>
      <c r="AM248" s="108">
        <f t="shared" si="79"/>
        <v>3.5938920148574551</v>
      </c>
      <c r="AN248" s="108">
        <f t="shared" si="80"/>
        <v>5.4388920148574549</v>
      </c>
      <c r="AO248" s="108">
        <f t="shared" si="81"/>
        <v>3.633792014857455</v>
      </c>
      <c r="AP248" s="108">
        <f t="shared" si="82"/>
        <v>3.633792014857455</v>
      </c>
      <c r="AQ248" s="108">
        <f t="shared" si="83"/>
        <v>2.5049920148574549</v>
      </c>
      <c r="AR248" s="108"/>
      <c r="AS248" s="108"/>
      <c r="AT248" s="103">
        <f>IF($X248&gt;0,INDEX('CostModel Coef'!D$13:D$16,$X248),"")</f>
        <v>2.1320000000000001</v>
      </c>
      <c r="AU248" s="103">
        <f>IF($X248&gt;0,INDEX('CostModel Coef'!E$13:E$16,$X248),"")</f>
        <v>0.23699999999999999</v>
      </c>
      <c r="AV248" s="103">
        <f>IF($X248&gt;0,INDEX('CostModel Coef'!F$13:F$16,$X248),"")</f>
        <v>0.59899999999999998</v>
      </c>
      <c r="AW248" s="103">
        <f>IF($X248&gt;0,INDEX('CostModel Coef'!G$13:G$16,$X248),"")</f>
        <v>0</v>
      </c>
      <c r="AX248" s="103">
        <f>IF($X248&gt;0,INDEX('CostModel Coef'!H$13:H$16,$X248),"")</f>
        <v>-1.69</v>
      </c>
      <c r="AY248" s="103">
        <f>IF($X248&gt;0,INDEX('CostModel Coef'!I$13:I$16,$X248),"")</f>
        <v>-1.1599999999999999</v>
      </c>
      <c r="AZ248" s="103">
        <f>IF($X248&gt;0,INDEX('CostModel Coef'!J$13:J$16,$X248),"")</f>
        <v>0</v>
      </c>
      <c r="BA248" s="103">
        <f>IF($X248&gt;0,INDEX('CostModel Coef'!K$13:K$16,$X248),"")</f>
        <v>-2.4630000000000001</v>
      </c>
      <c r="BB248" s="103">
        <f>IF($X248&gt;0,INDEX('CostModel Coef'!L$13:L$16,$X248),"")</f>
        <v>0.46179999999999999</v>
      </c>
      <c r="BC248" s="103">
        <f>IF($X248&gt;0,INDEX('CostModel Coef'!M$13:M$16,$X248),"")</f>
        <v>0</v>
      </c>
      <c r="BD248" s="103">
        <f>IF($X248&gt;0,INDEX('CostModel Coef'!N$13:N$16,$X248),"")</f>
        <v>0.19869999999999999</v>
      </c>
      <c r="BE248" s="103">
        <f>IF($X248&gt;0,INDEX('CostModel Coef'!O$13:O$16,$X248),"")</f>
        <v>0.6</v>
      </c>
      <c r="BF248" s="103">
        <f>IF($X248&gt;0,INDEX('CostModel Coef'!P$13:P$16,$X248),"")</f>
        <v>15</v>
      </c>
      <c r="BG248" s="103">
        <f>IF($X248&gt;0,INDEX('CostModel Coef'!Q$13:Q$16,$X248),"")</f>
        <v>0</v>
      </c>
      <c r="BH248" s="103">
        <f>IF($X248&gt;0,INDEX('CostModel Coef'!R$13:R$16,$X248),"")</f>
        <v>3</v>
      </c>
      <c r="BI248" s="103">
        <f>IF($X248&gt;0,INDEX('CostModel Coef'!S$13:S$16,$X248),"")</f>
        <v>150</v>
      </c>
      <c r="BJ248" s="103">
        <f>IF($X248&gt;0,INDEX('CostModel Coef'!T$13:T$16,$X248),"")</f>
        <v>0</v>
      </c>
      <c r="BK248" s="103">
        <f>IF($X248&gt;0,INDEX('CostModel Coef'!U$13:U$16,$X248),"")</f>
        <v>9.1999999999999998E-3</v>
      </c>
      <c r="BL248" s="103">
        <f>IF($X248&gt;0,INDEX('CostModel Coef'!V$13:V$16,$X248),"")</f>
        <v>-8.8000000000000005E-3</v>
      </c>
      <c r="BM248" s="103">
        <f>IF($X248&gt;0,INDEX('CostModel Coef'!W$13:W$16,$X248),"")</f>
        <v>0</v>
      </c>
      <c r="BN248" s="103">
        <f>IF($X248&gt;0,INDEX('CostModel Coef'!X$13:X$16,$X248),"")</f>
        <v>0</v>
      </c>
      <c r="BO248" s="103"/>
      <c r="BP248" s="119">
        <v>2000</v>
      </c>
      <c r="BQ248" s="103"/>
      <c r="BR248" s="103"/>
      <c r="BS248" s="119" t="str">
        <f t="shared" si="86"/>
        <v>WRR0347_CFLscw(22w)</v>
      </c>
      <c r="BT248" s="174">
        <f t="shared" si="78"/>
        <v>76</v>
      </c>
      <c r="BU248" s="113">
        <f t="shared" si="88"/>
        <v>1.3168000000000002</v>
      </c>
      <c r="BV248" s="108">
        <f t="shared" si="89"/>
        <v>3.7798000000000003</v>
      </c>
      <c r="BW248" s="108">
        <f t="shared" si="90"/>
        <v>2.0898000000000003</v>
      </c>
      <c r="BX248" s="108">
        <f t="shared" si="91"/>
        <v>0.9298000000000004</v>
      </c>
      <c r="BY248" s="108">
        <f t="shared" si="92"/>
        <v>0.9298000000000004</v>
      </c>
      <c r="BZ248" s="108"/>
      <c r="CA248" s="119" t="str">
        <f t="shared" si="93"/>
        <v>WRR0407_CFLscw(22w)</v>
      </c>
      <c r="CB248" s="174">
        <f t="shared" si="84"/>
        <v>90</v>
      </c>
      <c r="CC248" s="113">
        <f t="shared" si="94"/>
        <v>1.3224</v>
      </c>
      <c r="CD248" s="108">
        <f t="shared" si="95"/>
        <v>3.7854000000000001</v>
      </c>
      <c r="CE248" s="108">
        <f t="shared" si="96"/>
        <v>2.0954000000000002</v>
      </c>
      <c r="CF248" s="108">
        <f t="shared" si="97"/>
        <v>0.93540000000000023</v>
      </c>
      <c r="CG248" s="108">
        <f t="shared" si="98"/>
        <v>0.93540000000000023</v>
      </c>
      <c r="CH248" s="103"/>
      <c r="CI248" s="119" t="str">
        <f t="shared" si="87"/>
        <v>WRR0347_CFLscw(22w)</v>
      </c>
      <c r="CJ248" s="174">
        <f t="shared" si="85"/>
        <v>76</v>
      </c>
      <c r="CK248" s="113">
        <f t="shared" si="99"/>
        <v>1.3168000000000002</v>
      </c>
      <c r="CL248" s="108">
        <f t="shared" si="100"/>
        <v>3.7798000000000003</v>
      </c>
      <c r="CM248" s="108">
        <f t="shared" si="101"/>
        <v>2.0898000000000003</v>
      </c>
      <c r="CN248" s="108">
        <f t="shared" si="102"/>
        <v>0.9298000000000004</v>
      </c>
      <c r="CO248" s="108">
        <f t="shared" si="103"/>
        <v>0.9298000000000004</v>
      </c>
    </row>
    <row r="249" spans="1:93">
      <c r="A249" s="103" t="s">
        <v>699</v>
      </c>
      <c r="B249" s="103" t="s">
        <v>165</v>
      </c>
      <c r="C249" s="103" t="s">
        <v>152</v>
      </c>
      <c r="D249" s="250" t="s">
        <v>153</v>
      </c>
      <c r="E249" s="250">
        <v>82</v>
      </c>
      <c r="F249" s="182">
        <v>9020</v>
      </c>
      <c r="G249" s="250" t="s">
        <v>175</v>
      </c>
      <c r="H249" s="250">
        <v>23</v>
      </c>
      <c r="I249" s="250">
        <v>1280</v>
      </c>
      <c r="J249" s="250">
        <v>1600</v>
      </c>
      <c r="K249" s="250" t="s">
        <v>700</v>
      </c>
      <c r="L249" s="250" t="s">
        <v>61</v>
      </c>
      <c r="M249" s="250">
        <v>23</v>
      </c>
      <c r="N249" s="250"/>
      <c r="O249" s="250"/>
      <c r="P249" s="250" t="s">
        <v>153</v>
      </c>
      <c r="Q249" s="250"/>
      <c r="R249" s="250"/>
      <c r="S249" s="250"/>
      <c r="T249" s="250" t="s">
        <v>155</v>
      </c>
      <c r="U249" s="103" t="s">
        <v>701</v>
      </c>
      <c r="V249" s="106" t="s">
        <v>157</v>
      </c>
      <c r="W249" s="103" t="s">
        <v>81</v>
      </c>
      <c r="X249" s="103">
        <f>IFERROR(MATCH(W249,'CostModel Coef'!$C$9:$C$12,0),0)</f>
        <v>1</v>
      </c>
      <c r="Y249" s="103"/>
      <c r="Z249" s="103">
        <f>IF($X249&gt;0,INDEX('CostModel Coef'!D$9:D$12,$X249),"")</f>
        <v>3.0430000000000001</v>
      </c>
      <c r="AA249" s="103">
        <f>IF($X249&gt;0,INDEX('CostModel Coef'!E$9:E$12,$X249),"")</f>
        <v>-0.14966150225589619</v>
      </c>
      <c r="AB249" s="103">
        <f>IF($X249&gt;0,INDEX('CostModel Coef'!F$9:F$12,$X249),"")</f>
        <v>0.52692151711335011</v>
      </c>
      <c r="AC249" s="103">
        <f>IF($X249&gt;0,INDEX('CostModel Coef'!G$9:G$12,$X249),"")</f>
        <v>1.8411</v>
      </c>
      <c r="AD249" s="103">
        <f>IF($X249&gt;0,INDEX('CostModel Coef'!H$9:H$12,$X249),"")</f>
        <v>-1.8050999999999999</v>
      </c>
      <c r="AE249" s="103">
        <f>IF($X249&gt;0,INDEX('CostModel Coef'!J$9:J$12,$X249),"")</f>
        <v>-1.1288</v>
      </c>
      <c r="AF249" s="103">
        <f>IF($X249&gt;0,INDEX('CostModel Coef'!K$9:K$12,$X249),"")</f>
        <v>-1.845</v>
      </c>
      <c r="AG249" s="103">
        <f>IF($X249&gt;0,INDEX('CostModel Coef'!L$9:L$12,$X249),"")</f>
        <v>6.7507000000000001</v>
      </c>
      <c r="AH249" s="103">
        <f>IF($X249&gt;0,INDEX('CostModel Coef'!M$9:M$12,$X249),"")</f>
        <v>5.8051000000000004</v>
      </c>
      <c r="AI249" s="103">
        <f>IF($X249&gt;0,INDEX('CostModel Coef'!N$9:N$12,$X249),"")</f>
        <v>6.1600000000000002E-2</v>
      </c>
      <c r="AJ249" s="103">
        <f>IF($X249&gt;0,INDEX('CostModel Coef'!Q$9:Q$12,$X249),"")</f>
        <v>6.6500000000000004E-2</v>
      </c>
      <c r="AK249" s="103">
        <f>IF($X249&gt;0,INDEX('CostModel Coef'!T$9:T$12,$X249),"")</f>
        <v>9.35E-2</v>
      </c>
      <c r="AL249" s="103"/>
      <c r="AM249" s="108">
        <f t="shared" si="79"/>
        <v>3.6603920148574547</v>
      </c>
      <c r="AN249" s="108">
        <f t="shared" si="80"/>
        <v>5.5053920148574544</v>
      </c>
      <c r="AO249" s="108">
        <f t="shared" si="81"/>
        <v>3.7002920148574545</v>
      </c>
      <c r="AP249" s="108">
        <f t="shared" si="82"/>
        <v>3.7002920148574545</v>
      </c>
      <c r="AQ249" s="108">
        <f t="shared" si="83"/>
        <v>2.5714920148574545</v>
      </c>
      <c r="AR249" s="108"/>
      <c r="AS249" s="108"/>
      <c r="AT249" s="103">
        <f>IF($X249&gt;0,INDEX('CostModel Coef'!D$13:D$16,$X249),"")</f>
        <v>2.1320000000000001</v>
      </c>
      <c r="AU249" s="103">
        <f>IF($X249&gt;0,INDEX('CostModel Coef'!E$13:E$16,$X249),"")</f>
        <v>0.23699999999999999</v>
      </c>
      <c r="AV249" s="103">
        <f>IF($X249&gt;0,INDEX('CostModel Coef'!F$13:F$16,$X249),"")</f>
        <v>0.59899999999999998</v>
      </c>
      <c r="AW249" s="103">
        <f>IF($X249&gt;0,INDEX('CostModel Coef'!G$13:G$16,$X249),"")</f>
        <v>0</v>
      </c>
      <c r="AX249" s="103">
        <f>IF($X249&gt;0,INDEX('CostModel Coef'!H$13:H$16,$X249),"")</f>
        <v>-1.69</v>
      </c>
      <c r="AY249" s="103">
        <f>IF($X249&gt;0,INDEX('CostModel Coef'!I$13:I$16,$X249),"")</f>
        <v>-1.1599999999999999</v>
      </c>
      <c r="AZ249" s="103">
        <f>IF($X249&gt;0,INDEX('CostModel Coef'!J$13:J$16,$X249),"")</f>
        <v>0</v>
      </c>
      <c r="BA249" s="103">
        <f>IF($X249&gt;0,INDEX('CostModel Coef'!K$13:K$16,$X249),"")</f>
        <v>-2.4630000000000001</v>
      </c>
      <c r="BB249" s="103">
        <f>IF($X249&gt;0,INDEX('CostModel Coef'!L$13:L$16,$X249),"")</f>
        <v>0.46179999999999999</v>
      </c>
      <c r="BC249" s="103">
        <f>IF($X249&gt;0,INDEX('CostModel Coef'!M$13:M$16,$X249),"")</f>
        <v>0</v>
      </c>
      <c r="BD249" s="103">
        <f>IF($X249&gt;0,INDEX('CostModel Coef'!N$13:N$16,$X249),"")</f>
        <v>0.19869999999999999</v>
      </c>
      <c r="BE249" s="103">
        <f>IF($X249&gt;0,INDEX('CostModel Coef'!O$13:O$16,$X249),"")</f>
        <v>0.6</v>
      </c>
      <c r="BF249" s="103">
        <f>IF($X249&gt;0,INDEX('CostModel Coef'!P$13:P$16,$X249),"")</f>
        <v>15</v>
      </c>
      <c r="BG249" s="103">
        <f>IF($X249&gt;0,INDEX('CostModel Coef'!Q$13:Q$16,$X249),"")</f>
        <v>0</v>
      </c>
      <c r="BH249" s="103">
        <f>IF($X249&gt;0,INDEX('CostModel Coef'!R$13:R$16,$X249),"")</f>
        <v>3</v>
      </c>
      <c r="BI249" s="103">
        <f>IF($X249&gt;0,INDEX('CostModel Coef'!S$13:S$16,$X249),"")</f>
        <v>150</v>
      </c>
      <c r="BJ249" s="103">
        <f>IF($X249&gt;0,INDEX('CostModel Coef'!T$13:T$16,$X249),"")</f>
        <v>0</v>
      </c>
      <c r="BK249" s="103">
        <f>IF($X249&gt;0,INDEX('CostModel Coef'!U$13:U$16,$X249),"")</f>
        <v>9.1999999999999998E-3</v>
      </c>
      <c r="BL249" s="103">
        <f>IF($X249&gt;0,INDEX('CostModel Coef'!V$13:V$16,$X249),"")</f>
        <v>-8.8000000000000005E-3</v>
      </c>
      <c r="BM249" s="103">
        <f>IF($X249&gt;0,INDEX('CostModel Coef'!W$13:W$16,$X249),"")</f>
        <v>0</v>
      </c>
      <c r="BN249" s="103">
        <f>IF($X249&gt;0,INDEX('CostModel Coef'!X$13:X$16,$X249),"")</f>
        <v>0</v>
      </c>
      <c r="BO249" s="103"/>
      <c r="BP249" s="119">
        <v>2000</v>
      </c>
      <c r="BQ249" s="103"/>
      <c r="BR249" s="103"/>
      <c r="BS249" s="119" t="str">
        <f t="shared" si="86"/>
        <v>WRR0347_CFLscw(23w)</v>
      </c>
      <c r="BT249" s="174">
        <f t="shared" si="78"/>
        <v>80</v>
      </c>
      <c r="BU249" s="113">
        <f t="shared" si="88"/>
        <v>1.3184</v>
      </c>
      <c r="BV249" s="108">
        <f t="shared" si="89"/>
        <v>3.7814000000000001</v>
      </c>
      <c r="BW249" s="108">
        <f t="shared" si="90"/>
        <v>2.0914000000000001</v>
      </c>
      <c r="BX249" s="108">
        <f t="shared" si="91"/>
        <v>0.93140000000000023</v>
      </c>
      <c r="BY249" s="108">
        <f t="shared" si="92"/>
        <v>0.93140000000000023</v>
      </c>
      <c r="BZ249" s="108"/>
      <c r="CA249" s="119" t="str">
        <f t="shared" si="93"/>
        <v>WRR0407_CFLscw(23w)</v>
      </c>
      <c r="CB249" s="174">
        <f t="shared" si="84"/>
        <v>94</v>
      </c>
      <c r="CC249" s="113">
        <f t="shared" si="94"/>
        <v>1.3239999999999998</v>
      </c>
      <c r="CD249" s="108">
        <f t="shared" si="95"/>
        <v>3.7869999999999999</v>
      </c>
      <c r="CE249" s="108">
        <f t="shared" si="96"/>
        <v>2.097</v>
      </c>
      <c r="CF249" s="108">
        <f t="shared" si="97"/>
        <v>0.93700000000000006</v>
      </c>
      <c r="CG249" s="108">
        <f t="shared" si="98"/>
        <v>0.93700000000000006</v>
      </c>
      <c r="CH249" s="103"/>
      <c r="CI249" s="119" t="str">
        <f t="shared" si="87"/>
        <v>WRR0347_CFLscw(23w)</v>
      </c>
      <c r="CJ249" s="174">
        <f t="shared" si="85"/>
        <v>80</v>
      </c>
      <c r="CK249" s="113">
        <f t="shared" si="99"/>
        <v>1.3184</v>
      </c>
      <c r="CL249" s="108">
        <f t="shared" si="100"/>
        <v>3.7814000000000001</v>
      </c>
      <c r="CM249" s="108">
        <f t="shared" si="101"/>
        <v>2.0914000000000001</v>
      </c>
      <c r="CN249" s="108">
        <f t="shared" si="102"/>
        <v>0.93140000000000023</v>
      </c>
      <c r="CO249" s="108">
        <f t="shared" si="103"/>
        <v>0.93140000000000023</v>
      </c>
    </row>
    <row r="250" spans="1:93">
      <c r="A250" s="103" t="s">
        <v>702</v>
      </c>
      <c r="B250" s="103" t="s">
        <v>165</v>
      </c>
      <c r="C250" s="103" t="s">
        <v>152</v>
      </c>
      <c r="D250" s="250" t="s">
        <v>153</v>
      </c>
      <c r="E250" s="250">
        <v>82</v>
      </c>
      <c r="F250" s="182">
        <v>9020</v>
      </c>
      <c r="G250" s="250" t="s">
        <v>175</v>
      </c>
      <c r="H250" s="250">
        <v>24</v>
      </c>
      <c r="I250" s="250">
        <v>1295</v>
      </c>
      <c r="J250" s="250">
        <v>1620</v>
      </c>
      <c r="K250" s="250" t="s">
        <v>703</v>
      </c>
      <c r="L250" s="250" t="s">
        <v>61</v>
      </c>
      <c r="M250" s="250">
        <v>24</v>
      </c>
      <c r="N250" s="250"/>
      <c r="O250" s="250"/>
      <c r="P250" s="250" t="s">
        <v>153</v>
      </c>
      <c r="Q250" s="250"/>
      <c r="R250" s="250"/>
      <c r="S250" s="250"/>
      <c r="T250" s="250" t="s">
        <v>155</v>
      </c>
      <c r="U250" s="103" t="s">
        <v>704</v>
      </c>
      <c r="V250" s="106" t="s">
        <v>157</v>
      </c>
      <c r="W250" s="103" t="s">
        <v>81</v>
      </c>
      <c r="X250" s="103">
        <f>IFERROR(MATCH(W250,'CostModel Coef'!$C$9:$C$12,0),0)</f>
        <v>1</v>
      </c>
      <c r="Y250" s="103"/>
      <c r="Z250" s="103">
        <f>IF($X250&gt;0,INDEX('CostModel Coef'!D$9:D$12,$X250),"")</f>
        <v>3.0430000000000001</v>
      </c>
      <c r="AA250" s="103">
        <f>IF($X250&gt;0,INDEX('CostModel Coef'!E$9:E$12,$X250),"")</f>
        <v>-0.14966150225589619</v>
      </c>
      <c r="AB250" s="103">
        <f>IF($X250&gt;0,INDEX('CostModel Coef'!F$9:F$12,$X250),"")</f>
        <v>0.52692151711335011</v>
      </c>
      <c r="AC250" s="103">
        <f>IF($X250&gt;0,INDEX('CostModel Coef'!G$9:G$12,$X250),"")</f>
        <v>1.8411</v>
      </c>
      <c r="AD250" s="103">
        <f>IF($X250&gt;0,INDEX('CostModel Coef'!H$9:H$12,$X250),"")</f>
        <v>-1.8050999999999999</v>
      </c>
      <c r="AE250" s="103">
        <f>IF($X250&gt;0,INDEX('CostModel Coef'!J$9:J$12,$X250),"")</f>
        <v>-1.1288</v>
      </c>
      <c r="AF250" s="103">
        <f>IF($X250&gt;0,INDEX('CostModel Coef'!K$9:K$12,$X250),"")</f>
        <v>-1.845</v>
      </c>
      <c r="AG250" s="103">
        <f>IF($X250&gt;0,INDEX('CostModel Coef'!L$9:L$12,$X250),"")</f>
        <v>6.7507000000000001</v>
      </c>
      <c r="AH250" s="103">
        <f>IF($X250&gt;0,INDEX('CostModel Coef'!M$9:M$12,$X250),"")</f>
        <v>5.8051000000000004</v>
      </c>
      <c r="AI250" s="103">
        <f>IF($X250&gt;0,INDEX('CostModel Coef'!N$9:N$12,$X250),"")</f>
        <v>6.1600000000000002E-2</v>
      </c>
      <c r="AJ250" s="103">
        <f>IF($X250&gt;0,INDEX('CostModel Coef'!Q$9:Q$12,$X250),"")</f>
        <v>6.6500000000000004E-2</v>
      </c>
      <c r="AK250" s="103">
        <f>IF($X250&gt;0,INDEX('CostModel Coef'!T$9:T$12,$X250),"")</f>
        <v>9.35E-2</v>
      </c>
      <c r="AL250" s="103"/>
      <c r="AM250" s="108">
        <f t="shared" si="79"/>
        <v>3.7268920148574542</v>
      </c>
      <c r="AN250" s="108">
        <f t="shared" si="80"/>
        <v>5.571892014857454</v>
      </c>
      <c r="AO250" s="108">
        <f t="shared" si="81"/>
        <v>3.7667920148574541</v>
      </c>
      <c r="AP250" s="108">
        <f t="shared" si="82"/>
        <v>3.7667920148574541</v>
      </c>
      <c r="AQ250" s="108">
        <f t="shared" si="83"/>
        <v>2.637992014857454</v>
      </c>
      <c r="AR250" s="108"/>
      <c r="AS250" s="108"/>
      <c r="AT250" s="103">
        <f>IF($X250&gt;0,INDEX('CostModel Coef'!D$13:D$16,$X250),"")</f>
        <v>2.1320000000000001</v>
      </c>
      <c r="AU250" s="103">
        <f>IF($X250&gt;0,INDEX('CostModel Coef'!E$13:E$16,$X250),"")</f>
        <v>0.23699999999999999</v>
      </c>
      <c r="AV250" s="103">
        <f>IF($X250&gt;0,INDEX('CostModel Coef'!F$13:F$16,$X250),"")</f>
        <v>0.59899999999999998</v>
      </c>
      <c r="AW250" s="103">
        <f>IF($X250&gt;0,INDEX('CostModel Coef'!G$13:G$16,$X250),"")</f>
        <v>0</v>
      </c>
      <c r="AX250" s="103">
        <f>IF($X250&gt;0,INDEX('CostModel Coef'!H$13:H$16,$X250),"")</f>
        <v>-1.69</v>
      </c>
      <c r="AY250" s="103">
        <f>IF($X250&gt;0,INDEX('CostModel Coef'!I$13:I$16,$X250),"")</f>
        <v>-1.1599999999999999</v>
      </c>
      <c r="AZ250" s="103">
        <f>IF($X250&gt;0,INDEX('CostModel Coef'!J$13:J$16,$X250),"")</f>
        <v>0</v>
      </c>
      <c r="BA250" s="103">
        <f>IF($X250&gt;0,INDEX('CostModel Coef'!K$13:K$16,$X250),"")</f>
        <v>-2.4630000000000001</v>
      </c>
      <c r="BB250" s="103">
        <f>IF($X250&gt;0,INDEX('CostModel Coef'!L$13:L$16,$X250),"")</f>
        <v>0.46179999999999999</v>
      </c>
      <c r="BC250" s="103">
        <f>IF($X250&gt;0,INDEX('CostModel Coef'!M$13:M$16,$X250),"")</f>
        <v>0</v>
      </c>
      <c r="BD250" s="103">
        <f>IF($X250&gt;0,INDEX('CostModel Coef'!N$13:N$16,$X250),"")</f>
        <v>0.19869999999999999</v>
      </c>
      <c r="BE250" s="103">
        <f>IF($X250&gt;0,INDEX('CostModel Coef'!O$13:O$16,$X250),"")</f>
        <v>0.6</v>
      </c>
      <c r="BF250" s="103">
        <f>IF($X250&gt;0,INDEX('CostModel Coef'!P$13:P$16,$X250),"")</f>
        <v>15</v>
      </c>
      <c r="BG250" s="103">
        <f>IF($X250&gt;0,INDEX('CostModel Coef'!Q$13:Q$16,$X250),"")</f>
        <v>0</v>
      </c>
      <c r="BH250" s="103">
        <f>IF($X250&gt;0,INDEX('CostModel Coef'!R$13:R$16,$X250),"")</f>
        <v>3</v>
      </c>
      <c r="BI250" s="103">
        <f>IF($X250&gt;0,INDEX('CostModel Coef'!S$13:S$16,$X250),"")</f>
        <v>150</v>
      </c>
      <c r="BJ250" s="103">
        <f>IF($X250&gt;0,INDEX('CostModel Coef'!T$13:T$16,$X250),"")</f>
        <v>0</v>
      </c>
      <c r="BK250" s="103">
        <f>IF($X250&gt;0,INDEX('CostModel Coef'!U$13:U$16,$X250),"")</f>
        <v>9.1999999999999998E-3</v>
      </c>
      <c r="BL250" s="103">
        <f>IF($X250&gt;0,INDEX('CostModel Coef'!V$13:V$16,$X250),"")</f>
        <v>-8.8000000000000005E-3</v>
      </c>
      <c r="BM250" s="103">
        <f>IF($X250&gt;0,INDEX('CostModel Coef'!W$13:W$16,$X250),"")</f>
        <v>0</v>
      </c>
      <c r="BN250" s="103">
        <f>IF($X250&gt;0,INDEX('CostModel Coef'!X$13:X$16,$X250),"")</f>
        <v>0</v>
      </c>
      <c r="BO250" s="103"/>
      <c r="BP250" s="119">
        <v>2000</v>
      </c>
      <c r="BQ250" s="103"/>
      <c r="BR250" s="103"/>
      <c r="BS250" s="119" t="str">
        <f t="shared" si="86"/>
        <v>WRR0347_CFLscw(24w)</v>
      </c>
      <c r="BT250" s="174">
        <f t="shared" si="78"/>
        <v>83</v>
      </c>
      <c r="BU250" s="113">
        <f t="shared" si="88"/>
        <v>1.3196000000000003</v>
      </c>
      <c r="BV250" s="108">
        <f t="shared" si="89"/>
        <v>3.7826000000000004</v>
      </c>
      <c r="BW250" s="108">
        <f t="shared" si="90"/>
        <v>2.0926000000000005</v>
      </c>
      <c r="BX250" s="108">
        <f t="shared" si="91"/>
        <v>0.93260000000000054</v>
      </c>
      <c r="BY250" s="108">
        <f t="shared" si="92"/>
        <v>0.93260000000000054</v>
      </c>
      <c r="BZ250" s="108"/>
      <c r="CA250" s="119" t="str">
        <f t="shared" si="93"/>
        <v>WRR0407_CFLscw(24w)</v>
      </c>
      <c r="CB250" s="174">
        <f t="shared" si="84"/>
        <v>98</v>
      </c>
      <c r="CC250" s="113">
        <f t="shared" si="94"/>
        <v>1.3256000000000001</v>
      </c>
      <c r="CD250" s="108">
        <f t="shared" si="95"/>
        <v>3.7886000000000002</v>
      </c>
      <c r="CE250" s="108">
        <f t="shared" si="96"/>
        <v>2.0986000000000002</v>
      </c>
      <c r="CF250" s="108">
        <f t="shared" si="97"/>
        <v>0.93860000000000032</v>
      </c>
      <c r="CG250" s="108">
        <f t="shared" si="98"/>
        <v>0.93860000000000032</v>
      </c>
      <c r="CH250" s="103"/>
      <c r="CI250" s="119" t="str">
        <f t="shared" si="87"/>
        <v>WRR0347_CFLscw(24w)</v>
      </c>
      <c r="CJ250" s="174">
        <f t="shared" si="85"/>
        <v>83</v>
      </c>
      <c r="CK250" s="113">
        <f t="shared" si="99"/>
        <v>1.3196000000000003</v>
      </c>
      <c r="CL250" s="108">
        <f t="shared" si="100"/>
        <v>3.7826000000000004</v>
      </c>
      <c r="CM250" s="108">
        <f t="shared" si="101"/>
        <v>2.0926000000000005</v>
      </c>
      <c r="CN250" s="108">
        <f t="shared" si="102"/>
        <v>0.93260000000000054</v>
      </c>
      <c r="CO250" s="108">
        <f t="shared" si="103"/>
        <v>0.93260000000000054</v>
      </c>
    </row>
    <row r="251" spans="1:93">
      <c r="A251" s="103" t="s">
        <v>705</v>
      </c>
      <c r="B251" s="103" t="s">
        <v>165</v>
      </c>
      <c r="C251" s="103" t="s">
        <v>152</v>
      </c>
      <c r="D251" s="250" t="s">
        <v>153</v>
      </c>
      <c r="E251" s="250">
        <v>82</v>
      </c>
      <c r="F251" s="182">
        <v>9020</v>
      </c>
      <c r="G251" s="250" t="s">
        <v>175</v>
      </c>
      <c r="H251" s="250">
        <v>25</v>
      </c>
      <c r="I251" s="250">
        <v>1310</v>
      </c>
      <c r="J251" s="250">
        <v>1640</v>
      </c>
      <c r="K251" s="250" t="s">
        <v>706</v>
      </c>
      <c r="L251" s="250" t="s">
        <v>61</v>
      </c>
      <c r="M251" s="250">
        <v>25</v>
      </c>
      <c r="N251" s="250"/>
      <c r="O251" s="250"/>
      <c r="P251" s="250" t="s">
        <v>153</v>
      </c>
      <c r="Q251" s="250"/>
      <c r="R251" s="250"/>
      <c r="S251" s="250"/>
      <c r="T251" s="250" t="s">
        <v>155</v>
      </c>
      <c r="U251" s="103" t="s">
        <v>707</v>
      </c>
      <c r="V251" s="106" t="s">
        <v>157</v>
      </c>
      <c r="W251" s="103" t="s">
        <v>81</v>
      </c>
      <c r="X251" s="103">
        <f>IFERROR(MATCH(W251,'CostModel Coef'!$C$9:$C$12,0),0)</f>
        <v>1</v>
      </c>
      <c r="Y251" s="103"/>
      <c r="Z251" s="103">
        <f>IF($X251&gt;0,INDEX('CostModel Coef'!D$9:D$12,$X251),"")</f>
        <v>3.0430000000000001</v>
      </c>
      <c r="AA251" s="103">
        <f>IF($X251&gt;0,INDEX('CostModel Coef'!E$9:E$12,$X251),"")</f>
        <v>-0.14966150225589619</v>
      </c>
      <c r="AB251" s="103">
        <f>IF($X251&gt;0,INDEX('CostModel Coef'!F$9:F$12,$X251),"")</f>
        <v>0.52692151711335011</v>
      </c>
      <c r="AC251" s="103">
        <f>IF($X251&gt;0,INDEX('CostModel Coef'!G$9:G$12,$X251),"")</f>
        <v>1.8411</v>
      </c>
      <c r="AD251" s="103">
        <f>IF($X251&gt;0,INDEX('CostModel Coef'!H$9:H$12,$X251),"")</f>
        <v>-1.8050999999999999</v>
      </c>
      <c r="AE251" s="103">
        <f>IF($X251&gt;0,INDEX('CostModel Coef'!J$9:J$12,$X251),"")</f>
        <v>-1.1288</v>
      </c>
      <c r="AF251" s="103">
        <f>IF($X251&gt;0,INDEX('CostModel Coef'!K$9:K$12,$X251),"")</f>
        <v>-1.845</v>
      </c>
      <c r="AG251" s="103">
        <f>IF($X251&gt;0,INDEX('CostModel Coef'!L$9:L$12,$X251),"")</f>
        <v>6.7507000000000001</v>
      </c>
      <c r="AH251" s="103">
        <f>IF($X251&gt;0,INDEX('CostModel Coef'!M$9:M$12,$X251),"")</f>
        <v>5.8051000000000004</v>
      </c>
      <c r="AI251" s="103">
        <f>IF($X251&gt;0,INDEX('CostModel Coef'!N$9:N$12,$X251),"")</f>
        <v>6.1600000000000002E-2</v>
      </c>
      <c r="AJ251" s="103">
        <f>IF($X251&gt;0,INDEX('CostModel Coef'!Q$9:Q$12,$X251),"")</f>
        <v>6.6500000000000004E-2</v>
      </c>
      <c r="AK251" s="103">
        <f>IF($X251&gt;0,INDEX('CostModel Coef'!T$9:T$12,$X251),"")</f>
        <v>9.35E-2</v>
      </c>
      <c r="AL251" s="103"/>
      <c r="AM251" s="108">
        <f t="shared" si="79"/>
        <v>3.7933920148574547</v>
      </c>
      <c r="AN251" s="108">
        <f t="shared" si="80"/>
        <v>5.6383920148574544</v>
      </c>
      <c r="AO251" s="108">
        <f t="shared" si="81"/>
        <v>3.8332920148574545</v>
      </c>
      <c r="AP251" s="108">
        <f t="shared" si="82"/>
        <v>3.8332920148574545</v>
      </c>
      <c r="AQ251" s="108">
        <f t="shared" si="83"/>
        <v>2.7044920148574545</v>
      </c>
      <c r="AR251" s="108"/>
      <c r="AS251" s="108"/>
      <c r="AT251" s="103">
        <f>IF($X251&gt;0,INDEX('CostModel Coef'!D$13:D$16,$X251),"")</f>
        <v>2.1320000000000001</v>
      </c>
      <c r="AU251" s="103">
        <f>IF($X251&gt;0,INDEX('CostModel Coef'!E$13:E$16,$X251),"")</f>
        <v>0.23699999999999999</v>
      </c>
      <c r="AV251" s="103">
        <f>IF($X251&gt;0,INDEX('CostModel Coef'!F$13:F$16,$X251),"")</f>
        <v>0.59899999999999998</v>
      </c>
      <c r="AW251" s="103">
        <f>IF($X251&gt;0,INDEX('CostModel Coef'!G$13:G$16,$X251),"")</f>
        <v>0</v>
      </c>
      <c r="AX251" s="103">
        <f>IF($X251&gt;0,INDEX('CostModel Coef'!H$13:H$16,$X251),"")</f>
        <v>-1.69</v>
      </c>
      <c r="AY251" s="103">
        <f>IF($X251&gt;0,INDEX('CostModel Coef'!I$13:I$16,$X251),"")</f>
        <v>-1.1599999999999999</v>
      </c>
      <c r="AZ251" s="103">
        <f>IF($X251&gt;0,INDEX('CostModel Coef'!J$13:J$16,$X251),"")</f>
        <v>0</v>
      </c>
      <c r="BA251" s="103">
        <f>IF($X251&gt;0,INDEX('CostModel Coef'!K$13:K$16,$X251),"")</f>
        <v>-2.4630000000000001</v>
      </c>
      <c r="BB251" s="103">
        <f>IF($X251&gt;0,INDEX('CostModel Coef'!L$13:L$16,$X251),"")</f>
        <v>0.46179999999999999</v>
      </c>
      <c r="BC251" s="103">
        <f>IF($X251&gt;0,INDEX('CostModel Coef'!M$13:M$16,$X251),"")</f>
        <v>0</v>
      </c>
      <c r="BD251" s="103">
        <f>IF($X251&gt;0,INDEX('CostModel Coef'!N$13:N$16,$X251),"")</f>
        <v>0.19869999999999999</v>
      </c>
      <c r="BE251" s="103">
        <f>IF($X251&gt;0,INDEX('CostModel Coef'!O$13:O$16,$X251),"")</f>
        <v>0.6</v>
      </c>
      <c r="BF251" s="103">
        <f>IF($X251&gt;0,INDEX('CostModel Coef'!P$13:P$16,$X251),"")</f>
        <v>15</v>
      </c>
      <c r="BG251" s="103">
        <f>IF($X251&gt;0,INDEX('CostModel Coef'!Q$13:Q$16,$X251),"")</f>
        <v>0</v>
      </c>
      <c r="BH251" s="103">
        <f>IF($X251&gt;0,INDEX('CostModel Coef'!R$13:R$16,$X251),"")</f>
        <v>3</v>
      </c>
      <c r="BI251" s="103">
        <f>IF($X251&gt;0,INDEX('CostModel Coef'!S$13:S$16,$X251),"")</f>
        <v>150</v>
      </c>
      <c r="BJ251" s="103">
        <f>IF($X251&gt;0,INDEX('CostModel Coef'!T$13:T$16,$X251),"")</f>
        <v>0</v>
      </c>
      <c r="BK251" s="103">
        <f>IF($X251&gt;0,INDEX('CostModel Coef'!U$13:U$16,$X251),"")</f>
        <v>9.1999999999999998E-3</v>
      </c>
      <c r="BL251" s="103">
        <f>IF($X251&gt;0,INDEX('CostModel Coef'!V$13:V$16,$X251),"")</f>
        <v>-8.8000000000000005E-3</v>
      </c>
      <c r="BM251" s="103">
        <f>IF($X251&gt;0,INDEX('CostModel Coef'!W$13:W$16,$X251),"")</f>
        <v>0</v>
      </c>
      <c r="BN251" s="103">
        <f>IF($X251&gt;0,INDEX('CostModel Coef'!X$13:X$16,$X251),"")</f>
        <v>0</v>
      </c>
      <c r="BO251" s="103"/>
      <c r="BP251" s="119">
        <v>2000</v>
      </c>
      <c r="BQ251" s="103"/>
      <c r="BR251" s="103"/>
      <c r="BS251" s="119" t="str">
        <f t="shared" si="86"/>
        <v>WRR0347_CFLscw(25w)</v>
      </c>
      <c r="BT251" s="174">
        <f t="shared" si="78"/>
        <v>87</v>
      </c>
      <c r="BU251" s="113">
        <f t="shared" si="88"/>
        <v>1.3212000000000002</v>
      </c>
      <c r="BV251" s="108">
        <f t="shared" si="89"/>
        <v>3.7842000000000002</v>
      </c>
      <c r="BW251" s="108">
        <f t="shared" si="90"/>
        <v>2.0942000000000003</v>
      </c>
      <c r="BX251" s="108">
        <f t="shared" si="91"/>
        <v>0.93420000000000036</v>
      </c>
      <c r="BY251" s="108">
        <f t="shared" si="92"/>
        <v>0.93420000000000036</v>
      </c>
      <c r="BZ251" s="108"/>
      <c r="CA251" s="119" t="str">
        <f t="shared" si="93"/>
        <v>WRR0407_CFLscw(25w)</v>
      </c>
      <c r="CB251" s="174">
        <f t="shared" si="84"/>
        <v>102</v>
      </c>
      <c r="CC251" s="113">
        <f t="shared" si="94"/>
        <v>1.3271999999999999</v>
      </c>
      <c r="CD251" s="108">
        <f t="shared" si="95"/>
        <v>3.7902</v>
      </c>
      <c r="CE251" s="108">
        <f t="shared" si="96"/>
        <v>2.1002000000000001</v>
      </c>
      <c r="CF251" s="108">
        <f t="shared" si="97"/>
        <v>0.94020000000000015</v>
      </c>
      <c r="CG251" s="108">
        <f t="shared" si="98"/>
        <v>0.94020000000000015</v>
      </c>
      <c r="CH251" s="103"/>
      <c r="CI251" s="119" t="str">
        <f t="shared" si="87"/>
        <v>WRR0347_CFLscw(25w)</v>
      </c>
      <c r="CJ251" s="174">
        <f t="shared" si="85"/>
        <v>87</v>
      </c>
      <c r="CK251" s="113">
        <f t="shared" si="99"/>
        <v>1.3212000000000002</v>
      </c>
      <c r="CL251" s="108">
        <f t="shared" si="100"/>
        <v>3.7842000000000002</v>
      </c>
      <c r="CM251" s="108">
        <f t="shared" si="101"/>
        <v>2.0942000000000003</v>
      </c>
      <c r="CN251" s="108">
        <f t="shared" si="102"/>
        <v>0.93420000000000036</v>
      </c>
      <c r="CO251" s="108">
        <f t="shared" si="103"/>
        <v>0.93420000000000036</v>
      </c>
    </row>
    <row r="252" spans="1:93">
      <c r="A252" s="103" t="s">
        <v>708</v>
      </c>
      <c r="B252" s="103" t="s">
        <v>165</v>
      </c>
      <c r="C252" s="103" t="s">
        <v>152</v>
      </c>
      <c r="D252" s="250" t="s">
        <v>153</v>
      </c>
      <c r="E252" s="250">
        <v>82</v>
      </c>
      <c r="F252" s="182">
        <v>9020</v>
      </c>
      <c r="G252" s="250" t="s">
        <v>175</v>
      </c>
      <c r="H252" s="250">
        <v>26</v>
      </c>
      <c r="I252" s="250">
        <v>1368</v>
      </c>
      <c r="J252" s="250">
        <v>1712</v>
      </c>
      <c r="K252" s="250" t="s">
        <v>709</v>
      </c>
      <c r="L252" s="250" t="s">
        <v>61</v>
      </c>
      <c r="M252" s="250">
        <v>26</v>
      </c>
      <c r="N252" s="250"/>
      <c r="O252" s="250"/>
      <c r="P252" s="250" t="s">
        <v>153</v>
      </c>
      <c r="Q252" s="250"/>
      <c r="R252" s="250"/>
      <c r="S252" s="250"/>
      <c r="T252" s="250" t="s">
        <v>155</v>
      </c>
      <c r="U252" s="103" t="s">
        <v>710</v>
      </c>
      <c r="V252" s="106" t="s">
        <v>157</v>
      </c>
      <c r="W252" s="103" t="s">
        <v>81</v>
      </c>
      <c r="X252" s="103">
        <f>IFERROR(MATCH(W252,'CostModel Coef'!$C$9:$C$12,0),0)</f>
        <v>1</v>
      </c>
      <c r="Y252" s="103"/>
      <c r="Z252" s="103">
        <f>IF($X252&gt;0,INDEX('CostModel Coef'!D$9:D$12,$X252),"")</f>
        <v>3.0430000000000001</v>
      </c>
      <c r="AA252" s="103">
        <f>IF($X252&gt;0,INDEX('CostModel Coef'!E$9:E$12,$X252),"")</f>
        <v>-0.14966150225589619</v>
      </c>
      <c r="AB252" s="103">
        <f>IF($X252&gt;0,INDEX('CostModel Coef'!F$9:F$12,$X252),"")</f>
        <v>0.52692151711335011</v>
      </c>
      <c r="AC252" s="103">
        <f>IF($X252&gt;0,INDEX('CostModel Coef'!G$9:G$12,$X252),"")</f>
        <v>1.8411</v>
      </c>
      <c r="AD252" s="103">
        <f>IF($X252&gt;0,INDEX('CostModel Coef'!H$9:H$12,$X252),"")</f>
        <v>-1.8050999999999999</v>
      </c>
      <c r="AE252" s="103">
        <f>IF($X252&gt;0,INDEX('CostModel Coef'!J$9:J$12,$X252),"")</f>
        <v>-1.1288</v>
      </c>
      <c r="AF252" s="103">
        <f>IF($X252&gt;0,INDEX('CostModel Coef'!K$9:K$12,$X252),"")</f>
        <v>-1.845</v>
      </c>
      <c r="AG252" s="103">
        <f>IF($X252&gt;0,INDEX('CostModel Coef'!L$9:L$12,$X252),"")</f>
        <v>6.7507000000000001</v>
      </c>
      <c r="AH252" s="103">
        <f>IF($X252&gt;0,INDEX('CostModel Coef'!M$9:M$12,$X252),"")</f>
        <v>5.8051000000000004</v>
      </c>
      <c r="AI252" s="103">
        <f>IF($X252&gt;0,INDEX('CostModel Coef'!N$9:N$12,$X252),"")</f>
        <v>6.1600000000000002E-2</v>
      </c>
      <c r="AJ252" s="103">
        <f>IF($X252&gt;0,INDEX('CostModel Coef'!Q$9:Q$12,$X252),"")</f>
        <v>6.6500000000000004E-2</v>
      </c>
      <c r="AK252" s="103">
        <f>IF($X252&gt;0,INDEX('CostModel Coef'!T$9:T$12,$X252),"")</f>
        <v>9.35E-2</v>
      </c>
      <c r="AL252" s="103"/>
      <c r="AM252" s="108">
        <f t="shared" si="79"/>
        <v>3.9533920148574548</v>
      </c>
      <c r="AN252" s="108">
        <f t="shared" si="80"/>
        <v>5.7983920148574546</v>
      </c>
      <c r="AO252" s="108">
        <f t="shared" si="81"/>
        <v>3.9932920148574551</v>
      </c>
      <c r="AP252" s="108">
        <f t="shared" si="82"/>
        <v>3.9932920148574551</v>
      </c>
      <c r="AQ252" s="108">
        <f t="shared" si="83"/>
        <v>2.8644920148574551</v>
      </c>
      <c r="AR252" s="108"/>
      <c r="AS252" s="108"/>
      <c r="AT252" s="103">
        <f>IF($X252&gt;0,INDEX('CostModel Coef'!D$13:D$16,$X252),"")</f>
        <v>2.1320000000000001</v>
      </c>
      <c r="AU252" s="103">
        <f>IF($X252&gt;0,INDEX('CostModel Coef'!E$13:E$16,$X252),"")</f>
        <v>0.23699999999999999</v>
      </c>
      <c r="AV252" s="103">
        <f>IF($X252&gt;0,INDEX('CostModel Coef'!F$13:F$16,$X252),"")</f>
        <v>0.59899999999999998</v>
      </c>
      <c r="AW252" s="103">
        <f>IF($X252&gt;0,INDEX('CostModel Coef'!G$13:G$16,$X252),"")</f>
        <v>0</v>
      </c>
      <c r="AX252" s="103">
        <f>IF($X252&gt;0,INDEX('CostModel Coef'!H$13:H$16,$X252),"")</f>
        <v>-1.69</v>
      </c>
      <c r="AY252" s="103">
        <f>IF($X252&gt;0,INDEX('CostModel Coef'!I$13:I$16,$X252),"")</f>
        <v>-1.1599999999999999</v>
      </c>
      <c r="AZ252" s="103">
        <f>IF($X252&gt;0,INDEX('CostModel Coef'!J$13:J$16,$X252),"")</f>
        <v>0</v>
      </c>
      <c r="BA252" s="103">
        <f>IF($X252&gt;0,INDEX('CostModel Coef'!K$13:K$16,$X252),"")</f>
        <v>-2.4630000000000001</v>
      </c>
      <c r="BB252" s="103">
        <f>IF($X252&gt;0,INDEX('CostModel Coef'!L$13:L$16,$X252),"")</f>
        <v>0.46179999999999999</v>
      </c>
      <c r="BC252" s="103">
        <f>IF($X252&gt;0,INDEX('CostModel Coef'!M$13:M$16,$X252),"")</f>
        <v>0</v>
      </c>
      <c r="BD252" s="103">
        <f>IF($X252&gt;0,INDEX('CostModel Coef'!N$13:N$16,$X252),"")</f>
        <v>0.19869999999999999</v>
      </c>
      <c r="BE252" s="103">
        <f>IF($X252&gt;0,INDEX('CostModel Coef'!O$13:O$16,$X252),"")</f>
        <v>0.6</v>
      </c>
      <c r="BF252" s="103">
        <f>IF($X252&gt;0,INDEX('CostModel Coef'!P$13:P$16,$X252),"")</f>
        <v>15</v>
      </c>
      <c r="BG252" s="103">
        <f>IF($X252&gt;0,INDEX('CostModel Coef'!Q$13:Q$16,$X252),"")</f>
        <v>0</v>
      </c>
      <c r="BH252" s="103">
        <f>IF($X252&gt;0,INDEX('CostModel Coef'!R$13:R$16,$X252),"")</f>
        <v>3</v>
      </c>
      <c r="BI252" s="103">
        <f>IF($X252&gt;0,INDEX('CostModel Coef'!S$13:S$16,$X252),"")</f>
        <v>150</v>
      </c>
      <c r="BJ252" s="103">
        <f>IF($X252&gt;0,INDEX('CostModel Coef'!T$13:T$16,$X252),"")</f>
        <v>0</v>
      </c>
      <c r="BK252" s="103">
        <f>IF($X252&gt;0,INDEX('CostModel Coef'!U$13:U$16,$X252),"")</f>
        <v>9.1999999999999998E-3</v>
      </c>
      <c r="BL252" s="103">
        <f>IF($X252&gt;0,INDEX('CostModel Coef'!V$13:V$16,$X252),"")</f>
        <v>-8.8000000000000005E-3</v>
      </c>
      <c r="BM252" s="103">
        <f>IF($X252&gt;0,INDEX('CostModel Coef'!W$13:W$16,$X252),"")</f>
        <v>0</v>
      </c>
      <c r="BN252" s="103">
        <f>IF($X252&gt;0,INDEX('CostModel Coef'!X$13:X$16,$X252),"")</f>
        <v>0</v>
      </c>
      <c r="BO252" s="103"/>
      <c r="BP252" s="119">
        <v>2000</v>
      </c>
      <c r="BQ252" s="103"/>
      <c r="BR252" s="103"/>
      <c r="BS252" s="119" t="str">
        <f t="shared" si="86"/>
        <v>WRR0347_CFLscw(26w)</v>
      </c>
      <c r="BT252" s="174">
        <f t="shared" si="78"/>
        <v>90</v>
      </c>
      <c r="BU252" s="113">
        <f t="shared" si="88"/>
        <v>1.3224</v>
      </c>
      <c r="BV252" s="108">
        <f t="shared" si="89"/>
        <v>3.7854000000000001</v>
      </c>
      <c r="BW252" s="108">
        <f t="shared" si="90"/>
        <v>2.0954000000000002</v>
      </c>
      <c r="BX252" s="108">
        <f t="shared" si="91"/>
        <v>0.93540000000000023</v>
      </c>
      <c r="BY252" s="108">
        <f t="shared" si="92"/>
        <v>0.93540000000000023</v>
      </c>
      <c r="BZ252" s="108"/>
      <c r="CA252" s="119" t="str">
        <f t="shared" si="93"/>
        <v>WRR0407_CFLscw(26w)</v>
      </c>
      <c r="CB252" s="174">
        <f t="shared" si="84"/>
        <v>106</v>
      </c>
      <c r="CC252" s="113">
        <f t="shared" si="94"/>
        <v>1.3288000000000002</v>
      </c>
      <c r="CD252" s="108">
        <f t="shared" si="95"/>
        <v>3.7918000000000003</v>
      </c>
      <c r="CE252" s="108">
        <f t="shared" si="96"/>
        <v>2.1018000000000003</v>
      </c>
      <c r="CF252" s="108">
        <f t="shared" si="97"/>
        <v>0.94180000000000041</v>
      </c>
      <c r="CG252" s="108">
        <f t="shared" si="98"/>
        <v>0.94180000000000041</v>
      </c>
      <c r="CH252" s="103"/>
      <c r="CI252" s="119" t="str">
        <f t="shared" si="87"/>
        <v>WRR0347_CFLscw(26w)</v>
      </c>
      <c r="CJ252" s="174">
        <f t="shared" si="85"/>
        <v>90</v>
      </c>
      <c r="CK252" s="113">
        <f t="shared" si="99"/>
        <v>1.3224</v>
      </c>
      <c r="CL252" s="108">
        <f t="shared" si="100"/>
        <v>3.7854000000000001</v>
      </c>
      <c r="CM252" s="108">
        <f t="shared" si="101"/>
        <v>2.0954000000000002</v>
      </c>
      <c r="CN252" s="108">
        <f t="shared" si="102"/>
        <v>0.93540000000000023</v>
      </c>
      <c r="CO252" s="108">
        <f t="shared" si="103"/>
        <v>0.93540000000000023</v>
      </c>
    </row>
    <row r="253" spans="1:93">
      <c r="A253" s="103" t="s">
        <v>711</v>
      </c>
      <c r="B253" s="103" t="s">
        <v>165</v>
      </c>
      <c r="C253" s="103" t="s">
        <v>152</v>
      </c>
      <c r="D253" s="250" t="s">
        <v>153</v>
      </c>
      <c r="E253" s="250">
        <v>82</v>
      </c>
      <c r="F253" s="182">
        <v>9020</v>
      </c>
      <c r="G253" s="250" t="s">
        <v>175</v>
      </c>
      <c r="H253" s="250">
        <v>27</v>
      </c>
      <c r="I253" s="250">
        <v>1427</v>
      </c>
      <c r="J253" s="250">
        <v>1783</v>
      </c>
      <c r="K253" s="250" t="s">
        <v>712</v>
      </c>
      <c r="L253" s="250" t="s">
        <v>61</v>
      </c>
      <c r="M253" s="250">
        <v>27</v>
      </c>
      <c r="N253" s="250"/>
      <c r="O253" s="250"/>
      <c r="P253" s="250" t="s">
        <v>153</v>
      </c>
      <c r="Q253" s="250"/>
      <c r="R253" s="250"/>
      <c r="S253" s="250"/>
      <c r="T253" s="250" t="s">
        <v>155</v>
      </c>
      <c r="U253" s="103" t="s">
        <v>713</v>
      </c>
      <c r="V253" s="106" t="s">
        <v>157</v>
      </c>
      <c r="W253" s="103" t="s">
        <v>81</v>
      </c>
      <c r="X253" s="103">
        <f>IFERROR(MATCH(W253,'CostModel Coef'!$C$9:$C$12,0),0)</f>
        <v>1</v>
      </c>
      <c r="Y253" s="103"/>
      <c r="Z253" s="103">
        <f>IF($X253&gt;0,INDEX('CostModel Coef'!D$9:D$12,$X253),"")</f>
        <v>3.0430000000000001</v>
      </c>
      <c r="AA253" s="103">
        <f>IF($X253&gt;0,INDEX('CostModel Coef'!E$9:E$12,$X253),"")</f>
        <v>-0.14966150225589619</v>
      </c>
      <c r="AB253" s="103">
        <f>IF($X253&gt;0,INDEX('CostModel Coef'!F$9:F$12,$X253),"")</f>
        <v>0.52692151711335011</v>
      </c>
      <c r="AC253" s="103">
        <f>IF($X253&gt;0,INDEX('CostModel Coef'!G$9:G$12,$X253),"")</f>
        <v>1.8411</v>
      </c>
      <c r="AD253" s="103">
        <f>IF($X253&gt;0,INDEX('CostModel Coef'!H$9:H$12,$X253),"")</f>
        <v>-1.8050999999999999</v>
      </c>
      <c r="AE253" s="103">
        <f>IF($X253&gt;0,INDEX('CostModel Coef'!J$9:J$12,$X253),"")</f>
        <v>-1.1288</v>
      </c>
      <c r="AF253" s="103">
        <f>IF($X253&gt;0,INDEX('CostModel Coef'!K$9:K$12,$X253),"")</f>
        <v>-1.845</v>
      </c>
      <c r="AG253" s="103">
        <f>IF($X253&gt;0,INDEX('CostModel Coef'!L$9:L$12,$X253),"")</f>
        <v>6.7507000000000001</v>
      </c>
      <c r="AH253" s="103">
        <f>IF($X253&gt;0,INDEX('CostModel Coef'!M$9:M$12,$X253),"")</f>
        <v>5.8051000000000004</v>
      </c>
      <c r="AI253" s="103">
        <f>IF($X253&gt;0,INDEX('CostModel Coef'!N$9:N$12,$X253),"")</f>
        <v>6.1600000000000002E-2</v>
      </c>
      <c r="AJ253" s="103">
        <f>IF($X253&gt;0,INDEX('CostModel Coef'!Q$9:Q$12,$X253),"")</f>
        <v>6.6500000000000004E-2</v>
      </c>
      <c r="AK253" s="103">
        <f>IF($X253&gt;0,INDEX('CostModel Coef'!T$9:T$12,$X253),"")</f>
        <v>9.35E-2</v>
      </c>
      <c r="AL253" s="103"/>
      <c r="AM253" s="108">
        <f t="shared" si="79"/>
        <v>4.113392014857455</v>
      </c>
      <c r="AN253" s="108">
        <f t="shared" si="80"/>
        <v>5.9583920148574547</v>
      </c>
      <c r="AO253" s="108">
        <f t="shared" si="81"/>
        <v>4.1532920148574544</v>
      </c>
      <c r="AP253" s="108">
        <f t="shared" si="82"/>
        <v>4.1532920148574544</v>
      </c>
      <c r="AQ253" s="108">
        <f t="shared" si="83"/>
        <v>3.0244920148574543</v>
      </c>
      <c r="AR253" s="108"/>
      <c r="AS253" s="108"/>
      <c r="AT253" s="103">
        <f>IF($X253&gt;0,INDEX('CostModel Coef'!D$13:D$16,$X253),"")</f>
        <v>2.1320000000000001</v>
      </c>
      <c r="AU253" s="103">
        <f>IF($X253&gt;0,INDEX('CostModel Coef'!E$13:E$16,$X253),"")</f>
        <v>0.23699999999999999</v>
      </c>
      <c r="AV253" s="103">
        <f>IF($X253&gt;0,INDEX('CostModel Coef'!F$13:F$16,$X253),"")</f>
        <v>0.59899999999999998</v>
      </c>
      <c r="AW253" s="103">
        <f>IF($X253&gt;0,INDEX('CostModel Coef'!G$13:G$16,$X253),"")</f>
        <v>0</v>
      </c>
      <c r="AX253" s="103">
        <f>IF($X253&gt;0,INDEX('CostModel Coef'!H$13:H$16,$X253),"")</f>
        <v>-1.69</v>
      </c>
      <c r="AY253" s="103">
        <f>IF($X253&gt;0,INDEX('CostModel Coef'!I$13:I$16,$X253),"")</f>
        <v>-1.1599999999999999</v>
      </c>
      <c r="AZ253" s="103">
        <f>IF($X253&gt;0,INDEX('CostModel Coef'!J$13:J$16,$X253),"")</f>
        <v>0</v>
      </c>
      <c r="BA253" s="103">
        <f>IF($X253&gt;0,INDEX('CostModel Coef'!K$13:K$16,$X253),"")</f>
        <v>-2.4630000000000001</v>
      </c>
      <c r="BB253" s="103">
        <f>IF($X253&gt;0,INDEX('CostModel Coef'!L$13:L$16,$X253),"")</f>
        <v>0.46179999999999999</v>
      </c>
      <c r="BC253" s="103">
        <f>IF($X253&gt;0,INDEX('CostModel Coef'!M$13:M$16,$X253),"")</f>
        <v>0</v>
      </c>
      <c r="BD253" s="103">
        <f>IF($X253&gt;0,INDEX('CostModel Coef'!N$13:N$16,$X253),"")</f>
        <v>0.19869999999999999</v>
      </c>
      <c r="BE253" s="103">
        <f>IF($X253&gt;0,INDEX('CostModel Coef'!O$13:O$16,$X253),"")</f>
        <v>0.6</v>
      </c>
      <c r="BF253" s="103">
        <f>IF($X253&gt;0,INDEX('CostModel Coef'!P$13:P$16,$X253),"")</f>
        <v>15</v>
      </c>
      <c r="BG253" s="103">
        <f>IF($X253&gt;0,INDEX('CostModel Coef'!Q$13:Q$16,$X253),"")</f>
        <v>0</v>
      </c>
      <c r="BH253" s="103">
        <f>IF($X253&gt;0,INDEX('CostModel Coef'!R$13:R$16,$X253),"")</f>
        <v>3</v>
      </c>
      <c r="BI253" s="103">
        <f>IF($X253&gt;0,INDEX('CostModel Coef'!S$13:S$16,$X253),"")</f>
        <v>150</v>
      </c>
      <c r="BJ253" s="103">
        <f>IF($X253&gt;0,INDEX('CostModel Coef'!T$13:T$16,$X253),"")</f>
        <v>0</v>
      </c>
      <c r="BK253" s="103">
        <f>IF($X253&gt;0,INDEX('CostModel Coef'!U$13:U$16,$X253),"")</f>
        <v>9.1999999999999998E-3</v>
      </c>
      <c r="BL253" s="103">
        <f>IF($X253&gt;0,INDEX('CostModel Coef'!V$13:V$16,$X253),"")</f>
        <v>-8.8000000000000005E-3</v>
      </c>
      <c r="BM253" s="103">
        <f>IF($X253&gt;0,INDEX('CostModel Coef'!W$13:W$16,$X253),"")</f>
        <v>0</v>
      </c>
      <c r="BN253" s="103">
        <f>IF($X253&gt;0,INDEX('CostModel Coef'!X$13:X$16,$X253),"")</f>
        <v>0</v>
      </c>
      <c r="BO253" s="103"/>
      <c r="BP253" s="119">
        <v>2000</v>
      </c>
      <c r="BQ253" s="103"/>
      <c r="BR253" s="103"/>
      <c r="BS253" s="119" t="str">
        <f t="shared" si="86"/>
        <v>WRR0347_CFLscw(27w)</v>
      </c>
      <c r="BT253" s="174">
        <f t="shared" si="78"/>
        <v>94</v>
      </c>
      <c r="BU253" s="113">
        <f t="shared" si="88"/>
        <v>1.3239999999999998</v>
      </c>
      <c r="BV253" s="108">
        <f t="shared" si="89"/>
        <v>3.7869999999999999</v>
      </c>
      <c r="BW253" s="108">
        <f t="shared" si="90"/>
        <v>2.097</v>
      </c>
      <c r="BX253" s="108">
        <f t="shared" si="91"/>
        <v>0.93700000000000006</v>
      </c>
      <c r="BY253" s="108">
        <f t="shared" si="92"/>
        <v>0.93700000000000006</v>
      </c>
      <c r="BZ253" s="108"/>
      <c r="CA253" s="119" t="str">
        <f t="shared" si="93"/>
        <v>WRR0407_CFLscw(27w)</v>
      </c>
      <c r="CB253" s="174">
        <f t="shared" si="84"/>
        <v>110</v>
      </c>
      <c r="CC253" s="113">
        <f t="shared" si="94"/>
        <v>1.3304</v>
      </c>
      <c r="CD253" s="108">
        <f t="shared" si="95"/>
        <v>3.7934000000000001</v>
      </c>
      <c r="CE253" s="108">
        <f t="shared" si="96"/>
        <v>2.1034000000000002</v>
      </c>
      <c r="CF253" s="108">
        <f t="shared" si="97"/>
        <v>0.94340000000000024</v>
      </c>
      <c r="CG253" s="108">
        <f t="shared" si="98"/>
        <v>0.94340000000000024</v>
      </c>
      <c r="CH253" s="103"/>
      <c r="CI253" s="119" t="str">
        <f t="shared" si="87"/>
        <v>WRR0347_CFLscw(27w)</v>
      </c>
      <c r="CJ253" s="174">
        <f t="shared" si="85"/>
        <v>94</v>
      </c>
      <c r="CK253" s="113">
        <f t="shared" si="99"/>
        <v>1.3239999999999998</v>
      </c>
      <c r="CL253" s="108">
        <f t="shared" si="100"/>
        <v>3.7869999999999999</v>
      </c>
      <c r="CM253" s="108">
        <f t="shared" si="101"/>
        <v>2.097</v>
      </c>
      <c r="CN253" s="108">
        <f t="shared" si="102"/>
        <v>0.93700000000000006</v>
      </c>
      <c r="CO253" s="108">
        <f t="shared" si="103"/>
        <v>0.93700000000000006</v>
      </c>
    </row>
    <row r="254" spans="1:93">
      <c r="A254" s="103" t="s">
        <v>714</v>
      </c>
      <c r="B254" s="103" t="s">
        <v>165</v>
      </c>
      <c r="C254" s="103" t="s">
        <v>152</v>
      </c>
      <c r="D254" s="250" t="s">
        <v>153</v>
      </c>
      <c r="E254" s="250">
        <v>82</v>
      </c>
      <c r="F254" s="182">
        <v>9020</v>
      </c>
      <c r="G254" s="250" t="s">
        <v>175</v>
      </c>
      <c r="H254" s="250">
        <v>28</v>
      </c>
      <c r="I254" s="250">
        <v>1485</v>
      </c>
      <c r="J254" s="250">
        <v>1855</v>
      </c>
      <c r="K254" s="250" t="s">
        <v>715</v>
      </c>
      <c r="L254" s="250" t="s">
        <v>61</v>
      </c>
      <c r="M254" s="250">
        <v>28</v>
      </c>
      <c r="N254" s="250"/>
      <c r="O254" s="250"/>
      <c r="P254" s="250" t="s">
        <v>153</v>
      </c>
      <c r="Q254" s="250"/>
      <c r="R254" s="250"/>
      <c r="S254" s="250"/>
      <c r="T254" s="250" t="s">
        <v>155</v>
      </c>
      <c r="U254" s="103" t="s">
        <v>716</v>
      </c>
      <c r="V254" s="106" t="s">
        <v>157</v>
      </c>
      <c r="W254" s="103" t="s">
        <v>81</v>
      </c>
      <c r="X254" s="103">
        <f>IFERROR(MATCH(W254,'CostModel Coef'!$C$9:$C$12,0),0)</f>
        <v>1</v>
      </c>
      <c r="Y254" s="103"/>
      <c r="Z254" s="103">
        <f>IF($X254&gt;0,INDEX('CostModel Coef'!D$9:D$12,$X254),"")</f>
        <v>3.0430000000000001</v>
      </c>
      <c r="AA254" s="103">
        <f>IF($X254&gt;0,INDEX('CostModel Coef'!E$9:E$12,$X254),"")</f>
        <v>-0.14966150225589619</v>
      </c>
      <c r="AB254" s="103">
        <f>IF($X254&gt;0,INDEX('CostModel Coef'!F$9:F$12,$X254),"")</f>
        <v>0.52692151711335011</v>
      </c>
      <c r="AC254" s="103">
        <f>IF($X254&gt;0,INDEX('CostModel Coef'!G$9:G$12,$X254),"")</f>
        <v>1.8411</v>
      </c>
      <c r="AD254" s="103">
        <f>IF($X254&gt;0,INDEX('CostModel Coef'!H$9:H$12,$X254),"")</f>
        <v>-1.8050999999999999</v>
      </c>
      <c r="AE254" s="103">
        <f>IF($X254&gt;0,INDEX('CostModel Coef'!J$9:J$12,$X254),"")</f>
        <v>-1.1288</v>
      </c>
      <c r="AF254" s="103">
        <f>IF($X254&gt;0,INDEX('CostModel Coef'!K$9:K$12,$X254),"")</f>
        <v>-1.845</v>
      </c>
      <c r="AG254" s="103">
        <f>IF($X254&gt;0,INDEX('CostModel Coef'!L$9:L$12,$X254),"")</f>
        <v>6.7507000000000001</v>
      </c>
      <c r="AH254" s="103">
        <f>IF($X254&gt;0,INDEX('CostModel Coef'!M$9:M$12,$X254),"")</f>
        <v>5.8051000000000004</v>
      </c>
      <c r="AI254" s="103">
        <f>IF($X254&gt;0,INDEX('CostModel Coef'!N$9:N$12,$X254),"")</f>
        <v>6.1600000000000002E-2</v>
      </c>
      <c r="AJ254" s="103">
        <f>IF($X254&gt;0,INDEX('CostModel Coef'!Q$9:Q$12,$X254),"")</f>
        <v>6.6500000000000004E-2</v>
      </c>
      <c r="AK254" s="103">
        <f>IF($X254&gt;0,INDEX('CostModel Coef'!T$9:T$12,$X254),"")</f>
        <v>9.35E-2</v>
      </c>
      <c r="AL254" s="103"/>
      <c r="AM254" s="108">
        <f t="shared" si="79"/>
        <v>4.2733920148574542</v>
      </c>
      <c r="AN254" s="108">
        <f t="shared" si="80"/>
        <v>6.118392014857454</v>
      </c>
      <c r="AO254" s="108">
        <f t="shared" si="81"/>
        <v>4.3132920148574545</v>
      </c>
      <c r="AP254" s="108">
        <f t="shared" si="82"/>
        <v>4.3132920148574545</v>
      </c>
      <c r="AQ254" s="108">
        <f t="shared" si="83"/>
        <v>3.184492014857454</v>
      </c>
      <c r="AR254" s="108"/>
      <c r="AS254" s="108"/>
      <c r="AT254" s="103">
        <f>IF($X254&gt;0,INDEX('CostModel Coef'!D$13:D$16,$X254),"")</f>
        <v>2.1320000000000001</v>
      </c>
      <c r="AU254" s="103">
        <f>IF($X254&gt;0,INDEX('CostModel Coef'!E$13:E$16,$X254),"")</f>
        <v>0.23699999999999999</v>
      </c>
      <c r="AV254" s="103">
        <f>IF($X254&gt;0,INDEX('CostModel Coef'!F$13:F$16,$X254),"")</f>
        <v>0.59899999999999998</v>
      </c>
      <c r="AW254" s="103">
        <f>IF($X254&gt;0,INDEX('CostModel Coef'!G$13:G$16,$X254),"")</f>
        <v>0</v>
      </c>
      <c r="AX254" s="103">
        <f>IF($X254&gt;0,INDEX('CostModel Coef'!H$13:H$16,$X254),"")</f>
        <v>-1.69</v>
      </c>
      <c r="AY254" s="103">
        <f>IF($X254&gt;0,INDEX('CostModel Coef'!I$13:I$16,$X254),"")</f>
        <v>-1.1599999999999999</v>
      </c>
      <c r="AZ254" s="103">
        <f>IF($X254&gt;0,INDEX('CostModel Coef'!J$13:J$16,$X254),"")</f>
        <v>0</v>
      </c>
      <c r="BA254" s="103">
        <f>IF($X254&gt;0,INDEX('CostModel Coef'!K$13:K$16,$X254),"")</f>
        <v>-2.4630000000000001</v>
      </c>
      <c r="BB254" s="103">
        <f>IF($X254&gt;0,INDEX('CostModel Coef'!L$13:L$16,$X254),"")</f>
        <v>0.46179999999999999</v>
      </c>
      <c r="BC254" s="103">
        <f>IF($X254&gt;0,INDEX('CostModel Coef'!M$13:M$16,$X254),"")</f>
        <v>0</v>
      </c>
      <c r="BD254" s="103">
        <f>IF($X254&gt;0,INDEX('CostModel Coef'!N$13:N$16,$X254),"")</f>
        <v>0.19869999999999999</v>
      </c>
      <c r="BE254" s="103">
        <f>IF($X254&gt;0,INDEX('CostModel Coef'!O$13:O$16,$X254),"")</f>
        <v>0.6</v>
      </c>
      <c r="BF254" s="103">
        <f>IF($X254&gt;0,INDEX('CostModel Coef'!P$13:P$16,$X254),"")</f>
        <v>15</v>
      </c>
      <c r="BG254" s="103">
        <f>IF($X254&gt;0,INDEX('CostModel Coef'!Q$13:Q$16,$X254),"")</f>
        <v>0</v>
      </c>
      <c r="BH254" s="103">
        <f>IF($X254&gt;0,INDEX('CostModel Coef'!R$13:R$16,$X254),"")</f>
        <v>3</v>
      </c>
      <c r="BI254" s="103">
        <f>IF($X254&gt;0,INDEX('CostModel Coef'!S$13:S$16,$X254),"")</f>
        <v>150</v>
      </c>
      <c r="BJ254" s="103">
        <f>IF($X254&gt;0,INDEX('CostModel Coef'!T$13:T$16,$X254),"")</f>
        <v>0</v>
      </c>
      <c r="BK254" s="103">
        <f>IF($X254&gt;0,INDEX('CostModel Coef'!U$13:U$16,$X254),"")</f>
        <v>9.1999999999999998E-3</v>
      </c>
      <c r="BL254" s="103">
        <f>IF($X254&gt;0,INDEX('CostModel Coef'!V$13:V$16,$X254),"")</f>
        <v>-8.8000000000000005E-3</v>
      </c>
      <c r="BM254" s="103">
        <f>IF($X254&gt;0,INDEX('CostModel Coef'!W$13:W$16,$X254),"")</f>
        <v>0</v>
      </c>
      <c r="BN254" s="103">
        <f>IF($X254&gt;0,INDEX('CostModel Coef'!X$13:X$16,$X254),"")</f>
        <v>0</v>
      </c>
      <c r="BO254" s="103"/>
      <c r="BP254" s="119">
        <v>2000</v>
      </c>
      <c r="BQ254" s="103"/>
      <c r="BR254" s="103"/>
      <c r="BS254" s="119" t="str">
        <f t="shared" si="86"/>
        <v>WRR0347_CFLscw(28w)</v>
      </c>
      <c r="BT254" s="174">
        <f t="shared" si="78"/>
        <v>97</v>
      </c>
      <c r="BU254" s="113">
        <f t="shared" si="88"/>
        <v>1.3252000000000002</v>
      </c>
      <c r="BV254" s="108">
        <f t="shared" si="89"/>
        <v>3.7882000000000002</v>
      </c>
      <c r="BW254" s="108">
        <f t="shared" si="90"/>
        <v>2.0982000000000003</v>
      </c>
      <c r="BX254" s="108">
        <f t="shared" si="91"/>
        <v>0.93820000000000037</v>
      </c>
      <c r="BY254" s="108">
        <f t="shared" si="92"/>
        <v>0.93820000000000037</v>
      </c>
      <c r="BZ254" s="108"/>
      <c r="CA254" s="119" t="str">
        <f t="shared" si="93"/>
        <v>WRR0407_CFLscw(28w)</v>
      </c>
      <c r="CB254" s="174">
        <f t="shared" si="84"/>
        <v>114</v>
      </c>
      <c r="CC254" s="113">
        <f t="shared" si="94"/>
        <v>1.3320000000000003</v>
      </c>
      <c r="CD254" s="108">
        <f t="shared" si="95"/>
        <v>3.7950000000000004</v>
      </c>
      <c r="CE254" s="108">
        <f t="shared" si="96"/>
        <v>2.1050000000000004</v>
      </c>
      <c r="CF254" s="108">
        <f t="shared" si="97"/>
        <v>0.94500000000000051</v>
      </c>
      <c r="CG254" s="108">
        <f t="shared" si="98"/>
        <v>0.94500000000000051</v>
      </c>
      <c r="CH254" s="103"/>
      <c r="CI254" s="119" t="str">
        <f t="shared" si="87"/>
        <v>WRR0347_CFLscw(28w)</v>
      </c>
      <c r="CJ254" s="174">
        <f t="shared" si="85"/>
        <v>97</v>
      </c>
      <c r="CK254" s="113">
        <f t="shared" si="99"/>
        <v>1.3252000000000002</v>
      </c>
      <c r="CL254" s="108">
        <f t="shared" si="100"/>
        <v>3.7882000000000002</v>
      </c>
      <c r="CM254" s="108">
        <f t="shared" si="101"/>
        <v>2.0982000000000003</v>
      </c>
      <c r="CN254" s="108">
        <f t="shared" si="102"/>
        <v>0.93820000000000037</v>
      </c>
      <c r="CO254" s="108">
        <f t="shared" si="103"/>
        <v>0.93820000000000037</v>
      </c>
    </row>
    <row r="255" spans="1:93">
      <c r="A255" s="103" t="s">
        <v>717</v>
      </c>
      <c r="B255" s="103" t="s">
        <v>165</v>
      </c>
      <c r="C255" s="103" t="s">
        <v>152</v>
      </c>
      <c r="D255" s="250" t="s">
        <v>153</v>
      </c>
      <c r="E255" s="250">
        <v>82</v>
      </c>
      <c r="F255" s="182">
        <v>9020</v>
      </c>
      <c r="G255" s="250" t="s">
        <v>175</v>
      </c>
      <c r="H255" s="250">
        <v>29</v>
      </c>
      <c r="I255" s="250"/>
      <c r="J255" s="250"/>
      <c r="K255" s="250" t="s">
        <v>718</v>
      </c>
      <c r="L255" s="250" t="s">
        <v>61</v>
      </c>
      <c r="M255" s="250">
        <v>29</v>
      </c>
      <c r="N255" s="250"/>
      <c r="O255" s="250"/>
      <c r="P255" s="250" t="s">
        <v>153</v>
      </c>
      <c r="Q255" s="250"/>
      <c r="R255" s="250"/>
      <c r="S255" s="250"/>
      <c r="T255" s="250" t="s">
        <v>155</v>
      </c>
      <c r="U255" s="103" t="s">
        <v>719</v>
      </c>
      <c r="V255" s="106" t="s">
        <v>157</v>
      </c>
      <c r="W255" s="103" t="s">
        <v>81</v>
      </c>
      <c r="X255" s="103">
        <f>IFERROR(MATCH(W255,'CostModel Coef'!$C$9:$C$12,0),0)</f>
        <v>1</v>
      </c>
      <c r="Y255" s="103"/>
      <c r="Z255" s="103">
        <f>IF($X255&gt;0,INDEX('CostModel Coef'!D$9:D$12,$X255),"")</f>
        <v>3.0430000000000001</v>
      </c>
      <c r="AA255" s="103">
        <f>IF($X255&gt;0,INDEX('CostModel Coef'!E$9:E$12,$X255),"")</f>
        <v>-0.14966150225589619</v>
      </c>
      <c r="AB255" s="103">
        <f>IF($X255&gt;0,INDEX('CostModel Coef'!F$9:F$12,$X255),"")</f>
        <v>0.52692151711335011</v>
      </c>
      <c r="AC255" s="103">
        <f>IF($X255&gt;0,INDEX('CostModel Coef'!G$9:G$12,$X255),"")</f>
        <v>1.8411</v>
      </c>
      <c r="AD255" s="103">
        <f>IF($X255&gt;0,INDEX('CostModel Coef'!H$9:H$12,$X255),"")</f>
        <v>-1.8050999999999999</v>
      </c>
      <c r="AE255" s="103">
        <f>IF($X255&gt;0,INDEX('CostModel Coef'!J$9:J$12,$X255),"")</f>
        <v>-1.1288</v>
      </c>
      <c r="AF255" s="103">
        <f>IF($X255&gt;0,INDEX('CostModel Coef'!K$9:K$12,$X255),"")</f>
        <v>-1.845</v>
      </c>
      <c r="AG255" s="103">
        <f>IF($X255&gt;0,INDEX('CostModel Coef'!L$9:L$12,$X255),"")</f>
        <v>6.7507000000000001</v>
      </c>
      <c r="AH255" s="103">
        <f>IF($X255&gt;0,INDEX('CostModel Coef'!M$9:M$12,$X255),"")</f>
        <v>5.8051000000000004</v>
      </c>
      <c r="AI255" s="103">
        <f>IF($X255&gt;0,INDEX('CostModel Coef'!N$9:N$12,$X255),"")</f>
        <v>6.1600000000000002E-2</v>
      </c>
      <c r="AJ255" s="103">
        <f>IF($X255&gt;0,INDEX('CostModel Coef'!Q$9:Q$12,$X255),"")</f>
        <v>6.6500000000000004E-2</v>
      </c>
      <c r="AK255" s="103">
        <f>IF($X255&gt;0,INDEX('CostModel Coef'!T$9:T$12,$X255),"")</f>
        <v>9.35E-2</v>
      </c>
      <c r="AL255" s="103"/>
      <c r="AM255" s="108">
        <f t="shared" si="79"/>
        <v>4.4333920148574544</v>
      </c>
      <c r="AN255" s="108">
        <f t="shared" si="80"/>
        <v>6.2783920148574541</v>
      </c>
      <c r="AO255" s="108">
        <f t="shared" si="81"/>
        <v>4.4732920148574546</v>
      </c>
      <c r="AP255" s="108">
        <f t="shared" si="82"/>
        <v>4.4732920148574546</v>
      </c>
      <c r="AQ255" s="108">
        <f t="shared" si="83"/>
        <v>3.3444920148574546</v>
      </c>
      <c r="AR255" s="108"/>
      <c r="AS255" s="108"/>
      <c r="AT255" s="103">
        <f>IF($X255&gt;0,INDEX('CostModel Coef'!D$13:D$16,$X255),"")</f>
        <v>2.1320000000000001</v>
      </c>
      <c r="AU255" s="103">
        <f>IF($X255&gt;0,INDEX('CostModel Coef'!E$13:E$16,$X255),"")</f>
        <v>0.23699999999999999</v>
      </c>
      <c r="AV255" s="103">
        <f>IF($X255&gt;0,INDEX('CostModel Coef'!F$13:F$16,$X255),"")</f>
        <v>0.59899999999999998</v>
      </c>
      <c r="AW255" s="103">
        <f>IF($X255&gt;0,INDEX('CostModel Coef'!G$13:G$16,$X255),"")</f>
        <v>0</v>
      </c>
      <c r="AX255" s="103">
        <f>IF($X255&gt;0,INDEX('CostModel Coef'!H$13:H$16,$X255),"")</f>
        <v>-1.69</v>
      </c>
      <c r="AY255" s="103">
        <f>IF($X255&gt;0,INDEX('CostModel Coef'!I$13:I$16,$X255),"")</f>
        <v>-1.1599999999999999</v>
      </c>
      <c r="AZ255" s="103">
        <f>IF($X255&gt;0,INDEX('CostModel Coef'!J$13:J$16,$X255),"")</f>
        <v>0</v>
      </c>
      <c r="BA255" s="103">
        <f>IF($X255&gt;0,INDEX('CostModel Coef'!K$13:K$16,$X255),"")</f>
        <v>-2.4630000000000001</v>
      </c>
      <c r="BB255" s="103">
        <f>IF($X255&gt;0,INDEX('CostModel Coef'!L$13:L$16,$X255),"")</f>
        <v>0.46179999999999999</v>
      </c>
      <c r="BC255" s="103">
        <f>IF($X255&gt;0,INDEX('CostModel Coef'!M$13:M$16,$X255),"")</f>
        <v>0</v>
      </c>
      <c r="BD255" s="103">
        <f>IF($X255&gt;0,INDEX('CostModel Coef'!N$13:N$16,$X255),"")</f>
        <v>0.19869999999999999</v>
      </c>
      <c r="BE255" s="103">
        <f>IF($X255&gt;0,INDEX('CostModel Coef'!O$13:O$16,$X255),"")</f>
        <v>0.6</v>
      </c>
      <c r="BF255" s="103">
        <f>IF($X255&gt;0,INDEX('CostModel Coef'!P$13:P$16,$X255),"")</f>
        <v>15</v>
      </c>
      <c r="BG255" s="103">
        <f>IF($X255&gt;0,INDEX('CostModel Coef'!Q$13:Q$16,$X255),"")</f>
        <v>0</v>
      </c>
      <c r="BH255" s="103">
        <f>IF($X255&gt;0,INDEX('CostModel Coef'!R$13:R$16,$X255),"")</f>
        <v>3</v>
      </c>
      <c r="BI255" s="103">
        <f>IF($X255&gt;0,INDEX('CostModel Coef'!S$13:S$16,$X255),"")</f>
        <v>150</v>
      </c>
      <c r="BJ255" s="103">
        <f>IF($X255&gt;0,INDEX('CostModel Coef'!T$13:T$16,$X255),"")</f>
        <v>0</v>
      </c>
      <c r="BK255" s="103">
        <f>IF($X255&gt;0,INDEX('CostModel Coef'!U$13:U$16,$X255),"")</f>
        <v>9.1999999999999998E-3</v>
      </c>
      <c r="BL255" s="103">
        <f>IF($X255&gt;0,INDEX('CostModel Coef'!V$13:V$16,$X255),"")</f>
        <v>-8.8000000000000005E-3</v>
      </c>
      <c r="BM255" s="103">
        <f>IF($X255&gt;0,INDEX('CostModel Coef'!W$13:W$16,$X255),"")</f>
        <v>0</v>
      </c>
      <c r="BN255" s="103">
        <f>IF($X255&gt;0,INDEX('CostModel Coef'!X$13:X$16,$X255),"")</f>
        <v>0</v>
      </c>
      <c r="BO255" s="103"/>
      <c r="BP255" s="119">
        <v>2000</v>
      </c>
      <c r="BQ255" s="103"/>
      <c r="BR255" s="103"/>
      <c r="BS255" s="119" t="str">
        <f t="shared" si="86"/>
        <v>WRR0347_CFLscw(29w)</v>
      </c>
      <c r="BT255" s="174">
        <f t="shared" si="78"/>
        <v>101</v>
      </c>
      <c r="BU255" s="113">
        <f t="shared" si="88"/>
        <v>1.3268</v>
      </c>
      <c r="BV255" s="108">
        <f t="shared" si="89"/>
        <v>3.7898000000000001</v>
      </c>
      <c r="BW255" s="108">
        <f t="shared" si="90"/>
        <v>2.0998000000000001</v>
      </c>
      <c r="BX255" s="108">
        <f t="shared" si="91"/>
        <v>0.93980000000000019</v>
      </c>
      <c r="BY255" s="108">
        <f t="shared" si="92"/>
        <v>0.93980000000000019</v>
      </c>
      <c r="BZ255" s="108"/>
      <c r="CA255" s="119" t="str">
        <f t="shared" si="93"/>
        <v>WRR0407_CFLscw(29w)</v>
      </c>
      <c r="CB255" s="174">
        <f t="shared" si="84"/>
        <v>118</v>
      </c>
      <c r="CC255" s="113">
        <f t="shared" si="94"/>
        <v>1.3335999999999997</v>
      </c>
      <c r="CD255" s="108">
        <f t="shared" si="95"/>
        <v>3.7965999999999998</v>
      </c>
      <c r="CE255" s="108">
        <f t="shared" si="96"/>
        <v>2.1065999999999998</v>
      </c>
      <c r="CF255" s="108">
        <f t="shared" si="97"/>
        <v>0.94659999999999989</v>
      </c>
      <c r="CG255" s="108">
        <f t="shared" si="98"/>
        <v>0.94659999999999989</v>
      </c>
      <c r="CH255" s="103"/>
      <c r="CI255" s="119" t="str">
        <f t="shared" si="87"/>
        <v>WRR0347_CFLscw(29w)</v>
      </c>
      <c r="CJ255" s="174">
        <f t="shared" si="85"/>
        <v>101</v>
      </c>
      <c r="CK255" s="113">
        <f t="shared" si="99"/>
        <v>1.3268</v>
      </c>
      <c r="CL255" s="108">
        <f t="shared" si="100"/>
        <v>3.7898000000000001</v>
      </c>
      <c r="CM255" s="108">
        <f t="shared" si="101"/>
        <v>2.0998000000000001</v>
      </c>
      <c r="CN255" s="108">
        <f t="shared" si="102"/>
        <v>0.93980000000000019</v>
      </c>
      <c r="CO255" s="108">
        <f t="shared" si="103"/>
        <v>0.93980000000000019</v>
      </c>
    </row>
    <row r="256" spans="1:93">
      <c r="A256" s="103" t="s">
        <v>720</v>
      </c>
      <c r="B256" s="103" t="s">
        <v>165</v>
      </c>
      <c r="C256" s="103" t="s">
        <v>152</v>
      </c>
      <c r="D256" s="250" t="s">
        <v>153</v>
      </c>
      <c r="E256" s="250">
        <v>82</v>
      </c>
      <c r="F256" s="182">
        <v>9020</v>
      </c>
      <c r="G256" s="250" t="s">
        <v>175</v>
      </c>
      <c r="H256" s="250">
        <v>30</v>
      </c>
      <c r="I256" s="250"/>
      <c r="J256" s="250"/>
      <c r="K256" s="250" t="s">
        <v>721</v>
      </c>
      <c r="L256" s="250" t="s">
        <v>61</v>
      </c>
      <c r="M256" s="250">
        <v>30</v>
      </c>
      <c r="N256" s="250"/>
      <c r="O256" s="250"/>
      <c r="P256" s="250" t="s">
        <v>153</v>
      </c>
      <c r="Q256" s="250"/>
      <c r="R256" s="250"/>
      <c r="S256" s="250"/>
      <c r="T256" s="250" t="s">
        <v>155</v>
      </c>
      <c r="U256" s="103" t="s">
        <v>722</v>
      </c>
      <c r="V256" s="106" t="s">
        <v>157</v>
      </c>
      <c r="W256" s="103" t="s">
        <v>81</v>
      </c>
      <c r="X256" s="103">
        <f>IFERROR(MATCH(W256,'CostModel Coef'!$C$9:$C$12,0),0)</f>
        <v>1</v>
      </c>
      <c r="Y256" s="103"/>
      <c r="Z256" s="103">
        <f>IF($X256&gt;0,INDEX('CostModel Coef'!D$9:D$12,$X256),"")</f>
        <v>3.0430000000000001</v>
      </c>
      <c r="AA256" s="103">
        <f>IF($X256&gt;0,INDEX('CostModel Coef'!E$9:E$12,$X256),"")</f>
        <v>-0.14966150225589619</v>
      </c>
      <c r="AB256" s="103">
        <f>IF($X256&gt;0,INDEX('CostModel Coef'!F$9:F$12,$X256),"")</f>
        <v>0.52692151711335011</v>
      </c>
      <c r="AC256" s="103">
        <f>IF($X256&gt;0,INDEX('CostModel Coef'!G$9:G$12,$X256),"")</f>
        <v>1.8411</v>
      </c>
      <c r="AD256" s="103">
        <f>IF($X256&gt;0,INDEX('CostModel Coef'!H$9:H$12,$X256),"")</f>
        <v>-1.8050999999999999</v>
      </c>
      <c r="AE256" s="103">
        <f>IF($X256&gt;0,INDEX('CostModel Coef'!J$9:J$12,$X256),"")</f>
        <v>-1.1288</v>
      </c>
      <c r="AF256" s="103">
        <f>IF($X256&gt;0,INDEX('CostModel Coef'!K$9:K$12,$X256),"")</f>
        <v>-1.845</v>
      </c>
      <c r="AG256" s="103">
        <f>IF($X256&gt;0,INDEX('CostModel Coef'!L$9:L$12,$X256),"")</f>
        <v>6.7507000000000001</v>
      </c>
      <c r="AH256" s="103">
        <f>IF($X256&gt;0,INDEX('CostModel Coef'!M$9:M$12,$X256),"")</f>
        <v>5.8051000000000004</v>
      </c>
      <c r="AI256" s="103">
        <f>IF($X256&gt;0,INDEX('CostModel Coef'!N$9:N$12,$X256),"")</f>
        <v>6.1600000000000002E-2</v>
      </c>
      <c r="AJ256" s="103">
        <f>IF($X256&gt;0,INDEX('CostModel Coef'!Q$9:Q$12,$X256),"")</f>
        <v>6.6500000000000004E-2</v>
      </c>
      <c r="AK256" s="103">
        <f>IF($X256&gt;0,INDEX('CostModel Coef'!T$9:T$12,$X256),"")</f>
        <v>9.35E-2</v>
      </c>
      <c r="AL256" s="103"/>
      <c r="AM256" s="108">
        <f t="shared" si="79"/>
        <v>4.5933920148574554</v>
      </c>
      <c r="AN256" s="108">
        <f t="shared" si="80"/>
        <v>6.4383920148574552</v>
      </c>
      <c r="AO256" s="108">
        <f t="shared" si="81"/>
        <v>4.6332920148574548</v>
      </c>
      <c r="AP256" s="108">
        <f t="shared" si="82"/>
        <v>4.6332920148574548</v>
      </c>
      <c r="AQ256" s="108">
        <f t="shared" si="83"/>
        <v>3.5044920148574548</v>
      </c>
      <c r="AR256" s="108"/>
      <c r="AS256" s="108"/>
      <c r="AT256" s="103">
        <f>IF($X256&gt;0,INDEX('CostModel Coef'!D$13:D$16,$X256),"")</f>
        <v>2.1320000000000001</v>
      </c>
      <c r="AU256" s="103">
        <f>IF($X256&gt;0,INDEX('CostModel Coef'!E$13:E$16,$X256),"")</f>
        <v>0.23699999999999999</v>
      </c>
      <c r="AV256" s="103">
        <f>IF($X256&gt;0,INDEX('CostModel Coef'!F$13:F$16,$X256),"")</f>
        <v>0.59899999999999998</v>
      </c>
      <c r="AW256" s="103">
        <f>IF($X256&gt;0,INDEX('CostModel Coef'!G$13:G$16,$X256),"")</f>
        <v>0</v>
      </c>
      <c r="AX256" s="103">
        <f>IF($X256&gt;0,INDEX('CostModel Coef'!H$13:H$16,$X256),"")</f>
        <v>-1.69</v>
      </c>
      <c r="AY256" s="103">
        <f>IF($X256&gt;0,INDEX('CostModel Coef'!I$13:I$16,$X256),"")</f>
        <v>-1.1599999999999999</v>
      </c>
      <c r="AZ256" s="103">
        <f>IF($X256&gt;0,INDEX('CostModel Coef'!J$13:J$16,$X256),"")</f>
        <v>0</v>
      </c>
      <c r="BA256" s="103">
        <f>IF($X256&gt;0,INDEX('CostModel Coef'!K$13:K$16,$X256),"")</f>
        <v>-2.4630000000000001</v>
      </c>
      <c r="BB256" s="103">
        <f>IF($X256&gt;0,INDEX('CostModel Coef'!L$13:L$16,$X256),"")</f>
        <v>0.46179999999999999</v>
      </c>
      <c r="BC256" s="103">
        <f>IF($X256&gt;0,INDEX('CostModel Coef'!M$13:M$16,$X256),"")</f>
        <v>0</v>
      </c>
      <c r="BD256" s="103">
        <f>IF($X256&gt;0,INDEX('CostModel Coef'!N$13:N$16,$X256),"")</f>
        <v>0.19869999999999999</v>
      </c>
      <c r="BE256" s="103">
        <f>IF($X256&gt;0,INDEX('CostModel Coef'!O$13:O$16,$X256),"")</f>
        <v>0.6</v>
      </c>
      <c r="BF256" s="103">
        <f>IF($X256&gt;0,INDEX('CostModel Coef'!P$13:P$16,$X256),"")</f>
        <v>15</v>
      </c>
      <c r="BG256" s="103">
        <f>IF($X256&gt;0,INDEX('CostModel Coef'!Q$13:Q$16,$X256),"")</f>
        <v>0</v>
      </c>
      <c r="BH256" s="103">
        <f>IF($X256&gt;0,INDEX('CostModel Coef'!R$13:R$16,$X256),"")</f>
        <v>3</v>
      </c>
      <c r="BI256" s="103">
        <f>IF($X256&gt;0,INDEX('CostModel Coef'!S$13:S$16,$X256),"")</f>
        <v>150</v>
      </c>
      <c r="BJ256" s="103">
        <f>IF($X256&gt;0,INDEX('CostModel Coef'!T$13:T$16,$X256),"")</f>
        <v>0</v>
      </c>
      <c r="BK256" s="103">
        <f>IF($X256&gt;0,INDEX('CostModel Coef'!U$13:U$16,$X256),"")</f>
        <v>9.1999999999999998E-3</v>
      </c>
      <c r="BL256" s="103">
        <f>IF($X256&gt;0,INDEX('CostModel Coef'!V$13:V$16,$X256),"")</f>
        <v>-8.8000000000000005E-3</v>
      </c>
      <c r="BM256" s="103">
        <f>IF($X256&gt;0,INDEX('CostModel Coef'!W$13:W$16,$X256),"")</f>
        <v>0</v>
      </c>
      <c r="BN256" s="103">
        <f>IF($X256&gt;0,INDEX('CostModel Coef'!X$13:X$16,$X256),"")</f>
        <v>0</v>
      </c>
      <c r="BO256" s="103"/>
      <c r="BP256" s="119">
        <v>2000</v>
      </c>
      <c r="BQ256" s="103"/>
      <c r="BR256" s="103"/>
      <c r="BS256" s="119" t="str">
        <f t="shared" si="86"/>
        <v>WRR0347_CFLscw(30w)</v>
      </c>
      <c r="BT256" s="174">
        <f t="shared" si="78"/>
        <v>104</v>
      </c>
      <c r="BU256" s="113">
        <f t="shared" si="88"/>
        <v>1.3279999999999998</v>
      </c>
      <c r="BV256" s="108">
        <f t="shared" si="89"/>
        <v>3.7909999999999999</v>
      </c>
      <c r="BW256" s="108">
        <f t="shared" si="90"/>
        <v>2.101</v>
      </c>
      <c r="BX256" s="108">
        <f t="shared" si="91"/>
        <v>0.94100000000000006</v>
      </c>
      <c r="BY256" s="108">
        <f t="shared" si="92"/>
        <v>0.94100000000000006</v>
      </c>
      <c r="BZ256" s="108"/>
      <c r="CA256" s="119" t="str">
        <f t="shared" si="93"/>
        <v>WRR0407_CFLscw(30w)</v>
      </c>
      <c r="CB256" s="174">
        <f t="shared" si="84"/>
        <v>122</v>
      </c>
      <c r="CC256" s="113">
        <f t="shared" si="94"/>
        <v>1.3351999999999999</v>
      </c>
      <c r="CD256" s="108">
        <f t="shared" si="95"/>
        <v>3.7982</v>
      </c>
      <c r="CE256" s="108">
        <f t="shared" si="96"/>
        <v>2.1082000000000001</v>
      </c>
      <c r="CF256" s="108">
        <f t="shared" si="97"/>
        <v>0.94820000000000015</v>
      </c>
      <c r="CG256" s="108">
        <f t="shared" si="98"/>
        <v>0.94820000000000015</v>
      </c>
      <c r="CH256" s="103"/>
      <c r="CI256" s="119" t="str">
        <f t="shared" si="87"/>
        <v>WRR0347_CFLscw(30w)</v>
      </c>
      <c r="CJ256" s="174">
        <f t="shared" si="85"/>
        <v>104</v>
      </c>
      <c r="CK256" s="113">
        <f t="shared" si="99"/>
        <v>1.3279999999999998</v>
      </c>
      <c r="CL256" s="108">
        <f t="shared" si="100"/>
        <v>3.7909999999999999</v>
      </c>
      <c r="CM256" s="108">
        <f t="shared" si="101"/>
        <v>2.101</v>
      </c>
      <c r="CN256" s="108">
        <f t="shared" si="102"/>
        <v>0.94100000000000006</v>
      </c>
      <c r="CO256" s="108">
        <f t="shared" si="103"/>
        <v>0.94100000000000006</v>
      </c>
    </row>
    <row r="257" spans="1:93">
      <c r="A257" s="103" t="s">
        <v>723</v>
      </c>
      <c r="B257" s="103" t="s">
        <v>165</v>
      </c>
      <c r="C257" s="103" t="s">
        <v>152</v>
      </c>
      <c r="D257" s="250" t="s">
        <v>153</v>
      </c>
      <c r="E257" s="250">
        <v>82</v>
      </c>
      <c r="F257" s="182">
        <v>9020</v>
      </c>
      <c r="G257" s="250" t="s">
        <v>175</v>
      </c>
      <c r="H257" s="250">
        <v>31</v>
      </c>
      <c r="I257" s="250"/>
      <c r="J257" s="250"/>
      <c r="K257" s="250" t="s">
        <v>724</v>
      </c>
      <c r="L257" s="250" t="s">
        <v>61</v>
      </c>
      <c r="M257" s="250">
        <v>31</v>
      </c>
      <c r="N257" s="250"/>
      <c r="O257" s="250"/>
      <c r="P257" s="250" t="s">
        <v>153</v>
      </c>
      <c r="Q257" s="250"/>
      <c r="R257" s="250"/>
      <c r="S257" s="250"/>
      <c r="T257" s="250" t="s">
        <v>155</v>
      </c>
      <c r="U257" s="103" t="s">
        <v>725</v>
      </c>
      <c r="V257" s="106" t="s">
        <v>157</v>
      </c>
      <c r="W257" s="103" t="s">
        <v>81</v>
      </c>
      <c r="X257" s="103">
        <f>IFERROR(MATCH(W257,'CostModel Coef'!$C$9:$C$12,0),0)</f>
        <v>1</v>
      </c>
      <c r="Y257" s="103"/>
      <c r="Z257" s="103">
        <f>IF($X257&gt;0,INDEX('CostModel Coef'!D$9:D$12,$X257),"")</f>
        <v>3.0430000000000001</v>
      </c>
      <c r="AA257" s="103">
        <f>IF($X257&gt;0,INDEX('CostModel Coef'!E$9:E$12,$X257),"")</f>
        <v>-0.14966150225589619</v>
      </c>
      <c r="AB257" s="103">
        <f>IF($X257&gt;0,INDEX('CostModel Coef'!F$9:F$12,$X257),"")</f>
        <v>0.52692151711335011</v>
      </c>
      <c r="AC257" s="103">
        <f>IF($X257&gt;0,INDEX('CostModel Coef'!G$9:G$12,$X257),"")</f>
        <v>1.8411</v>
      </c>
      <c r="AD257" s="103">
        <f>IF($X257&gt;0,INDEX('CostModel Coef'!H$9:H$12,$X257),"")</f>
        <v>-1.8050999999999999</v>
      </c>
      <c r="AE257" s="103">
        <f>IF($X257&gt;0,INDEX('CostModel Coef'!J$9:J$12,$X257),"")</f>
        <v>-1.1288</v>
      </c>
      <c r="AF257" s="103">
        <f>IF($X257&gt;0,INDEX('CostModel Coef'!K$9:K$12,$X257),"")</f>
        <v>-1.845</v>
      </c>
      <c r="AG257" s="103">
        <f>IF($X257&gt;0,INDEX('CostModel Coef'!L$9:L$12,$X257),"")</f>
        <v>6.7507000000000001</v>
      </c>
      <c r="AH257" s="103">
        <f>IF($X257&gt;0,INDEX('CostModel Coef'!M$9:M$12,$X257),"")</f>
        <v>5.8051000000000004</v>
      </c>
      <c r="AI257" s="103">
        <f>IF($X257&gt;0,INDEX('CostModel Coef'!N$9:N$12,$X257),"")</f>
        <v>6.1600000000000002E-2</v>
      </c>
      <c r="AJ257" s="103">
        <f>IF($X257&gt;0,INDEX('CostModel Coef'!Q$9:Q$12,$X257),"")</f>
        <v>6.6500000000000004E-2</v>
      </c>
      <c r="AK257" s="103">
        <f>IF($X257&gt;0,INDEX('CostModel Coef'!T$9:T$12,$X257),"")</f>
        <v>9.35E-2</v>
      </c>
      <c r="AL257" s="103"/>
      <c r="AM257" s="108">
        <f t="shared" si="79"/>
        <v>4.7533920148574547</v>
      </c>
      <c r="AN257" s="108">
        <f t="shared" si="80"/>
        <v>6.5983920148574544</v>
      </c>
      <c r="AO257" s="108">
        <f t="shared" si="81"/>
        <v>4.7932920148574549</v>
      </c>
      <c r="AP257" s="108">
        <f t="shared" si="82"/>
        <v>4.7932920148574549</v>
      </c>
      <c r="AQ257" s="108">
        <f t="shared" si="83"/>
        <v>3.6644920148574545</v>
      </c>
      <c r="AR257" s="108"/>
      <c r="AS257" s="108"/>
      <c r="AT257" s="103">
        <f>IF($X257&gt;0,INDEX('CostModel Coef'!D$13:D$16,$X257),"")</f>
        <v>2.1320000000000001</v>
      </c>
      <c r="AU257" s="103">
        <f>IF($X257&gt;0,INDEX('CostModel Coef'!E$13:E$16,$X257),"")</f>
        <v>0.23699999999999999</v>
      </c>
      <c r="AV257" s="103">
        <f>IF($X257&gt;0,INDEX('CostModel Coef'!F$13:F$16,$X257),"")</f>
        <v>0.59899999999999998</v>
      </c>
      <c r="AW257" s="103">
        <f>IF($X257&gt;0,INDEX('CostModel Coef'!G$13:G$16,$X257),"")</f>
        <v>0</v>
      </c>
      <c r="AX257" s="103">
        <f>IF($X257&gt;0,INDEX('CostModel Coef'!H$13:H$16,$X257),"")</f>
        <v>-1.69</v>
      </c>
      <c r="AY257" s="103">
        <f>IF($X257&gt;0,INDEX('CostModel Coef'!I$13:I$16,$X257),"")</f>
        <v>-1.1599999999999999</v>
      </c>
      <c r="AZ257" s="103">
        <f>IF($X257&gt;0,INDEX('CostModel Coef'!J$13:J$16,$X257),"")</f>
        <v>0</v>
      </c>
      <c r="BA257" s="103">
        <f>IF($X257&gt;0,INDEX('CostModel Coef'!K$13:K$16,$X257),"")</f>
        <v>-2.4630000000000001</v>
      </c>
      <c r="BB257" s="103">
        <f>IF($X257&gt;0,INDEX('CostModel Coef'!L$13:L$16,$X257),"")</f>
        <v>0.46179999999999999</v>
      </c>
      <c r="BC257" s="103">
        <f>IF($X257&gt;0,INDEX('CostModel Coef'!M$13:M$16,$X257),"")</f>
        <v>0</v>
      </c>
      <c r="BD257" s="103">
        <f>IF($X257&gt;0,INDEX('CostModel Coef'!N$13:N$16,$X257),"")</f>
        <v>0.19869999999999999</v>
      </c>
      <c r="BE257" s="103">
        <f>IF($X257&gt;0,INDEX('CostModel Coef'!O$13:O$16,$X257),"")</f>
        <v>0.6</v>
      </c>
      <c r="BF257" s="103">
        <f>IF($X257&gt;0,INDEX('CostModel Coef'!P$13:P$16,$X257),"")</f>
        <v>15</v>
      </c>
      <c r="BG257" s="103">
        <f>IF($X257&gt;0,INDEX('CostModel Coef'!Q$13:Q$16,$X257),"")</f>
        <v>0</v>
      </c>
      <c r="BH257" s="103">
        <f>IF($X257&gt;0,INDEX('CostModel Coef'!R$13:R$16,$X257),"")</f>
        <v>3</v>
      </c>
      <c r="BI257" s="103">
        <f>IF($X257&gt;0,INDEX('CostModel Coef'!S$13:S$16,$X257),"")</f>
        <v>150</v>
      </c>
      <c r="BJ257" s="103">
        <f>IF($X257&gt;0,INDEX('CostModel Coef'!T$13:T$16,$X257),"")</f>
        <v>0</v>
      </c>
      <c r="BK257" s="103">
        <f>IF($X257&gt;0,INDEX('CostModel Coef'!U$13:U$16,$X257),"")</f>
        <v>9.1999999999999998E-3</v>
      </c>
      <c r="BL257" s="103">
        <f>IF($X257&gt;0,INDEX('CostModel Coef'!V$13:V$16,$X257),"")</f>
        <v>-8.8000000000000005E-3</v>
      </c>
      <c r="BM257" s="103">
        <f>IF($X257&gt;0,INDEX('CostModel Coef'!W$13:W$16,$X257),"")</f>
        <v>0</v>
      </c>
      <c r="BN257" s="103">
        <f>IF($X257&gt;0,INDEX('CostModel Coef'!X$13:X$16,$X257),"")</f>
        <v>0</v>
      </c>
      <c r="BO257" s="103"/>
      <c r="BP257" s="119">
        <v>2000</v>
      </c>
      <c r="BQ257" s="103"/>
      <c r="BR257" s="103"/>
      <c r="BS257" s="119" t="str">
        <f t="shared" si="86"/>
        <v>WRR0347_CFLscw(31w)</v>
      </c>
      <c r="BT257" s="174">
        <f t="shared" si="78"/>
        <v>108</v>
      </c>
      <c r="BU257" s="113">
        <f t="shared" si="88"/>
        <v>1.3296000000000001</v>
      </c>
      <c r="BV257" s="108">
        <f t="shared" si="89"/>
        <v>3.7926000000000002</v>
      </c>
      <c r="BW257" s="108">
        <f t="shared" si="90"/>
        <v>2.1026000000000002</v>
      </c>
      <c r="BX257" s="108">
        <f t="shared" si="91"/>
        <v>0.94260000000000033</v>
      </c>
      <c r="BY257" s="108">
        <f t="shared" si="92"/>
        <v>0.94260000000000033</v>
      </c>
      <c r="BZ257" s="108"/>
      <c r="CA257" s="119" t="str">
        <f t="shared" si="93"/>
        <v>WRR0407_CFLscw(31w)</v>
      </c>
      <c r="CB257" s="174">
        <f t="shared" si="84"/>
        <v>126</v>
      </c>
      <c r="CC257" s="113">
        <f t="shared" si="94"/>
        <v>1.3367999999999998</v>
      </c>
      <c r="CD257" s="108">
        <f t="shared" si="95"/>
        <v>3.7997999999999998</v>
      </c>
      <c r="CE257" s="108">
        <f t="shared" si="96"/>
        <v>2.1097999999999999</v>
      </c>
      <c r="CF257" s="108">
        <f t="shared" si="97"/>
        <v>0.94979999999999998</v>
      </c>
      <c r="CG257" s="108">
        <f t="shared" si="98"/>
        <v>0.94979999999999998</v>
      </c>
      <c r="CH257" s="103"/>
      <c r="CI257" s="119" t="str">
        <f t="shared" si="87"/>
        <v>WRR0347_CFLscw(31w)</v>
      </c>
      <c r="CJ257" s="174">
        <f t="shared" si="85"/>
        <v>108</v>
      </c>
      <c r="CK257" s="113">
        <f t="shared" si="99"/>
        <v>1.3296000000000001</v>
      </c>
      <c r="CL257" s="108">
        <f t="shared" si="100"/>
        <v>3.7926000000000002</v>
      </c>
      <c r="CM257" s="108">
        <f t="shared" si="101"/>
        <v>2.1026000000000002</v>
      </c>
      <c r="CN257" s="108">
        <f t="shared" si="102"/>
        <v>0.94260000000000033</v>
      </c>
      <c r="CO257" s="108">
        <f t="shared" si="103"/>
        <v>0.94260000000000033</v>
      </c>
    </row>
    <row r="258" spans="1:93">
      <c r="A258" s="103" t="s">
        <v>726</v>
      </c>
      <c r="B258" s="103" t="s">
        <v>165</v>
      </c>
      <c r="C258" s="103" t="s">
        <v>152</v>
      </c>
      <c r="D258" s="250" t="s">
        <v>153</v>
      </c>
      <c r="E258" s="250">
        <v>82</v>
      </c>
      <c r="F258" s="182">
        <v>9020</v>
      </c>
      <c r="G258" s="250" t="s">
        <v>175</v>
      </c>
      <c r="H258" s="250">
        <v>32</v>
      </c>
      <c r="I258" s="250"/>
      <c r="J258" s="250"/>
      <c r="K258" s="250" t="s">
        <v>727</v>
      </c>
      <c r="L258" s="250" t="s">
        <v>61</v>
      </c>
      <c r="M258" s="250">
        <v>32</v>
      </c>
      <c r="N258" s="250"/>
      <c r="O258" s="250"/>
      <c r="P258" s="250" t="s">
        <v>153</v>
      </c>
      <c r="Q258" s="250"/>
      <c r="R258" s="250"/>
      <c r="S258" s="250"/>
      <c r="T258" s="250" t="s">
        <v>155</v>
      </c>
      <c r="U258" s="103" t="s">
        <v>728</v>
      </c>
      <c r="V258" s="106" t="s">
        <v>157</v>
      </c>
      <c r="W258" s="103" t="s">
        <v>81</v>
      </c>
      <c r="X258" s="103">
        <f>IFERROR(MATCH(W258,'CostModel Coef'!$C$9:$C$12,0),0)</f>
        <v>1</v>
      </c>
      <c r="Y258" s="103"/>
      <c r="Z258" s="103">
        <f>IF($X258&gt;0,INDEX('CostModel Coef'!D$9:D$12,$X258),"")</f>
        <v>3.0430000000000001</v>
      </c>
      <c r="AA258" s="103">
        <f>IF($X258&gt;0,INDEX('CostModel Coef'!E$9:E$12,$X258),"")</f>
        <v>-0.14966150225589619</v>
      </c>
      <c r="AB258" s="103">
        <f>IF($X258&gt;0,INDEX('CostModel Coef'!F$9:F$12,$X258),"")</f>
        <v>0.52692151711335011</v>
      </c>
      <c r="AC258" s="103">
        <f>IF($X258&gt;0,INDEX('CostModel Coef'!G$9:G$12,$X258),"")</f>
        <v>1.8411</v>
      </c>
      <c r="AD258" s="103">
        <f>IF($X258&gt;0,INDEX('CostModel Coef'!H$9:H$12,$X258),"")</f>
        <v>-1.8050999999999999</v>
      </c>
      <c r="AE258" s="103">
        <f>IF($X258&gt;0,INDEX('CostModel Coef'!J$9:J$12,$X258),"")</f>
        <v>-1.1288</v>
      </c>
      <c r="AF258" s="103">
        <f>IF($X258&gt;0,INDEX('CostModel Coef'!K$9:K$12,$X258),"")</f>
        <v>-1.845</v>
      </c>
      <c r="AG258" s="103">
        <f>IF($X258&gt;0,INDEX('CostModel Coef'!L$9:L$12,$X258),"")</f>
        <v>6.7507000000000001</v>
      </c>
      <c r="AH258" s="103">
        <f>IF($X258&gt;0,INDEX('CostModel Coef'!M$9:M$12,$X258),"")</f>
        <v>5.8051000000000004</v>
      </c>
      <c r="AI258" s="103">
        <f>IF($X258&gt;0,INDEX('CostModel Coef'!N$9:N$12,$X258),"")</f>
        <v>6.1600000000000002E-2</v>
      </c>
      <c r="AJ258" s="103">
        <f>IF($X258&gt;0,INDEX('CostModel Coef'!Q$9:Q$12,$X258),"")</f>
        <v>6.6500000000000004E-2</v>
      </c>
      <c r="AK258" s="103">
        <f>IF($X258&gt;0,INDEX('CostModel Coef'!T$9:T$12,$X258),"")</f>
        <v>9.35E-2</v>
      </c>
      <c r="AL258" s="103"/>
      <c r="AM258" s="108">
        <f t="shared" si="79"/>
        <v>4.9133920148574539</v>
      </c>
      <c r="AN258" s="108">
        <f t="shared" si="80"/>
        <v>6.7583920148574537</v>
      </c>
      <c r="AO258" s="108">
        <f t="shared" si="81"/>
        <v>4.9532920148574542</v>
      </c>
      <c r="AP258" s="108">
        <f t="shared" si="82"/>
        <v>4.9532920148574542</v>
      </c>
      <c r="AQ258" s="108">
        <f t="shared" si="83"/>
        <v>3.8244920148574542</v>
      </c>
      <c r="AR258" s="108"/>
      <c r="AS258" s="108"/>
      <c r="AT258" s="103">
        <f>IF($X258&gt;0,INDEX('CostModel Coef'!D$13:D$16,$X258),"")</f>
        <v>2.1320000000000001</v>
      </c>
      <c r="AU258" s="103">
        <f>IF($X258&gt;0,INDEX('CostModel Coef'!E$13:E$16,$X258),"")</f>
        <v>0.23699999999999999</v>
      </c>
      <c r="AV258" s="103">
        <f>IF($X258&gt;0,INDEX('CostModel Coef'!F$13:F$16,$X258),"")</f>
        <v>0.59899999999999998</v>
      </c>
      <c r="AW258" s="103">
        <f>IF($X258&gt;0,INDEX('CostModel Coef'!G$13:G$16,$X258),"")</f>
        <v>0</v>
      </c>
      <c r="AX258" s="103">
        <f>IF($X258&gt;0,INDEX('CostModel Coef'!H$13:H$16,$X258),"")</f>
        <v>-1.69</v>
      </c>
      <c r="AY258" s="103">
        <f>IF($X258&gt;0,INDEX('CostModel Coef'!I$13:I$16,$X258),"")</f>
        <v>-1.1599999999999999</v>
      </c>
      <c r="AZ258" s="103">
        <f>IF($X258&gt;0,INDEX('CostModel Coef'!J$13:J$16,$X258),"")</f>
        <v>0</v>
      </c>
      <c r="BA258" s="103">
        <f>IF($X258&gt;0,INDEX('CostModel Coef'!K$13:K$16,$X258),"")</f>
        <v>-2.4630000000000001</v>
      </c>
      <c r="BB258" s="103">
        <f>IF($X258&gt;0,INDEX('CostModel Coef'!L$13:L$16,$X258),"")</f>
        <v>0.46179999999999999</v>
      </c>
      <c r="BC258" s="103">
        <f>IF($X258&gt;0,INDEX('CostModel Coef'!M$13:M$16,$X258),"")</f>
        <v>0</v>
      </c>
      <c r="BD258" s="103">
        <f>IF($X258&gt;0,INDEX('CostModel Coef'!N$13:N$16,$X258),"")</f>
        <v>0.19869999999999999</v>
      </c>
      <c r="BE258" s="103">
        <f>IF($X258&gt;0,INDEX('CostModel Coef'!O$13:O$16,$X258),"")</f>
        <v>0.6</v>
      </c>
      <c r="BF258" s="103">
        <f>IF($X258&gt;0,INDEX('CostModel Coef'!P$13:P$16,$X258),"")</f>
        <v>15</v>
      </c>
      <c r="BG258" s="103">
        <f>IF($X258&gt;0,INDEX('CostModel Coef'!Q$13:Q$16,$X258),"")</f>
        <v>0</v>
      </c>
      <c r="BH258" s="103">
        <f>IF($X258&gt;0,INDEX('CostModel Coef'!R$13:R$16,$X258),"")</f>
        <v>3</v>
      </c>
      <c r="BI258" s="103">
        <f>IF($X258&gt;0,INDEX('CostModel Coef'!S$13:S$16,$X258),"")</f>
        <v>150</v>
      </c>
      <c r="BJ258" s="103">
        <f>IF($X258&gt;0,INDEX('CostModel Coef'!T$13:T$16,$X258),"")</f>
        <v>0</v>
      </c>
      <c r="BK258" s="103">
        <f>IF($X258&gt;0,INDEX('CostModel Coef'!U$13:U$16,$X258),"")</f>
        <v>9.1999999999999998E-3</v>
      </c>
      <c r="BL258" s="103">
        <f>IF($X258&gt;0,INDEX('CostModel Coef'!V$13:V$16,$X258),"")</f>
        <v>-8.8000000000000005E-3</v>
      </c>
      <c r="BM258" s="103">
        <f>IF($X258&gt;0,INDEX('CostModel Coef'!W$13:W$16,$X258),"")</f>
        <v>0</v>
      </c>
      <c r="BN258" s="103">
        <f>IF($X258&gt;0,INDEX('CostModel Coef'!X$13:X$16,$X258),"")</f>
        <v>0</v>
      </c>
      <c r="BO258" s="103"/>
      <c r="BP258" s="119">
        <v>2000</v>
      </c>
      <c r="BQ258" s="103"/>
      <c r="BR258" s="103"/>
      <c r="BS258" s="119" t="str">
        <f t="shared" si="86"/>
        <v>WRR0347_CFLscw(32w)</v>
      </c>
      <c r="BT258" s="174">
        <f t="shared" si="78"/>
        <v>111</v>
      </c>
      <c r="BU258" s="113">
        <f t="shared" si="88"/>
        <v>1.3307999999999995</v>
      </c>
      <c r="BV258" s="108">
        <f t="shared" si="89"/>
        <v>3.7937999999999996</v>
      </c>
      <c r="BW258" s="108">
        <f t="shared" si="90"/>
        <v>2.1037999999999997</v>
      </c>
      <c r="BX258" s="108">
        <f t="shared" si="91"/>
        <v>0.94379999999999975</v>
      </c>
      <c r="BY258" s="108">
        <f t="shared" si="92"/>
        <v>0.94379999999999975</v>
      </c>
      <c r="BZ258" s="108"/>
      <c r="CA258" s="119" t="str">
        <f t="shared" si="93"/>
        <v>WRR0407_CFLscw(32w)</v>
      </c>
      <c r="CB258" s="174">
        <f t="shared" si="84"/>
        <v>130</v>
      </c>
      <c r="CC258" s="113">
        <f t="shared" si="94"/>
        <v>1.3384</v>
      </c>
      <c r="CD258" s="108">
        <f t="shared" si="95"/>
        <v>3.8014000000000001</v>
      </c>
      <c r="CE258" s="108">
        <f t="shared" si="96"/>
        <v>2.1114000000000002</v>
      </c>
      <c r="CF258" s="108">
        <f t="shared" si="97"/>
        <v>0.95140000000000025</v>
      </c>
      <c r="CG258" s="108">
        <f t="shared" si="98"/>
        <v>0.95140000000000025</v>
      </c>
      <c r="CH258" s="103"/>
      <c r="CI258" s="119" t="str">
        <f t="shared" si="87"/>
        <v>WRR0347_CFLscw(32w)</v>
      </c>
      <c r="CJ258" s="174">
        <f t="shared" si="85"/>
        <v>111</v>
      </c>
      <c r="CK258" s="113">
        <f t="shared" si="99"/>
        <v>1.3307999999999995</v>
      </c>
      <c r="CL258" s="108">
        <f t="shared" si="100"/>
        <v>3.7937999999999996</v>
      </c>
      <c r="CM258" s="108">
        <f t="shared" si="101"/>
        <v>2.1037999999999997</v>
      </c>
      <c r="CN258" s="108">
        <f t="shared" si="102"/>
        <v>0.94379999999999975</v>
      </c>
      <c r="CO258" s="108">
        <f t="shared" si="103"/>
        <v>0.94379999999999975</v>
      </c>
    </row>
    <row r="259" spans="1:93">
      <c r="A259" s="103" t="s">
        <v>729</v>
      </c>
      <c r="B259" s="103" t="s">
        <v>174</v>
      </c>
      <c r="C259" s="103" t="s">
        <v>152</v>
      </c>
      <c r="D259" s="250" t="s">
        <v>153</v>
      </c>
      <c r="E259" s="250"/>
      <c r="F259" s="182">
        <v>9020</v>
      </c>
      <c r="G259" s="250" t="s">
        <v>175</v>
      </c>
      <c r="H259" s="250">
        <v>33</v>
      </c>
      <c r="I259" s="250"/>
      <c r="J259" s="250"/>
      <c r="K259" s="250"/>
      <c r="L259" s="250" t="s">
        <v>61</v>
      </c>
      <c r="M259" s="250">
        <v>33</v>
      </c>
      <c r="N259" s="250"/>
      <c r="O259" s="250"/>
      <c r="P259" s="250" t="s">
        <v>153</v>
      </c>
      <c r="Q259" s="250"/>
      <c r="R259" s="250"/>
      <c r="S259" s="250"/>
      <c r="T259" s="250" t="s">
        <v>155</v>
      </c>
      <c r="U259" s="103" t="s">
        <v>730</v>
      </c>
      <c r="V259" s="106" t="s">
        <v>157</v>
      </c>
      <c r="W259" s="103" t="s">
        <v>81</v>
      </c>
      <c r="X259" s="103">
        <f>IFERROR(MATCH(W259,'CostModel Coef'!$C$9:$C$12,0),0)</f>
        <v>1</v>
      </c>
      <c r="Y259" s="103"/>
      <c r="Z259" s="103">
        <f>IF($X259&gt;0,INDEX('CostModel Coef'!D$9:D$12,$X259),"")</f>
        <v>3.0430000000000001</v>
      </c>
      <c r="AA259" s="103">
        <f>IF($X259&gt;0,INDEX('CostModel Coef'!E$9:E$12,$X259),"")</f>
        <v>-0.14966150225589619</v>
      </c>
      <c r="AB259" s="103">
        <f>IF($X259&gt;0,INDEX('CostModel Coef'!F$9:F$12,$X259),"")</f>
        <v>0.52692151711335011</v>
      </c>
      <c r="AC259" s="103">
        <f>IF($X259&gt;0,INDEX('CostModel Coef'!G$9:G$12,$X259),"")</f>
        <v>1.8411</v>
      </c>
      <c r="AD259" s="103">
        <f>IF($X259&gt;0,INDEX('CostModel Coef'!H$9:H$12,$X259),"")</f>
        <v>-1.8050999999999999</v>
      </c>
      <c r="AE259" s="103">
        <f>IF($X259&gt;0,INDEX('CostModel Coef'!J$9:J$12,$X259),"")</f>
        <v>-1.1288</v>
      </c>
      <c r="AF259" s="103">
        <f>IF($X259&gt;0,INDEX('CostModel Coef'!K$9:K$12,$X259),"")</f>
        <v>-1.845</v>
      </c>
      <c r="AG259" s="103">
        <f>IF($X259&gt;0,INDEX('CostModel Coef'!L$9:L$12,$X259),"")</f>
        <v>6.7507000000000001</v>
      </c>
      <c r="AH259" s="103">
        <f>IF($X259&gt;0,INDEX('CostModel Coef'!M$9:M$12,$X259),"")</f>
        <v>5.8051000000000004</v>
      </c>
      <c r="AI259" s="103">
        <f>IF($X259&gt;0,INDEX('CostModel Coef'!N$9:N$12,$X259),"")</f>
        <v>6.1600000000000002E-2</v>
      </c>
      <c r="AJ259" s="103">
        <f>IF($X259&gt;0,INDEX('CostModel Coef'!Q$9:Q$12,$X259),"")</f>
        <v>6.6500000000000004E-2</v>
      </c>
      <c r="AK259" s="103">
        <f>IF($X259&gt;0,INDEX('CostModel Coef'!T$9:T$12,$X259),"")</f>
        <v>9.35E-2</v>
      </c>
      <c r="AL259" s="103"/>
      <c r="AM259" s="108">
        <f t="shared" si="79"/>
        <v>5.0733920148574541</v>
      </c>
      <c r="AN259" s="108">
        <f t="shared" si="80"/>
        <v>6.9183920148574547</v>
      </c>
      <c r="AO259" s="108">
        <f t="shared" si="81"/>
        <v>5.1132920148574543</v>
      </c>
      <c r="AP259" s="108">
        <f t="shared" si="82"/>
        <v>5.1132920148574543</v>
      </c>
      <c r="AQ259" s="108">
        <f t="shared" si="83"/>
        <v>3.9844920148574543</v>
      </c>
      <c r="AR259" s="108"/>
      <c r="AS259" s="108"/>
      <c r="AT259" s="103">
        <f>IF($X259&gt;0,INDEX('CostModel Coef'!D$13:D$16,$X259),"")</f>
        <v>2.1320000000000001</v>
      </c>
      <c r="AU259" s="103">
        <f>IF($X259&gt;0,INDEX('CostModel Coef'!E$13:E$16,$X259),"")</f>
        <v>0.23699999999999999</v>
      </c>
      <c r="AV259" s="103">
        <f>IF($X259&gt;0,INDEX('CostModel Coef'!F$13:F$16,$X259),"")</f>
        <v>0.59899999999999998</v>
      </c>
      <c r="AW259" s="103">
        <f>IF($X259&gt;0,INDEX('CostModel Coef'!G$13:G$16,$X259),"")</f>
        <v>0</v>
      </c>
      <c r="AX259" s="103">
        <f>IF($X259&gt;0,INDEX('CostModel Coef'!H$13:H$16,$X259),"")</f>
        <v>-1.69</v>
      </c>
      <c r="AY259" s="103">
        <f>IF($X259&gt;0,INDEX('CostModel Coef'!I$13:I$16,$X259),"")</f>
        <v>-1.1599999999999999</v>
      </c>
      <c r="AZ259" s="103">
        <f>IF($X259&gt;0,INDEX('CostModel Coef'!J$13:J$16,$X259),"")</f>
        <v>0</v>
      </c>
      <c r="BA259" s="103">
        <f>IF($X259&gt;0,INDEX('CostModel Coef'!K$13:K$16,$X259),"")</f>
        <v>-2.4630000000000001</v>
      </c>
      <c r="BB259" s="103">
        <f>IF($X259&gt;0,INDEX('CostModel Coef'!L$13:L$16,$X259),"")</f>
        <v>0.46179999999999999</v>
      </c>
      <c r="BC259" s="103">
        <f>IF($X259&gt;0,INDEX('CostModel Coef'!M$13:M$16,$X259),"")</f>
        <v>0</v>
      </c>
      <c r="BD259" s="103">
        <f>IF($X259&gt;0,INDEX('CostModel Coef'!N$13:N$16,$X259),"")</f>
        <v>0.19869999999999999</v>
      </c>
      <c r="BE259" s="103">
        <f>IF($X259&gt;0,INDEX('CostModel Coef'!O$13:O$16,$X259),"")</f>
        <v>0.6</v>
      </c>
      <c r="BF259" s="103">
        <f>IF($X259&gt;0,INDEX('CostModel Coef'!P$13:P$16,$X259),"")</f>
        <v>15</v>
      </c>
      <c r="BG259" s="103">
        <f>IF($X259&gt;0,INDEX('CostModel Coef'!Q$13:Q$16,$X259),"")</f>
        <v>0</v>
      </c>
      <c r="BH259" s="103">
        <f>IF($X259&gt;0,INDEX('CostModel Coef'!R$13:R$16,$X259),"")</f>
        <v>3</v>
      </c>
      <c r="BI259" s="103">
        <f>IF($X259&gt;0,INDEX('CostModel Coef'!S$13:S$16,$X259),"")</f>
        <v>150</v>
      </c>
      <c r="BJ259" s="103">
        <f>IF($X259&gt;0,INDEX('CostModel Coef'!T$13:T$16,$X259),"")</f>
        <v>0</v>
      </c>
      <c r="BK259" s="103">
        <f>IF($X259&gt;0,INDEX('CostModel Coef'!U$13:U$16,$X259),"")</f>
        <v>9.1999999999999998E-3</v>
      </c>
      <c r="BL259" s="103">
        <f>IF($X259&gt;0,INDEX('CostModel Coef'!V$13:V$16,$X259),"")</f>
        <v>-8.8000000000000005E-3</v>
      </c>
      <c r="BM259" s="103">
        <f>IF($X259&gt;0,INDEX('CostModel Coef'!W$13:W$16,$X259),"")</f>
        <v>0</v>
      </c>
      <c r="BN259" s="103">
        <f>IF($X259&gt;0,INDEX('CostModel Coef'!X$13:X$16,$X259),"")</f>
        <v>0</v>
      </c>
      <c r="BO259" s="103"/>
      <c r="BP259" s="119">
        <v>2000</v>
      </c>
      <c r="BQ259" s="103"/>
      <c r="BR259" s="103"/>
      <c r="BS259" s="119" t="str">
        <f t="shared" si="86"/>
        <v>WRR0347_CFLscw(33w)</v>
      </c>
      <c r="BT259" s="174">
        <f t="shared" si="78"/>
        <v>115</v>
      </c>
      <c r="BU259" s="113">
        <f t="shared" si="88"/>
        <v>1.3324000000000003</v>
      </c>
      <c r="BV259" s="108">
        <f t="shared" si="89"/>
        <v>3.7954000000000003</v>
      </c>
      <c r="BW259" s="108">
        <f t="shared" si="90"/>
        <v>2.1054000000000004</v>
      </c>
      <c r="BX259" s="108">
        <f t="shared" si="91"/>
        <v>0.94540000000000046</v>
      </c>
      <c r="BY259" s="108">
        <f t="shared" si="92"/>
        <v>0.94540000000000046</v>
      </c>
      <c r="BZ259" s="108"/>
      <c r="CA259" s="119" t="str">
        <f t="shared" si="93"/>
        <v>WRR0407_CFLscw(33w)</v>
      </c>
      <c r="CB259" s="174">
        <f t="shared" si="84"/>
        <v>134</v>
      </c>
      <c r="CC259" s="113">
        <f t="shared" si="94"/>
        <v>1.3400000000000003</v>
      </c>
      <c r="CD259" s="108">
        <f t="shared" si="95"/>
        <v>3.8030000000000004</v>
      </c>
      <c r="CE259" s="108">
        <f t="shared" si="96"/>
        <v>2.1130000000000004</v>
      </c>
      <c r="CF259" s="108">
        <f t="shared" si="97"/>
        <v>0.95300000000000051</v>
      </c>
      <c r="CG259" s="108">
        <f t="shared" si="98"/>
        <v>0.95300000000000051</v>
      </c>
      <c r="CH259" s="103"/>
      <c r="CI259" s="119" t="str">
        <f t="shared" si="87"/>
        <v>WRR0347_CFLscw(33w)</v>
      </c>
      <c r="CJ259" s="174">
        <f t="shared" si="85"/>
        <v>115</v>
      </c>
      <c r="CK259" s="113">
        <f t="shared" si="99"/>
        <v>1.3324000000000003</v>
      </c>
      <c r="CL259" s="108">
        <f t="shared" si="100"/>
        <v>3.7954000000000003</v>
      </c>
      <c r="CM259" s="108">
        <f t="shared" si="101"/>
        <v>2.1054000000000004</v>
      </c>
      <c r="CN259" s="108">
        <f t="shared" si="102"/>
        <v>0.94540000000000046</v>
      </c>
      <c r="CO259" s="108">
        <f t="shared" si="103"/>
        <v>0.94540000000000046</v>
      </c>
    </row>
    <row r="260" spans="1:93">
      <c r="A260" s="103" t="s">
        <v>731</v>
      </c>
      <c r="B260" s="103" t="s">
        <v>174</v>
      </c>
      <c r="C260" s="103" t="s">
        <v>153</v>
      </c>
      <c r="D260" s="250" t="s">
        <v>153</v>
      </c>
      <c r="E260" s="250"/>
      <c r="F260" s="182">
        <v>9020</v>
      </c>
      <c r="G260" s="250" t="s">
        <v>175</v>
      </c>
      <c r="H260" s="250">
        <v>36</v>
      </c>
      <c r="I260" s="250"/>
      <c r="J260" s="250"/>
      <c r="K260" s="250"/>
      <c r="L260" s="250" t="s">
        <v>61</v>
      </c>
      <c r="M260" s="250">
        <v>36</v>
      </c>
      <c r="N260" s="250"/>
      <c r="O260" s="250"/>
      <c r="P260" s="250" t="s">
        <v>153</v>
      </c>
      <c r="Q260" s="250"/>
      <c r="R260" s="250"/>
      <c r="S260" s="250"/>
      <c r="T260" s="250" t="s">
        <v>155</v>
      </c>
      <c r="U260" s="103" t="s">
        <v>732</v>
      </c>
      <c r="V260" s="106" t="s">
        <v>157</v>
      </c>
      <c r="W260" s="103" t="s">
        <v>81</v>
      </c>
      <c r="X260" s="103">
        <f>IFERROR(MATCH(W260,'CostModel Coef'!$C$9:$C$12,0),0)</f>
        <v>1</v>
      </c>
      <c r="Y260" s="103"/>
      <c r="Z260" s="103">
        <f>IF($X260&gt;0,INDEX('CostModel Coef'!D$9:D$12,$X260),"")</f>
        <v>3.0430000000000001</v>
      </c>
      <c r="AA260" s="103">
        <f>IF($X260&gt;0,INDEX('CostModel Coef'!E$9:E$12,$X260),"")</f>
        <v>-0.14966150225589619</v>
      </c>
      <c r="AB260" s="103">
        <f>IF($X260&gt;0,INDEX('CostModel Coef'!F$9:F$12,$X260),"")</f>
        <v>0.52692151711335011</v>
      </c>
      <c r="AC260" s="103">
        <f>IF($X260&gt;0,INDEX('CostModel Coef'!G$9:G$12,$X260),"")</f>
        <v>1.8411</v>
      </c>
      <c r="AD260" s="103">
        <f>IF($X260&gt;0,INDEX('CostModel Coef'!H$9:H$12,$X260),"")</f>
        <v>-1.8050999999999999</v>
      </c>
      <c r="AE260" s="103">
        <f>IF($X260&gt;0,INDEX('CostModel Coef'!J$9:J$12,$X260),"")</f>
        <v>-1.1288</v>
      </c>
      <c r="AF260" s="103">
        <f>IF($X260&gt;0,INDEX('CostModel Coef'!K$9:K$12,$X260),"")</f>
        <v>-1.845</v>
      </c>
      <c r="AG260" s="103">
        <f>IF($X260&gt;0,INDEX('CostModel Coef'!L$9:L$12,$X260),"")</f>
        <v>6.7507000000000001</v>
      </c>
      <c r="AH260" s="103">
        <f>IF($X260&gt;0,INDEX('CostModel Coef'!M$9:M$12,$X260),"")</f>
        <v>5.8051000000000004</v>
      </c>
      <c r="AI260" s="103">
        <f>IF($X260&gt;0,INDEX('CostModel Coef'!N$9:N$12,$X260),"")</f>
        <v>6.1600000000000002E-2</v>
      </c>
      <c r="AJ260" s="103">
        <f>IF($X260&gt;0,INDEX('CostModel Coef'!Q$9:Q$12,$X260),"")</f>
        <v>6.6500000000000004E-2</v>
      </c>
      <c r="AK260" s="103">
        <f>IF($X260&gt;0,INDEX('CostModel Coef'!T$9:T$12,$X260),"")</f>
        <v>9.35E-2</v>
      </c>
      <c r="AL260" s="103"/>
      <c r="AM260" s="108">
        <f t="shared" si="79"/>
        <v>5.5533920148574545</v>
      </c>
      <c r="AN260" s="108">
        <f t="shared" si="80"/>
        <v>7.3983920148574542</v>
      </c>
      <c r="AO260" s="108">
        <f t="shared" si="81"/>
        <v>5.5932920148574539</v>
      </c>
      <c r="AP260" s="108">
        <f t="shared" si="82"/>
        <v>5.5932920148574539</v>
      </c>
      <c r="AQ260" s="108">
        <f t="shared" si="83"/>
        <v>4.4644920148574538</v>
      </c>
      <c r="AR260" s="108"/>
      <c r="AS260" s="108"/>
      <c r="AT260" s="103">
        <f>IF($X260&gt;0,INDEX('CostModel Coef'!D$13:D$16,$X260),"")</f>
        <v>2.1320000000000001</v>
      </c>
      <c r="AU260" s="103">
        <f>IF($X260&gt;0,INDEX('CostModel Coef'!E$13:E$16,$X260),"")</f>
        <v>0.23699999999999999</v>
      </c>
      <c r="AV260" s="103">
        <f>IF($X260&gt;0,INDEX('CostModel Coef'!F$13:F$16,$X260),"")</f>
        <v>0.59899999999999998</v>
      </c>
      <c r="AW260" s="103">
        <f>IF($X260&gt;0,INDEX('CostModel Coef'!G$13:G$16,$X260),"")</f>
        <v>0</v>
      </c>
      <c r="AX260" s="103">
        <f>IF($X260&gt;0,INDEX('CostModel Coef'!H$13:H$16,$X260),"")</f>
        <v>-1.69</v>
      </c>
      <c r="AY260" s="103">
        <f>IF($X260&gt;0,INDEX('CostModel Coef'!I$13:I$16,$X260),"")</f>
        <v>-1.1599999999999999</v>
      </c>
      <c r="AZ260" s="103">
        <f>IF($X260&gt;0,INDEX('CostModel Coef'!J$13:J$16,$X260),"")</f>
        <v>0</v>
      </c>
      <c r="BA260" s="103">
        <f>IF($X260&gt;0,INDEX('CostModel Coef'!K$13:K$16,$X260),"")</f>
        <v>-2.4630000000000001</v>
      </c>
      <c r="BB260" s="103">
        <f>IF($X260&gt;0,INDEX('CostModel Coef'!L$13:L$16,$X260),"")</f>
        <v>0.46179999999999999</v>
      </c>
      <c r="BC260" s="103">
        <f>IF($X260&gt;0,INDEX('CostModel Coef'!M$13:M$16,$X260),"")</f>
        <v>0</v>
      </c>
      <c r="BD260" s="103">
        <f>IF($X260&gt;0,INDEX('CostModel Coef'!N$13:N$16,$X260),"")</f>
        <v>0.19869999999999999</v>
      </c>
      <c r="BE260" s="103">
        <f>IF($X260&gt;0,INDEX('CostModel Coef'!O$13:O$16,$X260),"")</f>
        <v>0.6</v>
      </c>
      <c r="BF260" s="103">
        <f>IF($X260&gt;0,INDEX('CostModel Coef'!P$13:P$16,$X260),"")</f>
        <v>15</v>
      </c>
      <c r="BG260" s="103">
        <f>IF($X260&gt;0,INDEX('CostModel Coef'!Q$13:Q$16,$X260),"")</f>
        <v>0</v>
      </c>
      <c r="BH260" s="103">
        <f>IF($X260&gt;0,INDEX('CostModel Coef'!R$13:R$16,$X260),"")</f>
        <v>3</v>
      </c>
      <c r="BI260" s="103">
        <f>IF($X260&gt;0,INDEX('CostModel Coef'!S$13:S$16,$X260),"")</f>
        <v>150</v>
      </c>
      <c r="BJ260" s="103">
        <f>IF($X260&gt;0,INDEX('CostModel Coef'!T$13:T$16,$X260),"")</f>
        <v>0</v>
      </c>
      <c r="BK260" s="103">
        <f>IF($X260&gt;0,INDEX('CostModel Coef'!U$13:U$16,$X260),"")</f>
        <v>9.1999999999999998E-3</v>
      </c>
      <c r="BL260" s="103">
        <f>IF($X260&gt;0,INDEX('CostModel Coef'!V$13:V$16,$X260),"")</f>
        <v>-8.8000000000000005E-3</v>
      </c>
      <c r="BM260" s="103">
        <f>IF($X260&gt;0,INDEX('CostModel Coef'!W$13:W$16,$X260),"")</f>
        <v>0</v>
      </c>
      <c r="BN260" s="103">
        <f>IF($X260&gt;0,INDEX('CostModel Coef'!X$13:X$16,$X260),"")</f>
        <v>0</v>
      </c>
      <c r="BO260" s="103"/>
      <c r="BP260" s="119">
        <v>2000</v>
      </c>
      <c r="BQ260" s="103"/>
      <c r="BR260" s="103"/>
      <c r="BS260" s="119" t="str">
        <f t="shared" si="86"/>
        <v>WRR0347_CFLscw(36w)</v>
      </c>
      <c r="BT260" s="174">
        <f t="shared" si="78"/>
        <v>125</v>
      </c>
      <c r="BU260" s="113">
        <f t="shared" si="88"/>
        <v>1.3363999999999998</v>
      </c>
      <c r="BV260" s="108">
        <f t="shared" si="89"/>
        <v>3.7993999999999999</v>
      </c>
      <c r="BW260" s="108">
        <f t="shared" si="90"/>
        <v>2.1093999999999999</v>
      </c>
      <c r="BX260" s="108">
        <f t="shared" si="91"/>
        <v>0.94940000000000002</v>
      </c>
      <c r="BY260" s="108">
        <f t="shared" si="92"/>
        <v>0.94940000000000002</v>
      </c>
      <c r="BZ260" s="108"/>
      <c r="CA260" s="119" t="str">
        <f t="shared" si="93"/>
        <v>WRR0407_CFLscw(36w)</v>
      </c>
      <c r="CB260" s="174">
        <f t="shared" si="84"/>
        <v>147</v>
      </c>
      <c r="CC260" s="113">
        <f t="shared" si="94"/>
        <v>1.3452000000000006</v>
      </c>
      <c r="CD260" s="108">
        <f t="shared" si="95"/>
        <v>3.8082000000000007</v>
      </c>
      <c r="CE260" s="108">
        <f t="shared" si="96"/>
        <v>2.1182000000000007</v>
      </c>
      <c r="CF260" s="108">
        <f t="shared" si="97"/>
        <v>0.95820000000000083</v>
      </c>
      <c r="CG260" s="108">
        <f t="shared" si="98"/>
        <v>0.95820000000000083</v>
      </c>
      <c r="CH260" s="103"/>
      <c r="CI260" s="119" t="str">
        <f t="shared" si="87"/>
        <v>WRR0347_CFLscw(36w)</v>
      </c>
      <c r="CJ260" s="174">
        <f t="shared" si="85"/>
        <v>125</v>
      </c>
      <c r="CK260" s="113">
        <f t="shared" si="99"/>
        <v>1.3363999999999998</v>
      </c>
      <c r="CL260" s="108">
        <f t="shared" si="100"/>
        <v>3.7993999999999999</v>
      </c>
      <c r="CM260" s="108">
        <f t="shared" si="101"/>
        <v>2.1093999999999999</v>
      </c>
      <c r="CN260" s="108">
        <f t="shared" si="102"/>
        <v>0.94940000000000002</v>
      </c>
      <c r="CO260" s="108">
        <f t="shared" si="103"/>
        <v>0.94940000000000002</v>
      </c>
    </row>
    <row r="261" spans="1:93">
      <c r="A261" s="103" t="s">
        <v>733</v>
      </c>
      <c r="B261" s="103" t="s">
        <v>174</v>
      </c>
      <c r="C261" s="103" t="s">
        <v>153</v>
      </c>
      <c r="D261" s="250" t="s">
        <v>153</v>
      </c>
      <c r="E261" s="250"/>
      <c r="F261" s="182">
        <v>9020</v>
      </c>
      <c r="G261" s="250" t="s">
        <v>175</v>
      </c>
      <c r="H261" s="250">
        <v>38</v>
      </c>
      <c r="I261" s="250"/>
      <c r="J261" s="250"/>
      <c r="K261" s="250"/>
      <c r="L261" s="250" t="s">
        <v>61</v>
      </c>
      <c r="M261" s="250">
        <v>38</v>
      </c>
      <c r="N261" s="250"/>
      <c r="O261" s="250"/>
      <c r="P261" s="250" t="s">
        <v>153</v>
      </c>
      <c r="Q261" s="250"/>
      <c r="R261" s="250"/>
      <c r="S261" s="250"/>
      <c r="T261" s="250" t="s">
        <v>155</v>
      </c>
      <c r="U261" s="103" t="s">
        <v>734</v>
      </c>
      <c r="V261" s="106" t="s">
        <v>157</v>
      </c>
      <c r="W261" s="103" t="s">
        <v>81</v>
      </c>
      <c r="X261" s="103">
        <f>IFERROR(MATCH(W261,'CostModel Coef'!$C$9:$C$12,0),0)</f>
        <v>1</v>
      </c>
      <c r="Y261" s="103"/>
      <c r="Z261" s="103">
        <f>IF($X261&gt;0,INDEX('CostModel Coef'!D$9:D$12,$X261),"")</f>
        <v>3.0430000000000001</v>
      </c>
      <c r="AA261" s="103">
        <f>IF($X261&gt;0,INDEX('CostModel Coef'!E$9:E$12,$X261),"")</f>
        <v>-0.14966150225589619</v>
      </c>
      <c r="AB261" s="103">
        <f>IF($X261&gt;0,INDEX('CostModel Coef'!F$9:F$12,$X261),"")</f>
        <v>0.52692151711335011</v>
      </c>
      <c r="AC261" s="103">
        <f>IF($X261&gt;0,INDEX('CostModel Coef'!G$9:G$12,$X261),"")</f>
        <v>1.8411</v>
      </c>
      <c r="AD261" s="103">
        <f>IF($X261&gt;0,INDEX('CostModel Coef'!H$9:H$12,$X261),"")</f>
        <v>-1.8050999999999999</v>
      </c>
      <c r="AE261" s="103">
        <f>IF($X261&gt;0,INDEX('CostModel Coef'!J$9:J$12,$X261),"")</f>
        <v>-1.1288</v>
      </c>
      <c r="AF261" s="103">
        <f>IF($X261&gt;0,INDEX('CostModel Coef'!K$9:K$12,$X261),"")</f>
        <v>-1.845</v>
      </c>
      <c r="AG261" s="103">
        <f>IF($X261&gt;0,INDEX('CostModel Coef'!L$9:L$12,$X261),"")</f>
        <v>6.7507000000000001</v>
      </c>
      <c r="AH261" s="103">
        <f>IF($X261&gt;0,INDEX('CostModel Coef'!M$9:M$12,$X261),"")</f>
        <v>5.8051000000000004</v>
      </c>
      <c r="AI261" s="103">
        <f>IF($X261&gt;0,INDEX('CostModel Coef'!N$9:N$12,$X261),"")</f>
        <v>6.1600000000000002E-2</v>
      </c>
      <c r="AJ261" s="103">
        <f>IF($X261&gt;0,INDEX('CostModel Coef'!Q$9:Q$12,$X261),"")</f>
        <v>6.6500000000000004E-2</v>
      </c>
      <c r="AK261" s="103">
        <f>IF($X261&gt;0,INDEX('CostModel Coef'!T$9:T$12,$X261),"")</f>
        <v>9.35E-2</v>
      </c>
      <c r="AL261" s="103"/>
      <c r="AM261" s="108">
        <f t="shared" si="79"/>
        <v>5.8733920148574548</v>
      </c>
      <c r="AN261" s="108">
        <f t="shared" si="80"/>
        <v>7.7183920148574554</v>
      </c>
      <c r="AO261" s="108">
        <f t="shared" si="81"/>
        <v>5.913292014857455</v>
      </c>
      <c r="AP261" s="108">
        <f t="shared" si="82"/>
        <v>5.913292014857455</v>
      </c>
      <c r="AQ261" s="108">
        <f t="shared" si="83"/>
        <v>4.784492014857455</v>
      </c>
      <c r="AR261" s="108"/>
      <c r="AS261" s="108"/>
      <c r="AT261" s="103">
        <f>IF($X261&gt;0,INDEX('CostModel Coef'!D$13:D$16,$X261),"")</f>
        <v>2.1320000000000001</v>
      </c>
      <c r="AU261" s="103">
        <f>IF($X261&gt;0,INDEX('CostModel Coef'!E$13:E$16,$X261),"")</f>
        <v>0.23699999999999999</v>
      </c>
      <c r="AV261" s="103">
        <f>IF($X261&gt;0,INDEX('CostModel Coef'!F$13:F$16,$X261),"")</f>
        <v>0.59899999999999998</v>
      </c>
      <c r="AW261" s="103">
        <f>IF($X261&gt;0,INDEX('CostModel Coef'!G$13:G$16,$X261),"")</f>
        <v>0</v>
      </c>
      <c r="AX261" s="103">
        <f>IF($X261&gt;0,INDEX('CostModel Coef'!H$13:H$16,$X261),"")</f>
        <v>-1.69</v>
      </c>
      <c r="AY261" s="103">
        <f>IF($X261&gt;0,INDEX('CostModel Coef'!I$13:I$16,$X261),"")</f>
        <v>-1.1599999999999999</v>
      </c>
      <c r="AZ261" s="103">
        <f>IF($X261&gt;0,INDEX('CostModel Coef'!J$13:J$16,$X261),"")</f>
        <v>0</v>
      </c>
      <c r="BA261" s="103">
        <f>IF($X261&gt;0,INDEX('CostModel Coef'!K$13:K$16,$X261),"")</f>
        <v>-2.4630000000000001</v>
      </c>
      <c r="BB261" s="103">
        <f>IF($X261&gt;0,INDEX('CostModel Coef'!L$13:L$16,$X261),"")</f>
        <v>0.46179999999999999</v>
      </c>
      <c r="BC261" s="103">
        <f>IF($X261&gt;0,INDEX('CostModel Coef'!M$13:M$16,$X261),"")</f>
        <v>0</v>
      </c>
      <c r="BD261" s="103">
        <f>IF($X261&gt;0,INDEX('CostModel Coef'!N$13:N$16,$X261),"")</f>
        <v>0.19869999999999999</v>
      </c>
      <c r="BE261" s="103">
        <f>IF($X261&gt;0,INDEX('CostModel Coef'!O$13:O$16,$X261),"")</f>
        <v>0.6</v>
      </c>
      <c r="BF261" s="103">
        <f>IF($X261&gt;0,INDEX('CostModel Coef'!P$13:P$16,$X261),"")</f>
        <v>15</v>
      </c>
      <c r="BG261" s="103">
        <f>IF($X261&gt;0,INDEX('CostModel Coef'!Q$13:Q$16,$X261),"")</f>
        <v>0</v>
      </c>
      <c r="BH261" s="103">
        <f>IF($X261&gt;0,INDEX('CostModel Coef'!R$13:R$16,$X261),"")</f>
        <v>3</v>
      </c>
      <c r="BI261" s="103">
        <f>IF($X261&gt;0,INDEX('CostModel Coef'!S$13:S$16,$X261),"")</f>
        <v>150</v>
      </c>
      <c r="BJ261" s="103">
        <f>IF($X261&gt;0,INDEX('CostModel Coef'!T$13:T$16,$X261),"")</f>
        <v>0</v>
      </c>
      <c r="BK261" s="103">
        <f>IF($X261&gt;0,INDEX('CostModel Coef'!U$13:U$16,$X261),"")</f>
        <v>9.1999999999999998E-3</v>
      </c>
      <c r="BL261" s="103">
        <f>IF($X261&gt;0,INDEX('CostModel Coef'!V$13:V$16,$X261),"")</f>
        <v>-8.8000000000000005E-3</v>
      </c>
      <c r="BM261" s="103">
        <f>IF($X261&gt;0,INDEX('CostModel Coef'!W$13:W$16,$X261),"")</f>
        <v>0</v>
      </c>
      <c r="BN261" s="103">
        <f>IF($X261&gt;0,INDEX('CostModel Coef'!X$13:X$16,$X261),"")</f>
        <v>0</v>
      </c>
      <c r="BO261" s="103"/>
      <c r="BP261" s="119">
        <v>2000</v>
      </c>
      <c r="BQ261" s="103"/>
      <c r="BR261" s="103"/>
      <c r="BS261" s="119" t="str">
        <f t="shared" si="86"/>
        <v>WRR0347_CFLscw(38w)</v>
      </c>
      <c r="BT261" s="174">
        <f t="shared" si="78"/>
        <v>132</v>
      </c>
      <c r="BU261" s="113">
        <f t="shared" si="88"/>
        <v>1.3391999999999999</v>
      </c>
      <c r="BV261" s="108">
        <f t="shared" si="89"/>
        <v>3.8022</v>
      </c>
      <c r="BW261" s="108">
        <f t="shared" si="90"/>
        <v>2.1122000000000001</v>
      </c>
      <c r="BX261" s="108">
        <f t="shared" si="91"/>
        <v>0.95220000000000016</v>
      </c>
      <c r="BY261" s="108">
        <f t="shared" si="92"/>
        <v>0.95220000000000016</v>
      </c>
      <c r="BZ261" s="108"/>
      <c r="CA261" s="119" t="str">
        <f t="shared" si="93"/>
        <v>WRR0407_CFLscw(38w)</v>
      </c>
      <c r="CB261" s="174">
        <f t="shared" si="84"/>
        <v>155</v>
      </c>
      <c r="CC261" s="113" t="str">
        <f t="shared" si="94"/>
        <v/>
      </c>
      <c r="CD261" s="108" t="str">
        <f t="shared" si="95"/>
        <v/>
      </c>
      <c r="CE261" s="108" t="str">
        <f t="shared" si="96"/>
        <v/>
      </c>
      <c r="CF261" s="108" t="str">
        <f t="shared" si="97"/>
        <v/>
      </c>
      <c r="CG261" s="108" t="str">
        <f t="shared" si="98"/>
        <v/>
      </c>
      <c r="CH261" s="103"/>
      <c r="CI261" s="119" t="str">
        <f t="shared" si="87"/>
        <v>WRR0347_CFLscw(38w)</v>
      </c>
      <c r="CJ261" s="174">
        <f t="shared" si="85"/>
        <v>132</v>
      </c>
      <c r="CK261" s="113">
        <f t="shared" si="99"/>
        <v>1.3391999999999999</v>
      </c>
      <c r="CL261" s="108">
        <f t="shared" si="100"/>
        <v>3.8022</v>
      </c>
      <c r="CM261" s="108">
        <f t="shared" si="101"/>
        <v>2.1122000000000001</v>
      </c>
      <c r="CN261" s="108">
        <f t="shared" si="102"/>
        <v>0.95220000000000016</v>
      </c>
      <c r="CO261" s="108">
        <f t="shared" si="103"/>
        <v>0.95220000000000016</v>
      </c>
    </row>
    <row r="262" spans="1:93">
      <c r="A262" s="103" t="s">
        <v>735</v>
      </c>
      <c r="B262" s="103" t="s">
        <v>174</v>
      </c>
      <c r="C262" s="103" t="s">
        <v>153</v>
      </c>
      <c r="D262" s="250" t="s">
        <v>153</v>
      </c>
      <c r="E262" s="250"/>
      <c r="F262" s="182">
        <v>9020</v>
      </c>
      <c r="G262" s="250" t="s">
        <v>175</v>
      </c>
      <c r="H262" s="250">
        <v>39</v>
      </c>
      <c r="I262" s="250"/>
      <c r="J262" s="250"/>
      <c r="K262" s="250"/>
      <c r="L262" s="250" t="s">
        <v>61</v>
      </c>
      <c r="M262" s="250">
        <v>39</v>
      </c>
      <c r="N262" s="250"/>
      <c r="O262" s="250"/>
      <c r="P262" s="250" t="s">
        <v>153</v>
      </c>
      <c r="Q262" s="250"/>
      <c r="R262" s="250"/>
      <c r="S262" s="250"/>
      <c r="T262" s="250" t="s">
        <v>155</v>
      </c>
      <c r="U262" s="103" t="s">
        <v>736</v>
      </c>
      <c r="V262" s="106" t="s">
        <v>157</v>
      </c>
      <c r="W262" s="103" t="s">
        <v>81</v>
      </c>
      <c r="X262" s="103">
        <f>IFERROR(MATCH(W262,'CostModel Coef'!$C$9:$C$12,0),0)</f>
        <v>1</v>
      </c>
      <c r="Y262" s="103"/>
      <c r="Z262" s="103">
        <f>IF($X262&gt;0,INDEX('CostModel Coef'!D$9:D$12,$X262),"")</f>
        <v>3.0430000000000001</v>
      </c>
      <c r="AA262" s="103">
        <f>IF($X262&gt;0,INDEX('CostModel Coef'!E$9:E$12,$X262),"")</f>
        <v>-0.14966150225589619</v>
      </c>
      <c r="AB262" s="103">
        <f>IF($X262&gt;0,INDEX('CostModel Coef'!F$9:F$12,$X262),"")</f>
        <v>0.52692151711335011</v>
      </c>
      <c r="AC262" s="103">
        <f>IF($X262&gt;0,INDEX('CostModel Coef'!G$9:G$12,$X262),"")</f>
        <v>1.8411</v>
      </c>
      <c r="AD262" s="103">
        <f>IF($X262&gt;0,INDEX('CostModel Coef'!H$9:H$12,$X262),"")</f>
        <v>-1.8050999999999999</v>
      </c>
      <c r="AE262" s="103">
        <f>IF($X262&gt;0,INDEX('CostModel Coef'!J$9:J$12,$X262),"")</f>
        <v>-1.1288</v>
      </c>
      <c r="AF262" s="103">
        <f>IF($X262&gt;0,INDEX('CostModel Coef'!K$9:K$12,$X262),"")</f>
        <v>-1.845</v>
      </c>
      <c r="AG262" s="103">
        <f>IF($X262&gt;0,INDEX('CostModel Coef'!L$9:L$12,$X262),"")</f>
        <v>6.7507000000000001</v>
      </c>
      <c r="AH262" s="103">
        <f>IF($X262&gt;0,INDEX('CostModel Coef'!M$9:M$12,$X262),"")</f>
        <v>5.8051000000000004</v>
      </c>
      <c r="AI262" s="103">
        <f>IF($X262&gt;0,INDEX('CostModel Coef'!N$9:N$12,$X262),"")</f>
        <v>6.1600000000000002E-2</v>
      </c>
      <c r="AJ262" s="103">
        <f>IF($X262&gt;0,INDEX('CostModel Coef'!Q$9:Q$12,$X262),"")</f>
        <v>6.6500000000000004E-2</v>
      </c>
      <c r="AK262" s="103">
        <f>IF($X262&gt;0,INDEX('CostModel Coef'!T$9:T$12,$X262),"")</f>
        <v>9.35E-2</v>
      </c>
      <c r="AL262" s="103"/>
      <c r="AM262" s="108">
        <f t="shared" si="79"/>
        <v>6.0333920148574549</v>
      </c>
      <c r="AN262" s="108">
        <f t="shared" si="80"/>
        <v>7.8783920148574547</v>
      </c>
      <c r="AO262" s="108">
        <f t="shared" si="81"/>
        <v>6.0732920148574543</v>
      </c>
      <c r="AP262" s="108">
        <f t="shared" si="82"/>
        <v>6.0732920148574543</v>
      </c>
      <c r="AQ262" s="108">
        <f t="shared" si="83"/>
        <v>4.9444920148574543</v>
      </c>
      <c r="AR262" s="108"/>
      <c r="AS262" s="108"/>
      <c r="AT262" s="103">
        <f>IF($X262&gt;0,INDEX('CostModel Coef'!D$13:D$16,$X262),"")</f>
        <v>2.1320000000000001</v>
      </c>
      <c r="AU262" s="103">
        <f>IF($X262&gt;0,INDEX('CostModel Coef'!E$13:E$16,$X262),"")</f>
        <v>0.23699999999999999</v>
      </c>
      <c r="AV262" s="103">
        <f>IF($X262&gt;0,INDEX('CostModel Coef'!F$13:F$16,$X262),"")</f>
        <v>0.59899999999999998</v>
      </c>
      <c r="AW262" s="103">
        <f>IF($X262&gt;0,INDEX('CostModel Coef'!G$13:G$16,$X262),"")</f>
        <v>0</v>
      </c>
      <c r="AX262" s="103">
        <f>IF($X262&gt;0,INDEX('CostModel Coef'!H$13:H$16,$X262),"")</f>
        <v>-1.69</v>
      </c>
      <c r="AY262" s="103">
        <f>IF($X262&gt;0,INDEX('CostModel Coef'!I$13:I$16,$X262),"")</f>
        <v>-1.1599999999999999</v>
      </c>
      <c r="AZ262" s="103">
        <f>IF($X262&gt;0,INDEX('CostModel Coef'!J$13:J$16,$X262),"")</f>
        <v>0</v>
      </c>
      <c r="BA262" s="103">
        <f>IF($X262&gt;0,INDEX('CostModel Coef'!K$13:K$16,$X262),"")</f>
        <v>-2.4630000000000001</v>
      </c>
      <c r="BB262" s="103">
        <f>IF($X262&gt;0,INDEX('CostModel Coef'!L$13:L$16,$X262),"")</f>
        <v>0.46179999999999999</v>
      </c>
      <c r="BC262" s="103">
        <f>IF($X262&gt;0,INDEX('CostModel Coef'!M$13:M$16,$X262),"")</f>
        <v>0</v>
      </c>
      <c r="BD262" s="103">
        <f>IF($X262&gt;0,INDEX('CostModel Coef'!N$13:N$16,$X262),"")</f>
        <v>0.19869999999999999</v>
      </c>
      <c r="BE262" s="103">
        <f>IF($X262&gt;0,INDEX('CostModel Coef'!O$13:O$16,$X262),"")</f>
        <v>0.6</v>
      </c>
      <c r="BF262" s="103">
        <f>IF($X262&gt;0,INDEX('CostModel Coef'!P$13:P$16,$X262),"")</f>
        <v>15</v>
      </c>
      <c r="BG262" s="103">
        <f>IF($X262&gt;0,INDEX('CostModel Coef'!Q$13:Q$16,$X262),"")</f>
        <v>0</v>
      </c>
      <c r="BH262" s="103">
        <f>IF($X262&gt;0,INDEX('CostModel Coef'!R$13:R$16,$X262),"")</f>
        <v>3</v>
      </c>
      <c r="BI262" s="103">
        <f>IF($X262&gt;0,INDEX('CostModel Coef'!S$13:S$16,$X262),"")</f>
        <v>150</v>
      </c>
      <c r="BJ262" s="103">
        <f>IF($X262&gt;0,INDEX('CostModel Coef'!T$13:T$16,$X262),"")</f>
        <v>0</v>
      </c>
      <c r="BK262" s="103">
        <f>IF($X262&gt;0,INDEX('CostModel Coef'!U$13:U$16,$X262),"")</f>
        <v>9.1999999999999998E-3</v>
      </c>
      <c r="BL262" s="103">
        <f>IF($X262&gt;0,INDEX('CostModel Coef'!V$13:V$16,$X262),"")</f>
        <v>-8.8000000000000005E-3</v>
      </c>
      <c r="BM262" s="103">
        <f>IF($X262&gt;0,INDEX('CostModel Coef'!W$13:W$16,$X262),"")</f>
        <v>0</v>
      </c>
      <c r="BN262" s="103">
        <f>IF($X262&gt;0,INDEX('CostModel Coef'!X$13:X$16,$X262),"")</f>
        <v>0</v>
      </c>
      <c r="BO262" s="103"/>
      <c r="BP262" s="119">
        <v>2000</v>
      </c>
      <c r="BQ262" s="103"/>
      <c r="BR262" s="103"/>
      <c r="BS262" s="119" t="str">
        <f t="shared" si="86"/>
        <v>WRR0347_CFLscw(39w)</v>
      </c>
      <c r="BT262" s="174">
        <f t="shared" si="78"/>
        <v>135</v>
      </c>
      <c r="BU262" s="113">
        <f t="shared" si="88"/>
        <v>1.3404000000000003</v>
      </c>
      <c r="BV262" s="108">
        <f t="shared" si="89"/>
        <v>3.8034000000000003</v>
      </c>
      <c r="BW262" s="108">
        <f t="shared" si="90"/>
        <v>2.1134000000000004</v>
      </c>
      <c r="BX262" s="108">
        <f t="shared" si="91"/>
        <v>0.95340000000000047</v>
      </c>
      <c r="BY262" s="108">
        <f t="shared" si="92"/>
        <v>0.95340000000000047</v>
      </c>
      <c r="BZ262" s="108"/>
      <c r="CA262" s="119" t="str">
        <f t="shared" si="93"/>
        <v>WRR0407_CFLscw(39w)</v>
      </c>
      <c r="CB262" s="174">
        <f t="shared" si="84"/>
        <v>159</v>
      </c>
      <c r="CC262" s="113" t="str">
        <f t="shared" si="94"/>
        <v/>
      </c>
      <c r="CD262" s="108" t="str">
        <f t="shared" si="95"/>
        <v/>
      </c>
      <c r="CE262" s="108" t="str">
        <f t="shared" si="96"/>
        <v/>
      </c>
      <c r="CF262" s="108" t="str">
        <f t="shared" si="97"/>
        <v/>
      </c>
      <c r="CG262" s="108" t="str">
        <f t="shared" si="98"/>
        <v/>
      </c>
      <c r="CH262" s="103"/>
      <c r="CI262" s="119" t="str">
        <f t="shared" si="87"/>
        <v>WRR0347_CFLscw(39w)</v>
      </c>
      <c r="CJ262" s="174">
        <f t="shared" si="85"/>
        <v>135</v>
      </c>
      <c r="CK262" s="113">
        <f t="shared" si="99"/>
        <v>1.3404000000000003</v>
      </c>
      <c r="CL262" s="108">
        <f t="shared" si="100"/>
        <v>3.8034000000000003</v>
      </c>
      <c r="CM262" s="108">
        <f t="shared" si="101"/>
        <v>2.1134000000000004</v>
      </c>
      <c r="CN262" s="108">
        <f t="shared" si="102"/>
        <v>0.95340000000000047</v>
      </c>
      <c r="CO262" s="108">
        <f t="shared" si="103"/>
        <v>0.95340000000000047</v>
      </c>
    </row>
    <row r="263" spans="1:93">
      <c r="A263" s="103" t="s">
        <v>737</v>
      </c>
      <c r="B263" s="103" t="s">
        <v>165</v>
      </c>
      <c r="C263" s="103" t="s">
        <v>152</v>
      </c>
      <c r="D263" s="250" t="s">
        <v>153</v>
      </c>
      <c r="E263" s="250">
        <v>82</v>
      </c>
      <c r="F263" s="182">
        <v>9020</v>
      </c>
      <c r="G263" s="250" t="s">
        <v>175</v>
      </c>
      <c r="H263" s="250">
        <v>3</v>
      </c>
      <c r="I263" s="250"/>
      <c r="J263" s="250"/>
      <c r="K263" s="250" t="s">
        <v>738</v>
      </c>
      <c r="L263" s="250" t="s">
        <v>61</v>
      </c>
      <c r="M263" s="250">
        <v>3</v>
      </c>
      <c r="N263" s="250"/>
      <c r="O263" s="250"/>
      <c r="P263" s="250" t="s">
        <v>153</v>
      </c>
      <c r="Q263" s="250"/>
      <c r="R263" s="250"/>
      <c r="S263" s="250"/>
      <c r="T263" s="250" t="s">
        <v>155</v>
      </c>
      <c r="U263" s="103" t="s">
        <v>739</v>
      </c>
      <c r="V263" s="106" t="s">
        <v>157</v>
      </c>
      <c r="W263" s="103" t="s">
        <v>81</v>
      </c>
      <c r="X263" s="103">
        <f>IFERROR(MATCH(W263,'CostModel Coef'!$C$9:$C$12,0),0)</f>
        <v>1</v>
      </c>
      <c r="Y263" s="103"/>
      <c r="Z263" s="103">
        <f>IF($X263&gt;0,INDEX('CostModel Coef'!D$9:D$12,$X263),"")</f>
        <v>3.0430000000000001</v>
      </c>
      <c r="AA263" s="103">
        <f>IF($X263&gt;0,INDEX('CostModel Coef'!E$9:E$12,$X263),"")</f>
        <v>-0.14966150225589619</v>
      </c>
      <c r="AB263" s="103">
        <f>IF($X263&gt;0,INDEX('CostModel Coef'!F$9:F$12,$X263),"")</f>
        <v>0.52692151711335011</v>
      </c>
      <c r="AC263" s="103">
        <f>IF($X263&gt;0,INDEX('CostModel Coef'!G$9:G$12,$X263),"")</f>
        <v>1.8411</v>
      </c>
      <c r="AD263" s="103">
        <f>IF($X263&gt;0,INDEX('CostModel Coef'!H$9:H$12,$X263),"")</f>
        <v>-1.8050999999999999</v>
      </c>
      <c r="AE263" s="103">
        <f>IF($X263&gt;0,INDEX('CostModel Coef'!J$9:J$12,$X263),"")</f>
        <v>-1.1288</v>
      </c>
      <c r="AF263" s="103">
        <f>IF($X263&gt;0,INDEX('CostModel Coef'!K$9:K$12,$X263),"")</f>
        <v>-1.845</v>
      </c>
      <c r="AG263" s="103">
        <f>IF($X263&gt;0,INDEX('CostModel Coef'!L$9:L$12,$X263),"")</f>
        <v>6.7507000000000001</v>
      </c>
      <c r="AH263" s="103">
        <f>IF($X263&gt;0,INDEX('CostModel Coef'!M$9:M$12,$X263),"")</f>
        <v>5.8051000000000004</v>
      </c>
      <c r="AI263" s="103">
        <f>IF($X263&gt;0,INDEX('CostModel Coef'!N$9:N$12,$X263),"")</f>
        <v>6.1600000000000002E-2</v>
      </c>
      <c r="AJ263" s="103">
        <f>IF($X263&gt;0,INDEX('CostModel Coef'!Q$9:Q$12,$X263),"")</f>
        <v>6.6500000000000004E-2</v>
      </c>
      <c r="AK263" s="103">
        <f>IF($X263&gt;0,INDEX('CostModel Coef'!T$9:T$12,$X263),"")</f>
        <v>9.35E-2</v>
      </c>
      <c r="AL263" s="103"/>
      <c r="AM263" s="108">
        <f t="shared" si="79"/>
        <v>2.3303920148574546</v>
      </c>
      <c r="AN263" s="108">
        <f t="shared" si="80"/>
        <v>4.1753920148574544</v>
      </c>
      <c r="AO263" s="108">
        <f t="shared" si="81"/>
        <v>2.3702920148574544</v>
      </c>
      <c r="AP263" s="108">
        <f t="shared" si="82"/>
        <v>2.3702920148574544</v>
      </c>
      <c r="AQ263" s="108">
        <f t="shared" si="83"/>
        <v>1.2414920148574544</v>
      </c>
      <c r="AR263" s="108"/>
      <c r="AS263" s="108"/>
      <c r="AT263" s="103">
        <f>IF($X263&gt;0,INDEX('CostModel Coef'!D$13:D$16,$X263),"")</f>
        <v>2.1320000000000001</v>
      </c>
      <c r="AU263" s="103">
        <f>IF($X263&gt;0,INDEX('CostModel Coef'!E$13:E$16,$X263),"")</f>
        <v>0.23699999999999999</v>
      </c>
      <c r="AV263" s="103">
        <f>IF($X263&gt;0,INDEX('CostModel Coef'!F$13:F$16,$X263),"")</f>
        <v>0.59899999999999998</v>
      </c>
      <c r="AW263" s="103">
        <f>IF($X263&gt;0,INDEX('CostModel Coef'!G$13:G$16,$X263),"")</f>
        <v>0</v>
      </c>
      <c r="AX263" s="103">
        <f>IF($X263&gt;0,INDEX('CostModel Coef'!H$13:H$16,$X263),"")</f>
        <v>-1.69</v>
      </c>
      <c r="AY263" s="103">
        <f>IF($X263&gt;0,INDEX('CostModel Coef'!I$13:I$16,$X263),"")</f>
        <v>-1.1599999999999999</v>
      </c>
      <c r="AZ263" s="103">
        <f>IF($X263&gt;0,INDEX('CostModel Coef'!J$13:J$16,$X263),"")</f>
        <v>0</v>
      </c>
      <c r="BA263" s="103">
        <f>IF($X263&gt;0,INDEX('CostModel Coef'!K$13:K$16,$X263),"")</f>
        <v>-2.4630000000000001</v>
      </c>
      <c r="BB263" s="103">
        <f>IF($X263&gt;0,INDEX('CostModel Coef'!L$13:L$16,$X263),"")</f>
        <v>0.46179999999999999</v>
      </c>
      <c r="BC263" s="103">
        <f>IF($X263&gt;0,INDEX('CostModel Coef'!M$13:M$16,$X263),"")</f>
        <v>0</v>
      </c>
      <c r="BD263" s="103">
        <f>IF($X263&gt;0,INDEX('CostModel Coef'!N$13:N$16,$X263),"")</f>
        <v>0.19869999999999999</v>
      </c>
      <c r="BE263" s="103">
        <f>IF($X263&gt;0,INDEX('CostModel Coef'!O$13:O$16,$X263),"")</f>
        <v>0.6</v>
      </c>
      <c r="BF263" s="103">
        <f>IF($X263&gt;0,INDEX('CostModel Coef'!P$13:P$16,$X263),"")</f>
        <v>15</v>
      </c>
      <c r="BG263" s="103">
        <f>IF($X263&gt;0,INDEX('CostModel Coef'!Q$13:Q$16,$X263),"")</f>
        <v>0</v>
      </c>
      <c r="BH263" s="103">
        <f>IF($X263&gt;0,INDEX('CostModel Coef'!R$13:R$16,$X263),"")</f>
        <v>3</v>
      </c>
      <c r="BI263" s="103">
        <f>IF($X263&gt;0,INDEX('CostModel Coef'!S$13:S$16,$X263),"")</f>
        <v>150</v>
      </c>
      <c r="BJ263" s="103">
        <f>IF($X263&gt;0,INDEX('CostModel Coef'!T$13:T$16,$X263),"")</f>
        <v>0</v>
      </c>
      <c r="BK263" s="103">
        <f>IF($X263&gt;0,INDEX('CostModel Coef'!U$13:U$16,$X263),"")</f>
        <v>9.1999999999999998E-3</v>
      </c>
      <c r="BL263" s="103">
        <f>IF($X263&gt;0,INDEX('CostModel Coef'!V$13:V$16,$X263),"")</f>
        <v>-8.8000000000000005E-3</v>
      </c>
      <c r="BM263" s="103">
        <f>IF($X263&gt;0,INDEX('CostModel Coef'!W$13:W$16,$X263),"")</f>
        <v>0</v>
      </c>
      <c r="BN263" s="103">
        <f>IF($X263&gt;0,INDEX('CostModel Coef'!X$13:X$16,$X263),"")</f>
        <v>0</v>
      </c>
      <c r="BO263" s="103"/>
      <c r="BP263" s="119">
        <v>2000</v>
      </c>
      <c r="BQ263" s="103"/>
      <c r="BR263" s="103"/>
      <c r="BS263" s="119" t="str">
        <f t="shared" si="86"/>
        <v>WRR0347_CFLscw(3w)</v>
      </c>
      <c r="BT263" s="174">
        <f t="shared" si="78"/>
        <v>10</v>
      </c>
      <c r="BU263" s="113">
        <f t="shared" si="88"/>
        <v>0.90240000000000009</v>
      </c>
      <c r="BV263" s="108">
        <f t="shared" si="89"/>
        <v>3.3654000000000002</v>
      </c>
      <c r="BW263" s="108">
        <f t="shared" si="90"/>
        <v>1.6754000000000002</v>
      </c>
      <c r="BX263" s="108">
        <f t="shared" si="91"/>
        <v>0.5154000000000003</v>
      </c>
      <c r="BY263" s="108">
        <f t="shared" si="92"/>
        <v>0.5154000000000003</v>
      </c>
      <c r="BZ263" s="108"/>
      <c r="CA263" s="119" t="str">
        <f t="shared" si="93"/>
        <v>WRR0407_CFLscw(3w)</v>
      </c>
      <c r="CB263" s="174">
        <f t="shared" si="84"/>
        <v>12</v>
      </c>
      <c r="CC263" s="113">
        <f t="shared" si="94"/>
        <v>0.90240000000000009</v>
      </c>
      <c r="CD263" s="108">
        <f t="shared" si="95"/>
        <v>3.3654000000000002</v>
      </c>
      <c r="CE263" s="108">
        <f t="shared" si="96"/>
        <v>1.6754000000000002</v>
      </c>
      <c r="CF263" s="108">
        <f t="shared" si="97"/>
        <v>0.5154000000000003</v>
      </c>
      <c r="CG263" s="108">
        <f t="shared" si="98"/>
        <v>0.5154000000000003</v>
      </c>
      <c r="CH263" s="103"/>
      <c r="CI263" s="119" t="str">
        <f t="shared" si="87"/>
        <v>WRR0347_CFLscw(3w)</v>
      </c>
      <c r="CJ263" s="174">
        <f t="shared" si="85"/>
        <v>10</v>
      </c>
      <c r="CK263" s="113">
        <f t="shared" si="99"/>
        <v>0.90240000000000009</v>
      </c>
      <c r="CL263" s="108">
        <f t="shared" si="100"/>
        <v>3.3654000000000002</v>
      </c>
      <c r="CM263" s="108">
        <f t="shared" si="101"/>
        <v>1.6754000000000002</v>
      </c>
      <c r="CN263" s="108">
        <f t="shared" si="102"/>
        <v>0.5154000000000003</v>
      </c>
      <c r="CO263" s="108">
        <f t="shared" si="103"/>
        <v>0.5154000000000003</v>
      </c>
    </row>
    <row r="264" spans="1:93">
      <c r="A264" s="103" t="s">
        <v>740</v>
      </c>
      <c r="B264" s="103" t="s">
        <v>165</v>
      </c>
      <c r="C264" s="103" t="s">
        <v>152</v>
      </c>
      <c r="D264" s="250" t="s">
        <v>153</v>
      </c>
      <c r="E264" s="250">
        <v>82</v>
      </c>
      <c r="F264" s="182">
        <v>9020</v>
      </c>
      <c r="G264" s="250" t="s">
        <v>175</v>
      </c>
      <c r="H264" s="250">
        <v>40</v>
      </c>
      <c r="I264" s="250"/>
      <c r="J264" s="250"/>
      <c r="K264" s="250"/>
      <c r="L264" s="250" t="s">
        <v>61</v>
      </c>
      <c r="M264" s="250">
        <v>40</v>
      </c>
      <c r="N264" s="250"/>
      <c r="O264" s="250"/>
      <c r="P264" s="250" t="s">
        <v>153</v>
      </c>
      <c r="Q264" s="250"/>
      <c r="R264" s="250"/>
      <c r="S264" s="250"/>
      <c r="T264" s="250" t="s">
        <v>155</v>
      </c>
      <c r="U264" s="103" t="s">
        <v>741</v>
      </c>
      <c r="V264" s="106" t="s">
        <v>157</v>
      </c>
      <c r="W264" s="103" t="s">
        <v>81</v>
      </c>
      <c r="X264" s="103">
        <f>IFERROR(MATCH(W264,'CostModel Coef'!$C$9:$C$12,0),0)</f>
        <v>1</v>
      </c>
      <c r="Y264" s="103"/>
      <c r="Z264" s="103">
        <f>IF($X264&gt;0,INDEX('CostModel Coef'!D$9:D$12,$X264),"")</f>
        <v>3.0430000000000001</v>
      </c>
      <c r="AA264" s="103">
        <f>IF($X264&gt;0,INDEX('CostModel Coef'!E$9:E$12,$X264),"")</f>
        <v>-0.14966150225589619</v>
      </c>
      <c r="AB264" s="103">
        <f>IF($X264&gt;0,INDEX('CostModel Coef'!F$9:F$12,$X264),"")</f>
        <v>0.52692151711335011</v>
      </c>
      <c r="AC264" s="103">
        <f>IF($X264&gt;0,INDEX('CostModel Coef'!G$9:G$12,$X264),"")</f>
        <v>1.8411</v>
      </c>
      <c r="AD264" s="103">
        <f>IF($X264&gt;0,INDEX('CostModel Coef'!H$9:H$12,$X264),"")</f>
        <v>-1.8050999999999999</v>
      </c>
      <c r="AE264" s="103">
        <f>IF($X264&gt;0,INDEX('CostModel Coef'!J$9:J$12,$X264),"")</f>
        <v>-1.1288</v>
      </c>
      <c r="AF264" s="103">
        <f>IF($X264&gt;0,INDEX('CostModel Coef'!K$9:K$12,$X264),"")</f>
        <v>-1.845</v>
      </c>
      <c r="AG264" s="103">
        <f>IF($X264&gt;0,INDEX('CostModel Coef'!L$9:L$12,$X264),"")</f>
        <v>6.7507000000000001</v>
      </c>
      <c r="AH264" s="103">
        <f>IF($X264&gt;0,INDEX('CostModel Coef'!M$9:M$12,$X264),"")</f>
        <v>5.8051000000000004</v>
      </c>
      <c r="AI264" s="103">
        <f>IF($X264&gt;0,INDEX('CostModel Coef'!N$9:N$12,$X264),"")</f>
        <v>6.1600000000000002E-2</v>
      </c>
      <c r="AJ264" s="103">
        <f>IF($X264&gt;0,INDEX('CostModel Coef'!Q$9:Q$12,$X264),"")</f>
        <v>6.6500000000000004E-2</v>
      </c>
      <c r="AK264" s="103">
        <f>IF($X264&gt;0,INDEX('CostModel Coef'!T$9:T$12,$X264),"")</f>
        <v>9.35E-2</v>
      </c>
      <c r="AL264" s="103"/>
      <c r="AM264" s="108">
        <f t="shared" si="79"/>
        <v>6.1933920148574542</v>
      </c>
      <c r="AN264" s="108">
        <f t="shared" si="80"/>
        <v>8.0383920148574539</v>
      </c>
      <c r="AO264" s="108">
        <f t="shared" si="81"/>
        <v>6.2332920148574544</v>
      </c>
      <c r="AP264" s="108">
        <f t="shared" si="82"/>
        <v>6.2332920148574544</v>
      </c>
      <c r="AQ264" s="108">
        <f t="shared" si="83"/>
        <v>5.1044920148574544</v>
      </c>
      <c r="AR264" s="108"/>
      <c r="AS264" s="108"/>
      <c r="AT264" s="103">
        <f>IF($X264&gt;0,INDEX('CostModel Coef'!D$13:D$16,$X264),"")</f>
        <v>2.1320000000000001</v>
      </c>
      <c r="AU264" s="103">
        <f>IF($X264&gt;0,INDEX('CostModel Coef'!E$13:E$16,$X264),"")</f>
        <v>0.23699999999999999</v>
      </c>
      <c r="AV264" s="103">
        <f>IF($X264&gt;0,INDEX('CostModel Coef'!F$13:F$16,$X264),"")</f>
        <v>0.59899999999999998</v>
      </c>
      <c r="AW264" s="103">
        <f>IF($X264&gt;0,INDEX('CostModel Coef'!G$13:G$16,$X264),"")</f>
        <v>0</v>
      </c>
      <c r="AX264" s="103">
        <f>IF($X264&gt;0,INDEX('CostModel Coef'!H$13:H$16,$X264),"")</f>
        <v>-1.69</v>
      </c>
      <c r="AY264" s="103">
        <f>IF($X264&gt;0,INDEX('CostModel Coef'!I$13:I$16,$X264),"")</f>
        <v>-1.1599999999999999</v>
      </c>
      <c r="AZ264" s="103">
        <f>IF($X264&gt;0,INDEX('CostModel Coef'!J$13:J$16,$X264),"")</f>
        <v>0</v>
      </c>
      <c r="BA264" s="103">
        <f>IF($X264&gt;0,INDEX('CostModel Coef'!K$13:K$16,$X264),"")</f>
        <v>-2.4630000000000001</v>
      </c>
      <c r="BB264" s="103">
        <f>IF($X264&gt;0,INDEX('CostModel Coef'!L$13:L$16,$X264),"")</f>
        <v>0.46179999999999999</v>
      </c>
      <c r="BC264" s="103">
        <f>IF($X264&gt;0,INDEX('CostModel Coef'!M$13:M$16,$X264),"")</f>
        <v>0</v>
      </c>
      <c r="BD264" s="103">
        <f>IF($X264&gt;0,INDEX('CostModel Coef'!N$13:N$16,$X264),"")</f>
        <v>0.19869999999999999</v>
      </c>
      <c r="BE264" s="103">
        <f>IF($X264&gt;0,INDEX('CostModel Coef'!O$13:O$16,$X264),"")</f>
        <v>0.6</v>
      </c>
      <c r="BF264" s="103">
        <f>IF($X264&gt;0,INDEX('CostModel Coef'!P$13:P$16,$X264),"")</f>
        <v>15</v>
      </c>
      <c r="BG264" s="103">
        <f>IF($X264&gt;0,INDEX('CostModel Coef'!Q$13:Q$16,$X264),"")</f>
        <v>0</v>
      </c>
      <c r="BH264" s="103">
        <f>IF($X264&gt;0,INDEX('CostModel Coef'!R$13:R$16,$X264),"")</f>
        <v>3</v>
      </c>
      <c r="BI264" s="103">
        <f>IF($X264&gt;0,INDEX('CostModel Coef'!S$13:S$16,$X264),"")</f>
        <v>150</v>
      </c>
      <c r="BJ264" s="103">
        <f>IF($X264&gt;0,INDEX('CostModel Coef'!T$13:T$16,$X264),"")</f>
        <v>0</v>
      </c>
      <c r="BK264" s="103">
        <f>IF($X264&gt;0,INDEX('CostModel Coef'!U$13:U$16,$X264),"")</f>
        <v>9.1999999999999998E-3</v>
      </c>
      <c r="BL264" s="103">
        <f>IF($X264&gt;0,INDEX('CostModel Coef'!V$13:V$16,$X264),"")</f>
        <v>-8.8000000000000005E-3</v>
      </c>
      <c r="BM264" s="103">
        <f>IF($X264&gt;0,INDEX('CostModel Coef'!W$13:W$16,$X264),"")</f>
        <v>0</v>
      </c>
      <c r="BN264" s="103">
        <f>IF($X264&gt;0,INDEX('CostModel Coef'!X$13:X$16,$X264),"")</f>
        <v>0</v>
      </c>
      <c r="BO264" s="103"/>
      <c r="BP264" s="119">
        <v>2000</v>
      </c>
      <c r="BQ264" s="103"/>
      <c r="BR264" s="103"/>
      <c r="BS264" s="119" t="str">
        <f t="shared" si="86"/>
        <v>WRR0347_CFLscw(40w)</v>
      </c>
      <c r="BT264" s="174">
        <f t="shared" ref="BT264:BT290" si="104">IF(X264=2,ROUND(M264*$BX$4,0),IF(OR(X264=1,X264=3,X264=4),ROUND(M264*$BX$5,0),-1))</f>
        <v>139</v>
      </c>
      <c r="BU264" s="113">
        <f t="shared" si="88"/>
        <v>1.3419999999999996</v>
      </c>
      <c r="BV264" s="108">
        <f t="shared" si="89"/>
        <v>3.8049999999999997</v>
      </c>
      <c r="BW264" s="108">
        <f t="shared" si="90"/>
        <v>2.1149999999999998</v>
      </c>
      <c r="BX264" s="108">
        <f t="shared" si="91"/>
        <v>0.95499999999999985</v>
      </c>
      <c r="BY264" s="108">
        <f t="shared" si="92"/>
        <v>0.95499999999999985</v>
      </c>
      <c r="BZ264" s="108"/>
      <c r="CA264" s="119" t="str">
        <f t="shared" si="93"/>
        <v>WRR0407_CFLscw(40w)</v>
      </c>
      <c r="CB264" s="174">
        <f t="shared" si="84"/>
        <v>163</v>
      </c>
      <c r="CC264" s="113" t="str">
        <f t="shared" si="94"/>
        <v/>
      </c>
      <c r="CD264" s="108" t="str">
        <f t="shared" si="95"/>
        <v/>
      </c>
      <c r="CE264" s="108" t="str">
        <f t="shared" si="96"/>
        <v/>
      </c>
      <c r="CF264" s="108" t="str">
        <f t="shared" si="97"/>
        <v/>
      </c>
      <c r="CG264" s="108" t="str">
        <f t="shared" si="98"/>
        <v/>
      </c>
      <c r="CH264" s="103"/>
      <c r="CI264" s="119" t="str">
        <f t="shared" si="87"/>
        <v>WRR0347_CFLscw(40w)</v>
      </c>
      <c r="CJ264" s="174">
        <f t="shared" si="85"/>
        <v>139</v>
      </c>
      <c r="CK264" s="113">
        <f t="shared" si="99"/>
        <v>1.3419999999999996</v>
      </c>
      <c r="CL264" s="108">
        <f t="shared" si="100"/>
        <v>3.8049999999999997</v>
      </c>
      <c r="CM264" s="108">
        <f t="shared" si="101"/>
        <v>2.1149999999999998</v>
      </c>
      <c r="CN264" s="108">
        <f t="shared" si="102"/>
        <v>0.95499999999999985</v>
      </c>
      <c r="CO264" s="108">
        <f t="shared" si="103"/>
        <v>0.95499999999999985</v>
      </c>
    </row>
    <row r="265" spans="1:93">
      <c r="A265" s="103" t="s">
        <v>742</v>
      </c>
      <c r="B265" s="103" t="s">
        <v>165</v>
      </c>
      <c r="C265" s="103" t="s">
        <v>152</v>
      </c>
      <c r="D265" s="250" t="s">
        <v>153</v>
      </c>
      <c r="E265" s="250">
        <v>82</v>
      </c>
      <c r="F265" s="182">
        <v>9020</v>
      </c>
      <c r="G265" s="250" t="s">
        <v>175</v>
      </c>
      <c r="H265" s="250">
        <v>42</v>
      </c>
      <c r="I265" s="250"/>
      <c r="J265" s="250"/>
      <c r="K265" s="250" t="s">
        <v>743</v>
      </c>
      <c r="L265" s="250" t="s">
        <v>61</v>
      </c>
      <c r="M265" s="250">
        <v>42</v>
      </c>
      <c r="N265" s="250"/>
      <c r="O265" s="250"/>
      <c r="P265" s="250" t="s">
        <v>153</v>
      </c>
      <c r="Q265" s="250"/>
      <c r="R265" s="250"/>
      <c r="S265" s="250"/>
      <c r="T265" s="250" t="s">
        <v>155</v>
      </c>
      <c r="U265" s="103" t="s">
        <v>744</v>
      </c>
      <c r="V265" s="106" t="s">
        <v>157</v>
      </c>
      <c r="W265" s="103" t="s">
        <v>81</v>
      </c>
      <c r="X265" s="103">
        <f>IFERROR(MATCH(W265,'CostModel Coef'!$C$9:$C$12,0),0)</f>
        <v>1</v>
      </c>
      <c r="Y265" s="103"/>
      <c r="Z265" s="103">
        <f>IF($X265&gt;0,INDEX('CostModel Coef'!D$9:D$12,$X265),"")</f>
        <v>3.0430000000000001</v>
      </c>
      <c r="AA265" s="103">
        <f>IF($X265&gt;0,INDEX('CostModel Coef'!E$9:E$12,$X265),"")</f>
        <v>-0.14966150225589619</v>
      </c>
      <c r="AB265" s="103">
        <f>IF($X265&gt;0,INDEX('CostModel Coef'!F$9:F$12,$X265),"")</f>
        <v>0.52692151711335011</v>
      </c>
      <c r="AC265" s="103">
        <f>IF($X265&gt;0,INDEX('CostModel Coef'!G$9:G$12,$X265),"")</f>
        <v>1.8411</v>
      </c>
      <c r="AD265" s="103">
        <f>IF($X265&gt;0,INDEX('CostModel Coef'!H$9:H$12,$X265),"")</f>
        <v>-1.8050999999999999</v>
      </c>
      <c r="AE265" s="103">
        <f>IF($X265&gt;0,INDEX('CostModel Coef'!J$9:J$12,$X265),"")</f>
        <v>-1.1288</v>
      </c>
      <c r="AF265" s="103">
        <f>IF($X265&gt;0,INDEX('CostModel Coef'!K$9:K$12,$X265),"")</f>
        <v>-1.845</v>
      </c>
      <c r="AG265" s="103">
        <f>IF($X265&gt;0,INDEX('CostModel Coef'!L$9:L$12,$X265),"")</f>
        <v>6.7507000000000001</v>
      </c>
      <c r="AH265" s="103">
        <f>IF($X265&gt;0,INDEX('CostModel Coef'!M$9:M$12,$X265),"")</f>
        <v>5.8051000000000004</v>
      </c>
      <c r="AI265" s="103">
        <f>IF($X265&gt;0,INDEX('CostModel Coef'!N$9:N$12,$X265),"")</f>
        <v>6.1600000000000002E-2</v>
      </c>
      <c r="AJ265" s="103">
        <f>IF($X265&gt;0,INDEX('CostModel Coef'!Q$9:Q$12,$X265),"")</f>
        <v>6.6500000000000004E-2</v>
      </c>
      <c r="AK265" s="103">
        <f>IF($X265&gt;0,INDEX('CostModel Coef'!T$9:T$12,$X265),"")</f>
        <v>9.35E-2</v>
      </c>
      <c r="AL265" s="103"/>
      <c r="AM265" s="108">
        <f t="shared" ref="AM265:AM290" si="105">IF($X265&gt;0,SUM(Z265,AA265,AB265,IF(C265="A",AC265,0),IF(Q265="Y",AG265,0),IF(OR(G265="Yes",G265="Cont"),AH265,0),F265/1000*AI265,H265*AJ265,IF(H265&gt;25,(H265-25)*AK265)+AF265),"")</f>
        <v>6.5133920148574553</v>
      </c>
      <c r="AN265" s="108">
        <f t="shared" ref="AN265:AN290" si="106">IF($X265&gt;0,SUM(Z265,AA265,AB265,IF(C265="A",AC265,0),IF(Q265="Y",AG265,0),IF(OR(G265="Yes",G265="Cont"),AH265,0),F265/1000*AI265,H265*AJ265,IF(H265&gt;25,(H265-25)*AK265)),"")</f>
        <v>8.3583920148574542</v>
      </c>
      <c r="AO265" s="108">
        <f t="shared" ref="AO265:AO290" si="107">IF($X265&gt;0,SUM(Z265,AA265,AB265,IF(C265="A",AC265,0),IF(Q265="Y",AG265,0),IF(OR(G265="Yes",G265="Cont"),AH265,0),F265/1000*AI265,H265*AJ265,IF(H265&gt;25,(H265-25)*AK265)+AD265),"")</f>
        <v>6.5532920148574547</v>
      </c>
      <c r="AP265" s="108">
        <f t="shared" ref="AP265:AP290" si="108">IF($X265&gt;0,SUM(Z265,AA265,AB265,IF(C265="A",AC265,0),IF(Q265="Y",AG265,0),IF(OR(G265="Yes",G265="Cont"),AH265,0),F265/1000*AI265,H265*AJ265,IF(H265&gt;25,(H265-25)*AK265)+AD265),"")</f>
        <v>6.5532920148574547</v>
      </c>
      <c r="AQ265" s="108">
        <f t="shared" ref="AQ265:AQ290" si="109">IF($X265&gt;0,SUM(Z265,AA265,AB265,IF(C265="A",AC265,0),IF(Q265="Y",AG265,0),IF(OR(G265="Yes",G265="Cont"),AH265,0),F265/1000*AI265,H265*AJ265,IF(H265&gt;25,(H265-25)*AK265)+AD265+AE265),"")</f>
        <v>5.4244920148574547</v>
      </c>
      <c r="AR265" s="108"/>
      <c r="AS265" s="108"/>
      <c r="AT265" s="103">
        <f>IF($X265&gt;0,INDEX('CostModel Coef'!D$13:D$16,$X265),"")</f>
        <v>2.1320000000000001</v>
      </c>
      <c r="AU265" s="103">
        <f>IF($X265&gt;0,INDEX('CostModel Coef'!E$13:E$16,$X265),"")</f>
        <v>0.23699999999999999</v>
      </c>
      <c r="AV265" s="103">
        <f>IF($X265&gt;0,INDEX('CostModel Coef'!F$13:F$16,$X265),"")</f>
        <v>0.59899999999999998</v>
      </c>
      <c r="AW265" s="103">
        <f>IF($X265&gt;0,INDEX('CostModel Coef'!G$13:G$16,$X265),"")</f>
        <v>0</v>
      </c>
      <c r="AX265" s="103">
        <f>IF($X265&gt;0,INDEX('CostModel Coef'!H$13:H$16,$X265),"")</f>
        <v>-1.69</v>
      </c>
      <c r="AY265" s="103">
        <f>IF($X265&gt;0,INDEX('CostModel Coef'!I$13:I$16,$X265),"")</f>
        <v>-1.1599999999999999</v>
      </c>
      <c r="AZ265" s="103">
        <f>IF($X265&gt;0,INDEX('CostModel Coef'!J$13:J$16,$X265),"")</f>
        <v>0</v>
      </c>
      <c r="BA265" s="103">
        <f>IF($X265&gt;0,INDEX('CostModel Coef'!K$13:K$16,$X265),"")</f>
        <v>-2.4630000000000001</v>
      </c>
      <c r="BB265" s="103">
        <f>IF($X265&gt;0,INDEX('CostModel Coef'!L$13:L$16,$X265),"")</f>
        <v>0.46179999999999999</v>
      </c>
      <c r="BC265" s="103">
        <f>IF($X265&gt;0,INDEX('CostModel Coef'!M$13:M$16,$X265),"")</f>
        <v>0</v>
      </c>
      <c r="BD265" s="103">
        <f>IF($X265&gt;0,INDEX('CostModel Coef'!N$13:N$16,$X265),"")</f>
        <v>0.19869999999999999</v>
      </c>
      <c r="BE265" s="103">
        <f>IF($X265&gt;0,INDEX('CostModel Coef'!O$13:O$16,$X265),"")</f>
        <v>0.6</v>
      </c>
      <c r="BF265" s="103">
        <f>IF($X265&gt;0,INDEX('CostModel Coef'!P$13:P$16,$X265),"")</f>
        <v>15</v>
      </c>
      <c r="BG265" s="103">
        <f>IF($X265&gt;0,INDEX('CostModel Coef'!Q$13:Q$16,$X265),"")</f>
        <v>0</v>
      </c>
      <c r="BH265" s="103">
        <f>IF($X265&gt;0,INDEX('CostModel Coef'!R$13:R$16,$X265),"")</f>
        <v>3</v>
      </c>
      <c r="BI265" s="103">
        <f>IF($X265&gt;0,INDEX('CostModel Coef'!S$13:S$16,$X265),"")</f>
        <v>150</v>
      </c>
      <c r="BJ265" s="103">
        <f>IF($X265&gt;0,INDEX('CostModel Coef'!T$13:T$16,$X265),"")</f>
        <v>0</v>
      </c>
      <c r="BK265" s="103">
        <f>IF($X265&gt;0,INDEX('CostModel Coef'!U$13:U$16,$X265),"")</f>
        <v>9.1999999999999998E-3</v>
      </c>
      <c r="BL265" s="103">
        <f>IF($X265&gt;0,INDEX('CostModel Coef'!V$13:V$16,$X265),"")</f>
        <v>-8.8000000000000005E-3</v>
      </c>
      <c r="BM265" s="103">
        <f>IF($X265&gt;0,INDEX('CostModel Coef'!W$13:W$16,$X265),"")</f>
        <v>0</v>
      </c>
      <c r="BN265" s="103">
        <f>IF($X265&gt;0,INDEX('CostModel Coef'!X$13:X$16,$X265),"")</f>
        <v>0</v>
      </c>
      <c r="BO265" s="103"/>
      <c r="BP265" s="119">
        <v>2000</v>
      </c>
      <c r="BQ265" s="103"/>
      <c r="BR265" s="103"/>
      <c r="BS265" s="119" t="str">
        <f t="shared" si="86"/>
        <v>WRR0347_CFLscw(42w)</v>
      </c>
      <c r="BT265" s="174">
        <f t="shared" si="104"/>
        <v>146</v>
      </c>
      <c r="BU265" s="113">
        <f t="shared" si="88"/>
        <v>1.3447999999999998</v>
      </c>
      <c r="BV265" s="108">
        <f t="shared" si="89"/>
        <v>3.8077999999999999</v>
      </c>
      <c r="BW265" s="108">
        <f t="shared" si="90"/>
        <v>2.1177999999999999</v>
      </c>
      <c r="BX265" s="108">
        <f t="shared" si="91"/>
        <v>0.95779999999999998</v>
      </c>
      <c r="BY265" s="108">
        <f t="shared" si="92"/>
        <v>0.95779999999999998</v>
      </c>
      <c r="BZ265" s="108"/>
      <c r="CA265" s="119" t="str">
        <f t="shared" si="93"/>
        <v>WRR0407_CFLscw(42w)</v>
      </c>
      <c r="CB265" s="174">
        <f t="shared" ref="CB265:CB290" si="110">IF(OR(X265=1,X265=2,X265=3),ROUND(M265*4.07,0),-1)</f>
        <v>171</v>
      </c>
      <c r="CC265" s="113" t="str">
        <f t="shared" si="94"/>
        <v/>
      </c>
      <c r="CD265" s="108" t="str">
        <f t="shared" si="95"/>
        <v/>
      </c>
      <c r="CE265" s="108" t="str">
        <f t="shared" si="96"/>
        <v/>
      </c>
      <c r="CF265" s="108" t="str">
        <f t="shared" si="97"/>
        <v/>
      </c>
      <c r="CG265" s="108" t="str">
        <f t="shared" si="98"/>
        <v/>
      </c>
      <c r="CH265" s="103"/>
      <c r="CI265" s="119" t="str">
        <f t="shared" si="87"/>
        <v>WRR0347_CFLscw(42w)</v>
      </c>
      <c r="CJ265" s="174">
        <f t="shared" ref="CJ265:CJ290" si="111">IF(OR(X265=1,X265=3,X265=4),ROUND(M265*3.47,0),-1)</f>
        <v>146</v>
      </c>
      <c r="CK265" s="113">
        <f t="shared" si="99"/>
        <v>1.3447999999999998</v>
      </c>
      <c r="CL265" s="108">
        <f t="shared" si="100"/>
        <v>3.8077999999999999</v>
      </c>
      <c r="CM265" s="108">
        <f t="shared" si="101"/>
        <v>2.1177999999999999</v>
      </c>
      <c r="CN265" s="108">
        <f t="shared" si="102"/>
        <v>0.95779999999999998</v>
      </c>
      <c r="CO265" s="108">
        <f t="shared" si="103"/>
        <v>0.95779999999999998</v>
      </c>
    </row>
    <row r="266" spans="1:93">
      <c r="A266" s="103" t="s">
        <v>745</v>
      </c>
      <c r="B266" s="103" t="s">
        <v>174</v>
      </c>
      <c r="C266" s="103" t="s">
        <v>153</v>
      </c>
      <c r="D266" s="250" t="s">
        <v>153</v>
      </c>
      <c r="E266" s="250"/>
      <c r="F266" s="182">
        <v>9020</v>
      </c>
      <c r="G266" s="250" t="s">
        <v>175</v>
      </c>
      <c r="H266" s="250">
        <v>44</v>
      </c>
      <c r="I266" s="250"/>
      <c r="J266" s="250"/>
      <c r="K266" s="250"/>
      <c r="L266" s="250" t="s">
        <v>61</v>
      </c>
      <c r="M266" s="250">
        <v>44</v>
      </c>
      <c r="N266" s="250"/>
      <c r="O266" s="250"/>
      <c r="P266" s="250" t="s">
        <v>153</v>
      </c>
      <c r="Q266" s="250"/>
      <c r="R266" s="250"/>
      <c r="S266" s="250"/>
      <c r="T266" s="250" t="s">
        <v>155</v>
      </c>
      <c r="U266" s="103" t="s">
        <v>746</v>
      </c>
      <c r="V266" s="106" t="s">
        <v>157</v>
      </c>
      <c r="W266" s="103" t="s">
        <v>81</v>
      </c>
      <c r="X266" s="103">
        <f>IFERROR(MATCH(W266,'CostModel Coef'!$C$9:$C$12,0),0)</f>
        <v>1</v>
      </c>
      <c r="Y266" s="103"/>
      <c r="Z266" s="103">
        <f>IF($X266&gt;0,INDEX('CostModel Coef'!D$9:D$12,$X266),"")</f>
        <v>3.0430000000000001</v>
      </c>
      <c r="AA266" s="103">
        <f>IF($X266&gt;0,INDEX('CostModel Coef'!E$9:E$12,$X266),"")</f>
        <v>-0.14966150225589619</v>
      </c>
      <c r="AB266" s="103">
        <f>IF($X266&gt;0,INDEX('CostModel Coef'!F$9:F$12,$X266),"")</f>
        <v>0.52692151711335011</v>
      </c>
      <c r="AC266" s="103">
        <f>IF($X266&gt;0,INDEX('CostModel Coef'!G$9:G$12,$X266),"")</f>
        <v>1.8411</v>
      </c>
      <c r="AD266" s="103">
        <f>IF($X266&gt;0,INDEX('CostModel Coef'!H$9:H$12,$X266),"")</f>
        <v>-1.8050999999999999</v>
      </c>
      <c r="AE266" s="103">
        <f>IF($X266&gt;0,INDEX('CostModel Coef'!J$9:J$12,$X266),"")</f>
        <v>-1.1288</v>
      </c>
      <c r="AF266" s="103">
        <f>IF($X266&gt;0,INDEX('CostModel Coef'!K$9:K$12,$X266),"")</f>
        <v>-1.845</v>
      </c>
      <c r="AG266" s="103">
        <f>IF($X266&gt;0,INDEX('CostModel Coef'!L$9:L$12,$X266),"")</f>
        <v>6.7507000000000001</v>
      </c>
      <c r="AH266" s="103">
        <f>IF($X266&gt;0,INDEX('CostModel Coef'!M$9:M$12,$X266),"")</f>
        <v>5.8051000000000004</v>
      </c>
      <c r="AI266" s="103">
        <f>IF($X266&gt;0,INDEX('CostModel Coef'!N$9:N$12,$X266),"")</f>
        <v>6.1600000000000002E-2</v>
      </c>
      <c r="AJ266" s="103">
        <f>IF($X266&gt;0,INDEX('CostModel Coef'!Q$9:Q$12,$X266),"")</f>
        <v>6.6500000000000004E-2</v>
      </c>
      <c r="AK266" s="103">
        <f>IF($X266&gt;0,INDEX('CostModel Coef'!T$9:T$12,$X266),"")</f>
        <v>9.35E-2</v>
      </c>
      <c r="AL266" s="103"/>
      <c r="AM266" s="108">
        <f t="shared" si="105"/>
        <v>6.8333920148574538</v>
      </c>
      <c r="AN266" s="108">
        <f t="shared" si="106"/>
        <v>8.6783920148574545</v>
      </c>
      <c r="AO266" s="108">
        <f t="shared" si="107"/>
        <v>6.8732920148574541</v>
      </c>
      <c r="AP266" s="108">
        <f t="shared" si="108"/>
        <v>6.8732920148574541</v>
      </c>
      <c r="AQ266" s="108">
        <f t="shared" si="109"/>
        <v>5.7444920148574541</v>
      </c>
      <c r="AR266" s="108"/>
      <c r="AS266" s="108"/>
      <c r="AT266" s="103">
        <f>IF($X266&gt;0,INDEX('CostModel Coef'!D$13:D$16,$X266),"")</f>
        <v>2.1320000000000001</v>
      </c>
      <c r="AU266" s="103">
        <f>IF($X266&gt;0,INDEX('CostModel Coef'!E$13:E$16,$X266),"")</f>
        <v>0.23699999999999999</v>
      </c>
      <c r="AV266" s="103">
        <f>IF($X266&gt;0,INDEX('CostModel Coef'!F$13:F$16,$X266),"")</f>
        <v>0.59899999999999998</v>
      </c>
      <c r="AW266" s="103">
        <f>IF($X266&gt;0,INDEX('CostModel Coef'!G$13:G$16,$X266),"")</f>
        <v>0</v>
      </c>
      <c r="AX266" s="103">
        <f>IF($X266&gt;0,INDEX('CostModel Coef'!H$13:H$16,$X266),"")</f>
        <v>-1.69</v>
      </c>
      <c r="AY266" s="103">
        <f>IF($X266&gt;0,INDEX('CostModel Coef'!I$13:I$16,$X266),"")</f>
        <v>-1.1599999999999999</v>
      </c>
      <c r="AZ266" s="103">
        <f>IF($X266&gt;0,INDEX('CostModel Coef'!J$13:J$16,$X266),"")</f>
        <v>0</v>
      </c>
      <c r="BA266" s="103">
        <f>IF($X266&gt;0,INDEX('CostModel Coef'!K$13:K$16,$X266),"")</f>
        <v>-2.4630000000000001</v>
      </c>
      <c r="BB266" s="103">
        <f>IF($X266&gt;0,INDEX('CostModel Coef'!L$13:L$16,$X266),"")</f>
        <v>0.46179999999999999</v>
      </c>
      <c r="BC266" s="103">
        <f>IF($X266&gt;0,INDEX('CostModel Coef'!M$13:M$16,$X266),"")</f>
        <v>0</v>
      </c>
      <c r="BD266" s="103">
        <f>IF($X266&gt;0,INDEX('CostModel Coef'!N$13:N$16,$X266),"")</f>
        <v>0.19869999999999999</v>
      </c>
      <c r="BE266" s="103">
        <f>IF($X266&gt;0,INDEX('CostModel Coef'!O$13:O$16,$X266),"")</f>
        <v>0.6</v>
      </c>
      <c r="BF266" s="103">
        <f>IF($X266&gt;0,INDEX('CostModel Coef'!P$13:P$16,$X266),"")</f>
        <v>15</v>
      </c>
      <c r="BG266" s="103">
        <f>IF($X266&gt;0,INDEX('CostModel Coef'!Q$13:Q$16,$X266),"")</f>
        <v>0</v>
      </c>
      <c r="BH266" s="103">
        <f>IF($X266&gt;0,INDEX('CostModel Coef'!R$13:R$16,$X266),"")</f>
        <v>3</v>
      </c>
      <c r="BI266" s="103">
        <f>IF($X266&gt;0,INDEX('CostModel Coef'!S$13:S$16,$X266),"")</f>
        <v>150</v>
      </c>
      <c r="BJ266" s="103">
        <f>IF($X266&gt;0,INDEX('CostModel Coef'!T$13:T$16,$X266),"")</f>
        <v>0</v>
      </c>
      <c r="BK266" s="103">
        <f>IF($X266&gt;0,INDEX('CostModel Coef'!U$13:U$16,$X266),"")</f>
        <v>9.1999999999999998E-3</v>
      </c>
      <c r="BL266" s="103">
        <f>IF($X266&gt;0,INDEX('CostModel Coef'!V$13:V$16,$X266),"")</f>
        <v>-8.8000000000000005E-3</v>
      </c>
      <c r="BM266" s="103">
        <f>IF($X266&gt;0,INDEX('CostModel Coef'!W$13:W$16,$X266),"")</f>
        <v>0</v>
      </c>
      <c r="BN266" s="103">
        <f>IF($X266&gt;0,INDEX('CostModel Coef'!X$13:X$16,$X266),"")</f>
        <v>0</v>
      </c>
      <c r="BO266" s="103"/>
      <c r="BP266" s="119">
        <v>2000</v>
      </c>
      <c r="BQ266" s="103"/>
      <c r="BR266" s="103"/>
      <c r="BS266" s="119" t="str">
        <f t="shared" si="86"/>
        <v>WRR0347_CFLscw(44w)</v>
      </c>
      <c r="BT266" s="174">
        <f t="shared" si="104"/>
        <v>153</v>
      </c>
      <c r="BU266" s="113" t="str">
        <f t="shared" si="88"/>
        <v>OOS</v>
      </c>
      <c r="BV266" s="108" t="str">
        <f t="shared" si="89"/>
        <v>OOS</v>
      </c>
      <c r="BW266" s="108" t="str">
        <f t="shared" si="90"/>
        <v>OOS</v>
      </c>
      <c r="BX266" s="108" t="str">
        <f t="shared" si="91"/>
        <v>OOS</v>
      </c>
      <c r="BY266" s="108" t="str">
        <f t="shared" si="92"/>
        <v>OOS</v>
      </c>
      <c r="BZ266" s="108"/>
      <c r="CA266" s="119" t="str">
        <f t="shared" si="93"/>
        <v>WRR0407_CFLscw(44w)</v>
      </c>
      <c r="CB266" s="174">
        <f t="shared" si="110"/>
        <v>179</v>
      </c>
      <c r="CC266" s="113" t="str">
        <f t="shared" si="94"/>
        <v/>
      </c>
      <c r="CD266" s="108" t="str">
        <f t="shared" si="95"/>
        <v/>
      </c>
      <c r="CE266" s="108" t="str">
        <f t="shared" si="96"/>
        <v/>
      </c>
      <c r="CF266" s="108" t="str">
        <f t="shared" si="97"/>
        <v/>
      </c>
      <c r="CG266" s="108" t="str">
        <f t="shared" si="98"/>
        <v/>
      </c>
      <c r="CH266" s="103"/>
      <c r="CI266" s="119" t="str">
        <f t="shared" si="87"/>
        <v>WRR0347_CFLscw(44w)</v>
      </c>
      <c r="CJ266" s="174">
        <f t="shared" si="111"/>
        <v>153</v>
      </c>
      <c r="CK266" s="113" t="str">
        <f t="shared" si="99"/>
        <v/>
      </c>
      <c r="CL266" s="108" t="str">
        <f t="shared" si="100"/>
        <v/>
      </c>
      <c r="CM266" s="108" t="str">
        <f t="shared" si="101"/>
        <v/>
      </c>
      <c r="CN266" s="108" t="str">
        <f t="shared" si="102"/>
        <v/>
      </c>
      <c r="CO266" s="108" t="str">
        <f t="shared" si="103"/>
        <v/>
      </c>
    </row>
    <row r="267" spans="1:93">
      <c r="A267" s="103" t="s">
        <v>747</v>
      </c>
      <c r="B267" s="103" t="s">
        <v>174</v>
      </c>
      <c r="C267" s="103" t="s">
        <v>153</v>
      </c>
      <c r="D267" s="250" t="s">
        <v>153</v>
      </c>
      <c r="E267" s="250"/>
      <c r="F267" s="182">
        <v>9020</v>
      </c>
      <c r="G267" s="250" t="s">
        <v>175</v>
      </c>
      <c r="H267" s="250">
        <v>45</v>
      </c>
      <c r="I267" s="250"/>
      <c r="J267" s="250"/>
      <c r="K267" s="250"/>
      <c r="L267" s="250" t="s">
        <v>61</v>
      </c>
      <c r="M267" s="250">
        <v>45</v>
      </c>
      <c r="N267" s="250"/>
      <c r="O267" s="250"/>
      <c r="P267" s="250" t="s">
        <v>153</v>
      </c>
      <c r="Q267" s="250"/>
      <c r="R267" s="250"/>
      <c r="S267" s="250"/>
      <c r="T267" s="250" t="s">
        <v>155</v>
      </c>
      <c r="U267" s="103" t="s">
        <v>748</v>
      </c>
      <c r="V267" s="106" t="s">
        <v>157</v>
      </c>
      <c r="W267" s="103" t="s">
        <v>81</v>
      </c>
      <c r="X267" s="103">
        <f>IFERROR(MATCH(W267,'CostModel Coef'!$C$9:$C$12,0),0)</f>
        <v>1</v>
      </c>
      <c r="Y267" s="103"/>
      <c r="Z267" s="103">
        <f>IF($X267&gt;0,INDEX('CostModel Coef'!D$9:D$12,$X267),"")</f>
        <v>3.0430000000000001</v>
      </c>
      <c r="AA267" s="103">
        <f>IF($X267&gt;0,INDEX('CostModel Coef'!E$9:E$12,$X267),"")</f>
        <v>-0.14966150225589619</v>
      </c>
      <c r="AB267" s="103">
        <f>IF($X267&gt;0,INDEX('CostModel Coef'!F$9:F$12,$X267),"")</f>
        <v>0.52692151711335011</v>
      </c>
      <c r="AC267" s="103">
        <f>IF($X267&gt;0,INDEX('CostModel Coef'!G$9:G$12,$X267),"")</f>
        <v>1.8411</v>
      </c>
      <c r="AD267" s="103">
        <f>IF($X267&gt;0,INDEX('CostModel Coef'!H$9:H$12,$X267),"")</f>
        <v>-1.8050999999999999</v>
      </c>
      <c r="AE267" s="103">
        <f>IF($X267&gt;0,INDEX('CostModel Coef'!J$9:J$12,$X267),"")</f>
        <v>-1.1288</v>
      </c>
      <c r="AF267" s="103">
        <f>IF($X267&gt;0,INDEX('CostModel Coef'!K$9:K$12,$X267),"")</f>
        <v>-1.845</v>
      </c>
      <c r="AG267" s="103">
        <f>IF($X267&gt;0,INDEX('CostModel Coef'!L$9:L$12,$X267),"")</f>
        <v>6.7507000000000001</v>
      </c>
      <c r="AH267" s="103">
        <f>IF($X267&gt;0,INDEX('CostModel Coef'!M$9:M$12,$X267),"")</f>
        <v>5.8051000000000004</v>
      </c>
      <c r="AI267" s="103">
        <f>IF($X267&gt;0,INDEX('CostModel Coef'!N$9:N$12,$X267),"")</f>
        <v>6.1600000000000002E-2</v>
      </c>
      <c r="AJ267" s="103">
        <f>IF($X267&gt;0,INDEX('CostModel Coef'!Q$9:Q$12,$X267),"")</f>
        <v>6.6500000000000004E-2</v>
      </c>
      <c r="AK267" s="103">
        <f>IF($X267&gt;0,INDEX('CostModel Coef'!T$9:T$12,$X267),"")</f>
        <v>9.35E-2</v>
      </c>
      <c r="AL267" s="103"/>
      <c r="AM267" s="108">
        <f t="shared" si="105"/>
        <v>6.9933920148574549</v>
      </c>
      <c r="AN267" s="108">
        <f t="shared" si="106"/>
        <v>8.8383920148574546</v>
      </c>
      <c r="AO267" s="108">
        <f t="shared" si="107"/>
        <v>7.0332920148574551</v>
      </c>
      <c r="AP267" s="108">
        <f t="shared" si="108"/>
        <v>7.0332920148574551</v>
      </c>
      <c r="AQ267" s="108">
        <f t="shared" si="109"/>
        <v>5.9044920148574551</v>
      </c>
      <c r="AR267" s="108"/>
      <c r="AS267" s="108"/>
      <c r="AT267" s="103">
        <f>IF($X267&gt;0,INDEX('CostModel Coef'!D$13:D$16,$X267),"")</f>
        <v>2.1320000000000001</v>
      </c>
      <c r="AU267" s="103">
        <f>IF($X267&gt;0,INDEX('CostModel Coef'!E$13:E$16,$X267),"")</f>
        <v>0.23699999999999999</v>
      </c>
      <c r="AV267" s="103">
        <f>IF($X267&gt;0,INDEX('CostModel Coef'!F$13:F$16,$X267),"")</f>
        <v>0.59899999999999998</v>
      </c>
      <c r="AW267" s="103">
        <f>IF($X267&gt;0,INDEX('CostModel Coef'!G$13:G$16,$X267),"")</f>
        <v>0</v>
      </c>
      <c r="AX267" s="103">
        <f>IF($X267&gt;0,INDEX('CostModel Coef'!H$13:H$16,$X267),"")</f>
        <v>-1.69</v>
      </c>
      <c r="AY267" s="103">
        <f>IF($X267&gt;0,INDEX('CostModel Coef'!I$13:I$16,$X267),"")</f>
        <v>-1.1599999999999999</v>
      </c>
      <c r="AZ267" s="103">
        <f>IF($X267&gt;0,INDEX('CostModel Coef'!J$13:J$16,$X267),"")</f>
        <v>0</v>
      </c>
      <c r="BA267" s="103">
        <f>IF($X267&gt;0,INDEX('CostModel Coef'!K$13:K$16,$X267),"")</f>
        <v>-2.4630000000000001</v>
      </c>
      <c r="BB267" s="103">
        <f>IF($X267&gt;0,INDEX('CostModel Coef'!L$13:L$16,$X267),"")</f>
        <v>0.46179999999999999</v>
      </c>
      <c r="BC267" s="103">
        <f>IF($X267&gt;0,INDEX('CostModel Coef'!M$13:M$16,$X267),"")</f>
        <v>0</v>
      </c>
      <c r="BD267" s="103">
        <f>IF($X267&gt;0,INDEX('CostModel Coef'!N$13:N$16,$X267),"")</f>
        <v>0.19869999999999999</v>
      </c>
      <c r="BE267" s="103">
        <f>IF($X267&gt;0,INDEX('CostModel Coef'!O$13:O$16,$X267),"")</f>
        <v>0.6</v>
      </c>
      <c r="BF267" s="103">
        <f>IF($X267&gt;0,INDEX('CostModel Coef'!P$13:P$16,$X267),"")</f>
        <v>15</v>
      </c>
      <c r="BG267" s="103">
        <f>IF($X267&gt;0,INDEX('CostModel Coef'!Q$13:Q$16,$X267),"")</f>
        <v>0</v>
      </c>
      <c r="BH267" s="103">
        <f>IF($X267&gt;0,INDEX('CostModel Coef'!R$13:R$16,$X267),"")</f>
        <v>3</v>
      </c>
      <c r="BI267" s="103">
        <f>IF($X267&gt;0,INDEX('CostModel Coef'!S$13:S$16,$X267),"")</f>
        <v>150</v>
      </c>
      <c r="BJ267" s="103">
        <f>IF($X267&gt;0,INDEX('CostModel Coef'!T$13:T$16,$X267),"")</f>
        <v>0</v>
      </c>
      <c r="BK267" s="103">
        <f>IF($X267&gt;0,INDEX('CostModel Coef'!U$13:U$16,$X267),"")</f>
        <v>9.1999999999999998E-3</v>
      </c>
      <c r="BL267" s="103">
        <f>IF($X267&gt;0,INDEX('CostModel Coef'!V$13:V$16,$X267),"")</f>
        <v>-8.8000000000000005E-3</v>
      </c>
      <c r="BM267" s="103">
        <f>IF($X267&gt;0,INDEX('CostModel Coef'!W$13:W$16,$X267),"")</f>
        <v>0</v>
      </c>
      <c r="BN267" s="103">
        <f>IF($X267&gt;0,INDEX('CostModel Coef'!X$13:X$16,$X267),"")</f>
        <v>0</v>
      </c>
      <c r="BO267" s="103"/>
      <c r="BP267" s="119">
        <v>2000</v>
      </c>
      <c r="BQ267" s="103"/>
      <c r="BR267" s="103"/>
      <c r="BS267" s="119" t="str">
        <f t="shared" si="86"/>
        <v>WRR0347_CFLscw(45w)</v>
      </c>
      <c r="BT267" s="174">
        <f t="shared" si="104"/>
        <v>156</v>
      </c>
      <c r="BU267" s="113" t="str">
        <f t="shared" si="88"/>
        <v>OOS</v>
      </c>
      <c r="BV267" s="108" t="str">
        <f t="shared" si="89"/>
        <v>OOS</v>
      </c>
      <c r="BW267" s="108" t="str">
        <f t="shared" si="90"/>
        <v>OOS</v>
      </c>
      <c r="BX267" s="108" t="str">
        <f t="shared" si="91"/>
        <v>OOS</v>
      </c>
      <c r="BY267" s="108" t="str">
        <f t="shared" si="92"/>
        <v>OOS</v>
      </c>
      <c r="BZ267" s="108"/>
      <c r="CA267" s="119" t="str">
        <f t="shared" si="93"/>
        <v>WRR0407_CFLscw(45w)</v>
      </c>
      <c r="CB267" s="174">
        <f t="shared" si="110"/>
        <v>183</v>
      </c>
      <c r="CC267" s="113" t="str">
        <f t="shared" si="94"/>
        <v/>
      </c>
      <c r="CD267" s="108" t="str">
        <f t="shared" si="95"/>
        <v/>
      </c>
      <c r="CE267" s="108" t="str">
        <f t="shared" si="96"/>
        <v/>
      </c>
      <c r="CF267" s="108" t="str">
        <f t="shared" si="97"/>
        <v/>
      </c>
      <c r="CG267" s="108" t="str">
        <f t="shared" si="98"/>
        <v/>
      </c>
      <c r="CH267" s="103"/>
      <c r="CI267" s="119" t="str">
        <f t="shared" si="87"/>
        <v>WRR0347_CFLscw(45w)</v>
      </c>
      <c r="CJ267" s="174">
        <f t="shared" si="111"/>
        <v>156</v>
      </c>
      <c r="CK267" s="113" t="str">
        <f t="shared" si="99"/>
        <v/>
      </c>
      <c r="CL267" s="108" t="str">
        <f t="shared" si="100"/>
        <v/>
      </c>
      <c r="CM267" s="108" t="str">
        <f t="shared" si="101"/>
        <v/>
      </c>
      <c r="CN267" s="108" t="str">
        <f t="shared" si="102"/>
        <v/>
      </c>
      <c r="CO267" s="108" t="str">
        <f t="shared" si="103"/>
        <v/>
      </c>
    </row>
    <row r="268" spans="1:93">
      <c r="A268" s="103" t="s">
        <v>749</v>
      </c>
      <c r="B268" s="103" t="s">
        <v>174</v>
      </c>
      <c r="C268" s="103" t="s">
        <v>153</v>
      </c>
      <c r="D268" s="250" t="s">
        <v>153</v>
      </c>
      <c r="E268" s="250"/>
      <c r="F268" s="182">
        <v>9020</v>
      </c>
      <c r="G268" s="250" t="s">
        <v>175</v>
      </c>
      <c r="H268" s="250">
        <v>48</v>
      </c>
      <c r="I268" s="250"/>
      <c r="J268" s="250"/>
      <c r="K268" s="250"/>
      <c r="L268" s="250" t="s">
        <v>61</v>
      </c>
      <c r="M268" s="250">
        <v>48</v>
      </c>
      <c r="N268" s="250"/>
      <c r="O268" s="250"/>
      <c r="P268" s="250" t="s">
        <v>153</v>
      </c>
      <c r="Q268" s="250"/>
      <c r="R268" s="250"/>
      <c r="S268" s="250"/>
      <c r="T268" s="250" t="s">
        <v>155</v>
      </c>
      <c r="U268" s="103" t="s">
        <v>750</v>
      </c>
      <c r="V268" s="106" t="s">
        <v>157</v>
      </c>
      <c r="W268" s="103" t="s">
        <v>81</v>
      </c>
      <c r="X268" s="103">
        <f>IFERROR(MATCH(W268,'CostModel Coef'!$C$9:$C$12,0),0)</f>
        <v>1</v>
      </c>
      <c r="Y268" s="103"/>
      <c r="Z268" s="103">
        <f>IF($X268&gt;0,INDEX('CostModel Coef'!D$9:D$12,$X268),"")</f>
        <v>3.0430000000000001</v>
      </c>
      <c r="AA268" s="103">
        <f>IF($X268&gt;0,INDEX('CostModel Coef'!E$9:E$12,$X268),"")</f>
        <v>-0.14966150225589619</v>
      </c>
      <c r="AB268" s="103">
        <f>IF($X268&gt;0,INDEX('CostModel Coef'!F$9:F$12,$X268),"")</f>
        <v>0.52692151711335011</v>
      </c>
      <c r="AC268" s="103">
        <f>IF($X268&gt;0,INDEX('CostModel Coef'!G$9:G$12,$X268),"")</f>
        <v>1.8411</v>
      </c>
      <c r="AD268" s="103">
        <f>IF($X268&gt;0,INDEX('CostModel Coef'!H$9:H$12,$X268),"")</f>
        <v>-1.8050999999999999</v>
      </c>
      <c r="AE268" s="103">
        <f>IF($X268&gt;0,INDEX('CostModel Coef'!J$9:J$12,$X268),"")</f>
        <v>-1.1288</v>
      </c>
      <c r="AF268" s="103">
        <f>IF($X268&gt;0,INDEX('CostModel Coef'!K$9:K$12,$X268),"")</f>
        <v>-1.845</v>
      </c>
      <c r="AG268" s="103">
        <f>IF($X268&gt;0,INDEX('CostModel Coef'!L$9:L$12,$X268),"")</f>
        <v>6.7507000000000001</v>
      </c>
      <c r="AH268" s="103">
        <f>IF($X268&gt;0,INDEX('CostModel Coef'!M$9:M$12,$X268),"")</f>
        <v>5.8051000000000004</v>
      </c>
      <c r="AI268" s="103">
        <f>IF($X268&gt;0,INDEX('CostModel Coef'!N$9:N$12,$X268),"")</f>
        <v>6.1600000000000002E-2</v>
      </c>
      <c r="AJ268" s="103">
        <f>IF($X268&gt;0,INDEX('CostModel Coef'!Q$9:Q$12,$X268),"")</f>
        <v>6.6500000000000004E-2</v>
      </c>
      <c r="AK268" s="103">
        <f>IF($X268&gt;0,INDEX('CostModel Coef'!T$9:T$12,$X268),"")</f>
        <v>9.35E-2</v>
      </c>
      <c r="AL268" s="103"/>
      <c r="AM268" s="108">
        <f t="shared" si="105"/>
        <v>7.4733920148574544</v>
      </c>
      <c r="AN268" s="108">
        <f t="shared" si="106"/>
        <v>9.3183920148574551</v>
      </c>
      <c r="AO268" s="108">
        <f t="shared" si="107"/>
        <v>7.5132920148574538</v>
      </c>
      <c r="AP268" s="108">
        <f t="shared" si="108"/>
        <v>7.5132920148574538</v>
      </c>
      <c r="AQ268" s="108">
        <f t="shared" si="109"/>
        <v>6.3844920148574538</v>
      </c>
      <c r="AR268" s="108"/>
      <c r="AS268" s="108"/>
      <c r="AT268" s="103">
        <f>IF($X268&gt;0,INDEX('CostModel Coef'!D$13:D$16,$X268),"")</f>
        <v>2.1320000000000001</v>
      </c>
      <c r="AU268" s="103">
        <f>IF($X268&gt;0,INDEX('CostModel Coef'!E$13:E$16,$X268),"")</f>
        <v>0.23699999999999999</v>
      </c>
      <c r="AV268" s="103">
        <f>IF($X268&gt;0,INDEX('CostModel Coef'!F$13:F$16,$X268),"")</f>
        <v>0.59899999999999998</v>
      </c>
      <c r="AW268" s="103">
        <f>IF($X268&gt;0,INDEX('CostModel Coef'!G$13:G$16,$X268),"")</f>
        <v>0</v>
      </c>
      <c r="AX268" s="103">
        <f>IF($X268&gt;0,INDEX('CostModel Coef'!H$13:H$16,$X268),"")</f>
        <v>-1.69</v>
      </c>
      <c r="AY268" s="103">
        <f>IF($X268&gt;0,INDEX('CostModel Coef'!I$13:I$16,$X268),"")</f>
        <v>-1.1599999999999999</v>
      </c>
      <c r="AZ268" s="103">
        <f>IF($X268&gt;0,INDEX('CostModel Coef'!J$13:J$16,$X268),"")</f>
        <v>0</v>
      </c>
      <c r="BA268" s="103">
        <f>IF($X268&gt;0,INDEX('CostModel Coef'!K$13:K$16,$X268),"")</f>
        <v>-2.4630000000000001</v>
      </c>
      <c r="BB268" s="103">
        <f>IF($X268&gt;0,INDEX('CostModel Coef'!L$13:L$16,$X268),"")</f>
        <v>0.46179999999999999</v>
      </c>
      <c r="BC268" s="103">
        <f>IF($X268&gt;0,INDEX('CostModel Coef'!M$13:M$16,$X268),"")</f>
        <v>0</v>
      </c>
      <c r="BD268" s="103">
        <f>IF($X268&gt;0,INDEX('CostModel Coef'!N$13:N$16,$X268),"")</f>
        <v>0.19869999999999999</v>
      </c>
      <c r="BE268" s="103">
        <f>IF($X268&gt;0,INDEX('CostModel Coef'!O$13:O$16,$X268),"")</f>
        <v>0.6</v>
      </c>
      <c r="BF268" s="103">
        <f>IF($X268&gt;0,INDEX('CostModel Coef'!P$13:P$16,$X268),"")</f>
        <v>15</v>
      </c>
      <c r="BG268" s="103">
        <f>IF($X268&gt;0,INDEX('CostModel Coef'!Q$13:Q$16,$X268),"")</f>
        <v>0</v>
      </c>
      <c r="BH268" s="103">
        <f>IF($X268&gt;0,INDEX('CostModel Coef'!R$13:R$16,$X268),"")</f>
        <v>3</v>
      </c>
      <c r="BI268" s="103">
        <f>IF($X268&gt;0,INDEX('CostModel Coef'!S$13:S$16,$X268),"")</f>
        <v>150</v>
      </c>
      <c r="BJ268" s="103">
        <f>IF($X268&gt;0,INDEX('CostModel Coef'!T$13:T$16,$X268),"")</f>
        <v>0</v>
      </c>
      <c r="BK268" s="103">
        <f>IF($X268&gt;0,INDEX('CostModel Coef'!U$13:U$16,$X268),"")</f>
        <v>9.1999999999999998E-3</v>
      </c>
      <c r="BL268" s="103">
        <f>IF($X268&gt;0,INDEX('CostModel Coef'!V$13:V$16,$X268),"")</f>
        <v>-8.8000000000000005E-3</v>
      </c>
      <c r="BM268" s="103">
        <f>IF($X268&gt;0,INDEX('CostModel Coef'!W$13:W$16,$X268),"")</f>
        <v>0</v>
      </c>
      <c r="BN268" s="103">
        <f>IF($X268&gt;0,INDEX('CostModel Coef'!X$13:X$16,$X268),"")</f>
        <v>0</v>
      </c>
      <c r="BO268" s="103"/>
      <c r="BP268" s="119">
        <v>2000</v>
      </c>
      <c r="BQ268" s="103"/>
      <c r="BR268" s="103"/>
      <c r="BS268" s="119" t="str">
        <f t="shared" si="86"/>
        <v>WRR0347_CFLscw(48w)</v>
      </c>
      <c r="BT268" s="174">
        <f t="shared" si="104"/>
        <v>167</v>
      </c>
      <c r="BU268" s="113" t="str">
        <f t="shared" si="88"/>
        <v>OOS</v>
      </c>
      <c r="BV268" s="108" t="str">
        <f t="shared" si="89"/>
        <v>OOS</v>
      </c>
      <c r="BW268" s="108" t="str">
        <f t="shared" si="90"/>
        <v>OOS</v>
      </c>
      <c r="BX268" s="108" t="str">
        <f t="shared" si="91"/>
        <v>OOS</v>
      </c>
      <c r="BY268" s="108" t="str">
        <f t="shared" si="92"/>
        <v>OOS</v>
      </c>
      <c r="BZ268" s="108"/>
      <c r="CA268" s="119" t="str">
        <f t="shared" si="93"/>
        <v>WRR0407_CFLscw(48w)</v>
      </c>
      <c r="CB268" s="174">
        <f t="shared" si="110"/>
        <v>195</v>
      </c>
      <c r="CC268" s="113" t="str">
        <f t="shared" si="94"/>
        <v/>
      </c>
      <c r="CD268" s="108" t="str">
        <f t="shared" si="95"/>
        <v/>
      </c>
      <c r="CE268" s="108" t="str">
        <f t="shared" si="96"/>
        <v/>
      </c>
      <c r="CF268" s="108" t="str">
        <f t="shared" si="97"/>
        <v/>
      </c>
      <c r="CG268" s="108" t="str">
        <f t="shared" si="98"/>
        <v/>
      </c>
      <c r="CH268" s="103"/>
      <c r="CI268" s="119" t="str">
        <f t="shared" si="87"/>
        <v>WRR0347_CFLscw(48w)</v>
      </c>
      <c r="CJ268" s="174">
        <f t="shared" si="111"/>
        <v>167</v>
      </c>
      <c r="CK268" s="113" t="str">
        <f t="shared" si="99"/>
        <v/>
      </c>
      <c r="CL268" s="108" t="str">
        <f t="shared" si="100"/>
        <v/>
      </c>
      <c r="CM268" s="108" t="str">
        <f t="shared" si="101"/>
        <v/>
      </c>
      <c r="CN268" s="108" t="str">
        <f t="shared" si="102"/>
        <v/>
      </c>
      <c r="CO268" s="108" t="str">
        <f t="shared" si="103"/>
        <v/>
      </c>
    </row>
    <row r="269" spans="1:93">
      <c r="A269" s="103" t="s">
        <v>751</v>
      </c>
      <c r="B269" s="103" t="s">
        <v>165</v>
      </c>
      <c r="C269" s="103" t="s">
        <v>152</v>
      </c>
      <c r="D269" s="250" t="s">
        <v>153</v>
      </c>
      <c r="E269" s="250">
        <v>82</v>
      </c>
      <c r="F269" s="182">
        <v>9020</v>
      </c>
      <c r="G269" s="250" t="s">
        <v>175</v>
      </c>
      <c r="H269" s="250">
        <v>4</v>
      </c>
      <c r="I269" s="250"/>
      <c r="J269" s="250"/>
      <c r="K269" s="250" t="s">
        <v>752</v>
      </c>
      <c r="L269" s="250" t="s">
        <v>61</v>
      </c>
      <c r="M269" s="250">
        <v>4</v>
      </c>
      <c r="N269" s="250"/>
      <c r="O269" s="250"/>
      <c r="P269" s="250" t="s">
        <v>153</v>
      </c>
      <c r="Q269" s="250"/>
      <c r="R269" s="250"/>
      <c r="S269" s="250"/>
      <c r="T269" s="250" t="s">
        <v>155</v>
      </c>
      <c r="U269" s="103" t="s">
        <v>753</v>
      </c>
      <c r="V269" s="106" t="s">
        <v>157</v>
      </c>
      <c r="W269" s="103" t="s">
        <v>81</v>
      </c>
      <c r="X269" s="103">
        <f>IFERROR(MATCH(W269,'CostModel Coef'!$C$9:$C$12,0),0)</f>
        <v>1</v>
      </c>
      <c r="Y269" s="103"/>
      <c r="Z269" s="103">
        <f>IF($X269&gt;0,INDEX('CostModel Coef'!D$9:D$12,$X269),"")</f>
        <v>3.0430000000000001</v>
      </c>
      <c r="AA269" s="103">
        <f>IF($X269&gt;0,INDEX('CostModel Coef'!E$9:E$12,$X269),"")</f>
        <v>-0.14966150225589619</v>
      </c>
      <c r="AB269" s="103">
        <f>IF($X269&gt;0,INDEX('CostModel Coef'!F$9:F$12,$X269),"")</f>
        <v>0.52692151711335011</v>
      </c>
      <c r="AC269" s="103">
        <f>IF($X269&gt;0,INDEX('CostModel Coef'!G$9:G$12,$X269),"")</f>
        <v>1.8411</v>
      </c>
      <c r="AD269" s="103">
        <f>IF($X269&gt;0,INDEX('CostModel Coef'!H$9:H$12,$X269),"")</f>
        <v>-1.8050999999999999</v>
      </c>
      <c r="AE269" s="103">
        <f>IF($X269&gt;0,INDEX('CostModel Coef'!J$9:J$12,$X269),"")</f>
        <v>-1.1288</v>
      </c>
      <c r="AF269" s="103">
        <f>IF($X269&gt;0,INDEX('CostModel Coef'!K$9:K$12,$X269),"")</f>
        <v>-1.845</v>
      </c>
      <c r="AG269" s="103">
        <f>IF($X269&gt;0,INDEX('CostModel Coef'!L$9:L$12,$X269),"")</f>
        <v>6.7507000000000001</v>
      </c>
      <c r="AH269" s="103">
        <f>IF($X269&gt;0,INDEX('CostModel Coef'!M$9:M$12,$X269),"")</f>
        <v>5.8051000000000004</v>
      </c>
      <c r="AI269" s="103">
        <f>IF($X269&gt;0,INDEX('CostModel Coef'!N$9:N$12,$X269),"")</f>
        <v>6.1600000000000002E-2</v>
      </c>
      <c r="AJ269" s="103">
        <f>IF($X269&gt;0,INDEX('CostModel Coef'!Q$9:Q$12,$X269),"")</f>
        <v>6.6500000000000004E-2</v>
      </c>
      <c r="AK269" s="103">
        <f>IF($X269&gt;0,INDEX('CostModel Coef'!T$9:T$12,$X269),"")</f>
        <v>9.35E-2</v>
      </c>
      <c r="AL269" s="103"/>
      <c r="AM269" s="108">
        <f t="shared" si="105"/>
        <v>2.3968920148574542</v>
      </c>
      <c r="AN269" s="108">
        <f t="shared" si="106"/>
        <v>4.2418920148574539</v>
      </c>
      <c r="AO269" s="108">
        <f t="shared" si="107"/>
        <v>2.436792014857454</v>
      </c>
      <c r="AP269" s="108">
        <f t="shared" si="108"/>
        <v>2.436792014857454</v>
      </c>
      <c r="AQ269" s="108">
        <f t="shared" si="109"/>
        <v>1.307992014857454</v>
      </c>
      <c r="AR269" s="108"/>
      <c r="AS269" s="108"/>
      <c r="AT269" s="103">
        <f>IF($X269&gt;0,INDEX('CostModel Coef'!D$13:D$16,$X269),"")</f>
        <v>2.1320000000000001</v>
      </c>
      <c r="AU269" s="103">
        <f>IF($X269&gt;0,INDEX('CostModel Coef'!E$13:E$16,$X269),"")</f>
        <v>0.23699999999999999</v>
      </c>
      <c r="AV269" s="103">
        <f>IF($X269&gt;0,INDEX('CostModel Coef'!F$13:F$16,$X269),"")</f>
        <v>0.59899999999999998</v>
      </c>
      <c r="AW269" s="103">
        <f>IF($X269&gt;0,INDEX('CostModel Coef'!G$13:G$16,$X269),"")</f>
        <v>0</v>
      </c>
      <c r="AX269" s="103">
        <f>IF($X269&gt;0,INDEX('CostModel Coef'!H$13:H$16,$X269),"")</f>
        <v>-1.69</v>
      </c>
      <c r="AY269" s="103">
        <f>IF($X269&gt;0,INDEX('CostModel Coef'!I$13:I$16,$X269),"")</f>
        <v>-1.1599999999999999</v>
      </c>
      <c r="AZ269" s="103">
        <f>IF($X269&gt;0,INDEX('CostModel Coef'!J$13:J$16,$X269),"")</f>
        <v>0</v>
      </c>
      <c r="BA269" s="103">
        <f>IF($X269&gt;0,INDEX('CostModel Coef'!K$13:K$16,$X269),"")</f>
        <v>-2.4630000000000001</v>
      </c>
      <c r="BB269" s="103">
        <f>IF($X269&gt;0,INDEX('CostModel Coef'!L$13:L$16,$X269),"")</f>
        <v>0.46179999999999999</v>
      </c>
      <c r="BC269" s="103">
        <f>IF($X269&gt;0,INDEX('CostModel Coef'!M$13:M$16,$X269),"")</f>
        <v>0</v>
      </c>
      <c r="BD269" s="103">
        <f>IF($X269&gt;0,INDEX('CostModel Coef'!N$13:N$16,$X269),"")</f>
        <v>0.19869999999999999</v>
      </c>
      <c r="BE269" s="103">
        <f>IF($X269&gt;0,INDEX('CostModel Coef'!O$13:O$16,$X269),"")</f>
        <v>0.6</v>
      </c>
      <c r="BF269" s="103">
        <f>IF($X269&gt;0,INDEX('CostModel Coef'!P$13:P$16,$X269),"")</f>
        <v>15</v>
      </c>
      <c r="BG269" s="103">
        <f>IF($X269&gt;0,INDEX('CostModel Coef'!Q$13:Q$16,$X269),"")</f>
        <v>0</v>
      </c>
      <c r="BH269" s="103">
        <f>IF($X269&gt;0,INDEX('CostModel Coef'!R$13:R$16,$X269),"")</f>
        <v>3</v>
      </c>
      <c r="BI269" s="103">
        <f>IF($X269&gt;0,INDEX('CostModel Coef'!S$13:S$16,$X269),"")</f>
        <v>150</v>
      </c>
      <c r="BJ269" s="103">
        <f>IF($X269&gt;0,INDEX('CostModel Coef'!T$13:T$16,$X269),"")</f>
        <v>0</v>
      </c>
      <c r="BK269" s="103">
        <f>IF($X269&gt;0,INDEX('CostModel Coef'!U$13:U$16,$X269),"")</f>
        <v>9.1999999999999998E-3</v>
      </c>
      <c r="BL269" s="103">
        <f>IF($X269&gt;0,INDEX('CostModel Coef'!V$13:V$16,$X269),"")</f>
        <v>-8.8000000000000005E-3</v>
      </c>
      <c r="BM269" s="103">
        <f>IF($X269&gt;0,INDEX('CostModel Coef'!W$13:W$16,$X269),"")</f>
        <v>0</v>
      </c>
      <c r="BN269" s="103">
        <f>IF($X269&gt;0,INDEX('CostModel Coef'!X$13:X$16,$X269),"")</f>
        <v>0</v>
      </c>
      <c r="BO269" s="103"/>
      <c r="BP269" s="119">
        <v>2000</v>
      </c>
      <c r="BQ269" s="103"/>
      <c r="BR269" s="103"/>
      <c r="BS269" s="119" t="str">
        <f t="shared" si="86"/>
        <v>WRR0347_CFLscw(4w)</v>
      </c>
      <c r="BT269" s="174">
        <f t="shared" si="104"/>
        <v>14</v>
      </c>
      <c r="BU269" s="113">
        <f t="shared" si="88"/>
        <v>0.90240000000000009</v>
      </c>
      <c r="BV269" s="108">
        <f t="shared" si="89"/>
        <v>3.3654000000000002</v>
      </c>
      <c r="BW269" s="108">
        <f t="shared" si="90"/>
        <v>1.6754000000000002</v>
      </c>
      <c r="BX269" s="108">
        <f t="shared" si="91"/>
        <v>0.5154000000000003</v>
      </c>
      <c r="BY269" s="108">
        <f t="shared" si="92"/>
        <v>0.5154000000000003</v>
      </c>
      <c r="BZ269" s="108"/>
      <c r="CA269" s="119" t="str">
        <f t="shared" si="93"/>
        <v>WRR0407_CFLscw(4w)</v>
      </c>
      <c r="CB269" s="174">
        <f t="shared" si="110"/>
        <v>16</v>
      </c>
      <c r="CC269" s="113">
        <f t="shared" si="94"/>
        <v>0.90240000000000009</v>
      </c>
      <c r="CD269" s="108">
        <f t="shared" si="95"/>
        <v>3.3654000000000002</v>
      </c>
      <c r="CE269" s="108">
        <f t="shared" si="96"/>
        <v>1.6754000000000002</v>
      </c>
      <c r="CF269" s="108">
        <f t="shared" si="97"/>
        <v>0.5154000000000003</v>
      </c>
      <c r="CG269" s="108">
        <f t="shared" si="98"/>
        <v>0.5154000000000003</v>
      </c>
      <c r="CH269" s="103"/>
      <c r="CI269" s="119" t="str">
        <f t="shared" si="87"/>
        <v>WRR0347_CFLscw(4w)</v>
      </c>
      <c r="CJ269" s="174">
        <f t="shared" si="111"/>
        <v>14</v>
      </c>
      <c r="CK269" s="113">
        <f t="shared" si="99"/>
        <v>0.90240000000000009</v>
      </c>
      <c r="CL269" s="108">
        <f t="shared" si="100"/>
        <v>3.3654000000000002</v>
      </c>
      <c r="CM269" s="108">
        <f t="shared" si="101"/>
        <v>1.6754000000000002</v>
      </c>
      <c r="CN269" s="108">
        <f t="shared" si="102"/>
        <v>0.5154000000000003</v>
      </c>
      <c r="CO269" s="108">
        <f t="shared" si="103"/>
        <v>0.5154000000000003</v>
      </c>
    </row>
    <row r="270" spans="1:93">
      <c r="A270" s="103" t="s">
        <v>754</v>
      </c>
      <c r="B270" s="103" t="s">
        <v>174</v>
      </c>
      <c r="C270" s="103" t="s">
        <v>153</v>
      </c>
      <c r="D270" s="250" t="s">
        <v>153</v>
      </c>
      <c r="E270" s="250"/>
      <c r="F270" s="182">
        <v>9020</v>
      </c>
      <c r="G270" s="250" t="s">
        <v>175</v>
      </c>
      <c r="H270" s="250">
        <v>50</v>
      </c>
      <c r="I270" s="250"/>
      <c r="J270" s="250"/>
      <c r="K270" s="250"/>
      <c r="L270" s="250" t="s">
        <v>61</v>
      </c>
      <c r="M270" s="250">
        <v>50</v>
      </c>
      <c r="N270" s="250"/>
      <c r="O270" s="250"/>
      <c r="P270" s="250" t="s">
        <v>153</v>
      </c>
      <c r="Q270" s="250"/>
      <c r="R270" s="250"/>
      <c r="S270" s="250"/>
      <c r="T270" s="250" t="s">
        <v>155</v>
      </c>
      <c r="U270" s="103" t="s">
        <v>755</v>
      </c>
      <c r="V270" s="106" t="s">
        <v>157</v>
      </c>
      <c r="W270" s="103" t="s">
        <v>81</v>
      </c>
      <c r="X270" s="103">
        <f>IFERROR(MATCH(W270,'CostModel Coef'!$C$9:$C$12,0),0)</f>
        <v>1</v>
      </c>
      <c r="Y270" s="103"/>
      <c r="Z270" s="103">
        <f>IF($X270&gt;0,INDEX('CostModel Coef'!D$9:D$12,$X270),"")</f>
        <v>3.0430000000000001</v>
      </c>
      <c r="AA270" s="103">
        <f>IF($X270&gt;0,INDEX('CostModel Coef'!E$9:E$12,$X270),"")</f>
        <v>-0.14966150225589619</v>
      </c>
      <c r="AB270" s="103">
        <f>IF($X270&gt;0,INDEX('CostModel Coef'!F$9:F$12,$X270),"")</f>
        <v>0.52692151711335011</v>
      </c>
      <c r="AC270" s="103">
        <f>IF($X270&gt;0,INDEX('CostModel Coef'!G$9:G$12,$X270),"")</f>
        <v>1.8411</v>
      </c>
      <c r="AD270" s="103">
        <f>IF($X270&gt;0,INDEX('CostModel Coef'!H$9:H$12,$X270),"")</f>
        <v>-1.8050999999999999</v>
      </c>
      <c r="AE270" s="103">
        <f>IF($X270&gt;0,INDEX('CostModel Coef'!J$9:J$12,$X270),"")</f>
        <v>-1.1288</v>
      </c>
      <c r="AF270" s="103">
        <f>IF($X270&gt;0,INDEX('CostModel Coef'!K$9:K$12,$X270),"")</f>
        <v>-1.845</v>
      </c>
      <c r="AG270" s="103">
        <f>IF($X270&gt;0,INDEX('CostModel Coef'!L$9:L$12,$X270),"")</f>
        <v>6.7507000000000001</v>
      </c>
      <c r="AH270" s="103">
        <f>IF($X270&gt;0,INDEX('CostModel Coef'!M$9:M$12,$X270),"")</f>
        <v>5.8051000000000004</v>
      </c>
      <c r="AI270" s="103">
        <f>IF($X270&gt;0,INDEX('CostModel Coef'!N$9:N$12,$X270),"")</f>
        <v>6.1600000000000002E-2</v>
      </c>
      <c r="AJ270" s="103">
        <f>IF($X270&gt;0,INDEX('CostModel Coef'!Q$9:Q$12,$X270),"")</f>
        <v>6.6500000000000004E-2</v>
      </c>
      <c r="AK270" s="103">
        <f>IF($X270&gt;0,INDEX('CostModel Coef'!T$9:T$12,$X270),"")</f>
        <v>9.35E-2</v>
      </c>
      <c r="AL270" s="103"/>
      <c r="AM270" s="108">
        <f t="shared" si="105"/>
        <v>7.7933920148574547</v>
      </c>
      <c r="AN270" s="108">
        <f t="shared" si="106"/>
        <v>9.6383920148574553</v>
      </c>
      <c r="AO270" s="108">
        <f t="shared" si="107"/>
        <v>7.833292014857455</v>
      </c>
      <c r="AP270" s="108">
        <f t="shared" si="108"/>
        <v>7.833292014857455</v>
      </c>
      <c r="AQ270" s="108">
        <f t="shared" si="109"/>
        <v>6.7044920148574549</v>
      </c>
      <c r="AR270" s="108"/>
      <c r="AS270" s="108"/>
      <c r="AT270" s="103">
        <f>IF($X270&gt;0,INDEX('CostModel Coef'!D$13:D$16,$X270),"")</f>
        <v>2.1320000000000001</v>
      </c>
      <c r="AU270" s="103">
        <f>IF($X270&gt;0,INDEX('CostModel Coef'!E$13:E$16,$X270),"")</f>
        <v>0.23699999999999999</v>
      </c>
      <c r="AV270" s="103">
        <f>IF($X270&gt;0,INDEX('CostModel Coef'!F$13:F$16,$X270),"")</f>
        <v>0.59899999999999998</v>
      </c>
      <c r="AW270" s="103">
        <f>IF($X270&gt;0,INDEX('CostModel Coef'!G$13:G$16,$X270),"")</f>
        <v>0</v>
      </c>
      <c r="AX270" s="103">
        <f>IF($X270&gt;0,INDEX('CostModel Coef'!H$13:H$16,$X270),"")</f>
        <v>-1.69</v>
      </c>
      <c r="AY270" s="103">
        <f>IF($X270&gt;0,INDEX('CostModel Coef'!I$13:I$16,$X270),"")</f>
        <v>-1.1599999999999999</v>
      </c>
      <c r="AZ270" s="103">
        <f>IF($X270&gt;0,INDEX('CostModel Coef'!J$13:J$16,$X270),"")</f>
        <v>0</v>
      </c>
      <c r="BA270" s="103">
        <f>IF($X270&gt;0,INDEX('CostModel Coef'!K$13:K$16,$X270),"")</f>
        <v>-2.4630000000000001</v>
      </c>
      <c r="BB270" s="103">
        <f>IF($X270&gt;0,INDEX('CostModel Coef'!L$13:L$16,$X270),"")</f>
        <v>0.46179999999999999</v>
      </c>
      <c r="BC270" s="103">
        <f>IF($X270&gt;0,INDEX('CostModel Coef'!M$13:M$16,$X270),"")</f>
        <v>0</v>
      </c>
      <c r="BD270" s="103">
        <f>IF($X270&gt;0,INDEX('CostModel Coef'!N$13:N$16,$X270),"")</f>
        <v>0.19869999999999999</v>
      </c>
      <c r="BE270" s="103">
        <f>IF($X270&gt;0,INDEX('CostModel Coef'!O$13:O$16,$X270),"")</f>
        <v>0.6</v>
      </c>
      <c r="BF270" s="103">
        <f>IF($X270&gt;0,INDEX('CostModel Coef'!P$13:P$16,$X270),"")</f>
        <v>15</v>
      </c>
      <c r="BG270" s="103">
        <f>IF($X270&gt;0,INDEX('CostModel Coef'!Q$13:Q$16,$X270),"")</f>
        <v>0</v>
      </c>
      <c r="BH270" s="103">
        <f>IF($X270&gt;0,INDEX('CostModel Coef'!R$13:R$16,$X270),"")</f>
        <v>3</v>
      </c>
      <c r="BI270" s="103">
        <f>IF($X270&gt;0,INDEX('CostModel Coef'!S$13:S$16,$X270),"")</f>
        <v>150</v>
      </c>
      <c r="BJ270" s="103">
        <f>IF($X270&gt;0,INDEX('CostModel Coef'!T$13:T$16,$X270),"")</f>
        <v>0</v>
      </c>
      <c r="BK270" s="103">
        <f>IF($X270&gt;0,INDEX('CostModel Coef'!U$13:U$16,$X270),"")</f>
        <v>9.1999999999999998E-3</v>
      </c>
      <c r="BL270" s="103">
        <f>IF($X270&gt;0,INDEX('CostModel Coef'!V$13:V$16,$X270),"")</f>
        <v>-8.8000000000000005E-3</v>
      </c>
      <c r="BM270" s="103">
        <f>IF($X270&gt;0,INDEX('CostModel Coef'!W$13:W$16,$X270),"")</f>
        <v>0</v>
      </c>
      <c r="BN270" s="103">
        <f>IF($X270&gt;0,INDEX('CostModel Coef'!X$13:X$16,$X270),"")</f>
        <v>0</v>
      </c>
      <c r="BO270" s="103"/>
      <c r="BP270" s="119">
        <v>2000</v>
      </c>
      <c r="BQ270" s="103"/>
      <c r="BR270" s="103"/>
      <c r="BS270" s="119" t="str">
        <f t="shared" si="86"/>
        <v>WRR0347_CFLscw(50w)</v>
      </c>
      <c r="BT270" s="174">
        <f t="shared" si="104"/>
        <v>174</v>
      </c>
      <c r="BU270" s="113" t="str">
        <f t="shared" si="88"/>
        <v>OOS</v>
      </c>
      <c r="BV270" s="108" t="str">
        <f t="shared" si="89"/>
        <v>OOS</v>
      </c>
      <c r="BW270" s="108" t="str">
        <f t="shared" si="90"/>
        <v>OOS</v>
      </c>
      <c r="BX270" s="108" t="str">
        <f t="shared" si="91"/>
        <v>OOS</v>
      </c>
      <c r="BY270" s="108" t="str">
        <f t="shared" si="92"/>
        <v>OOS</v>
      </c>
      <c r="BZ270" s="108"/>
      <c r="CA270" s="119" t="str">
        <f t="shared" si="93"/>
        <v>WRR0407_CFLscw(50w)</v>
      </c>
      <c r="CB270" s="174">
        <f t="shared" si="110"/>
        <v>204</v>
      </c>
      <c r="CC270" s="113" t="str">
        <f t="shared" si="94"/>
        <v/>
      </c>
      <c r="CD270" s="108" t="str">
        <f t="shared" si="95"/>
        <v/>
      </c>
      <c r="CE270" s="108" t="str">
        <f t="shared" si="96"/>
        <v/>
      </c>
      <c r="CF270" s="108" t="str">
        <f t="shared" si="97"/>
        <v/>
      </c>
      <c r="CG270" s="108" t="str">
        <f t="shared" si="98"/>
        <v/>
      </c>
      <c r="CH270" s="103"/>
      <c r="CI270" s="119" t="str">
        <f t="shared" si="87"/>
        <v>WRR0347_CFLscw(50w)</v>
      </c>
      <c r="CJ270" s="174">
        <f t="shared" si="111"/>
        <v>174</v>
      </c>
      <c r="CK270" s="113" t="str">
        <f t="shared" si="99"/>
        <v/>
      </c>
      <c r="CL270" s="108" t="str">
        <f t="shared" si="100"/>
        <v/>
      </c>
      <c r="CM270" s="108" t="str">
        <f t="shared" si="101"/>
        <v/>
      </c>
      <c r="CN270" s="108" t="str">
        <f t="shared" si="102"/>
        <v/>
      </c>
      <c r="CO270" s="108" t="str">
        <f t="shared" si="103"/>
        <v/>
      </c>
    </row>
    <row r="271" spans="1:93">
      <c r="A271" s="103" t="s">
        <v>756</v>
      </c>
      <c r="B271" s="103" t="s">
        <v>174</v>
      </c>
      <c r="C271" s="103" t="s">
        <v>153</v>
      </c>
      <c r="D271" s="250" t="s">
        <v>153</v>
      </c>
      <c r="E271" s="250"/>
      <c r="F271" s="182">
        <v>9020</v>
      </c>
      <c r="G271" s="250" t="s">
        <v>175</v>
      </c>
      <c r="H271" s="250">
        <v>52</v>
      </c>
      <c r="I271" s="250"/>
      <c r="J271" s="250"/>
      <c r="K271" s="250"/>
      <c r="L271" s="250" t="s">
        <v>61</v>
      </c>
      <c r="M271" s="250">
        <v>52</v>
      </c>
      <c r="N271" s="250"/>
      <c r="O271" s="250"/>
      <c r="P271" s="250" t="s">
        <v>153</v>
      </c>
      <c r="Q271" s="250"/>
      <c r="R271" s="250"/>
      <c r="S271" s="250"/>
      <c r="T271" s="250" t="s">
        <v>155</v>
      </c>
      <c r="U271" s="103" t="s">
        <v>757</v>
      </c>
      <c r="V271" s="106" t="s">
        <v>157</v>
      </c>
      <c r="W271" s="103" t="s">
        <v>81</v>
      </c>
      <c r="X271" s="103">
        <f>IFERROR(MATCH(W271,'CostModel Coef'!$C$9:$C$12,0),0)</f>
        <v>1</v>
      </c>
      <c r="Y271" s="103"/>
      <c r="Z271" s="103">
        <f>IF($X271&gt;0,INDEX('CostModel Coef'!D$9:D$12,$X271),"")</f>
        <v>3.0430000000000001</v>
      </c>
      <c r="AA271" s="103">
        <f>IF($X271&gt;0,INDEX('CostModel Coef'!E$9:E$12,$X271),"")</f>
        <v>-0.14966150225589619</v>
      </c>
      <c r="AB271" s="103">
        <f>IF($X271&gt;0,INDEX('CostModel Coef'!F$9:F$12,$X271),"")</f>
        <v>0.52692151711335011</v>
      </c>
      <c r="AC271" s="103">
        <f>IF($X271&gt;0,INDEX('CostModel Coef'!G$9:G$12,$X271),"")</f>
        <v>1.8411</v>
      </c>
      <c r="AD271" s="103">
        <f>IF($X271&gt;0,INDEX('CostModel Coef'!H$9:H$12,$X271),"")</f>
        <v>-1.8050999999999999</v>
      </c>
      <c r="AE271" s="103">
        <f>IF($X271&gt;0,INDEX('CostModel Coef'!J$9:J$12,$X271),"")</f>
        <v>-1.1288</v>
      </c>
      <c r="AF271" s="103">
        <f>IF($X271&gt;0,INDEX('CostModel Coef'!K$9:K$12,$X271),"")</f>
        <v>-1.845</v>
      </c>
      <c r="AG271" s="103">
        <f>IF($X271&gt;0,INDEX('CostModel Coef'!L$9:L$12,$X271),"")</f>
        <v>6.7507000000000001</v>
      </c>
      <c r="AH271" s="103">
        <f>IF($X271&gt;0,INDEX('CostModel Coef'!M$9:M$12,$X271),"")</f>
        <v>5.8051000000000004</v>
      </c>
      <c r="AI271" s="103">
        <f>IF($X271&gt;0,INDEX('CostModel Coef'!N$9:N$12,$X271),"")</f>
        <v>6.1600000000000002E-2</v>
      </c>
      <c r="AJ271" s="103">
        <f>IF($X271&gt;0,INDEX('CostModel Coef'!Q$9:Q$12,$X271),"")</f>
        <v>6.6500000000000004E-2</v>
      </c>
      <c r="AK271" s="103">
        <f>IF($X271&gt;0,INDEX('CostModel Coef'!T$9:T$12,$X271),"")</f>
        <v>9.35E-2</v>
      </c>
      <c r="AL271" s="103"/>
      <c r="AM271" s="108">
        <f t="shared" si="105"/>
        <v>8.113392014857455</v>
      </c>
      <c r="AN271" s="108">
        <f t="shared" si="106"/>
        <v>9.9583920148574538</v>
      </c>
      <c r="AO271" s="108">
        <f t="shared" si="107"/>
        <v>8.1532920148574544</v>
      </c>
      <c r="AP271" s="108">
        <f t="shared" si="108"/>
        <v>8.1532920148574544</v>
      </c>
      <c r="AQ271" s="108">
        <f t="shared" si="109"/>
        <v>7.0244920148574543</v>
      </c>
      <c r="AR271" s="108"/>
      <c r="AS271" s="108"/>
      <c r="AT271" s="103">
        <f>IF($X271&gt;0,INDEX('CostModel Coef'!D$13:D$16,$X271),"")</f>
        <v>2.1320000000000001</v>
      </c>
      <c r="AU271" s="103">
        <f>IF($X271&gt;0,INDEX('CostModel Coef'!E$13:E$16,$X271),"")</f>
        <v>0.23699999999999999</v>
      </c>
      <c r="AV271" s="103">
        <f>IF($X271&gt;0,INDEX('CostModel Coef'!F$13:F$16,$X271),"")</f>
        <v>0.59899999999999998</v>
      </c>
      <c r="AW271" s="103">
        <f>IF($X271&gt;0,INDEX('CostModel Coef'!G$13:G$16,$X271),"")</f>
        <v>0</v>
      </c>
      <c r="AX271" s="103">
        <f>IF($X271&gt;0,INDEX('CostModel Coef'!H$13:H$16,$X271),"")</f>
        <v>-1.69</v>
      </c>
      <c r="AY271" s="103">
        <f>IF($X271&gt;0,INDEX('CostModel Coef'!I$13:I$16,$X271),"")</f>
        <v>-1.1599999999999999</v>
      </c>
      <c r="AZ271" s="103">
        <f>IF($X271&gt;0,INDEX('CostModel Coef'!J$13:J$16,$X271),"")</f>
        <v>0</v>
      </c>
      <c r="BA271" s="103">
        <f>IF($X271&gt;0,INDEX('CostModel Coef'!K$13:K$16,$X271),"")</f>
        <v>-2.4630000000000001</v>
      </c>
      <c r="BB271" s="103">
        <f>IF($X271&gt;0,INDEX('CostModel Coef'!L$13:L$16,$X271),"")</f>
        <v>0.46179999999999999</v>
      </c>
      <c r="BC271" s="103">
        <f>IF($X271&gt;0,INDEX('CostModel Coef'!M$13:M$16,$X271),"")</f>
        <v>0</v>
      </c>
      <c r="BD271" s="103">
        <f>IF($X271&gt;0,INDEX('CostModel Coef'!N$13:N$16,$X271),"")</f>
        <v>0.19869999999999999</v>
      </c>
      <c r="BE271" s="103">
        <f>IF($X271&gt;0,INDEX('CostModel Coef'!O$13:O$16,$X271),"")</f>
        <v>0.6</v>
      </c>
      <c r="BF271" s="103">
        <f>IF($X271&gt;0,INDEX('CostModel Coef'!P$13:P$16,$X271),"")</f>
        <v>15</v>
      </c>
      <c r="BG271" s="103">
        <f>IF($X271&gt;0,INDEX('CostModel Coef'!Q$13:Q$16,$X271),"")</f>
        <v>0</v>
      </c>
      <c r="BH271" s="103">
        <f>IF($X271&gt;0,INDEX('CostModel Coef'!R$13:R$16,$X271),"")</f>
        <v>3</v>
      </c>
      <c r="BI271" s="103">
        <f>IF($X271&gt;0,INDEX('CostModel Coef'!S$13:S$16,$X271),"")</f>
        <v>150</v>
      </c>
      <c r="BJ271" s="103">
        <f>IF($X271&gt;0,INDEX('CostModel Coef'!T$13:T$16,$X271),"")</f>
        <v>0</v>
      </c>
      <c r="BK271" s="103">
        <f>IF($X271&gt;0,INDEX('CostModel Coef'!U$13:U$16,$X271),"")</f>
        <v>9.1999999999999998E-3</v>
      </c>
      <c r="BL271" s="103">
        <f>IF($X271&gt;0,INDEX('CostModel Coef'!V$13:V$16,$X271),"")</f>
        <v>-8.8000000000000005E-3</v>
      </c>
      <c r="BM271" s="103">
        <f>IF($X271&gt;0,INDEX('CostModel Coef'!W$13:W$16,$X271),"")</f>
        <v>0</v>
      </c>
      <c r="BN271" s="103">
        <f>IF($X271&gt;0,INDEX('CostModel Coef'!X$13:X$16,$X271),"")</f>
        <v>0</v>
      </c>
      <c r="BO271" s="103"/>
      <c r="BP271" s="119">
        <v>2000</v>
      </c>
      <c r="BQ271" s="103"/>
      <c r="BR271" s="103"/>
      <c r="BS271" s="119" t="str">
        <f t="shared" ref="BS271:BS290" si="112">IF(BT271&gt;0,IF(X271=2,$BW$4,$BW$5)&amp;"_"&amp;$A271,"")</f>
        <v>WRR0347_CFLscw(52w)</v>
      </c>
      <c r="BT271" s="174">
        <f t="shared" si="104"/>
        <v>180</v>
      </c>
      <c r="BU271" s="113" t="str">
        <f t="shared" si="88"/>
        <v>OOS</v>
      </c>
      <c r="BV271" s="108" t="str">
        <f t="shared" si="89"/>
        <v>OOS</v>
      </c>
      <c r="BW271" s="108" t="str">
        <f t="shared" si="90"/>
        <v>OOS</v>
      </c>
      <c r="BX271" s="108" t="str">
        <f t="shared" si="91"/>
        <v>OOS</v>
      </c>
      <c r="BY271" s="108" t="str">
        <f t="shared" si="92"/>
        <v>OOS</v>
      </c>
      <c r="BZ271" s="108"/>
      <c r="CA271" s="119" t="str">
        <f t="shared" si="93"/>
        <v>WRR0407_CFLscw(52w)</v>
      </c>
      <c r="CB271" s="174">
        <f t="shared" si="110"/>
        <v>212</v>
      </c>
      <c r="CC271" s="113" t="str">
        <f t="shared" si="94"/>
        <v/>
      </c>
      <c r="CD271" s="108" t="str">
        <f t="shared" si="95"/>
        <v/>
      </c>
      <c r="CE271" s="108" t="str">
        <f t="shared" si="96"/>
        <v/>
      </c>
      <c r="CF271" s="108" t="str">
        <f t="shared" si="97"/>
        <v/>
      </c>
      <c r="CG271" s="108" t="str">
        <f t="shared" si="98"/>
        <v/>
      </c>
      <c r="CH271" s="103"/>
      <c r="CI271" s="119" t="str">
        <f t="shared" ref="CI271:CI290" si="113">IF(CJ271&gt;0,BW$5&amp;"_"&amp;$A271,"")</f>
        <v>WRR0347_CFLscw(52w)</v>
      </c>
      <c r="CJ271" s="174">
        <f t="shared" si="111"/>
        <v>180</v>
      </c>
      <c r="CK271" s="113" t="str">
        <f t="shared" si="99"/>
        <v/>
      </c>
      <c r="CL271" s="108" t="str">
        <f t="shared" si="100"/>
        <v/>
      </c>
      <c r="CM271" s="108" t="str">
        <f t="shared" si="101"/>
        <v/>
      </c>
      <c r="CN271" s="108" t="str">
        <f t="shared" si="102"/>
        <v/>
      </c>
      <c r="CO271" s="108" t="str">
        <f t="shared" si="103"/>
        <v/>
      </c>
    </row>
    <row r="272" spans="1:93">
      <c r="A272" s="103" t="s">
        <v>758</v>
      </c>
      <c r="B272" s="103" t="s">
        <v>165</v>
      </c>
      <c r="C272" s="103" t="s">
        <v>152</v>
      </c>
      <c r="D272" s="250" t="s">
        <v>153</v>
      </c>
      <c r="E272" s="250">
        <v>82</v>
      </c>
      <c r="F272" s="182">
        <v>9020</v>
      </c>
      <c r="G272" s="250" t="s">
        <v>175</v>
      </c>
      <c r="H272" s="250">
        <v>55</v>
      </c>
      <c r="I272" s="250"/>
      <c r="J272" s="250"/>
      <c r="K272" s="250" t="s">
        <v>759</v>
      </c>
      <c r="L272" s="250" t="s">
        <v>61</v>
      </c>
      <c r="M272" s="250">
        <v>55</v>
      </c>
      <c r="N272" s="250"/>
      <c r="O272" s="250"/>
      <c r="P272" s="250" t="s">
        <v>153</v>
      </c>
      <c r="Q272" s="250"/>
      <c r="R272" s="250"/>
      <c r="S272" s="250"/>
      <c r="T272" s="250" t="s">
        <v>155</v>
      </c>
      <c r="U272" s="103" t="s">
        <v>760</v>
      </c>
      <c r="V272" s="106" t="s">
        <v>157</v>
      </c>
      <c r="W272" s="103" t="s">
        <v>81</v>
      </c>
      <c r="X272" s="103">
        <f>IFERROR(MATCH(W272,'CostModel Coef'!$C$9:$C$12,0),0)</f>
        <v>1</v>
      </c>
      <c r="Y272" s="103"/>
      <c r="Z272" s="103">
        <f>IF($X272&gt;0,INDEX('CostModel Coef'!D$9:D$12,$X272),"")</f>
        <v>3.0430000000000001</v>
      </c>
      <c r="AA272" s="103">
        <f>IF($X272&gt;0,INDEX('CostModel Coef'!E$9:E$12,$X272),"")</f>
        <v>-0.14966150225589619</v>
      </c>
      <c r="AB272" s="103">
        <f>IF($X272&gt;0,INDEX('CostModel Coef'!F$9:F$12,$X272),"")</f>
        <v>0.52692151711335011</v>
      </c>
      <c r="AC272" s="103">
        <f>IF($X272&gt;0,INDEX('CostModel Coef'!G$9:G$12,$X272),"")</f>
        <v>1.8411</v>
      </c>
      <c r="AD272" s="103">
        <f>IF($X272&gt;0,INDEX('CostModel Coef'!H$9:H$12,$X272),"")</f>
        <v>-1.8050999999999999</v>
      </c>
      <c r="AE272" s="103">
        <f>IF($X272&gt;0,INDEX('CostModel Coef'!J$9:J$12,$X272),"")</f>
        <v>-1.1288</v>
      </c>
      <c r="AF272" s="103">
        <f>IF($X272&gt;0,INDEX('CostModel Coef'!K$9:K$12,$X272),"")</f>
        <v>-1.845</v>
      </c>
      <c r="AG272" s="103">
        <f>IF($X272&gt;0,INDEX('CostModel Coef'!L$9:L$12,$X272),"")</f>
        <v>6.7507000000000001</v>
      </c>
      <c r="AH272" s="103">
        <f>IF($X272&gt;0,INDEX('CostModel Coef'!M$9:M$12,$X272),"")</f>
        <v>5.8051000000000004</v>
      </c>
      <c r="AI272" s="103">
        <f>IF($X272&gt;0,INDEX('CostModel Coef'!N$9:N$12,$X272),"")</f>
        <v>6.1600000000000002E-2</v>
      </c>
      <c r="AJ272" s="103">
        <f>IF($X272&gt;0,INDEX('CostModel Coef'!Q$9:Q$12,$X272),"")</f>
        <v>6.6500000000000004E-2</v>
      </c>
      <c r="AK272" s="103">
        <f>IF($X272&gt;0,INDEX('CostModel Coef'!T$9:T$12,$X272),"")</f>
        <v>9.35E-2</v>
      </c>
      <c r="AL272" s="103"/>
      <c r="AM272" s="108">
        <f t="shared" si="105"/>
        <v>8.5933920148574554</v>
      </c>
      <c r="AN272" s="108">
        <f t="shared" si="106"/>
        <v>10.438392014857454</v>
      </c>
      <c r="AO272" s="108">
        <f t="shared" si="107"/>
        <v>8.6332920148574548</v>
      </c>
      <c r="AP272" s="108">
        <f t="shared" si="108"/>
        <v>8.6332920148574548</v>
      </c>
      <c r="AQ272" s="108">
        <f t="shared" si="109"/>
        <v>7.5044920148574548</v>
      </c>
      <c r="AR272" s="108"/>
      <c r="AS272" s="108"/>
      <c r="AT272" s="103">
        <f>IF($X272&gt;0,INDEX('CostModel Coef'!D$13:D$16,$X272),"")</f>
        <v>2.1320000000000001</v>
      </c>
      <c r="AU272" s="103">
        <f>IF($X272&gt;0,INDEX('CostModel Coef'!E$13:E$16,$X272),"")</f>
        <v>0.23699999999999999</v>
      </c>
      <c r="AV272" s="103">
        <f>IF($X272&gt;0,INDEX('CostModel Coef'!F$13:F$16,$X272),"")</f>
        <v>0.59899999999999998</v>
      </c>
      <c r="AW272" s="103">
        <f>IF($X272&gt;0,INDEX('CostModel Coef'!G$13:G$16,$X272),"")</f>
        <v>0</v>
      </c>
      <c r="AX272" s="103">
        <f>IF($X272&gt;0,INDEX('CostModel Coef'!H$13:H$16,$X272),"")</f>
        <v>-1.69</v>
      </c>
      <c r="AY272" s="103">
        <f>IF($X272&gt;0,INDEX('CostModel Coef'!I$13:I$16,$X272),"")</f>
        <v>-1.1599999999999999</v>
      </c>
      <c r="AZ272" s="103">
        <f>IF($X272&gt;0,INDEX('CostModel Coef'!J$13:J$16,$X272),"")</f>
        <v>0</v>
      </c>
      <c r="BA272" s="103">
        <f>IF($X272&gt;0,INDEX('CostModel Coef'!K$13:K$16,$X272),"")</f>
        <v>-2.4630000000000001</v>
      </c>
      <c r="BB272" s="103">
        <f>IF($X272&gt;0,INDEX('CostModel Coef'!L$13:L$16,$X272),"")</f>
        <v>0.46179999999999999</v>
      </c>
      <c r="BC272" s="103">
        <f>IF($X272&gt;0,INDEX('CostModel Coef'!M$13:M$16,$X272),"")</f>
        <v>0</v>
      </c>
      <c r="BD272" s="103">
        <f>IF($X272&gt;0,INDEX('CostModel Coef'!N$13:N$16,$X272),"")</f>
        <v>0.19869999999999999</v>
      </c>
      <c r="BE272" s="103">
        <f>IF($X272&gt;0,INDEX('CostModel Coef'!O$13:O$16,$X272),"")</f>
        <v>0.6</v>
      </c>
      <c r="BF272" s="103">
        <f>IF($X272&gt;0,INDEX('CostModel Coef'!P$13:P$16,$X272),"")</f>
        <v>15</v>
      </c>
      <c r="BG272" s="103">
        <f>IF($X272&gt;0,INDEX('CostModel Coef'!Q$13:Q$16,$X272),"")</f>
        <v>0</v>
      </c>
      <c r="BH272" s="103">
        <f>IF($X272&gt;0,INDEX('CostModel Coef'!R$13:R$16,$X272),"")</f>
        <v>3</v>
      </c>
      <c r="BI272" s="103">
        <f>IF($X272&gt;0,INDEX('CostModel Coef'!S$13:S$16,$X272),"")</f>
        <v>150</v>
      </c>
      <c r="BJ272" s="103">
        <f>IF($X272&gt;0,INDEX('CostModel Coef'!T$13:T$16,$X272),"")</f>
        <v>0</v>
      </c>
      <c r="BK272" s="103">
        <f>IF($X272&gt;0,INDEX('CostModel Coef'!U$13:U$16,$X272),"")</f>
        <v>9.1999999999999998E-3</v>
      </c>
      <c r="BL272" s="103">
        <f>IF($X272&gt;0,INDEX('CostModel Coef'!V$13:V$16,$X272),"")</f>
        <v>-8.8000000000000005E-3</v>
      </c>
      <c r="BM272" s="103">
        <f>IF($X272&gt;0,INDEX('CostModel Coef'!W$13:W$16,$X272),"")</f>
        <v>0</v>
      </c>
      <c r="BN272" s="103">
        <f>IF($X272&gt;0,INDEX('CostModel Coef'!X$13:X$16,$X272),"")</f>
        <v>0</v>
      </c>
      <c r="BO272" s="103"/>
      <c r="BP272" s="119">
        <v>2000</v>
      </c>
      <c r="BQ272" s="103"/>
      <c r="BR272" s="103"/>
      <c r="BS272" s="119" t="str">
        <f t="shared" si="112"/>
        <v>WRR0347_CFLscw(55w)</v>
      </c>
      <c r="BT272" s="174">
        <f t="shared" si="104"/>
        <v>191</v>
      </c>
      <c r="BU272" s="113" t="str">
        <f t="shared" ref="BU272:BU290" si="114">IF(AND(BT272&gt;=BH272,BT272&lt;=BI272),SUM($AT272,$AU272,$AV272,IF($Q272="Y",$BB272,0),$BP272/1000*$BD272,BT272*$BG272,IF(BT272&gt;30,(BT272-30)*$BK272,0),IF(BT272&gt;75,(BT272-75)*$BL272,0),IF(BT272&lt;35,$BM272,0),$BA272),"OOS")</f>
        <v>OOS</v>
      </c>
      <c r="BV272" s="108" t="str">
        <f t="shared" ref="BV272:BV290" si="115">IF(AND(BT272&gt;=BH272,BT272&lt;=BI272),SUM($AT272,$AU272,$AV272,IF($Q272="Y",$BB272,0),$BP272/1000*$BD272,BT272*$BG272,IF(BT272&gt;30,(BT272-30)*$BK272,0),IF(BT272&gt;75,(BT272-75)*$BL272,0),IF(BT272&lt;35,$BM272,0)),"OOS")</f>
        <v>OOS</v>
      </c>
      <c r="BW272" s="108" t="str">
        <f t="shared" ref="BW272:BW290" si="116">IF(AND(BT272&gt;=BH272,BT272&lt;=BI272),SUM($AT272,$AU272,$AV272,IF($Q272="Y",$BB272,0),$BP272/1000*$BD272,BT272*$BG272,IF(BT272&gt;30,(BT272-30)*$BK272,0),IF(BT272&gt;75,(BT272-75)*$BL272,0),IF(BT272&lt;35,$BM272,0),$AX272),"OOS")</f>
        <v>OOS</v>
      </c>
      <c r="BX272" s="108" t="str">
        <f t="shared" ref="BX272:BX290" si="117">IF(AND(BT272&gt;=BH272,BT272&lt;=BI272),SUM($AT272,$AU272,$AV272,IF($Q272="Y",$BB272,0),$BP272/1000*$BD272,BT272*$BG272,IF(BT272&gt;30,(BT272-30)*$BK272,0),IF(BT272&gt;75,(BT272-75)*$BL272,0),IF(BT272&lt;35,$BM272,0),$AX272,$AY272),"OOS")</f>
        <v>OOS</v>
      </c>
      <c r="BY272" s="108" t="str">
        <f t="shared" ref="BY272:BY290" si="118">IF(AND(BT272&gt;=BH272,BT272&lt;=BI272),SUM($AT272,$AU272,$AV272,IF($Q272="Y",$BB272,0),$BP272/1000*$BD272,BT272*$BG272,IF(BT272&gt;30,(BT272-30)*$BK272,0),IF(BT272&gt;75,(BT272-75)*$BL272,0),IF(BT272&lt;35,$BM272,0),$AX272,$AY272),"OOS")</f>
        <v>OOS</v>
      </c>
      <c r="BZ272" s="108"/>
      <c r="CA272" s="119" t="str">
        <f t="shared" ref="CA272:CA290" si="119">IF(CB272&gt;0,CD$5&amp;"_"&amp;$A272,"")</f>
        <v>WRR0407_CFLscw(55w)</v>
      </c>
      <c r="CB272" s="174">
        <f t="shared" si="110"/>
        <v>224</v>
      </c>
      <c r="CC272" s="113" t="str">
        <f t="shared" ref="CC272:CC290" si="120">IF(AND(CB272&gt;=BH272,CB272&lt;=BI272),SUM($AT272,$AU272,$AV272,IF($Q272="Y",$BB272,0),$BP272/1000*$BD272,CB272*$BG272,IF(CB272&gt;30,(CB272-30)*$BK272,0),IF(CB272&gt;75,(CB272-75)*$BL272,0),IF(CB272&lt;35,$BM272,0),$BA272),"")</f>
        <v/>
      </c>
      <c r="CD272" s="108" t="str">
        <f t="shared" ref="CD272:CD290" si="121">IF(AND(CB272&gt;=BH272,CB272&lt;=BI272),SUM($AT272,$AU272,$AV272,IF($Q272="Y",$BB272,0),$BP272/1000*$BD272,CB272*$BG272,IF(CB272&gt;30,(CB272-30)*$BK272,0),IF(CB272&gt;75,(CB272-75)*$BL272,0),IF(CB272&lt;35,$BM272,0)),"")</f>
        <v/>
      </c>
      <c r="CE272" s="108" t="str">
        <f t="shared" ref="CE272:CE290" si="122">IF(AND(CB272&gt;=BH272,CB272&lt;=BI272),SUM($AT272,$AU272,$AV272,IF($Q272="Y",$BB272,0),$BP272/1000*$BD272,CB272*$BG272,IF(CB272&gt;30,(CB272-30)*$BK272,0),IF(CB272&gt;75,(CB272-75)*$BL272,0),IF(CB272&lt;35,$BM272,0),$AX272),"")</f>
        <v/>
      </c>
      <c r="CF272" s="108" t="str">
        <f t="shared" ref="CF272:CF290" si="123">IF(AND(CB272&gt;=BH272,CB272&lt;=BI272),SUM($AT272,$AU272,$AV272,IF($Q272="Y",$BB272,0),$BP272/1000*$BD272,CB272*$BG272,IF(CB272&gt;30,(CB272-30)*$BK272,0),IF(CB272&gt;75,(CB272-75)*$BL272,0),IF(CB272&lt;35,$BM272,0),$AX272,$AY272),"")</f>
        <v/>
      </c>
      <c r="CG272" s="108" t="str">
        <f t="shared" ref="CG272:CG290" si="124">IF(AND(CB272&gt;=BH272,CB272&lt;=BI272),SUM($AT272,$AU272,$AV272,IF($Q272="Y",$BB272,0),$BP272/1000*$BD272,CB272*$BG272,IF(CB272&gt;30,(CB272-30)*$BK272,0),IF(CB272&gt;75,(CB272-75)*$BL272,0),IF(CB272&lt;35,$BM272,0),$AX272,$AY272),"")</f>
        <v/>
      </c>
      <c r="CH272" s="103"/>
      <c r="CI272" s="119" t="str">
        <f t="shared" si="113"/>
        <v>WRR0347_CFLscw(55w)</v>
      </c>
      <c r="CJ272" s="174">
        <f t="shared" si="111"/>
        <v>191</v>
      </c>
      <c r="CK272" s="113" t="str">
        <f t="shared" ref="CK272:CK290" si="125">IF(AND(CJ272&gt;=BH272,CJ272&lt;=BI272),SUM($AT272,$AU272,$AV272,IF($Q272="Y",$BB272,0),$BP272/1000*$BD272,CJ272*$BG272,IF(CJ272&gt;30,(CJ272-30)*$BK272,0),IF(CJ272&gt;75,(CJ272-75)*$BL272,0),IF(CJ272&lt;35,$BM272,0),$BA272),"")</f>
        <v/>
      </c>
      <c r="CL272" s="108" t="str">
        <f t="shared" ref="CL272:CL290" si="126">IF(AND(CJ272&gt;=BH272,CJ272&lt;=BI272),SUM($AT272,$AU272,$AV272,IF($Q272="Y",$BB272,0),$BP272/1000*$BD272,CJ272*$BG272,IF(CJ272&gt;30,(CJ272-30)*$BK272,0),IF(CJ272&gt;75,(CJ272-75)*$BL272,0),IF(CJ272&lt;35,$BM272,0)),"")</f>
        <v/>
      </c>
      <c r="CM272" s="108" t="str">
        <f t="shared" ref="CM272:CM290" si="127">IF(AND(CJ272&gt;=BH272,CJ272&lt;=BI272),SUM($AT272,$AU272,$AV272,IF($Q272="Y",$BB272,0),$BP272/1000*$BD272,CJ272*$BG272,IF(CJ272&gt;30,(CJ272-30)*$BK272,0),IF(CJ272&gt;75,(CJ272-75)*$BL272,0),IF(CJ272&lt;35,$BM272,0),$AX272),"")</f>
        <v/>
      </c>
      <c r="CN272" s="108" t="str">
        <f t="shared" ref="CN272:CN290" si="128">IF(AND(CJ272&gt;=BH272,CJ272&lt;=BI272),SUM($AT272,$AU272,$AV272,IF($Q272="Y",$BB272,0),$BP272/1000*$BD272,CJ272*$BG272,IF(CJ272&gt;30,(CJ272-30)*$BK272,0),IF(CJ272&gt;75,(CJ272-75)*$BL272,0),IF(CJ272&lt;35,$BM272,0),$AX272,$AY272),"")</f>
        <v/>
      </c>
      <c r="CO272" s="108" t="str">
        <f t="shared" ref="CO272:CO290" si="129">IF(AND(CJ272&gt;=BH272,CJ272&lt;=BI272),SUM($AT272,$AU272,$AV272,IF($Q272="Y",$BB272,0),$BP272/1000*$BD272,CJ272*$BG272,IF(CJ272&gt;30,(CJ272-30)*$BK272,0),IF(CJ272&gt;75,(CJ272-75)*$BL272,0),IF(CJ272&lt;35,$BM272,0),$AX272,$AY272),"")</f>
        <v/>
      </c>
    </row>
    <row r="273" spans="1:93">
      <c r="A273" s="103" t="s">
        <v>761</v>
      </c>
      <c r="B273" s="103" t="s">
        <v>165</v>
      </c>
      <c r="C273" s="103" t="s">
        <v>152</v>
      </c>
      <c r="D273" s="250" t="s">
        <v>153</v>
      </c>
      <c r="E273" s="250">
        <v>82</v>
      </c>
      <c r="F273" s="182">
        <v>9020</v>
      </c>
      <c r="G273" s="250" t="s">
        <v>175</v>
      </c>
      <c r="H273" s="250">
        <v>5</v>
      </c>
      <c r="I273" s="250"/>
      <c r="J273" s="250"/>
      <c r="K273" s="250" t="s">
        <v>762</v>
      </c>
      <c r="L273" s="250" t="s">
        <v>61</v>
      </c>
      <c r="M273" s="250">
        <v>5</v>
      </c>
      <c r="N273" s="250"/>
      <c r="O273" s="250"/>
      <c r="P273" s="250" t="s">
        <v>153</v>
      </c>
      <c r="Q273" s="250"/>
      <c r="R273" s="250"/>
      <c r="S273" s="250"/>
      <c r="T273" s="250" t="s">
        <v>155</v>
      </c>
      <c r="U273" s="103" t="s">
        <v>763</v>
      </c>
      <c r="V273" s="106" t="s">
        <v>157</v>
      </c>
      <c r="W273" s="103" t="s">
        <v>81</v>
      </c>
      <c r="X273" s="103">
        <f>IFERROR(MATCH(W273,'CostModel Coef'!$C$9:$C$12,0),0)</f>
        <v>1</v>
      </c>
      <c r="Y273" s="103"/>
      <c r="Z273" s="103">
        <f>IF($X273&gt;0,INDEX('CostModel Coef'!D$9:D$12,$X273),"")</f>
        <v>3.0430000000000001</v>
      </c>
      <c r="AA273" s="103">
        <f>IF($X273&gt;0,INDEX('CostModel Coef'!E$9:E$12,$X273),"")</f>
        <v>-0.14966150225589619</v>
      </c>
      <c r="AB273" s="103">
        <f>IF($X273&gt;0,INDEX('CostModel Coef'!F$9:F$12,$X273),"")</f>
        <v>0.52692151711335011</v>
      </c>
      <c r="AC273" s="103">
        <f>IF($X273&gt;0,INDEX('CostModel Coef'!G$9:G$12,$X273),"")</f>
        <v>1.8411</v>
      </c>
      <c r="AD273" s="103">
        <f>IF($X273&gt;0,INDEX('CostModel Coef'!H$9:H$12,$X273),"")</f>
        <v>-1.8050999999999999</v>
      </c>
      <c r="AE273" s="103">
        <f>IF($X273&gt;0,INDEX('CostModel Coef'!J$9:J$12,$X273),"")</f>
        <v>-1.1288</v>
      </c>
      <c r="AF273" s="103">
        <f>IF($X273&gt;0,INDEX('CostModel Coef'!K$9:K$12,$X273),"")</f>
        <v>-1.845</v>
      </c>
      <c r="AG273" s="103">
        <f>IF($X273&gt;0,INDEX('CostModel Coef'!L$9:L$12,$X273),"")</f>
        <v>6.7507000000000001</v>
      </c>
      <c r="AH273" s="103">
        <f>IF($X273&gt;0,INDEX('CostModel Coef'!M$9:M$12,$X273),"")</f>
        <v>5.8051000000000004</v>
      </c>
      <c r="AI273" s="103">
        <f>IF($X273&gt;0,INDEX('CostModel Coef'!N$9:N$12,$X273),"")</f>
        <v>6.1600000000000002E-2</v>
      </c>
      <c r="AJ273" s="103">
        <f>IF($X273&gt;0,INDEX('CostModel Coef'!Q$9:Q$12,$X273),"")</f>
        <v>6.6500000000000004E-2</v>
      </c>
      <c r="AK273" s="103">
        <f>IF($X273&gt;0,INDEX('CostModel Coef'!T$9:T$12,$X273),"")</f>
        <v>9.35E-2</v>
      </c>
      <c r="AL273" s="103"/>
      <c r="AM273" s="108">
        <f t="shared" si="105"/>
        <v>2.4633920148574546</v>
      </c>
      <c r="AN273" s="108">
        <f t="shared" si="106"/>
        <v>4.3083920148574544</v>
      </c>
      <c r="AO273" s="108">
        <f t="shared" si="107"/>
        <v>2.5032920148574545</v>
      </c>
      <c r="AP273" s="108">
        <f t="shared" si="108"/>
        <v>2.5032920148574545</v>
      </c>
      <c r="AQ273" s="108">
        <f t="shared" si="109"/>
        <v>1.3744920148574544</v>
      </c>
      <c r="AR273" s="108"/>
      <c r="AS273" s="108"/>
      <c r="AT273" s="103">
        <f>IF($X273&gt;0,INDEX('CostModel Coef'!D$13:D$16,$X273),"")</f>
        <v>2.1320000000000001</v>
      </c>
      <c r="AU273" s="103">
        <f>IF($X273&gt;0,INDEX('CostModel Coef'!E$13:E$16,$X273),"")</f>
        <v>0.23699999999999999</v>
      </c>
      <c r="AV273" s="103">
        <f>IF($X273&gt;0,INDEX('CostModel Coef'!F$13:F$16,$X273),"")</f>
        <v>0.59899999999999998</v>
      </c>
      <c r="AW273" s="103">
        <f>IF($X273&gt;0,INDEX('CostModel Coef'!G$13:G$16,$X273),"")</f>
        <v>0</v>
      </c>
      <c r="AX273" s="103">
        <f>IF($X273&gt;0,INDEX('CostModel Coef'!H$13:H$16,$X273),"")</f>
        <v>-1.69</v>
      </c>
      <c r="AY273" s="103">
        <f>IF($X273&gt;0,INDEX('CostModel Coef'!I$13:I$16,$X273),"")</f>
        <v>-1.1599999999999999</v>
      </c>
      <c r="AZ273" s="103">
        <f>IF($X273&gt;0,INDEX('CostModel Coef'!J$13:J$16,$X273),"")</f>
        <v>0</v>
      </c>
      <c r="BA273" s="103">
        <f>IF($X273&gt;0,INDEX('CostModel Coef'!K$13:K$16,$X273),"")</f>
        <v>-2.4630000000000001</v>
      </c>
      <c r="BB273" s="103">
        <f>IF($X273&gt;0,INDEX('CostModel Coef'!L$13:L$16,$X273),"")</f>
        <v>0.46179999999999999</v>
      </c>
      <c r="BC273" s="103">
        <f>IF($X273&gt;0,INDEX('CostModel Coef'!M$13:M$16,$X273),"")</f>
        <v>0</v>
      </c>
      <c r="BD273" s="103">
        <f>IF($X273&gt;0,INDEX('CostModel Coef'!N$13:N$16,$X273),"")</f>
        <v>0.19869999999999999</v>
      </c>
      <c r="BE273" s="103">
        <f>IF($X273&gt;0,INDEX('CostModel Coef'!O$13:O$16,$X273),"")</f>
        <v>0.6</v>
      </c>
      <c r="BF273" s="103">
        <f>IF($X273&gt;0,INDEX('CostModel Coef'!P$13:P$16,$X273),"")</f>
        <v>15</v>
      </c>
      <c r="BG273" s="103">
        <f>IF($X273&gt;0,INDEX('CostModel Coef'!Q$13:Q$16,$X273),"")</f>
        <v>0</v>
      </c>
      <c r="BH273" s="103">
        <f>IF($X273&gt;0,INDEX('CostModel Coef'!R$13:R$16,$X273),"")</f>
        <v>3</v>
      </c>
      <c r="BI273" s="103">
        <f>IF($X273&gt;0,INDEX('CostModel Coef'!S$13:S$16,$X273),"")</f>
        <v>150</v>
      </c>
      <c r="BJ273" s="103">
        <f>IF($X273&gt;0,INDEX('CostModel Coef'!T$13:T$16,$X273),"")</f>
        <v>0</v>
      </c>
      <c r="BK273" s="103">
        <f>IF($X273&gt;0,INDEX('CostModel Coef'!U$13:U$16,$X273),"")</f>
        <v>9.1999999999999998E-3</v>
      </c>
      <c r="BL273" s="103">
        <f>IF($X273&gt;0,INDEX('CostModel Coef'!V$13:V$16,$X273),"")</f>
        <v>-8.8000000000000005E-3</v>
      </c>
      <c r="BM273" s="103">
        <f>IF($X273&gt;0,INDEX('CostModel Coef'!W$13:W$16,$X273),"")</f>
        <v>0</v>
      </c>
      <c r="BN273" s="103">
        <f>IF($X273&gt;0,INDEX('CostModel Coef'!X$13:X$16,$X273),"")</f>
        <v>0</v>
      </c>
      <c r="BO273" s="103"/>
      <c r="BP273" s="119">
        <v>2000</v>
      </c>
      <c r="BQ273" s="103"/>
      <c r="BR273" s="103"/>
      <c r="BS273" s="119" t="str">
        <f t="shared" si="112"/>
        <v>WRR0347_CFLscw(5w)</v>
      </c>
      <c r="BT273" s="174">
        <f t="shared" si="104"/>
        <v>17</v>
      </c>
      <c r="BU273" s="113">
        <f t="shared" si="114"/>
        <v>0.90240000000000009</v>
      </c>
      <c r="BV273" s="108">
        <f t="shared" si="115"/>
        <v>3.3654000000000002</v>
      </c>
      <c r="BW273" s="108">
        <f t="shared" si="116"/>
        <v>1.6754000000000002</v>
      </c>
      <c r="BX273" s="108">
        <f t="shared" si="117"/>
        <v>0.5154000000000003</v>
      </c>
      <c r="BY273" s="108">
        <f t="shared" si="118"/>
        <v>0.5154000000000003</v>
      </c>
      <c r="BZ273" s="108"/>
      <c r="CA273" s="119" t="str">
        <f t="shared" si="119"/>
        <v>WRR0407_CFLscw(5w)</v>
      </c>
      <c r="CB273" s="174">
        <f t="shared" si="110"/>
        <v>20</v>
      </c>
      <c r="CC273" s="113">
        <f t="shared" si="120"/>
        <v>0.90240000000000009</v>
      </c>
      <c r="CD273" s="108">
        <f t="shared" si="121"/>
        <v>3.3654000000000002</v>
      </c>
      <c r="CE273" s="108">
        <f t="shared" si="122"/>
        <v>1.6754000000000002</v>
      </c>
      <c r="CF273" s="108">
        <f t="shared" si="123"/>
        <v>0.5154000000000003</v>
      </c>
      <c r="CG273" s="108">
        <f t="shared" si="124"/>
        <v>0.5154000000000003</v>
      </c>
      <c r="CH273" s="103"/>
      <c r="CI273" s="119" t="str">
        <f t="shared" si="113"/>
        <v>WRR0347_CFLscw(5w)</v>
      </c>
      <c r="CJ273" s="174">
        <f t="shared" si="111"/>
        <v>17</v>
      </c>
      <c r="CK273" s="113">
        <f t="shared" si="125"/>
        <v>0.90240000000000009</v>
      </c>
      <c r="CL273" s="108">
        <f t="shared" si="126"/>
        <v>3.3654000000000002</v>
      </c>
      <c r="CM273" s="108">
        <f t="shared" si="127"/>
        <v>1.6754000000000002</v>
      </c>
      <c r="CN273" s="108">
        <f t="shared" si="128"/>
        <v>0.5154000000000003</v>
      </c>
      <c r="CO273" s="108">
        <f t="shared" si="129"/>
        <v>0.5154000000000003</v>
      </c>
    </row>
    <row r="274" spans="1:93">
      <c r="A274" s="103" t="s">
        <v>764</v>
      </c>
      <c r="B274" s="103" t="s">
        <v>165</v>
      </c>
      <c r="C274" s="103" t="s">
        <v>152</v>
      </c>
      <c r="D274" s="250" t="s">
        <v>153</v>
      </c>
      <c r="E274" s="250">
        <v>82</v>
      </c>
      <c r="F274" s="182">
        <v>9020</v>
      </c>
      <c r="G274" s="250" t="s">
        <v>175</v>
      </c>
      <c r="H274" s="250">
        <v>60</v>
      </c>
      <c r="I274" s="250"/>
      <c r="J274" s="250"/>
      <c r="K274" s="250" t="s">
        <v>765</v>
      </c>
      <c r="L274" s="250" t="s">
        <v>61</v>
      </c>
      <c r="M274" s="250">
        <v>60</v>
      </c>
      <c r="N274" s="250"/>
      <c r="O274" s="250"/>
      <c r="P274" s="250" t="s">
        <v>153</v>
      </c>
      <c r="Q274" s="250"/>
      <c r="R274" s="250"/>
      <c r="S274" s="250"/>
      <c r="T274" s="250" t="s">
        <v>155</v>
      </c>
      <c r="U274" s="103" t="s">
        <v>766</v>
      </c>
      <c r="V274" s="106" t="s">
        <v>157</v>
      </c>
      <c r="W274" s="103" t="s">
        <v>158</v>
      </c>
      <c r="X274" s="103">
        <f>IFERROR(MATCH(W274,'CostModel Coef'!$C$9:$C$12,0),0)</f>
        <v>0</v>
      </c>
      <c r="Y274" s="103"/>
      <c r="Z274" s="103" t="str">
        <f>IF($X274&gt;0,INDEX('CostModel Coef'!D$9:D$12,$X274),"")</f>
        <v/>
      </c>
      <c r="AA274" s="103" t="str">
        <f>IF($X274&gt;0,INDEX('CostModel Coef'!E$9:E$12,$X274),"")</f>
        <v/>
      </c>
      <c r="AB274" s="103" t="str">
        <f>IF($X274&gt;0,INDEX('CostModel Coef'!F$9:F$12,$X274),"")</f>
        <v/>
      </c>
      <c r="AC274" s="103" t="str">
        <f>IF($X274&gt;0,INDEX('CostModel Coef'!G$9:G$12,$X274),"")</f>
        <v/>
      </c>
      <c r="AD274" s="103" t="str">
        <f>IF($X274&gt;0,INDEX('CostModel Coef'!H$9:H$12,$X274),"")</f>
        <v/>
      </c>
      <c r="AE274" s="103" t="str">
        <f>IF($X274&gt;0,INDEX('CostModel Coef'!J$9:J$12,$X274),"")</f>
        <v/>
      </c>
      <c r="AF274" s="103" t="str">
        <f>IF($X274&gt;0,INDEX('CostModel Coef'!K$9:K$12,$X274),"")</f>
        <v/>
      </c>
      <c r="AG274" s="103" t="str">
        <f>IF($X274&gt;0,INDEX('CostModel Coef'!L$9:L$12,$X274),"")</f>
        <v/>
      </c>
      <c r="AH274" s="103" t="str">
        <f>IF($X274&gt;0,INDEX('CostModel Coef'!M$9:M$12,$X274),"")</f>
        <v/>
      </c>
      <c r="AI274" s="103" t="str">
        <f>IF($X274&gt;0,INDEX('CostModel Coef'!N$9:N$12,$X274),"")</f>
        <v/>
      </c>
      <c r="AJ274" s="103" t="str">
        <f>IF($X274&gt;0,INDEX('CostModel Coef'!Q$9:Q$12,$X274),"")</f>
        <v/>
      </c>
      <c r="AK274" s="103" t="str">
        <f>IF($X274&gt;0,INDEX('CostModel Coef'!T$9:T$12,$X274),"")</f>
        <v/>
      </c>
      <c r="AL274" s="103"/>
      <c r="AM274" s="108" t="str">
        <f t="shared" si="105"/>
        <v/>
      </c>
      <c r="AN274" s="108" t="str">
        <f t="shared" si="106"/>
        <v/>
      </c>
      <c r="AO274" s="108" t="str">
        <f t="shared" si="107"/>
        <v/>
      </c>
      <c r="AP274" s="108" t="str">
        <f t="shared" si="108"/>
        <v/>
      </c>
      <c r="AQ274" s="108" t="str">
        <f t="shared" si="109"/>
        <v/>
      </c>
      <c r="AR274" s="108"/>
      <c r="AS274" s="108"/>
      <c r="AT274" s="103" t="str">
        <f>IF($X274&gt;0,INDEX('CostModel Coef'!D$13:D$16,$X274),"")</f>
        <v/>
      </c>
      <c r="AU274" s="103" t="str">
        <f>IF($X274&gt;0,INDEX('CostModel Coef'!E$13:E$16,$X274),"")</f>
        <v/>
      </c>
      <c r="AV274" s="103" t="str">
        <f>IF($X274&gt;0,INDEX('CostModel Coef'!F$13:F$16,$X274),"")</f>
        <v/>
      </c>
      <c r="AW274" s="103" t="str">
        <f>IF($X274&gt;0,INDEX('CostModel Coef'!G$13:G$16,$X274),"")</f>
        <v/>
      </c>
      <c r="AX274" s="103" t="str">
        <f>IF($X274&gt;0,INDEX('CostModel Coef'!H$13:H$16,$X274),"")</f>
        <v/>
      </c>
      <c r="AY274" s="103" t="str">
        <f>IF($X274&gt;0,INDEX('CostModel Coef'!I$13:I$16,$X274),"")</f>
        <v/>
      </c>
      <c r="AZ274" s="103" t="str">
        <f>IF($X274&gt;0,INDEX('CostModel Coef'!J$13:J$16,$X274),"")</f>
        <v/>
      </c>
      <c r="BA274" s="103" t="str">
        <f>IF($X274&gt;0,INDEX('CostModel Coef'!K$13:K$16,$X274),"")</f>
        <v/>
      </c>
      <c r="BB274" s="103" t="str">
        <f>IF($X274&gt;0,INDEX('CostModel Coef'!L$13:L$16,$X274),"")</f>
        <v/>
      </c>
      <c r="BC274" s="103" t="str">
        <f>IF($X274&gt;0,INDEX('CostModel Coef'!M$13:M$16,$X274),"")</f>
        <v/>
      </c>
      <c r="BD274" s="103" t="str">
        <f>IF($X274&gt;0,INDEX('CostModel Coef'!N$13:N$16,$X274),"")</f>
        <v/>
      </c>
      <c r="BE274" s="103" t="str">
        <f>IF($X274&gt;0,INDEX('CostModel Coef'!O$13:O$16,$X274),"")</f>
        <v/>
      </c>
      <c r="BF274" s="103" t="str">
        <f>IF($X274&gt;0,INDEX('CostModel Coef'!P$13:P$16,$X274),"")</f>
        <v/>
      </c>
      <c r="BG274" s="103" t="str">
        <f>IF($X274&gt;0,INDEX('CostModel Coef'!Q$13:Q$16,$X274),"")</f>
        <v/>
      </c>
      <c r="BH274" s="103" t="str">
        <f>IF($X274&gt;0,INDEX('CostModel Coef'!R$13:R$16,$X274),"")</f>
        <v/>
      </c>
      <c r="BI274" s="103" t="str">
        <f>IF($X274&gt;0,INDEX('CostModel Coef'!S$13:S$16,$X274),"")</f>
        <v/>
      </c>
      <c r="BJ274" s="103" t="str">
        <f>IF($X274&gt;0,INDEX('CostModel Coef'!T$13:T$16,$X274),"")</f>
        <v/>
      </c>
      <c r="BK274" s="103" t="str">
        <f>IF($X274&gt;0,INDEX('CostModel Coef'!U$13:U$16,$X274),"")</f>
        <v/>
      </c>
      <c r="BL274" s="103" t="str">
        <f>IF($X274&gt;0,INDEX('CostModel Coef'!V$13:V$16,$X274),"")</f>
        <v/>
      </c>
      <c r="BM274" s="103" t="str">
        <f>IF($X274&gt;0,INDEX('CostModel Coef'!W$13:W$16,$X274),"")</f>
        <v/>
      </c>
      <c r="BN274" s="103" t="str">
        <f>IF($X274&gt;0,INDEX('CostModel Coef'!X$13:X$16,$X274),"")</f>
        <v/>
      </c>
      <c r="BO274" s="103"/>
      <c r="BP274" s="119">
        <v>2000</v>
      </c>
      <c r="BQ274" s="103"/>
      <c r="BR274" s="103"/>
      <c r="BS274" s="119" t="str">
        <f t="shared" si="112"/>
        <v/>
      </c>
      <c r="BT274" s="174">
        <f t="shared" si="104"/>
        <v>-1</v>
      </c>
      <c r="BU274" s="113" t="str">
        <f t="shared" si="114"/>
        <v>OOS</v>
      </c>
      <c r="BV274" s="108" t="str">
        <f t="shared" si="115"/>
        <v>OOS</v>
      </c>
      <c r="BW274" s="108" t="str">
        <f t="shared" si="116"/>
        <v>OOS</v>
      </c>
      <c r="BX274" s="108" t="str">
        <f t="shared" si="117"/>
        <v>OOS</v>
      </c>
      <c r="BY274" s="108" t="str">
        <f t="shared" si="118"/>
        <v>OOS</v>
      </c>
      <c r="BZ274" s="108"/>
      <c r="CA274" s="119" t="str">
        <f t="shared" si="119"/>
        <v/>
      </c>
      <c r="CB274" s="174">
        <f t="shared" si="110"/>
        <v>-1</v>
      </c>
      <c r="CC274" s="113" t="str">
        <f t="shared" si="120"/>
        <v/>
      </c>
      <c r="CD274" s="108" t="str">
        <f t="shared" si="121"/>
        <v/>
      </c>
      <c r="CE274" s="108" t="str">
        <f t="shared" si="122"/>
        <v/>
      </c>
      <c r="CF274" s="108" t="str">
        <f t="shared" si="123"/>
        <v/>
      </c>
      <c r="CG274" s="108" t="str">
        <f t="shared" si="124"/>
        <v/>
      </c>
      <c r="CH274" s="103"/>
      <c r="CI274" s="119" t="str">
        <f t="shared" si="113"/>
        <v/>
      </c>
      <c r="CJ274" s="174">
        <f t="shared" si="111"/>
        <v>-1</v>
      </c>
      <c r="CK274" s="113" t="str">
        <f t="shared" si="125"/>
        <v/>
      </c>
      <c r="CL274" s="108" t="str">
        <f t="shared" si="126"/>
        <v/>
      </c>
      <c r="CM274" s="108" t="str">
        <f t="shared" si="127"/>
        <v/>
      </c>
      <c r="CN274" s="108" t="str">
        <f t="shared" si="128"/>
        <v/>
      </c>
      <c r="CO274" s="108" t="str">
        <f t="shared" si="129"/>
        <v/>
      </c>
    </row>
    <row r="275" spans="1:93">
      <c r="A275" s="103" t="s">
        <v>767</v>
      </c>
      <c r="B275" s="103" t="s">
        <v>174</v>
      </c>
      <c r="C275" s="103" t="s">
        <v>153</v>
      </c>
      <c r="D275" s="250" t="s">
        <v>153</v>
      </c>
      <c r="E275" s="250"/>
      <c r="F275" s="182">
        <v>9020</v>
      </c>
      <c r="G275" s="250" t="s">
        <v>175</v>
      </c>
      <c r="H275" s="250">
        <v>64</v>
      </c>
      <c r="I275" s="250"/>
      <c r="J275" s="250"/>
      <c r="K275" s="250"/>
      <c r="L275" s="250" t="s">
        <v>61</v>
      </c>
      <c r="M275" s="250">
        <v>64</v>
      </c>
      <c r="N275" s="250"/>
      <c r="O275" s="250"/>
      <c r="P275" s="250" t="s">
        <v>153</v>
      </c>
      <c r="Q275" s="250"/>
      <c r="R275" s="111"/>
      <c r="S275" s="250"/>
      <c r="T275" s="250" t="s">
        <v>155</v>
      </c>
      <c r="U275" s="103" t="s">
        <v>768</v>
      </c>
      <c r="V275" s="106" t="s">
        <v>157</v>
      </c>
      <c r="W275" s="103" t="s">
        <v>158</v>
      </c>
      <c r="X275" s="103">
        <f>IFERROR(MATCH(W275,'CostModel Coef'!$C$9:$C$12,0),0)</f>
        <v>0</v>
      </c>
      <c r="Y275" s="103"/>
      <c r="Z275" s="103" t="str">
        <f>IF($X275&gt;0,INDEX('CostModel Coef'!D$9:D$12,$X275),"")</f>
        <v/>
      </c>
      <c r="AA275" s="103" t="str">
        <f>IF($X275&gt;0,INDEX('CostModel Coef'!E$9:E$12,$X275),"")</f>
        <v/>
      </c>
      <c r="AB275" s="103" t="str">
        <f>IF($X275&gt;0,INDEX('CostModel Coef'!F$9:F$12,$X275),"")</f>
        <v/>
      </c>
      <c r="AC275" s="103" t="str">
        <f>IF($X275&gt;0,INDEX('CostModel Coef'!G$9:G$12,$X275),"")</f>
        <v/>
      </c>
      <c r="AD275" s="103" t="str">
        <f>IF($X275&gt;0,INDEX('CostModel Coef'!H$9:H$12,$X275),"")</f>
        <v/>
      </c>
      <c r="AE275" s="103" t="str">
        <f>IF($X275&gt;0,INDEX('CostModel Coef'!J$9:J$12,$X275),"")</f>
        <v/>
      </c>
      <c r="AF275" s="103" t="str">
        <f>IF($X275&gt;0,INDEX('CostModel Coef'!K$9:K$12,$X275),"")</f>
        <v/>
      </c>
      <c r="AG275" s="103" t="str">
        <f>IF($X275&gt;0,INDEX('CostModel Coef'!L$9:L$12,$X275),"")</f>
        <v/>
      </c>
      <c r="AH275" s="103" t="str">
        <f>IF($X275&gt;0,INDEX('CostModel Coef'!M$9:M$12,$X275),"")</f>
        <v/>
      </c>
      <c r="AI275" s="103" t="str">
        <f>IF($X275&gt;0,INDEX('CostModel Coef'!N$9:N$12,$X275),"")</f>
        <v/>
      </c>
      <c r="AJ275" s="103" t="str">
        <f>IF($X275&gt;0,INDEX('CostModel Coef'!Q$9:Q$12,$X275),"")</f>
        <v/>
      </c>
      <c r="AK275" s="103" t="str">
        <f>IF($X275&gt;0,INDEX('CostModel Coef'!T$9:T$12,$X275),"")</f>
        <v/>
      </c>
      <c r="AL275" s="103"/>
      <c r="AM275" s="108" t="str">
        <f t="shared" si="105"/>
        <v/>
      </c>
      <c r="AN275" s="108" t="str">
        <f t="shared" si="106"/>
        <v/>
      </c>
      <c r="AO275" s="108" t="str">
        <f t="shared" si="107"/>
        <v/>
      </c>
      <c r="AP275" s="108" t="str">
        <f t="shared" si="108"/>
        <v/>
      </c>
      <c r="AQ275" s="108" t="str">
        <f t="shared" si="109"/>
        <v/>
      </c>
      <c r="AR275" s="108"/>
      <c r="AS275" s="108"/>
      <c r="AT275" s="103" t="str">
        <f>IF($X275&gt;0,INDEX('CostModel Coef'!D$13:D$16,$X275),"")</f>
        <v/>
      </c>
      <c r="AU275" s="103" t="str">
        <f>IF($X275&gt;0,INDEX('CostModel Coef'!E$13:E$16,$X275),"")</f>
        <v/>
      </c>
      <c r="AV275" s="103" t="str">
        <f>IF($X275&gt;0,INDEX('CostModel Coef'!F$13:F$16,$X275),"")</f>
        <v/>
      </c>
      <c r="AW275" s="103" t="str">
        <f>IF($X275&gt;0,INDEX('CostModel Coef'!G$13:G$16,$X275),"")</f>
        <v/>
      </c>
      <c r="AX275" s="103" t="str">
        <f>IF($X275&gt;0,INDEX('CostModel Coef'!H$13:H$16,$X275),"")</f>
        <v/>
      </c>
      <c r="AY275" s="103" t="str">
        <f>IF($X275&gt;0,INDEX('CostModel Coef'!I$13:I$16,$X275),"")</f>
        <v/>
      </c>
      <c r="AZ275" s="103" t="str">
        <f>IF($X275&gt;0,INDEX('CostModel Coef'!J$13:J$16,$X275),"")</f>
        <v/>
      </c>
      <c r="BA275" s="103" t="str">
        <f>IF($X275&gt;0,INDEX('CostModel Coef'!K$13:K$16,$X275),"")</f>
        <v/>
      </c>
      <c r="BB275" s="103" t="str">
        <f>IF($X275&gt;0,INDEX('CostModel Coef'!L$13:L$16,$X275),"")</f>
        <v/>
      </c>
      <c r="BC275" s="103" t="str">
        <f>IF($X275&gt;0,INDEX('CostModel Coef'!M$13:M$16,$X275),"")</f>
        <v/>
      </c>
      <c r="BD275" s="103" t="str">
        <f>IF($X275&gt;0,INDEX('CostModel Coef'!N$13:N$16,$X275),"")</f>
        <v/>
      </c>
      <c r="BE275" s="103" t="str">
        <f>IF($X275&gt;0,INDEX('CostModel Coef'!O$13:O$16,$X275),"")</f>
        <v/>
      </c>
      <c r="BF275" s="103" t="str">
        <f>IF($X275&gt;0,INDEX('CostModel Coef'!P$13:P$16,$X275),"")</f>
        <v/>
      </c>
      <c r="BG275" s="103" t="str">
        <f>IF($X275&gt;0,INDEX('CostModel Coef'!Q$13:Q$16,$X275),"")</f>
        <v/>
      </c>
      <c r="BH275" s="103" t="str">
        <f>IF($X275&gt;0,INDEX('CostModel Coef'!R$13:R$16,$X275),"")</f>
        <v/>
      </c>
      <c r="BI275" s="103" t="str">
        <f>IF($X275&gt;0,INDEX('CostModel Coef'!S$13:S$16,$X275),"")</f>
        <v/>
      </c>
      <c r="BJ275" s="103" t="str">
        <f>IF($X275&gt;0,INDEX('CostModel Coef'!T$13:T$16,$X275),"")</f>
        <v/>
      </c>
      <c r="BK275" s="103" t="str">
        <f>IF($X275&gt;0,INDEX('CostModel Coef'!U$13:U$16,$X275),"")</f>
        <v/>
      </c>
      <c r="BL275" s="103" t="str">
        <f>IF($X275&gt;0,INDEX('CostModel Coef'!V$13:V$16,$X275),"")</f>
        <v/>
      </c>
      <c r="BM275" s="103" t="str">
        <f>IF($X275&gt;0,INDEX('CostModel Coef'!W$13:W$16,$X275),"")</f>
        <v/>
      </c>
      <c r="BN275" s="103" t="str">
        <f>IF($X275&gt;0,INDEX('CostModel Coef'!X$13:X$16,$X275),"")</f>
        <v/>
      </c>
      <c r="BO275" s="103"/>
      <c r="BP275" s="119">
        <v>2000</v>
      </c>
      <c r="BQ275" s="103"/>
      <c r="BR275" s="103"/>
      <c r="BS275" s="119" t="str">
        <f t="shared" si="112"/>
        <v/>
      </c>
      <c r="BT275" s="174">
        <f t="shared" si="104"/>
        <v>-1</v>
      </c>
      <c r="BU275" s="113" t="str">
        <f t="shared" si="114"/>
        <v>OOS</v>
      </c>
      <c r="BV275" s="108" t="str">
        <f t="shared" si="115"/>
        <v>OOS</v>
      </c>
      <c r="BW275" s="108" t="str">
        <f t="shared" si="116"/>
        <v>OOS</v>
      </c>
      <c r="BX275" s="108" t="str">
        <f t="shared" si="117"/>
        <v>OOS</v>
      </c>
      <c r="BY275" s="108" t="str">
        <f t="shared" si="118"/>
        <v>OOS</v>
      </c>
      <c r="BZ275" s="108"/>
      <c r="CA275" s="119" t="str">
        <f t="shared" si="119"/>
        <v/>
      </c>
      <c r="CB275" s="174">
        <f t="shared" si="110"/>
        <v>-1</v>
      </c>
      <c r="CC275" s="113" t="str">
        <f t="shared" si="120"/>
        <v/>
      </c>
      <c r="CD275" s="108" t="str">
        <f t="shared" si="121"/>
        <v/>
      </c>
      <c r="CE275" s="108" t="str">
        <f t="shared" si="122"/>
        <v/>
      </c>
      <c r="CF275" s="108" t="str">
        <f t="shared" si="123"/>
        <v/>
      </c>
      <c r="CG275" s="108" t="str">
        <f t="shared" si="124"/>
        <v/>
      </c>
      <c r="CH275" s="103"/>
      <c r="CI275" s="119" t="str">
        <f t="shared" si="113"/>
        <v/>
      </c>
      <c r="CJ275" s="174">
        <f t="shared" si="111"/>
        <v>-1</v>
      </c>
      <c r="CK275" s="113" t="str">
        <f t="shared" si="125"/>
        <v/>
      </c>
      <c r="CL275" s="108" t="str">
        <f t="shared" si="126"/>
        <v/>
      </c>
      <c r="CM275" s="108" t="str">
        <f t="shared" si="127"/>
        <v/>
      </c>
      <c r="CN275" s="108" t="str">
        <f t="shared" si="128"/>
        <v/>
      </c>
      <c r="CO275" s="108" t="str">
        <f t="shared" si="129"/>
        <v/>
      </c>
    </row>
    <row r="276" spans="1:93">
      <c r="A276" s="103" t="s">
        <v>769</v>
      </c>
      <c r="B276" s="103" t="s">
        <v>174</v>
      </c>
      <c r="C276" s="103" t="s">
        <v>153</v>
      </c>
      <c r="D276" s="250" t="s">
        <v>153</v>
      </c>
      <c r="E276" s="250"/>
      <c r="F276" s="182">
        <v>9020</v>
      </c>
      <c r="G276" s="250" t="s">
        <v>175</v>
      </c>
      <c r="H276" s="250">
        <v>65</v>
      </c>
      <c r="I276" s="250"/>
      <c r="J276" s="250"/>
      <c r="K276" s="250"/>
      <c r="L276" s="250" t="s">
        <v>61</v>
      </c>
      <c r="M276" s="250">
        <v>65</v>
      </c>
      <c r="N276" s="250"/>
      <c r="O276" s="250"/>
      <c r="P276" s="250" t="s">
        <v>153</v>
      </c>
      <c r="Q276" s="250"/>
      <c r="R276" s="250">
        <f>4.09*0.6+0.4</f>
        <v>2.8539999999999996</v>
      </c>
      <c r="S276" s="250"/>
      <c r="T276" s="250" t="s">
        <v>155</v>
      </c>
      <c r="U276" s="103" t="s">
        <v>770</v>
      </c>
      <c r="V276" s="106" t="s">
        <v>157</v>
      </c>
      <c r="W276" s="103" t="s">
        <v>158</v>
      </c>
      <c r="X276" s="103">
        <f>IFERROR(MATCH(W276,'CostModel Coef'!$C$9:$C$12,0),0)</f>
        <v>0</v>
      </c>
      <c r="Y276" s="103"/>
      <c r="Z276" s="103" t="str">
        <f>IF($X276&gt;0,INDEX('CostModel Coef'!D$9:D$12,$X276),"")</f>
        <v/>
      </c>
      <c r="AA276" s="103" t="str">
        <f>IF($X276&gt;0,INDEX('CostModel Coef'!E$9:E$12,$X276),"")</f>
        <v/>
      </c>
      <c r="AB276" s="103" t="str">
        <f>IF($X276&gt;0,INDEX('CostModel Coef'!F$9:F$12,$X276),"")</f>
        <v/>
      </c>
      <c r="AC276" s="103" t="str">
        <f>IF($X276&gt;0,INDEX('CostModel Coef'!G$9:G$12,$X276),"")</f>
        <v/>
      </c>
      <c r="AD276" s="103" t="str">
        <f>IF($X276&gt;0,INDEX('CostModel Coef'!H$9:H$12,$X276),"")</f>
        <v/>
      </c>
      <c r="AE276" s="103" t="str">
        <f>IF($X276&gt;0,INDEX('CostModel Coef'!J$9:J$12,$X276),"")</f>
        <v/>
      </c>
      <c r="AF276" s="103" t="str">
        <f>IF($X276&gt;0,INDEX('CostModel Coef'!K$9:K$12,$X276),"")</f>
        <v/>
      </c>
      <c r="AG276" s="103" t="str">
        <f>IF($X276&gt;0,INDEX('CostModel Coef'!L$9:L$12,$X276),"")</f>
        <v/>
      </c>
      <c r="AH276" s="103" t="str">
        <f>IF($X276&gt;0,INDEX('CostModel Coef'!M$9:M$12,$X276),"")</f>
        <v/>
      </c>
      <c r="AI276" s="103" t="str">
        <f>IF($X276&gt;0,INDEX('CostModel Coef'!N$9:N$12,$X276),"")</f>
        <v/>
      </c>
      <c r="AJ276" s="103" t="str">
        <f>IF($X276&gt;0,INDEX('CostModel Coef'!Q$9:Q$12,$X276),"")</f>
        <v/>
      </c>
      <c r="AK276" s="103" t="str">
        <f>IF($X276&gt;0,INDEX('CostModel Coef'!T$9:T$12,$X276),"")</f>
        <v/>
      </c>
      <c r="AL276" s="103"/>
      <c r="AM276" s="108" t="str">
        <f t="shared" si="105"/>
        <v/>
      </c>
      <c r="AN276" s="108" t="str">
        <f t="shared" si="106"/>
        <v/>
      </c>
      <c r="AO276" s="108" t="str">
        <f t="shared" si="107"/>
        <v/>
      </c>
      <c r="AP276" s="108" t="str">
        <f t="shared" si="108"/>
        <v/>
      </c>
      <c r="AQ276" s="108" t="str">
        <f t="shared" si="109"/>
        <v/>
      </c>
      <c r="AR276" s="108"/>
      <c r="AS276" s="108"/>
      <c r="AT276" s="103" t="str">
        <f>IF($X276&gt;0,INDEX('CostModel Coef'!D$13:D$16,$X276),"")</f>
        <v/>
      </c>
      <c r="AU276" s="103" t="str">
        <f>IF($X276&gt;0,INDEX('CostModel Coef'!E$13:E$16,$X276),"")</f>
        <v/>
      </c>
      <c r="AV276" s="103" t="str">
        <f>IF($X276&gt;0,INDEX('CostModel Coef'!F$13:F$16,$X276),"")</f>
        <v/>
      </c>
      <c r="AW276" s="103" t="str">
        <f>IF($X276&gt;0,INDEX('CostModel Coef'!G$13:G$16,$X276),"")</f>
        <v/>
      </c>
      <c r="AX276" s="103" t="str">
        <f>IF($X276&gt;0,INDEX('CostModel Coef'!H$13:H$16,$X276),"")</f>
        <v/>
      </c>
      <c r="AY276" s="103" t="str">
        <f>IF($X276&gt;0,INDEX('CostModel Coef'!I$13:I$16,$X276),"")</f>
        <v/>
      </c>
      <c r="AZ276" s="103" t="str">
        <f>IF($X276&gt;0,INDEX('CostModel Coef'!J$13:J$16,$X276),"")</f>
        <v/>
      </c>
      <c r="BA276" s="103" t="str">
        <f>IF($X276&gt;0,INDEX('CostModel Coef'!K$13:K$16,$X276),"")</f>
        <v/>
      </c>
      <c r="BB276" s="103" t="str">
        <f>IF($X276&gt;0,INDEX('CostModel Coef'!L$13:L$16,$X276),"")</f>
        <v/>
      </c>
      <c r="BC276" s="103" t="str">
        <f>IF($X276&gt;0,INDEX('CostModel Coef'!M$13:M$16,$X276),"")</f>
        <v/>
      </c>
      <c r="BD276" s="103" t="str">
        <f>IF($X276&gt;0,INDEX('CostModel Coef'!N$13:N$16,$X276),"")</f>
        <v/>
      </c>
      <c r="BE276" s="103" t="str">
        <f>IF($X276&gt;0,INDEX('CostModel Coef'!O$13:O$16,$X276),"")</f>
        <v/>
      </c>
      <c r="BF276" s="103" t="str">
        <f>IF($X276&gt;0,INDEX('CostModel Coef'!P$13:P$16,$X276),"")</f>
        <v/>
      </c>
      <c r="BG276" s="103" t="str">
        <f>IF($X276&gt;0,INDEX('CostModel Coef'!Q$13:Q$16,$X276),"")</f>
        <v/>
      </c>
      <c r="BH276" s="103" t="str">
        <f>IF($X276&gt;0,INDEX('CostModel Coef'!R$13:R$16,$X276),"")</f>
        <v/>
      </c>
      <c r="BI276" s="103" t="str">
        <f>IF($X276&gt;0,INDEX('CostModel Coef'!S$13:S$16,$X276),"")</f>
        <v/>
      </c>
      <c r="BJ276" s="103" t="str">
        <f>IF($X276&gt;0,INDEX('CostModel Coef'!T$13:T$16,$X276),"")</f>
        <v/>
      </c>
      <c r="BK276" s="103" t="str">
        <f>IF($X276&gt;0,INDEX('CostModel Coef'!U$13:U$16,$X276),"")</f>
        <v/>
      </c>
      <c r="BL276" s="103" t="str">
        <f>IF($X276&gt;0,INDEX('CostModel Coef'!V$13:V$16,$X276),"")</f>
        <v/>
      </c>
      <c r="BM276" s="103" t="str">
        <f>IF($X276&gt;0,INDEX('CostModel Coef'!W$13:W$16,$X276),"")</f>
        <v/>
      </c>
      <c r="BN276" s="103" t="str">
        <f>IF($X276&gt;0,INDEX('CostModel Coef'!X$13:X$16,$X276),"")</f>
        <v/>
      </c>
      <c r="BO276" s="103"/>
      <c r="BP276" s="119">
        <v>2000</v>
      </c>
      <c r="BQ276" s="103"/>
      <c r="BR276" s="103"/>
      <c r="BS276" s="119" t="str">
        <f t="shared" si="112"/>
        <v/>
      </c>
      <c r="BT276" s="174">
        <f t="shared" si="104"/>
        <v>-1</v>
      </c>
      <c r="BU276" s="113" t="str">
        <f t="shared" si="114"/>
        <v>OOS</v>
      </c>
      <c r="BV276" s="108" t="str">
        <f t="shared" si="115"/>
        <v>OOS</v>
      </c>
      <c r="BW276" s="108" t="str">
        <f t="shared" si="116"/>
        <v>OOS</v>
      </c>
      <c r="BX276" s="108" t="str">
        <f t="shared" si="117"/>
        <v>OOS</v>
      </c>
      <c r="BY276" s="108" t="str">
        <f t="shared" si="118"/>
        <v>OOS</v>
      </c>
      <c r="BZ276" s="108"/>
      <c r="CA276" s="119" t="str">
        <f t="shared" si="119"/>
        <v/>
      </c>
      <c r="CB276" s="174">
        <f t="shared" si="110"/>
        <v>-1</v>
      </c>
      <c r="CC276" s="113" t="str">
        <f t="shared" si="120"/>
        <v/>
      </c>
      <c r="CD276" s="108" t="str">
        <f t="shared" si="121"/>
        <v/>
      </c>
      <c r="CE276" s="108" t="str">
        <f t="shared" si="122"/>
        <v/>
      </c>
      <c r="CF276" s="108" t="str">
        <f t="shared" si="123"/>
        <v/>
      </c>
      <c r="CG276" s="108" t="str">
        <f t="shared" si="124"/>
        <v/>
      </c>
      <c r="CH276" s="103"/>
      <c r="CI276" s="119" t="str">
        <f t="shared" si="113"/>
        <v/>
      </c>
      <c r="CJ276" s="174">
        <f t="shared" si="111"/>
        <v>-1</v>
      </c>
      <c r="CK276" s="113" t="str">
        <f t="shared" si="125"/>
        <v/>
      </c>
      <c r="CL276" s="108" t="str">
        <f t="shared" si="126"/>
        <v/>
      </c>
      <c r="CM276" s="108" t="str">
        <f t="shared" si="127"/>
        <v/>
      </c>
      <c r="CN276" s="108" t="str">
        <f t="shared" si="128"/>
        <v/>
      </c>
      <c r="CO276" s="108" t="str">
        <f t="shared" si="129"/>
        <v/>
      </c>
    </row>
    <row r="277" spans="1:93">
      <c r="A277" s="103" t="s">
        <v>771</v>
      </c>
      <c r="B277" s="103" t="s">
        <v>174</v>
      </c>
      <c r="C277" s="103" t="s">
        <v>152</v>
      </c>
      <c r="D277" s="250" t="s">
        <v>153</v>
      </c>
      <c r="E277" s="250"/>
      <c r="F277" s="182">
        <v>9020</v>
      </c>
      <c r="G277" s="250" t="s">
        <v>175</v>
      </c>
      <c r="H277" s="250">
        <v>68</v>
      </c>
      <c r="I277" s="250"/>
      <c r="J277" s="250"/>
      <c r="K277" s="250"/>
      <c r="L277" s="250" t="s">
        <v>61</v>
      </c>
      <c r="M277" s="250">
        <v>68</v>
      </c>
      <c r="N277" s="250"/>
      <c r="O277" s="250"/>
      <c r="P277" s="250" t="s">
        <v>153</v>
      </c>
      <c r="Q277" s="250"/>
      <c r="R277" s="250"/>
      <c r="S277" s="250"/>
      <c r="T277" s="250" t="s">
        <v>155</v>
      </c>
      <c r="U277" s="103" t="s">
        <v>772</v>
      </c>
      <c r="V277" s="106" t="s">
        <v>157</v>
      </c>
      <c r="W277" s="103" t="s">
        <v>81</v>
      </c>
      <c r="X277" s="103">
        <f>IFERROR(MATCH(W277,'CostModel Coef'!$C$9:$C$12,0),0)</f>
        <v>1</v>
      </c>
      <c r="Y277" s="103"/>
      <c r="Z277" s="103">
        <f>IF($X277&gt;0,INDEX('CostModel Coef'!D$9:D$12,$X277),"")</f>
        <v>3.0430000000000001</v>
      </c>
      <c r="AA277" s="103">
        <f>IF($X277&gt;0,INDEX('CostModel Coef'!E$9:E$12,$X277),"")</f>
        <v>-0.14966150225589619</v>
      </c>
      <c r="AB277" s="103">
        <f>IF($X277&gt;0,INDEX('CostModel Coef'!F$9:F$12,$X277),"")</f>
        <v>0.52692151711335011</v>
      </c>
      <c r="AC277" s="103">
        <f>IF($X277&gt;0,INDEX('CostModel Coef'!G$9:G$12,$X277),"")</f>
        <v>1.8411</v>
      </c>
      <c r="AD277" s="103">
        <f>IF($X277&gt;0,INDEX('CostModel Coef'!H$9:H$12,$X277),"")</f>
        <v>-1.8050999999999999</v>
      </c>
      <c r="AE277" s="103">
        <f>IF($X277&gt;0,INDEX('CostModel Coef'!J$9:J$12,$X277),"")</f>
        <v>-1.1288</v>
      </c>
      <c r="AF277" s="103">
        <f>IF($X277&gt;0,INDEX('CostModel Coef'!K$9:K$12,$X277),"")</f>
        <v>-1.845</v>
      </c>
      <c r="AG277" s="103">
        <f>IF($X277&gt;0,INDEX('CostModel Coef'!L$9:L$12,$X277),"")</f>
        <v>6.7507000000000001</v>
      </c>
      <c r="AH277" s="103">
        <f>IF($X277&gt;0,INDEX('CostModel Coef'!M$9:M$12,$X277),"")</f>
        <v>5.8051000000000004</v>
      </c>
      <c r="AI277" s="103">
        <f>IF($X277&gt;0,INDEX('CostModel Coef'!N$9:N$12,$X277),"")</f>
        <v>6.1600000000000002E-2</v>
      </c>
      <c r="AJ277" s="103">
        <f>IF($X277&gt;0,INDEX('CostModel Coef'!Q$9:Q$12,$X277),"")</f>
        <v>6.6500000000000004E-2</v>
      </c>
      <c r="AK277" s="103">
        <f>IF($X277&gt;0,INDEX('CostModel Coef'!T$9:T$12,$X277),"")</f>
        <v>9.35E-2</v>
      </c>
      <c r="AL277" s="103"/>
      <c r="AM277" s="108">
        <f t="shared" si="105"/>
        <v>10.673392014857455</v>
      </c>
      <c r="AN277" s="108">
        <f t="shared" si="106"/>
        <v>12.518392014857454</v>
      </c>
      <c r="AO277" s="108">
        <f t="shared" si="107"/>
        <v>10.713292014857455</v>
      </c>
      <c r="AP277" s="108">
        <f t="shared" si="108"/>
        <v>10.713292014857455</v>
      </c>
      <c r="AQ277" s="108">
        <f t="shared" si="109"/>
        <v>9.5844920148574548</v>
      </c>
      <c r="AR277" s="108"/>
      <c r="AS277" s="108"/>
      <c r="AT277" s="103">
        <f>IF($X277&gt;0,INDEX('CostModel Coef'!D$13:D$16,$X277),"")</f>
        <v>2.1320000000000001</v>
      </c>
      <c r="AU277" s="103">
        <f>IF($X277&gt;0,INDEX('CostModel Coef'!E$13:E$16,$X277),"")</f>
        <v>0.23699999999999999</v>
      </c>
      <c r="AV277" s="103">
        <f>IF($X277&gt;0,INDEX('CostModel Coef'!F$13:F$16,$X277),"")</f>
        <v>0.59899999999999998</v>
      </c>
      <c r="AW277" s="103">
        <f>IF($X277&gt;0,INDEX('CostModel Coef'!G$13:G$16,$X277),"")</f>
        <v>0</v>
      </c>
      <c r="AX277" s="103">
        <f>IF($X277&gt;0,INDEX('CostModel Coef'!H$13:H$16,$X277),"")</f>
        <v>-1.69</v>
      </c>
      <c r="AY277" s="103">
        <f>IF($X277&gt;0,INDEX('CostModel Coef'!I$13:I$16,$X277),"")</f>
        <v>-1.1599999999999999</v>
      </c>
      <c r="AZ277" s="103">
        <f>IF($X277&gt;0,INDEX('CostModel Coef'!J$13:J$16,$X277),"")</f>
        <v>0</v>
      </c>
      <c r="BA277" s="103">
        <f>IF($X277&gt;0,INDEX('CostModel Coef'!K$13:K$16,$X277),"")</f>
        <v>-2.4630000000000001</v>
      </c>
      <c r="BB277" s="103">
        <f>IF($X277&gt;0,INDEX('CostModel Coef'!L$13:L$16,$X277),"")</f>
        <v>0.46179999999999999</v>
      </c>
      <c r="BC277" s="103">
        <f>IF($X277&gt;0,INDEX('CostModel Coef'!M$13:M$16,$X277),"")</f>
        <v>0</v>
      </c>
      <c r="BD277" s="103">
        <f>IF($X277&gt;0,INDEX('CostModel Coef'!N$13:N$16,$X277),"")</f>
        <v>0.19869999999999999</v>
      </c>
      <c r="BE277" s="103">
        <f>IF($X277&gt;0,INDEX('CostModel Coef'!O$13:O$16,$X277),"")</f>
        <v>0.6</v>
      </c>
      <c r="BF277" s="103">
        <f>IF($X277&gt;0,INDEX('CostModel Coef'!P$13:P$16,$X277),"")</f>
        <v>15</v>
      </c>
      <c r="BG277" s="103">
        <f>IF($X277&gt;0,INDEX('CostModel Coef'!Q$13:Q$16,$X277),"")</f>
        <v>0</v>
      </c>
      <c r="BH277" s="103">
        <f>IF($X277&gt;0,INDEX('CostModel Coef'!R$13:R$16,$X277),"")</f>
        <v>3</v>
      </c>
      <c r="BI277" s="103">
        <f>IF($X277&gt;0,INDEX('CostModel Coef'!S$13:S$16,$X277),"")</f>
        <v>150</v>
      </c>
      <c r="BJ277" s="103">
        <f>IF($X277&gt;0,INDEX('CostModel Coef'!T$13:T$16,$X277),"")</f>
        <v>0</v>
      </c>
      <c r="BK277" s="103">
        <f>IF($X277&gt;0,INDEX('CostModel Coef'!U$13:U$16,$X277),"")</f>
        <v>9.1999999999999998E-3</v>
      </c>
      <c r="BL277" s="103">
        <f>IF($X277&gt;0,INDEX('CostModel Coef'!V$13:V$16,$X277),"")</f>
        <v>-8.8000000000000005E-3</v>
      </c>
      <c r="BM277" s="103">
        <f>IF($X277&gt;0,INDEX('CostModel Coef'!W$13:W$16,$X277),"")</f>
        <v>0</v>
      </c>
      <c r="BN277" s="103">
        <f>IF($X277&gt;0,INDEX('CostModel Coef'!X$13:X$16,$X277),"")</f>
        <v>0</v>
      </c>
      <c r="BO277" s="103"/>
      <c r="BP277" s="119">
        <v>2000</v>
      </c>
      <c r="BQ277" s="103"/>
      <c r="BR277" s="103"/>
      <c r="BS277" s="119" t="str">
        <f t="shared" si="112"/>
        <v>WRR0347_CFLscw(68w)</v>
      </c>
      <c r="BT277" s="174">
        <f t="shared" si="104"/>
        <v>236</v>
      </c>
      <c r="BU277" s="113" t="str">
        <f t="shared" si="114"/>
        <v>OOS</v>
      </c>
      <c r="BV277" s="108" t="str">
        <f t="shared" si="115"/>
        <v>OOS</v>
      </c>
      <c r="BW277" s="108" t="str">
        <f t="shared" si="116"/>
        <v>OOS</v>
      </c>
      <c r="BX277" s="108" t="str">
        <f t="shared" si="117"/>
        <v>OOS</v>
      </c>
      <c r="BY277" s="108" t="str">
        <f t="shared" si="118"/>
        <v>OOS</v>
      </c>
      <c r="BZ277" s="108"/>
      <c r="CA277" s="119" t="str">
        <f t="shared" si="119"/>
        <v>WRR0407_CFLscw(68w)</v>
      </c>
      <c r="CB277" s="174">
        <f t="shared" si="110"/>
        <v>277</v>
      </c>
      <c r="CC277" s="113" t="str">
        <f t="shared" si="120"/>
        <v/>
      </c>
      <c r="CD277" s="108" t="str">
        <f t="shared" si="121"/>
        <v/>
      </c>
      <c r="CE277" s="108" t="str">
        <f t="shared" si="122"/>
        <v/>
      </c>
      <c r="CF277" s="108" t="str">
        <f t="shared" si="123"/>
        <v/>
      </c>
      <c r="CG277" s="108" t="str">
        <f t="shared" si="124"/>
        <v/>
      </c>
      <c r="CH277" s="103"/>
      <c r="CI277" s="119" t="str">
        <f t="shared" si="113"/>
        <v>WRR0347_CFLscw(68w)</v>
      </c>
      <c r="CJ277" s="174">
        <f t="shared" si="111"/>
        <v>236</v>
      </c>
      <c r="CK277" s="113" t="str">
        <f t="shared" si="125"/>
        <v/>
      </c>
      <c r="CL277" s="108" t="str">
        <f t="shared" si="126"/>
        <v/>
      </c>
      <c r="CM277" s="108" t="str">
        <f t="shared" si="127"/>
        <v/>
      </c>
      <c r="CN277" s="108" t="str">
        <f t="shared" si="128"/>
        <v/>
      </c>
      <c r="CO277" s="108" t="str">
        <f t="shared" si="129"/>
        <v/>
      </c>
    </row>
    <row r="278" spans="1:93">
      <c r="A278" s="103" t="s">
        <v>773</v>
      </c>
      <c r="B278" s="103" t="s">
        <v>174</v>
      </c>
      <c r="C278" s="103" t="s">
        <v>152</v>
      </c>
      <c r="D278" s="250" t="s">
        <v>153</v>
      </c>
      <c r="E278" s="250"/>
      <c r="F278" s="182">
        <v>9020</v>
      </c>
      <c r="G278" s="250" t="s">
        <v>175</v>
      </c>
      <c r="H278" s="250">
        <v>69</v>
      </c>
      <c r="I278" s="250"/>
      <c r="J278" s="250"/>
      <c r="K278" s="250"/>
      <c r="L278" s="250" t="s">
        <v>61</v>
      </c>
      <c r="M278" s="250">
        <v>69</v>
      </c>
      <c r="N278" s="250"/>
      <c r="O278" s="250"/>
      <c r="P278" s="250" t="s">
        <v>153</v>
      </c>
      <c r="Q278" s="250"/>
      <c r="R278" s="250"/>
      <c r="S278" s="250"/>
      <c r="T278" s="250" t="s">
        <v>155</v>
      </c>
      <c r="U278" s="103" t="s">
        <v>774</v>
      </c>
      <c r="V278" s="106" t="s">
        <v>157</v>
      </c>
      <c r="W278" s="103" t="s">
        <v>81</v>
      </c>
      <c r="X278" s="103">
        <f>IFERROR(MATCH(W278,'CostModel Coef'!$C$9:$C$12,0),0)</f>
        <v>1</v>
      </c>
      <c r="Y278" s="103"/>
      <c r="Z278" s="103">
        <f>IF($X278&gt;0,INDEX('CostModel Coef'!D$9:D$12,$X278),"")</f>
        <v>3.0430000000000001</v>
      </c>
      <c r="AA278" s="103">
        <f>IF($X278&gt;0,INDEX('CostModel Coef'!E$9:E$12,$X278),"")</f>
        <v>-0.14966150225589619</v>
      </c>
      <c r="AB278" s="103">
        <f>IF($X278&gt;0,INDEX('CostModel Coef'!F$9:F$12,$X278),"")</f>
        <v>0.52692151711335011</v>
      </c>
      <c r="AC278" s="103">
        <f>IF($X278&gt;0,INDEX('CostModel Coef'!G$9:G$12,$X278),"")</f>
        <v>1.8411</v>
      </c>
      <c r="AD278" s="103">
        <f>IF($X278&gt;0,INDEX('CostModel Coef'!H$9:H$12,$X278),"")</f>
        <v>-1.8050999999999999</v>
      </c>
      <c r="AE278" s="103">
        <f>IF($X278&gt;0,INDEX('CostModel Coef'!J$9:J$12,$X278),"")</f>
        <v>-1.1288</v>
      </c>
      <c r="AF278" s="103">
        <f>IF($X278&gt;0,INDEX('CostModel Coef'!K$9:K$12,$X278),"")</f>
        <v>-1.845</v>
      </c>
      <c r="AG278" s="103">
        <f>IF($X278&gt;0,INDEX('CostModel Coef'!L$9:L$12,$X278),"")</f>
        <v>6.7507000000000001</v>
      </c>
      <c r="AH278" s="103">
        <f>IF($X278&gt;0,INDEX('CostModel Coef'!M$9:M$12,$X278),"")</f>
        <v>5.8051000000000004</v>
      </c>
      <c r="AI278" s="103">
        <f>IF($X278&gt;0,INDEX('CostModel Coef'!N$9:N$12,$X278),"")</f>
        <v>6.1600000000000002E-2</v>
      </c>
      <c r="AJ278" s="103">
        <f>IF($X278&gt;0,INDEX('CostModel Coef'!Q$9:Q$12,$X278),"")</f>
        <v>6.6500000000000004E-2</v>
      </c>
      <c r="AK278" s="103">
        <f>IF($X278&gt;0,INDEX('CostModel Coef'!T$9:T$12,$X278),"")</f>
        <v>9.35E-2</v>
      </c>
      <c r="AL278" s="103"/>
      <c r="AM278" s="108">
        <f t="shared" si="105"/>
        <v>10.833392014857454</v>
      </c>
      <c r="AN278" s="108">
        <f t="shared" si="106"/>
        <v>12.678392014857454</v>
      </c>
      <c r="AO278" s="108">
        <f t="shared" si="107"/>
        <v>10.873292014857453</v>
      </c>
      <c r="AP278" s="108">
        <f t="shared" si="108"/>
        <v>10.873292014857453</v>
      </c>
      <c r="AQ278" s="108">
        <f t="shared" si="109"/>
        <v>9.7444920148574532</v>
      </c>
      <c r="AR278" s="108"/>
      <c r="AS278" s="108"/>
      <c r="AT278" s="103">
        <f>IF($X278&gt;0,INDEX('CostModel Coef'!D$13:D$16,$X278),"")</f>
        <v>2.1320000000000001</v>
      </c>
      <c r="AU278" s="103">
        <f>IF($X278&gt;0,INDEX('CostModel Coef'!E$13:E$16,$X278),"")</f>
        <v>0.23699999999999999</v>
      </c>
      <c r="AV278" s="103">
        <f>IF($X278&gt;0,INDEX('CostModel Coef'!F$13:F$16,$X278),"")</f>
        <v>0.59899999999999998</v>
      </c>
      <c r="AW278" s="103">
        <f>IF($X278&gt;0,INDEX('CostModel Coef'!G$13:G$16,$X278),"")</f>
        <v>0</v>
      </c>
      <c r="AX278" s="103">
        <f>IF($X278&gt;0,INDEX('CostModel Coef'!H$13:H$16,$X278),"")</f>
        <v>-1.69</v>
      </c>
      <c r="AY278" s="103">
        <f>IF($X278&gt;0,INDEX('CostModel Coef'!I$13:I$16,$X278),"")</f>
        <v>-1.1599999999999999</v>
      </c>
      <c r="AZ278" s="103">
        <f>IF($X278&gt;0,INDEX('CostModel Coef'!J$13:J$16,$X278),"")</f>
        <v>0</v>
      </c>
      <c r="BA278" s="103">
        <f>IF($X278&gt;0,INDEX('CostModel Coef'!K$13:K$16,$X278),"")</f>
        <v>-2.4630000000000001</v>
      </c>
      <c r="BB278" s="103">
        <f>IF($X278&gt;0,INDEX('CostModel Coef'!L$13:L$16,$X278),"")</f>
        <v>0.46179999999999999</v>
      </c>
      <c r="BC278" s="103">
        <f>IF($X278&gt;0,INDEX('CostModel Coef'!M$13:M$16,$X278),"")</f>
        <v>0</v>
      </c>
      <c r="BD278" s="103">
        <f>IF($X278&gt;0,INDEX('CostModel Coef'!N$13:N$16,$X278),"")</f>
        <v>0.19869999999999999</v>
      </c>
      <c r="BE278" s="103">
        <f>IF($X278&gt;0,INDEX('CostModel Coef'!O$13:O$16,$X278),"")</f>
        <v>0.6</v>
      </c>
      <c r="BF278" s="103">
        <f>IF($X278&gt;0,INDEX('CostModel Coef'!P$13:P$16,$X278),"")</f>
        <v>15</v>
      </c>
      <c r="BG278" s="103">
        <f>IF($X278&gt;0,INDEX('CostModel Coef'!Q$13:Q$16,$X278),"")</f>
        <v>0</v>
      </c>
      <c r="BH278" s="103">
        <f>IF($X278&gt;0,INDEX('CostModel Coef'!R$13:R$16,$X278),"")</f>
        <v>3</v>
      </c>
      <c r="BI278" s="103">
        <f>IF($X278&gt;0,INDEX('CostModel Coef'!S$13:S$16,$X278),"")</f>
        <v>150</v>
      </c>
      <c r="BJ278" s="103">
        <f>IF($X278&gt;0,INDEX('CostModel Coef'!T$13:T$16,$X278),"")</f>
        <v>0</v>
      </c>
      <c r="BK278" s="103">
        <f>IF($X278&gt;0,INDEX('CostModel Coef'!U$13:U$16,$X278),"")</f>
        <v>9.1999999999999998E-3</v>
      </c>
      <c r="BL278" s="103">
        <f>IF($X278&gt;0,INDEX('CostModel Coef'!V$13:V$16,$X278),"")</f>
        <v>-8.8000000000000005E-3</v>
      </c>
      <c r="BM278" s="103">
        <f>IF($X278&gt;0,INDEX('CostModel Coef'!W$13:W$16,$X278),"")</f>
        <v>0</v>
      </c>
      <c r="BN278" s="103">
        <f>IF($X278&gt;0,INDEX('CostModel Coef'!X$13:X$16,$X278),"")</f>
        <v>0</v>
      </c>
      <c r="BO278" s="103"/>
      <c r="BP278" s="119">
        <v>2000</v>
      </c>
      <c r="BQ278" s="103"/>
      <c r="BR278" s="103"/>
      <c r="BS278" s="119" t="str">
        <f t="shared" si="112"/>
        <v>WRR0347_CFLscw(69w)</v>
      </c>
      <c r="BT278" s="174">
        <f t="shared" si="104"/>
        <v>239</v>
      </c>
      <c r="BU278" s="113" t="str">
        <f t="shared" si="114"/>
        <v>OOS</v>
      </c>
      <c r="BV278" s="108" t="str">
        <f t="shared" si="115"/>
        <v>OOS</v>
      </c>
      <c r="BW278" s="108" t="str">
        <f t="shared" si="116"/>
        <v>OOS</v>
      </c>
      <c r="BX278" s="108" t="str">
        <f t="shared" si="117"/>
        <v>OOS</v>
      </c>
      <c r="BY278" s="108" t="str">
        <f t="shared" si="118"/>
        <v>OOS</v>
      </c>
      <c r="BZ278" s="108"/>
      <c r="CA278" s="119" t="str">
        <f t="shared" si="119"/>
        <v>WRR0407_CFLscw(69w)</v>
      </c>
      <c r="CB278" s="174">
        <f t="shared" si="110"/>
        <v>281</v>
      </c>
      <c r="CC278" s="113" t="str">
        <f t="shared" si="120"/>
        <v/>
      </c>
      <c r="CD278" s="108" t="str">
        <f t="shared" si="121"/>
        <v/>
      </c>
      <c r="CE278" s="108" t="str">
        <f t="shared" si="122"/>
        <v/>
      </c>
      <c r="CF278" s="108" t="str">
        <f t="shared" si="123"/>
        <v/>
      </c>
      <c r="CG278" s="108" t="str">
        <f t="shared" si="124"/>
        <v/>
      </c>
      <c r="CH278" s="103"/>
      <c r="CI278" s="119" t="str">
        <f t="shared" si="113"/>
        <v>WRR0347_CFLscw(69w)</v>
      </c>
      <c r="CJ278" s="174">
        <f t="shared" si="111"/>
        <v>239</v>
      </c>
      <c r="CK278" s="113" t="str">
        <f t="shared" si="125"/>
        <v/>
      </c>
      <c r="CL278" s="108" t="str">
        <f t="shared" si="126"/>
        <v/>
      </c>
      <c r="CM278" s="108" t="str">
        <f t="shared" si="127"/>
        <v/>
      </c>
      <c r="CN278" s="108" t="str">
        <f t="shared" si="128"/>
        <v/>
      </c>
      <c r="CO278" s="108" t="str">
        <f t="shared" si="129"/>
        <v/>
      </c>
    </row>
    <row r="279" spans="1:93">
      <c r="A279" s="103" t="s">
        <v>775</v>
      </c>
      <c r="B279" s="103" t="s">
        <v>165</v>
      </c>
      <c r="C279" s="103" t="s">
        <v>152</v>
      </c>
      <c r="D279" s="250" t="s">
        <v>153</v>
      </c>
      <c r="E279" s="250">
        <v>82</v>
      </c>
      <c r="F279" s="182">
        <v>9020</v>
      </c>
      <c r="G279" s="250" t="s">
        <v>175</v>
      </c>
      <c r="H279" s="250">
        <v>6</v>
      </c>
      <c r="I279" s="250"/>
      <c r="J279" s="250"/>
      <c r="K279" s="250" t="s">
        <v>776</v>
      </c>
      <c r="L279" s="250" t="s">
        <v>61</v>
      </c>
      <c r="M279" s="250">
        <v>6</v>
      </c>
      <c r="N279" s="250"/>
      <c r="O279" s="250"/>
      <c r="P279" s="250" t="s">
        <v>153</v>
      </c>
      <c r="Q279" s="250"/>
      <c r="R279" s="250"/>
      <c r="S279" s="250"/>
      <c r="T279" s="250" t="s">
        <v>155</v>
      </c>
      <c r="U279" s="103" t="s">
        <v>777</v>
      </c>
      <c r="V279" s="106" t="s">
        <v>157</v>
      </c>
      <c r="W279" s="103" t="s">
        <v>81</v>
      </c>
      <c r="X279" s="103">
        <f>IFERROR(MATCH(W279,'CostModel Coef'!$C$9:$C$12,0),0)</f>
        <v>1</v>
      </c>
      <c r="Y279" s="103"/>
      <c r="Z279" s="103">
        <f>IF($X279&gt;0,INDEX('CostModel Coef'!D$9:D$12,$X279),"")</f>
        <v>3.0430000000000001</v>
      </c>
      <c r="AA279" s="103">
        <f>IF($X279&gt;0,INDEX('CostModel Coef'!E$9:E$12,$X279),"")</f>
        <v>-0.14966150225589619</v>
      </c>
      <c r="AB279" s="103">
        <f>IF($X279&gt;0,INDEX('CostModel Coef'!F$9:F$12,$X279),"")</f>
        <v>0.52692151711335011</v>
      </c>
      <c r="AC279" s="103">
        <f>IF($X279&gt;0,INDEX('CostModel Coef'!G$9:G$12,$X279),"")</f>
        <v>1.8411</v>
      </c>
      <c r="AD279" s="103">
        <f>IF($X279&gt;0,INDEX('CostModel Coef'!H$9:H$12,$X279),"")</f>
        <v>-1.8050999999999999</v>
      </c>
      <c r="AE279" s="103">
        <f>IF($X279&gt;0,INDEX('CostModel Coef'!J$9:J$12,$X279),"")</f>
        <v>-1.1288</v>
      </c>
      <c r="AF279" s="103">
        <f>IF($X279&gt;0,INDEX('CostModel Coef'!K$9:K$12,$X279),"")</f>
        <v>-1.845</v>
      </c>
      <c r="AG279" s="103">
        <f>IF($X279&gt;0,INDEX('CostModel Coef'!L$9:L$12,$X279),"")</f>
        <v>6.7507000000000001</v>
      </c>
      <c r="AH279" s="103">
        <f>IF($X279&gt;0,INDEX('CostModel Coef'!M$9:M$12,$X279),"")</f>
        <v>5.8051000000000004</v>
      </c>
      <c r="AI279" s="103">
        <f>IF($X279&gt;0,INDEX('CostModel Coef'!N$9:N$12,$X279),"")</f>
        <v>6.1600000000000002E-2</v>
      </c>
      <c r="AJ279" s="103">
        <f>IF($X279&gt;0,INDEX('CostModel Coef'!Q$9:Q$12,$X279),"")</f>
        <v>6.6500000000000004E-2</v>
      </c>
      <c r="AK279" s="103">
        <f>IF($X279&gt;0,INDEX('CostModel Coef'!T$9:T$12,$X279),"")</f>
        <v>9.35E-2</v>
      </c>
      <c r="AL279" s="103"/>
      <c r="AM279" s="108">
        <f t="shared" si="105"/>
        <v>2.5298920148574551</v>
      </c>
      <c r="AN279" s="108">
        <f t="shared" si="106"/>
        <v>4.3748920148574548</v>
      </c>
      <c r="AO279" s="108">
        <f t="shared" si="107"/>
        <v>2.5697920148574549</v>
      </c>
      <c r="AP279" s="108">
        <f t="shared" si="108"/>
        <v>2.5697920148574549</v>
      </c>
      <c r="AQ279" s="108">
        <f t="shared" si="109"/>
        <v>1.4409920148574549</v>
      </c>
      <c r="AR279" s="108"/>
      <c r="AS279" s="108"/>
      <c r="AT279" s="103">
        <f>IF($X279&gt;0,INDEX('CostModel Coef'!D$13:D$16,$X279),"")</f>
        <v>2.1320000000000001</v>
      </c>
      <c r="AU279" s="103">
        <f>IF($X279&gt;0,INDEX('CostModel Coef'!E$13:E$16,$X279),"")</f>
        <v>0.23699999999999999</v>
      </c>
      <c r="AV279" s="103">
        <f>IF($X279&gt;0,INDEX('CostModel Coef'!F$13:F$16,$X279),"")</f>
        <v>0.59899999999999998</v>
      </c>
      <c r="AW279" s="103">
        <f>IF($X279&gt;0,INDEX('CostModel Coef'!G$13:G$16,$X279),"")</f>
        <v>0</v>
      </c>
      <c r="AX279" s="103">
        <f>IF($X279&gt;0,INDEX('CostModel Coef'!H$13:H$16,$X279),"")</f>
        <v>-1.69</v>
      </c>
      <c r="AY279" s="103">
        <f>IF($X279&gt;0,INDEX('CostModel Coef'!I$13:I$16,$X279),"")</f>
        <v>-1.1599999999999999</v>
      </c>
      <c r="AZ279" s="103">
        <f>IF($X279&gt;0,INDEX('CostModel Coef'!J$13:J$16,$X279),"")</f>
        <v>0</v>
      </c>
      <c r="BA279" s="103">
        <f>IF($X279&gt;0,INDEX('CostModel Coef'!K$13:K$16,$X279),"")</f>
        <v>-2.4630000000000001</v>
      </c>
      <c r="BB279" s="103">
        <f>IF($X279&gt;0,INDEX('CostModel Coef'!L$13:L$16,$X279),"")</f>
        <v>0.46179999999999999</v>
      </c>
      <c r="BC279" s="103">
        <f>IF($X279&gt;0,INDEX('CostModel Coef'!M$13:M$16,$X279),"")</f>
        <v>0</v>
      </c>
      <c r="BD279" s="103">
        <f>IF($X279&gt;0,INDEX('CostModel Coef'!N$13:N$16,$X279),"")</f>
        <v>0.19869999999999999</v>
      </c>
      <c r="BE279" s="103">
        <f>IF($X279&gt;0,INDEX('CostModel Coef'!O$13:O$16,$X279),"")</f>
        <v>0.6</v>
      </c>
      <c r="BF279" s="103">
        <f>IF($X279&gt;0,INDEX('CostModel Coef'!P$13:P$16,$X279),"")</f>
        <v>15</v>
      </c>
      <c r="BG279" s="103">
        <f>IF($X279&gt;0,INDEX('CostModel Coef'!Q$13:Q$16,$X279),"")</f>
        <v>0</v>
      </c>
      <c r="BH279" s="103">
        <f>IF($X279&gt;0,INDEX('CostModel Coef'!R$13:R$16,$X279),"")</f>
        <v>3</v>
      </c>
      <c r="BI279" s="103">
        <f>IF($X279&gt;0,INDEX('CostModel Coef'!S$13:S$16,$X279),"")</f>
        <v>150</v>
      </c>
      <c r="BJ279" s="103">
        <f>IF($X279&gt;0,INDEX('CostModel Coef'!T$13:T$16,$X279),"")</f>
        <v>0</v>
      </c>
      <c r="BK279" s="103">
        <f>IF($X279&gt;0,INDEX('CostModel Coef'!U$13:U$16,$X279),"")</f>
        <v>9.1999999999999998E-3</v>
      </c>
      <c r="BL279" s="103">
        <f>IF($X279&gt;0,INDEX('CostModel Coef'!V$13:V$16,$X279),"")</f>
        <v>-8.8000000000000005E-3</v>
      </c>
      <c r="BM279" s="103">
        <f>IF($X279&gt;0,INDEX('CostModel Coef'!W$13:W$16,$X279),"")</f>
        <v>0</v>
      </c>
      <c r="BN279" s="103">
        <f>IF($X279&gt;0,INDEX('CostModel Coef'!X$13:X$16,$X279),"")</f>
        <v>0</v>
      </c>
      <c r="BO279" s="103"/>
      <c r="BP279" s="119">
        <v>2000</v>
      </c>
      <c r="BQ279" s="103"/>
      <c r="BR279" s="103"/>
      <c r="BS279" s="119" t="str">
        <f t="shared" si="112"/>
        <v>WRR0347_CFLscw(6w)</v>
      </c>
      <c r="BT279" s="174">
        <f t="shared" si="104"/>
        <v>21</v>
      </c>
      <c r="BU279" s="113">
        <f t="shared" si="114"/>
        <v>0.90240000000000009</v>
      </c>
      <c r="BV279" s="108">
        <f t="shared" si="115"/>
        <v>3.3654000000000002</v>
      </c>
      <c r="BW279" s="108">
        <f t="shared" si="116"/>
        <v>1.6754000000000002</v>
      </c>
      <c r="BX279" s="108">
        <f t="shared" si="117"/>
        <v>0.5154000000000003</v>
      </c>
      <c r="BY279" s="108">
        <f t="shared" si="118"/>
        <v>0.5154000000000003</v>
      </c>
      <c r="BZ279" s="108"/>
      <c r="CA279" s="119" t="str">
        <f t="shared" si="119"/>
        <v>WRR0407_CFLscw(6w)</v>
      </c>
      <c r="CB279" s="174">
        <f t="shared" si="110"/>
        <v>24</v>
      </c>
      <c r="CC279" s="113">
        <f t="shared" si="120"/>
        <v>0.90240000000000009</v>
      </c>
      <c r="CD279" s="108">
        <f t="shared" si="121"/>
        <v>3.3654000000000002</v>
      </c>
      <c r="CE279" s="108">
        <f t="shared" si="122"/>
        <v>1.6754000000000002</v>
      </c>
      <c r="CF279" s="108">
        <f t="shared" si="123"/>
        <v>0.5154000000000003</v>
      </c>
      <c r="CG279" s="108">
        <f t="shared" si="124"/>
        <v>0.5154000000000003</v>
      </c>
      <c r="CH279" s="103"/>
      <c r="CI279" s="119" t="str">
        <f t="shared" si="113"/>
        <v>WRR0347_CFLscw(6w)</v>
      </c>
      <c r="CJ279" s="174">
        <f t="shared" si="111"/>
        <v>21</v>
      </c>
      <c r="CK279" s="113">
        <f t="shared" si="125"/>
        <v>0.90240000000000009</v>
      </c>
      <c r="CL279" s="108">
        <f t="shared" si="126"/>
        <v>3.3654000000000002</v>
      </c>
      <c r="CM279" s="108">
        <f t="shared" si="127"/>
        <v>1.6754000000000002</v>
      </c>
      <c r="CN279" s="108">
        <f t="shared" si="128"/>
        <v>0.5154000000000003</v>
      </c>
      <c r="CO279" s="108">
        <f t="shared" si="129"/>
        <v>0.5154000000000003</v>
      </c>
    </row>
    <row r="280" spans="1:93">
      <c r="A280" s="103" t="s">
        <v>778</v>
      </c>
      <c r="B280" s="103" t="s">
        <v>174</v>
      </c>
      <c r="C280" s="103" t="s">
        <v>153</v>
      </c>
      <c r="D280" s="250" t="s">
        <v>153</v>
      </c>
      <c r="E280" s="250"/>
      <c r="F280" s="182">
        <v>9020</v>
      </c>
      <c r="G280" s="250" t="s">
        <v>175</v>
      </c>
      <c r="H280" s="250">
        <v>70</v>
      </c>
      <c r="I280" s="250"/>
      <c r="J280" s="250"/>
      <c r="K280" s="250"/>
      <c r="L280" s="250" t="s">
        <v>61</v>
      </c>
      <c r="M280" s="250">
        <v>70</v>
      </c>
      <c r="N280" s="250"/>
      <c r="O280" s="250"/>
      <c r="P280" s="250" t="s">
        <v>153</v>
      </c>
      <c r="Q280" s="250"/>
      <c r="R280" s="250"/>
      <c r="S280" s="250"/>
      <c r="T280" s="250" t="s">
        <v>155</v>
      </c>
      <c r="U280" s="103" t="s">
        <v>779</v>
      </c>
      <c r="V280" s="106" t="s">
        <v>157</v>
      </c>
      <c r="W280" s="103" t="s">
        <v>158</v>
      </c>
      <c r="X280" s="103">
        <f>IFERROR(MATCH(W280,'CostModel Coef'!$C$9:$C$12,0),0)</f>
        <v>0</v>
      </c>
      <c r="Y280" s="103"/>
      <c r="Z280" s="103" t="str">
        <f>IF($X280&gt;0,INDEX('CostModel Coef'!D$9:D$12,$X280),"")</f>
        <v/>
      </c>
      <c r="AA280" s="103" t="str">
        <f>IF($X280&gt;0,INDEX('CostModel Coef'!E$9:E$12,$X280),"")</f>
        <v/>
      </c>
      <c r="AB280" s="103" t="str">
        <f>IF($X280&gt;0,INDEX('CostModel Coef'!F$9:F$12,$X280),"")</f>
        <v/>
      </c>
      <c r="AC280" s="103" t="str">
        <f>IF($X280&gt;0,INDEX('CostModel Coef'!G$9:G$12,$X280),"")</f>
        <v/>
      </c>
      <c r="AD280" s="103" t="str">
        <f>IF($X280&gt;0,INDEX('CostModel Coef'!H$9:H$12,$X280),"")</f>
        <v/>
      </c>
      <c r="AE280" s="103" t="str">
        <f>IF($X280&gt;0,INDEX('CostModel Coef'!J$9:J$12,$X280),"")</f>
        <v/>
      </c>
      <c r="AF280" s="103" t="str">
        <f>IF($X280&gt;0,INDEX('CostModel Coef'!K$9:K$12,$X280),"")</f>
        <v/>
      </c>
      <c r="AG280" s="103" t="str">
        <f>IF($X280&gt;0,INDEX('CostModel Coef'!L$9:L$12,$X280),"")</f>
        <v/>
      </c>
      <c r="AH280" s="103" t="str">
        <f>IF($X280&gt;0,INDEX('CostModel Coef'!M$9:M$12,$X280),"")</f>
        <v/>
      </c>
      <c r="AI280" s="103" t="str">
        <f>IF($X280&gt;0,INDEX('CostModel Coef'!N$9:N$12,$X280),"")</f>
        <v/>
      </c>
      <c r="AJ280" s="103" t="str">
        <f>IF($X280&gt;0,INDEX('CostModel Coef'!Q$9:Q$12,$X280),"")</f>
        <v/>
      </c>
      <c r="AK280" s="103" t="str">
        <f>IF($X280&gt;0,INDEX('CostModel Coef'!T$9:T$12,$X280),"")</f>
        <v/>
      </c>
      <c r="AL280" s="103"/>
      <c r="AM280" s="108" t="str">
        <f t="shared" si="105"/>
        <v/>
      </c>
      <c r="AN280" s="108" t="str">
        <f t="shared" si="106"/>
        <v/>
      </c>
      <c r="AO280" s="108" t="str">
        <f t="shared" si="107"/>
        <v/>
      </c>
      <c r="AP280" s="108" t="str">
        <f t="shared" si="108"/>
        <v/>
      </c>
      <c r="AQ280" s="108" t="str">
        <f t="shared" si="109"/>
        <v/>
      </c>
      <c r="AR280" s="108"/>
      <c r="AS280" s="108"/>
      <c r="AT280" s="103" t="str">
        <f>IF($X280&gt;0,INDEX('CostModel Coef'!D$13:D$16,$X280),"")</f>
        <v/>
      </c>
      <c r="AU280" s="103" t="str">
        <f>IF($X280&gt;0,INDEX('CostModel Coef'!E$13:E$16,$X280),"")</f>
        <v/>
      </c>
      <c r="AV280" s="103" t="str">
        <f>IF($X280&gt;0,INDEX('CostModel Coef'!F$13:F$16,$X280),"")</f>
        <v/>
      </c>
      <c r="AW280" s="103" t="str">
        <f>IF($X280&gt;0,INDEX('CostModel Coef'!G$13:G$16,$X280),"")</f>
        <v/>
      </c>
      <c r="AX280" s="103" t="str">
        <f>IF($X280&gt;0,INDEX('CostModel Coef'!H$13:H$16,$X280),"")</f>
        <v/>
      </c>
      <c r="AY280" s="103" t="str">
        <f>IF($X280&gt;0,INDEX('CostModel Coef'!I$13:I$16,$X280),"")</f>
        <v/>
      </c>
      <c r="AZ280" s="103" t="str">
        <f>IF($X280&gt;0,INDEX('CostModel Coef'!J$13:J$16,$X280),"")</f>
        <v/>
      </c>
      <c r="BA280" s="103" t="str">
        <f>IF($X280&gt;0,INDEX('CostModel Coef'!K$13:K$16,$X280),"")</f>
        <v/>
      </c>
      <c r="BB280" s="103" t="str">
        <f>IF($X280&gt;0,INDEX('CostModel Coef'!L$13:L$16,$X280),"")</f>
        <v/>
      </c>
      <c r="BC280" s="103" t="str">
        <f>IF($X280&gt;0,INDEX('CostModel Coef'!M$13:M$16,$X280),"")</f>
        <v/>
      </c>
      <c r="BD280" s="103" t="str">
        <f>IF($X280&gt;0,INDEX('CostModel Coef'!N$13:N$16,$X280),"")</f>
        <v/>
      </c>
      <c r="BE280" s="103" t="str">
        <f>IF($X280&gt;0,INDEX('CostModel Coef'!O$13:O$16,$X280),"")</f>
        <v/>
      </c>
      <c r="BF280" s="103" t="str">
        <f>IF($X280&gt;0,INDEX('CostModel Coef'!P$13:P$16,$X280),"")</f>
        <v/>
      </c>
      <c r="BG280" s="103" t="str">
        <f>IF($X280&gt;0,INDEX('CostModel Coef'!Q$13:Q$16,$X280),"")</f>
        <v/>
      </c>
      <c r="BH280" s="103" t="str">
        <f>IF($X280&gt;0,INDEX('CostModel Coef'!R$13:R$16,$X280),"")</f>
        <v/>
      </c>
      <c r="BI280" s="103" t="str">
        <f>IF($X280&gt;0,INDEX('CostModel Coef'!S$13:S$16,$X280),"")</f>
        <v/>
      </c>
      <c r="BJ280" s="103" t="str">
        <f>IF($X280&gt;0,INDEX('CostModel Coef'!T$13:T$16,$X280),"")</f>
        <v/>
      </c>
      <c r="BK280" s="103" t="str">
        <f>IF($X280&gt;0,INDEX('CostModel Coef'!U$13:U$16,$X280),"")</f>
        <v/>
      </c>
      <c r="BL280" s="103" t="str">
        <f>IF($X280&gt;0,INDEX('CostModel Coef'!V$13:V$16,$X280),"")</f>
        <v/>
      </c>
      <c r="BM280" s="103" t="str">
        <f>IF($X280&gt;0,INDEX('CostModel Coef'!W$13:W$16,$X280),"")</f>
        <v/>
      </c>
      <c r="BN280" s="103" t="str">
        <f>IF($X280&gt;0,INDEX('CostModel Coef'!X$13:X$16,$X280),"")</f>
        <v/>
      </c>
      <c r="BO280" s="103"/>
      <c r="BP280" s="119">
        <v>2000</v>
      </c>
      <c r="BQ280" s="103"/>
      <c r="BR280" s="103"/>
      <c r="BS280" s="119" t="str">
        <f t="shared" si="112"/>
        <v/>
      </c>
      <c r="BT280" s="174">
        <f t="shared" si="104"/>
        <v>-1</v>
      </c>
      <c r="BU280" s="113" t="str">
        <f t="shared" si="114"/>
        <v>OOS</v>
      </c>
      <c r="BV280" s="108" t="str">
        <f t="shared" si="115"/>
        <v>OOS</v>
      </c>
      <c r="BW280" s="108" t="str">
        <f t="shared" si="116"/>
        <v>OOS</v>
      </c>
      <c r="BX280" s="108" t="str">
        <f t="shared" si="117"/>
        <v>OOS</v>
      </c>
      <c r="BY280" s="108" t="str">
        <f t="shared" si="118"/>
        <v>OOS</v>
      </c>
      <c r="BZ280" s="108"/>
      <c r="CA280" s="119" t="str">
        <f t="shared" si="119"/>
        <v/>
      </c>
      <c r="CB280" s="174">
        <f t="shared" si="110"/>
        <v>-1</v>
      </c>
      <c r="CC280" s="113" t="str">
        <f t="shared" si="120"/>
        <v/>
      </c>
      <c r="CD280" s="108" t="str">
        <f t="shared" si="121"/>
        <v/>
      </c>
      <c r="CE280" s="108" t="str">
        <f t="shared" si="122"/>
        <v/>
      </c>
      <c r="CF280" s="108" t="str">
        <f t="shared" si="123"/>
        <v/>
      </c>
      <c r="CG280" s="108" t="str">
        <f t="shared" si="124"/>
        <v/>
      </c>
      <c r="CH280" s="103"/>
      <c r="CI280" s="119" t="str">
        <f t="shared" si="113"/>
        <v/>
      </c>
      <c r="CJ280" s="174">
        <f t="shared" si="111"/>
        <v>-1</v>
      </c>
      <c r="CK280" s="113" t="str">
        <f t="shared" si="125"/>
        <v/>
      </c>
      <c r="CL280" s="108" t="str">
        <f t="shared" si="126"/>
        <v/>
      </c>
      <c r="CM280" s="108" t="str">
        <f t="shared" si="127"/>
        <v/>
      </c>
      <c r="CN280" s="108" t="str">
        <f t="shared" si="128"/>
        <v/>
      </c>
      <c r="CO280" s="108" t="str">
        <f t="shared" si="129"/>
        <v/>
      </c>
    </row>
    <row r="281" spans="1:93">
      <c r="A281" s="103" t="s">
        <v>780</v>
      </c>
      <c r="B281" s="103" t="s">
        <v>174</v>
      </c>
      <c r="C281" s="103" t="s">
        <v>153</v>
      </c>
      <c r="D281" s="250" t="s">
        <v>153</v>
      </c>
      <c r="E281" s="250"/>
      <c r="F281" s="182">
        <v>9020</v>
      </c>
      <c r="G281" s="250" t="s">
        <v>175</v>
      </c>
      <c r="H281" s="250">
        <v>72</v>
      </c>
      <c r="I281" s="250"/>
      <c r="J281" s="250"/>
      <c r="K281" s="250"/>
      <c r="L281" s="250" t="s">
        <v>61</v>
      </c>
      <c r="M281" s="250">
        <v>72</v>
      </c>
      <c r="N281" s="250"/>
      <c r="O281" s="250"/>
      <c r="P281" s="250" t="s">
        <v>153</v>
      </c>
      <c r="Q281" s="250"/>
      <c r="R281" s="250"/>
      <c r="S281" s="250"/>
      <c r="T281" s="250" t="s">
        <v>155</v>
      </c>
      <c r="U281" s="103" t="s">
        <v>781</v>
      </c>
      <c r="V281" s="106" t="s">
        <v>157</v>
      </c>
      <c r="W281" s="103" t="s">
        <v>158</v>
      </c>
      <c r="X281" s="103">
        <f>IFERROR(MATCH(W281,'CostModel Coef'!$C$9:$C$12,0),0)</f>
        <v>0</v>
      </c>
      <c r="Y281" s="103"/>
      <c r="Z281" s="103" t="str">
        <f>IF($X281&gt;0,INDEX('CostModel Coef'!D$9:D$12,$X281),"")</f>
        <v/>
      </c>
      <c r="AA281" s="103" t="str">
        <f>IF($X281&gt;0,INDEX('CostModel Coef'!E$9:E$12,$X281),"")</f>
        <v/>
      </c>
      <c r="AB281" s="103" t="str">
        <f>IF($X281&gt;0,INDEX('CostModel Coef'!F$9:F$12,$X281),"")</f>
        <v/>
      </c>
      <c r="AC281" s="103" t="str">
        <f>IF($X281&gt;0,INDEX('CostModel Coef'!G$9:G$12,$X281),"")</f>
        <v/>
      </c>
      <c r="AD281" s="103" t="str">
        <f>IF($X281&gt;0,INDEX('CostModel Coef'!H$9:H$12,$X281),"")</f>
        <v/>
      </c>
      <c r="AE281" s="103" t="str">
        <f>IF($X281&gt;0,INDEX('CostModel Coef'!J$9:J$12,$X281),"")</f>
        <v/>
      </c>
      <c r="AF281" s="103" t="str">
        <f>IF($X281&gt;0,INDEX('CostModel Coef'!K$9:K$12,$X281),"")</f>
        <v/>
      </c>
      <c r="AG281" s="103" t="str">
        <f>IF($X281&gt;0,INDEX('CostModel Coef'!L$9:L$12,$X281),"")</f>
        <v/>
      </c>
      <c r="AH281" s="103" t="str">
        <f>IF($X281&gt;0,INDEX('CostModel Coef'!M$9:M$12,$X281),"")</f>
        <v/>
      </c>
      <c r="AI281" s="103" t="str">
        <f>IF($X281&gt;0,INDEX('CostModel Coef'!N$9:N$12,$X281),"")</f>
        <v/>
      </c>
      <c r="AJ281" s="103" t="str">
        <f>IF($X281&gt;0,INDEX('CostModel Coef'!Q$9:Q$12,$X281),"")</f>
        <v/>
      </c>
      <c r="AK281" s="103" t="str">
        <f>IF($X281&gt;0,INDEX('CostModel Coef'!T$9:T$12,$X281),"")</f>
        <v/>
      </c>
      <c r="AL281" s="103"/>
      <c r="AM281" s="108" t="str">
        <f t="shared" si="105"/>
        <v/>
      </c>
      <c r="AN281" s="108" t="str">
        <f t="shared" si="106"/>
        <v/>
      </c>
      <c r="AO281" s="108" t="str">
        <f t="shared" si="107"/>
        <v/>
      </c>
      <c r="AP281" s="108" t="str">
        <f t="shared" si="108"/>
        <v/>
      </c>
      <c r="AQ281" s="108" t="str">
        <f t="shared" si="109"/>
        <v/>
      </c>
      <c r="AR281" s="108"/>
      <c r="AS281" s="108"/>
      <c r="AT281" s="103" t="str">
        <f>IF($X281&gt;0,INDEX('CostModel Coef'!D$13:D$16,$X281),"")</f>
        <v/>
      </c>
      <c r="AU281" s="103" t="str">
        <f>IF($X281&gt;0,INDEX('CostModel Coef'!E$13:E$16,$X281),"")</f>
        <v/>
      </c>
      <c r="AV281" s="103" t="str">
        <f>IF($X281&gt;0,INDEX('CostModel Coef'!F$13:F$16,$X281),"")</f>
        <v/>
      </c>
      <c r="AW281" s="103" t="str">
        <f>IF($X281&gt;0,INDEX('CostModel Coef'!G$13:G$16,$X281),"")</f>
        <v/>
      </c>
      <c r="AX281" s="103" t="str">
        <f>IF($X281&gt;0,INDEX('CostModel Coef'!H$13:H$16,$X281),"")</f>
        <v/>
      </c>
      <c r="AY281" s="103" t="str">
        <f>IF($X281&gt;0,INDEX('CostModel Coef'!I$13:I$16,$X281),"")</f>
        <v/>
      </c>
      <c r="AZ281" s="103" t="str">
        <f>IF($X281&gt;0,INDEX('CostModel Coef'!J$13:J$16,$X281),"")</f>
        <v/>
      </c>
      <c r="BA281" s="103" t="str">
        <f>IF($X281&gt;0,INDEX('CostModel Coef'!K$13:K$16,$X281),"")</f>
        <v/>
      </c>
      <c r="BB281" s="103" t="str">
        <f>IF($X281&gt;0,INDEX('CostModel Coef'!L$13:L$16,$X281),"")</f>
        <v/>
      </c>
      <c r="BC281" s="103" t="str">
        <f>IF($X281&gt;0,INDEX('CostModel Coef'!M$13:M$16,$X281),"")</f>
        <v/>
      </c>
      <c r="BD281" s="103" t="str">
        <f>IF($X281&gt;0,INDEX('CostModel Coef'!N$13:N$16,$X281),"")</f>
        <v/>
      </c>
      <c r="BE281" s="103" t="str">
        <f>IF($X281&gt;0,INDEX('CostModel Coef'!O$13:O$16,$X281),"")</f>
        <v/>
      </c>
      <c r="BF281" s="103" t="str">
        <f>IF($X281&gt;0,INDEX('CostModel Coef'!P$13:P$16,$X281),"")</f>
        <v/>
      </c>
      <c r="BG281" s="103" t="str">
        <f>IF($X281&gt;0,INDEX('CostModel Coef'!Q$13:Q$16,$X281),"")</f>
        <v/>
      </c>
      <c r="BH281" s="103" t="str">
        <f>IF($X281&gt;0,INDEX('CostModel Coef'!R$13:R$16,$X281),"")</f>
        <v/>
      </c>
      <c r="BI281" s="103" t="str">
        <f>IF($X281&gt;0,INDEX('CostModel Coef'!S$13:S$16,$X281),"")</f>
        <v/>
      </c>
      <c r="BJ281" s="103" t="str">
        <f>IF($X281&gt;0,INDEX('CostModel Coef'!T$13:T$16,$X281),"")</f>
        <v/>
      </c>
      <c r="BK281" s="103" t="str">
        <f>IF($X281&gt;0,INDEX('CostModel Coef'!U$13:U$16,$X281),"")</f>
        <v/>
      </c>
      <c r="BL281" s="103" t="str">
        <f>IF($X281&gt;0,INDEX('CostModel Coef'!V$13:V$16,$X281),"")</f>
        <v/>
      </c>
      <c r="BM281" s="103" t="str">
        <f>IF($X281&gt;0,INDEX('CostModel Coef'!W$13:W$16,$X281),"")</f>
        <v/>
      </c>
      <c r="BN281" s="103" t="str">
        <f>IF($X281&gt;0,INDEX('CostModel Coef'!X$13:X$16,$X281),"")</f>
        <v/>
      </c>
      <c r="BO281" s="103"/>
      <c r="BP281" s="119">
        <v>2000</v>
      </c>
      <c r="BQ281" s="103"/>
      <c r="BR281" s="103"/>
      <c r="BS281" s="119" t="str">
        <f t="shared" si="112"/>
        <v/>
      </c>
      <c r="BT281" s="174">
        <f t="shared" si="104"/>
        <v>-1</v>
      </c>
      <c r="BU281" s="113" t="str">
        <f t="shared" si="114"/>
        <v>OOS</v>
      </c>
      <c r="BV281" s="108" t="str">
        <f t="shared" si="115"/>
        <v>OOS</v>
      </c>
      <c r="BW281" s="108" t="str">
        <f t="shared" si="116"/>
        <v>OOS</v>
      </c>
      <c r="BX281" s="108" t="str">
        <f t="shared" si="117"/>
        <v>OOS</v>
      </c>
      <c r="BY281" s="108" t="str">
        <f t="shared" si="118"/>
        <v>OOS</v>
      </c>
      <c r="BZ281" s="108"/>
      <c r="CA281" s="119" t="str">
        <f t="shared" si="119"/>
        <v/>
      </c>
      <c r="CB281" s="174">
        <f t="shared" si="110"/>
        <v>-1</v>
      </c>
      <c r="CC281" s="113" t="str">
        <f t="shared" si="120"/>
        <v/>
      </c>
      <c r="CD281" s="108" t="str">
        <f t="shared" si="121"/>
        <v/>
      </c>
      <c r="CE281" s="108" t="str">
        <f t="shared" si="122"/>
        <v/>
      </c>
      <c r="CF281" s="108" t="str">
        <f t="shared" si="123"/>
        <v/>
      </c>
      <c r="CG281" s="108" t="str">
        <f t="shared" si="124"/>
        <v/>
      </c>
      <c r="CH281" s="103"/>
      <c r="CI281" s="119" t="str">
        <f t="shared" si="113"/>
        <v/>
      </c>
      <c r="CJ281" s="174">
        <f t="shared" si="111"/>
        <v>-1</v>
      </c>
      <c r="CK281" s="113" t="str">
        <f t="shared" si="125"/>
        <v/>
      </c>
      <c r="CL281" s="108" t="str">
        <f t="shared" si="126"/>
        <v/>
      </c>
      <c r="CM281" s="108" t="str">
        <f t="shared" si="127"/>
        <v/>
      </c>
      <c r="CN281" s="108" t="str">
        <f t="shared" si="128"/>
        <v/>
      </c>
      <c r="CO281" s="108" t="str">
        <f t="shared" si="129"/>
        <v/>
      </c>
    </row>
    <row r="282" spans="1:93">
      <c r="A282" s="103" t="s">
        <v>782</v>
      </c>
      <c r="B282" s="103" t="s">
        <v>174</v>
      </c>
      <c r="C282" s="103" t="s">
        <v>153</v>
      </c>
      <c r="D282" s="250" t="s">
        <v>153</v>
      </c>
      <c r="E282" s="250"/>
      <c r="F282" s="182">
        <v>9020</v>
      </c>
      <c r="G282" s="250" t="s">
        <v>175</v>
      </c>
      <c r="H282" s="250">
        <v>78</v>
      </c>
      <c r="I282" s="250"/>
      <c r="J282" s="250"/>
      <c r="K282" s="250"/>
      <c r="L282" s="250" t="s">
        <v>61</v>
      </c>
      <c r="M282" s="250">
        <v>78</v>
      </c>
      <c r="N282" s="250"/>
      <c r="O282" s="250"/>
      <c r="P282" s="250" t="s">
        <v>153</v>
      </c>
      <c r="Q282" s="250"/>
      <c r="R282" s="250"/>
      <c r="S282" s="250"/>
      <c r="T282" s="250" t="s">
        <v>155</v>
      </c>
      <c r="U282" s="103" t="s">
        <v>783</v>
      </c>
      <c r="V282" s="106" t="s">
        <v>157</v>
      </c>
      <c r="W282" s="103" t="s">
        <v>158</v>
      </c>
      <c r="X282" s="103">
        <f>IFERROR(MATCH(W282,'CostModel Coef'!$C$9:$C$12,0),0)</f>
        <v>0</v>
      </c>
      <c r="Y282" s="103"/>
      <c r="Z282" s="103" t="str">
        <f>IF($X282&gt;0,INDEX('CostModel Coef'!D$9:D$12,$X282),"")</f>
        <v/>
      </c>
      <c r="AA282" s="103" t="str">
        <f>IF($X282&gt;0,INDEX('CostModel Coef'!E$9:E$12,$X282),"")</f>
        <v/>
      </c>
      <c r="AB282" s="103" t="str">
        <f>IF($X282&gt;0,INDEX('CostModel Coef'!F$9:F$12,$X282),"")</f>
        <v/>
      </c>
      <c r="AC282" s="103" t="str">
        <f>IF($X282&gt;0,INDEX('CostModel Coef'!G$9:G$12,$X282),"")</f>
        <v/>
      </c>
      <c r="AD282" s="103" t="str">
        <f>IF($X282&gt;0,INDEX('CostModel Coef'!H$9:H$12,$X282),"")</f>
        <v/>
      </c>
      <c r="AE282" s="103" t="str">
        <f>IF($X282&gt;0,INDEX('CostModel Coef'!J$9:J$12,$X282),"")</f>
        <v/>
      </c>
      <c r="AF282" s="103" t="str">
        <f>IF($X282&gt;0,INDEX('CostModel Coef'!K$9:K$12,$X282),"")</f>
        <v/>
      </c>
      <c r="AG282" s="103" t="str">
        <f>IF($X282&gt;0,INDEX('CostModel Coef'!L$9:L$12,$X282),"")</f>
        <v/>
      </c>
      <c r="AH282" s="103" t="str">
        <f>IF($X282&gt;0,INDEX('CostModel Coef'!M$9:M$12,$X282),"")</f>
        <v/>
      </c>
      <c r="AI282" s="103" t="str">
        <f>IF($X282&gt;0,INDEX('CostModel Coef'!N$9:N$12,$X282),"")</f>
        <v/>
      </c>
      <c r="AJ282" s="103" t="str">
        <f>IF($X282&gt;0,INDEX('CostModel Coef'!Q$9:Q$12,$X282),"")</f>
        <v/>
      </c>
      <c r="AK282" s="103" t="str">
        <f>IF($X282&gt;0,INDEX('CostModel Coef'!T$9:T$12,$X282),"")</f>
        <v/>
      </c>
      <c r="AL282" s="103"/>
      <c r="AM282" s="108" t="str">
        <f t="shared" si="105"/>
        <v/>
      </c>
      <c r="AN282" s="108" t="str">
        <f t="shared" si="106"/>
        <v/>
      </c>
      <c r="AO282" s="108" t="str">
        <f t="shared" si="107"/>
        <v/>
      </c>
      <c r="AP282" s="108" t="str">
        <f t="shared" si="108"/>
        <v/>
      </c>
      <c r="AQ282" s="108" t="str">
        <f t="shared" si="109"/>
        <v/>
      </c>
      <c r="AR282" s="108"/>
      <c r="AS282" s="108"/>
      <c r="AT282" s="103" t="str">
        <f>IF($X282&gt;0,INDEX('CostModel Coef'!D$13:D$16,$X282),"")</f>
        <v/>
      </c>
      <c r="AU282" s="103" t="str">
        <f>IF($X282&gt;0,INDEX('CostModel Coef'!E$13:E$16,$X282),"")</f>
        <v/>
      </c>
      <c r="AV282" s="103" t="str">
        <f>IF($X282&gt;0,INDEX('CostModel Coef'!F$13:F$16,$X282),"")</f>
        <v/>
      </c>
      <c r="AW282" s="103" t="str">
        <f>IF($X282&gt;0,INDEX('CostModel Coef'!G$13:G$16,$X282),"")</f>
        <v/>
      </c>
      <c r="AX282" s="103" t="str">
        <f>IF($X282&gt;0,INDEX('CostModel Coef'!H$13:H$16,$X282),"")</f>
        <v/>
      </c>
      <c r="AY282" s="103" t="str">
        <f>IF($X282&gt;0,INDEX('CostModel Coef'!I$13:I$16,$X282),"")</f>
        <v/>
      </c>
      <c r="AZ282" s="103" t="str">
        <f>IF($X282&gt;0,INDEX('CostModel Coef'!J$13:J$16,$X282),"")</f>
        <v/>
      </c>
      <c r="BA282" s="103" t="str">
        <f>IF($X282&gt;0,INDEX('CostModel Coef'!K$13:K$16,$X282),"")</f>
        <v/>
      </c>
      <c r="BB282" s="103" t="str">
        <f>IF($X282&gt;0,INDEX('CostModel Coef'!L$13:L$16,$X282),"")</f>
        <v/>
      </c>
      <c r="BC282" s="103" t="str">
        <f>IF($X282&gt;0,INDEX('CostModel Coef'!M$13:M$16,$X282),"")</f>
        <v/>
      </c>
      <c r="BD282" s="103" t="str">
        <f>IF($X282&gt;0,INDEX('CostModel Coef'!N$13:N$16,$X282),"")</f>
        <v/>
      </c>
      <c r="BE282" s="103" t="str">
        <f>IF($X282&gt;0,INDEX('CostModel Coef'!O$13:O$16,$X282),"")</f>
        <v/>
      </c>
      <c r="BF282" s="103" t="str">
        <f>IF($X282&gt;0,INDEX('CostModel Coef'!P$13:P$16,$X282),"")</f>
        <v/>
      </c>
      <c r="BG282" s="103" t="str">
        <f>IF($X282&gt;0,INDEX('CostModel Coef'!Q$13:Q$16,$X282),"")</f>
        <v/>
      </c>
      <c r="BH282" s="103" t="str">
        <f>IF($X282&gt;0,INDEX('CostModel Coef'!R$13:R$16,$X282),"")</f>
        <v/>
      </c>
      <c r="BI282" s="103" t="str">
        <f>IF($X282&gt;0,INDEX('CostModel Coef'!S$13:S$16,$X282),"")</f>
        <v/>
      </c>
      <c r="BJ282" s="103" t="str">
        <f>IF($X282&gt;0,INDEX('CostModel Coef'!T$13:T$16,$X282),"")</f>
        <v/>
      </c>
      <c r="BK282" s="103" t="str">
        <f>IF($X282&gt;0,INDEX('CostModel Coef'!U$13:U$16,$X282),"")</f>
        <v/>
      </c>
      <c r="BL282" s="103" t="str">
        <f>IF($X282&gt;0,INDEX('CostModel Coef'!V$13:V$16,$X282),"")</f>
        <v/>
      </c>
      <c r="BM282" s="103" t="str">
        <f>IF($X282&gt;0,INDEX('CostModel Coef'!W$13:W$16,$X282),"")</f>
        <v/>
      </c>
      <c r="BN282" s="103" t="str">
        <f>IF($X282&gt;0,INDEX('CostModel Coef'!X$13:X$16,$X282),"")</f>
        <v/>
      </c>
      <c r="BO282" s="103"/>
      <c r="BP282" s="119">
        <v>2000</v>
      </c>
      <c r="BQ282" s="103"/>
      <c r="BR282" s="103"/>
      <c r="BS282" s="119" t="str">
        <f t="shared" si="112"/>
        <v/>
      </c>
      <c r="BT282" s="174">
        <f t="shared" si="104"/>
        <v>-1</v>
      </c>
      <c r="BU282" s="113" t="str">
        <f t="shared" si="114"/>
        <v>OOS</v>
      </c>
      <c r="BV282" s="108" t="str">
        <f t="shared" si="115"/>
        <v>OOS</v>
      </c>
      <c r="BW282" s="108" t="str">
        <f t="shared" si="116"/>
        <v>OOS</v>
      </c>
      <c r="BX282" s="108" t="str">
        <f t="shared" si="117"/>
        <v>OOS</v>
      </c>
      <c r="BY282" s="108" t="str">
        <f t="shared" si="118"/>
        <v>OOS</v>
      </c>
      <c r="BZ282" s="108"/>
      <c r="CA282" s="119" t="str">
        <f t="shared" si="119"/>
        <v/>
      </c>
      <c r="CB282" s="174">
        <f t="shared" si="110"/>
        <v>-1</v>
      </c>
      <c r="CC282" s="113" t="str">
        <f t="shared" si="120"/>
        <v/>
      </c>
      <c r="CD282" s="108" t="str">
        <f t="shared" si="121"/>
        <v/>
      </c>
      <c r="CE282" s="108" t="str">
        <f t="shared" si="122"/>
        <v/>
      </c>
      <c r="CF282" s="108" t="str">
        <f t="shared" si="123"/>
        <v/>
      </c>
      <c r="CG282" s="108" t="str">
        <f t="shared" si="124"/>
        <v/>
      </c>
      <c r="CH282" s="103"/>
      <c r="CI282" s="119" t="str">
        <f t="shared" si="113"/>
        <v/>
      </c>
      <c r="CJ282" s="174">
        <f t="shared" si="111"/>
        <v>-1</v>
      </c>
      <c r="CK282" s="113" t="str">
        <f t="shared" si="125"/>
        <v/>
      </c>
      <c r="CL282" s="108" t="str">
        <f t="shared" si="126"/>
        <v/>
      </c>
      <c r="CM282" s="108" t="str">
        <f t="shared" si="127"/>
        <v/>
      </c>
      <c r="CN282" s="108" t="str">
        <f t="shared" si="128"/>
        <v/>
      </c>
      <c r="CO282" s="108" t="str">
        <f t="shared" si="129"/>
        <v/>
      </c>
    </row>
    <row r="283" spans="1:93">
      <c r="A283" s="103" t="s">
        <v>784</v>
      </c>
      <c r="B283" s="103" t="s">
        <v>165</v>
      </c>
      <c r="C283" s="103" t="s">
        <v>152</v>
      </c>
      <c r="D283" s="250" t="s">
        <v>153</v>
      </c>
      <c r="E283" s="250">
        <v>82</v>
      </c>
      <c r="F283" s="182">
        <v>9020</v>
      </c>
      <c r="G283" s="250" t="s">
        <v>175</v>
      </c>
      <c r="H283" s="250">
        <v>7</v>
      </c>
      <c r="I283" s="250">
        <v>296</v>
      </c>
      <c r="J283" s="250">
        <v>370</v>
      </c>
      <c r="K283" s="250" t="s">
        <v>785</v>
      </c>
      <c r="L283" s="250" t="s">
        <v>61</v>
      </c>
      <c r="M283" s="250">
        <v>7</v>
      </c>
      <c r="N283" s="250"/>
      <c r="O283" s="250"/>
      <c r="P283" s="250" t="s">
        <v>153</v>
      </c>
      <c r="Q283" s="250"/>
      <c r="R283" s="250"/>
      <c r="S283" s="250"/>
      <c r="T283" s="250" t="s">
        <v>155</v>
      </c>
      <c r="U283" s="103" t="s">
        <v>786</v>
      </c>
      <c r="V283" s="106" t="s">
        <v>157</v>
      </c>
      <c r="W283" s="103" t="s">
        <v>81</v>
      </c>
      <c r="X283" s="103">
        <f>IFERROR(MATCH(W283,'CostModel Coef'!$C$9:$C$12,0),0)</f>
        <v>1</v>
      </c>
      <c r="Y283" s="103"/>
      <c r="Z283" s="103">
        <f>IF($X283&gt;0,INDEX('CostModel Coef'!D$9:D$12,$X283),"")</f>
        <v>3.0430000000000001</v>
      </c>
      <c r="AA283" s="103">
        <f>IF($X283&gt;0,INDEX('CostModel Coef'!E$9:E$12,$X283),"")</f>
        <v>-0.14966150225589619</v>
      </c>
      <c r="AB283" s="103">
        <f>IF($X283&gt;0,INDEX('CostModel Coef'!F$9:F$12,$X283),"")</f>
        <v>0.52692151711335011</v>
      </c>
      <c r="AC283" s="103">
        <f>IF($X283&gt;0,INDEX('CostModel Coef'!G$9:G$12,$X283),"")</f>
        <v>1.8411</v>
      </c>
      <c r="AD283" s="103">
        <f>IF($X283&gt;0,INDEX('CostModel Coef'!H$9:H$12,$X283),"")</f>
        <v>-1.8050999999999999</v>
      </c>
      <c r="AE283" s="103">
        <f>IF($X283&gt;0,INDEX('CostModel Coef'!J$9:J$12,$X283),"")</f>
        <v>-1.1288</v>
      </c>
      <c r="AF283" s="103">
        <f>IF($X283&gt;0,INDEX('CostModel Coef'!K$9:K$12,$X283),"")</f>
        <v>-1.845</v>
      </c>
      <c r="AG283" s="103">
        <f>IF($X283&gt;0,INDEX('CostModel Coef'!L$9:L$12,$X283),"")</f>
        <v>6.7507000000000001</v>
      </c>
      <c r="AH283" s="103">
        <f>IF($X283&gt;0,INDEX('CostModel Coef'!M$9:M$12,$X283),"")</f>
        <v>5.8051000000000004</v>
      </c>
      <c r="AI283" s="103">
        <f>IF($X283&gt;0,INDEX('CostModel Coef'!N$9:N$12,$X283),"")</f>
        <v>6.1600000000000002E-2</v>
      </c>
      <c r="AJ283" s="103">
        <f>IF($X283&gt;0,INDEX('CostModel Coef'!Q$9:Q$12,$X283),"")</f>
        <v>6.6500000000000004E-2</v>
      </c>
      <c r="AK283" s="103">
        <f>IF($X283&gt;0,INDEX('CostModel Coef'!T$9:T$12,$X283),"")</f>
        <v>9.35E-2</v>
      </c>
      <c r="AL283" s="103"/>
      <c r="AM283" s="108">
        <f t="shared" si="105"/>
        <v>2.5963920148574546</v>
      </c>
      <c r="AN283" s="108">
        <f t="shared" si="106"/>
        <v>4.4413920148574544</v>
      </c>
      <c r="AO283" s="108">
        <f t="shared" si="107"/>
        <v>2.6362920148574545</v>
      </c>
      <c r="AP283" s="108">
        <f t="shared" si="108"/>
        <v>2.6362920148574545</v>
      </c>
      <c r="AQ283" s="108">
        <f t="shared" si="109"/>
        <v>1.5074920148574544</v>
      </c>
      <c r="AR283" s="108"/>
      <c r="AS283" s="108"/>
      <c r="AT283" s="103">
        <f>IF($X283&gt;0,INDEX('CostModel Coef'!D$13:D$16,$X283),"")</f>
        <v>2.1320000000000001</v>
      </c>
      <c r="AU283" s="103">
        <f>IF($X283&gt;0,INDEX('CostModel Coef'!E$13:E$16,$X283),"")</f>
        <v>0.23699999999999999</v>
      </c>
      <c r="AV283" s="103">
        <f>IF($X283&gt;0,INDEX('CostModel Coef'!F$13:F$16,$X283),"")</f>
        <v>0.59899999999999998</v>
      </c>
      <c r="AW283" s="103">
        <f>IF($X283&gt;0,INDEX('CostModel Coef'!G$13:G$16,$X283),"")</f>
        <v>0</v>
      </c>
      <c r="AX283" s="103">
        <f>IF($X283&gt;0,INDEX('CostModel Coef'!H$13:H$16,$X283),"")</f>
        <v>-1.69</v>
      </c>
      <c r="AY283" s="103">
        <f>IF($X283&gt;0,INDEX('CostModel Coef'!I$13:I$16,$X283),"")</f>
        <v>-1.1599999999999999</v>
      </c>
      <c r="AZ283" s="103">
        <f>IF($X283&gt;0,INDEX('CostModel Coef'!J$13:J$16,$X283),"")</f>
        <v>0</v>
      </c>
      <c r="BA283" s="103">
        <f>IF($X283&gt;0,INDEX('CostModel Coef'!K$13:K$16,$X283),"")</f>
        <v>-2.4630000000000001</v>
      </c>
      <c r="BB283" s="103">
        <f>IF($X283&gt;0,INDEX('CostModel Coef'!L$13:L$16,$X283),"")</f>
        <v>0.46179999999999999</v>
      </c>
      <c r="BC283" s="103">
        <f>IF($X283&gt;0,INDEX('CostModel Coef'!M$13:M$16,$X283),"")</f>
        <v>0</v>
      </c>
      <c r="BD283" s="103">
        <f>IF($X283&gt;0,INDEX('CostModel Coef'!N$13:N$16,$X283),"")</f>
        <v>0.19869999999999999</v>
      </c>
      <c r="BE283" s="103">
        <f>IF($X283&gt;0,INDEX('CostModel Coef'!O$13:O$16,$X283),"")</f>
        <v>0.6</v>
      </c>
      <c r="BF283" s="103">
        <f>IF($X283&gt;0,INDEX('CostModel Coef'!P$13:P$16,$X283),"")</f>
        <v>15</v>
      </c>
      <c r="BG283" s="103">
        <f>IF($X283&gt;0,INDEX('CostModel Coef'!Q$13:Q$16,$X283),"")</f>
        <v>0</v>
      </c>
      <c r="BH283" s="103">
        <f>IF($X283&gt;0,INDEX('CostModel Coef'!R$13:R$16,$X283),"")</f>
        <v>3</v>
      </c>
      <c r="BI283" s="103">
        <f>IF($X283&gt;0,INDEX('CostModel Coef'!S$13:S$16,$X283),"")</f>
        <v>150</v>
      </c>
      <c r="BJ283" s="103">
        <f>IF($X283&gt;0,INDEX('CostModel Coef'!T$13:T$16,$X283),"")</f>
        <v>0</v>
      </c>
      <c r="BK283" s="103">
        <f>IF($X283&gt;0,INDEX('CostModel Coef'!U$13:U$16,$X283),"")</f>
        <v>9.1999999999999998E-3</v>
      </c>
      <c r="BL283" s="103">
        <f>IF($X283&gt;0,INDEX('CostModel Coef'!V$13:V$16,$X283),"")</f>
        <v>-8.8000000000000005E-3</v>
      </c>
      <c r="BM283" s="103">
        <f>IF($X283&gt;0,INDEX('CostModel Coef'!W$13:W$16,$X283),"")</f>
        <v>0</v>
      </c>
      <c r="BN283" s="103">
        <f>IF($X283&gt;0,INDEX('CostModel Coef'!X$13:X$16,$X283),"")</f>
        <v>0</v>
      </c>
      <c r="BO283" s="103"/>
      <c r="BP283" s="119">
        <v>2000</v>
      </c>
      <c r="BQ283" s="103"/>
      <c r="BR283" s="103"/>
      <c r="BS283" s="119" t="str">
        <f t="shared" si="112"/>
        <v>WRR0347_CFLscw(7w)</v>
      </c>
      <c r="BT283" s="174">
        <f t="shared" si="104"/>
        <v>24</v>
      </c>
      <c r="BU283" s="113">
        <f t="shared" si="114"/>
        <v>0.90240000000000009</v>
      </c>
      <c r="BV283" s="108">
        <f t="shared" si="115"/>
        <v>3.3654000000000002</v>
      </c>
      <c r="BW283" s="108">
        <f t="shared" si="116"/>
        <v>1.6754000000000002</v>
      </c>
      <c r="BX283" s="108">
        <f t="shared" si="117"/>
        <v>0.5154000000000003</v>
      </c>
      <c r="BY283" s="108">
        <f t="shared" si="118"/>
        <v>0.5154000000000003</v>
      </c>
      <c r="BZ283" s="108"/>
      <c r="CA283" s="119" t="str">
        <f t="shared" si="119"/>
        <v>WRR0407_CFLscw(7w)</v>
      </c>
      <c r="CB283" s="174">
        <f t="shared" si="110"/>
        <v>28</v>
      </c>
      <c r="CC283" s="113">
        <f t="shared" si="120"/>
        <v>0.90240000000000009</v>
      </c>
      <c r="CD283" s="108">
        <f t="shared" si="121"/>
        <v>3.3654000000000002</v>
      </c>
      <c r="CE283" s="108">
        <f t="shared" si="122"/>
        <v>1.6754000000000002</v>
      </c>
      <c r="CF283" s="108">
        <f t="shared" si="123"/>
        <v>0.5154000000000003</v>
      </c>
      <c r="CG283" s="108">
        <f t="shared" si="124"/>
        <v>0.5154000000000003</v>
      </c>
      <c r="CH283" s="103"/>
      <c r="CI283" s="119" t="str">
        <f t="shared" si="113"/>
        <v>WRR0347_CFLscw(7w)</v>
      </c>
      <c r="CJ283" s="174">
        <f t="shared" si="111"/>
        <v>24</v>
      </c>
      <c r="CK283" s="113">
        <f t="shared" si="125"/>
        <v>0.90240000000000009</v>
      </c>
      <c r="CL283" s="108">
        <f t="shared" si="126"/>
        <v>3.3654000000000002</v>
      </c>
      <c r="CM283" s="108">
        <f t="shared" si="127"/>
        <v>1.6754000000000002</v>
      </c>
      <c r="CN283" s="108">
        <f t="shared" si="128"/>
        <v>0.5154000000000003</v>
      </c>
      <c r="CO283" s="108">
        <f t="shared" si="129"/>
        <v>0.5154000000000003</v>
      </c>
    </row>
    <row r="284" spans="1:93">
      <c r="A284" s="103" t="s">
        <v>787</v>
      </c>
      <c r="B284" s="103" t="s">
        <v>165</v>
      </c>
      <c r="C284" s="103" t="s">
        <v>152</v>
      </c>
      <c r="D284" s="250" t="s">
        <v>153</v>
      </c>
      <c r="E284" s="250">
        <v>82</v>
      </c>
      <c r="F284" s="182">
        <v>9020</v>
      </c>
      <c r="G284" s="250" t="s">
        <v>175</v>
      </c>
      <c r="H284" s="250">
        <v>80</v>
      </c>
      <c r="I284" s="250"/>
      <c r="J284" s="250"/>
      <c r="K284" s="250" t="s">
        <v>788</v>
      </c>
      <c r="L284" s="250" t="s">
        <v>61</v>
      </c>
      <c r="M284" s="250">
        <v>80</v>
      </c>
      <c r="N284" s="250"/>
      <c r="O284" s="250"/>
      <c r="P284" s="250" t="s">
        <v>153</v>
      </c>
      <c r="Q284" s="250"/>
      <c r="R284" s="250"/>
      <c r="S284" s="250"/>
      <c r="T284" s="250" t="s">
        <v>155</v>
      </c>
      <c r="U284" s="103" t="s">
        <v>789</v>
      </c>
      <c r="V284" s="106" t="s">
        <v>157</v>
      </c>
      <c r="W284" s="103" t="s">
        <v>158</v>
      </c>
      <c r="X284" s="103">
        <f>IFERROR(MATCH(W284,'CostModel Coef'!$C$9:$C$12,0),0)</f>
        <v>0</v>
      </c>
      <c r="Y284" s="103"/>
      <c r="Z284" s="103" t="str">
        <f>IF($X284&gt;0,INDEX('CostModel Coef'!D$9:D$12,$X284),"")</f>
        <v/>
      </c>
      <c r="AA284" s="103" t="str">
        <f>IF($X284&gt;0,INDEX('CostModel Coef'!E$9:E$12,$X284),"")</f>
        <v/>
      </c>
      <c r="AB284" s="103" t="str">
        <f>IF($X284&gt;0,INDEX('CostModel Coef'!F$9:F$12,$X284),"")</f>
        <v/>
      </c>
      <c r="AC284" s="103" t="str">
        <f>IF($X284&gt;0,INDEX('CostModel Coef'!G$9:G$12,$X284),"")</f>
        <v/>
      </c>
      <c r="AD284" s="103" t="str">
        <f>IF($X284&gt;0,INDEX('CostModel Coef'!H$9:H$12,$X284),"")</f>
        <v/>
      </c>
      <c r="AE284" s="103" t="str">
        <f>IF($X284&gt;0,INDEX('CostModel Coef'!J$9:J$12,$X284),"")</f>
        <v/>
      </c>
      <c r="AF284" s="103" t="str">
        <f>IF($X284&gt;0,INDEX('CostModel Coef'!K$9:K$12,$X284),"")</f>
        <v/>
      </c>
      <c r="AG284" s="103" t="str">
        <f>IF($X284&gt;0,INDEX('CostModel Coef'!L$9:L$12,$X284),"")</f>
        <v/>
      </c>
      <c r="AH284" s="103" t="str">
        <f>IF($X284&gt;0,INDEX('CostModel Coef'!M$9:M$12,$X284),"")</f>
        <v/>
      </c>
      <c r="AI284" s="103" t="str">
        <f>IF($X284&gt;0,INDEX('CostModel Coef'!N$9:N$12,$X284),"")</f>
        <v/>
      </c>
      <c r="AJ284" s="103" t="str">
        <f>IF($X284&gt;0,INDEX('CostModel Coef'!Q$9:Q$12,$X284),"")</f>
        <v/>
      </c>
      <c r="AK284" s="103" t="str">
        <f>IF($X284&gt;0,INDEX('CostModel Coef'!T$9:T$12,$X284),"")</f>
        <v/>
      </c>
      <c r="AL284" s="103"/>
      <c r="AM284" s="108" t="str">
        <f t="shared" si="105"/>
        <v/>
      </c>
      <c r="AN284" s="108" t="str">
        <f t="shared" si="106"/>
        <v/>
      </c>
      <c r="AO284" s="108" t="str">
        <f t="shared" si="107"/>
        <v/>
      </c>
      <c r="AP284" s="108" t="str">
        <f t="shared" si="108"/>
        <v/>
      </c>
      <c r="AQ284" s="108" t="str">
        <f t="shared" si="109"/>
        <v/>
      </c>
      <c r="AR284" s="108"/>
      <c r="AS284" s="108"/>
      <c r="AT284" s="103" t="str">
        <f>IF($X284&gt;0,INDEX('CostModel Coef'!D$13:D$16,$X284),"")</f>
        <v/>
      </c>
      <c r="AU284" s="103" t="str">
        <f>IF($X284&gt;0,INDEX('CostModel Coef'!E$13:E$16,$X284),"")</f>
        <v/>
      </c>
      <c r="AV284" s="103" t="str">
        <f>IF($X284&gt;0,INDEX('CostModel Coef'!F$13:F$16,$X284),"")</f>
        <v/>
      </c>
      <c r="AW284" s="103" t="str">
        <f>IF($X284&gt;0,INDEX('CostModel Coef'!G$13:G$16,$X284),"")</f>
        <v/>
      </c>
      <c r="AX284" s="103" t="str">
        <f>IF($X284&gt;0,INDEX('CostModel Coef'!H$13:H$16,$X284),"")</f>
        <v/>
      </c>
      <c r="AY284" s="103" t="str">
        <f>IF($X284&gt;0,INDEX('CostModel Coef'!I$13:I$16,$X284),"")</f>
        <v/>
      </c>
      <c r="AZ284" s="103" t="str">
        <f>IF($X284&gt;0,INDEX('CostModel Coef'!J$13:J$16,$X284),"")</f>
        <v/>
      </c>
      <c r="BA284" s="103" t="str">
        <f>IF($X284&gt;0,INDEX('CostModel Coef'!K$13:K$16,$X284),"")</f>
        <v/>
      </c>
      <c r="BB284" s="103" t="str">
        <f>IF($X284&gt;0,INDEX('CostModel Coef'!L$13:L$16,$X284),"")</f>
        <v/>
      </c>
      <c r="BC284" s="103" t="str">
        <f>IF($X284&gt;0,INDEX('CostModel Coef'!M$13:M$16,$X284),"")</f>
        <v/>
      </c>
      <c r="BD284" s="103" t="str">
        <f>IF($X284&gt;0,INDEX('CostModel Coef'!N$13:N$16,$X284),"")</f>
        <v/>
      </c>
      <c r="BE284" s="103" t="str">
        <f>IF($X284&gt;0,INDEX('CostModel Coef'!O$13:O$16,$X284),"")</f>
        <v/>
      </c>
      <c r="BF284" s="103" t="str">
        <f>IF($X284&gt;0,INDEX('CostModel Coef'!P$13:P$16,$X284),"")</f>
        <v/>
      </c>
      <c r="BG284" s="103" t="str">
        <f>IF($X284&gt;0,INDEX('CostModel Coef'!Q$13:Q$16,$X284),"")</f>
        <v/>
      </c>
      <c r="BH284" s="103" t="str">
        <f>IF($X284&gt;0,INDEX('CostModel Coef'!R$13:R$16,$X284),"")</f>
        <v/>
      </c>
      <c r="BI284" s="103" t="str">
        <f>IF($X284&gt;0,INDEX('CostModel Coef'!S$13:S$16,$X284),"")</f>
        <v/>
      </c>
      <c r="BJ284" s="103" t="str">
        <f>IF($X284&gt;0,INDEX('CostModel Coef'!T$13:T$16,$X284),"")</f>
        <v/>
      </c>
      <c r="BK284" s="103" t="str">
        <f>IF($X284&gt;0,INDEX('CostModel Coef'!U$13:U$16,$X284),"")</f>
        <v/>
      </c>
      <c r="BL284" s="103" t="str">
        <f>IF($X284&gt;0,INDEX('CostModel Coef'!V$13:V$16,$X284),"")</f>
        <v/>
      </c>
      <c r="BM284" s="103" t="str">
        <f>IF($X284&gt;0,INDEX('CostModel Coef'!W$13:W$16,$X284),"")</f>
        <v/>
      </c>
      <c r="BN284" s="103" t="str">
        <f>IF($X284&gt;0,INDEX('CostModel Coef'!X$13:X$16,$X284),"")</f>
        <v/>
      </c>
      <c r="BO284" s="103"/>
      <c r="BP284" s="119">
        <v>2000</v>
      </c>
      <c r="BQ284" s="103"/>
      <c r="BR284" s="103"/>
      <c r="BS284" s="119" t="str">
        <f t="shared" si="112"/>
        <v/>
      </c>
      <c r="BT284" s="174">
        <f t="shared" si="104"/>
        <v>-1</v>
      </c>
      <c r="BU284" s="113" t="str">
        <f t="shared" si="114"/>
        <v>OOS</v>
      </c>
      <c r="BV284" s="108" t="str">
        <f t="shared" si="115"/>
        <v>OOS</v>
      </c>
      <c r="BW284" s="108" t="str">
        <f t="shared" si="116"/>
        <v>OOS</v>
      </c>
      <c r="BX284" s="108" t="str">
        <f t="shared" si="117"/>
        <v>OOS</v>
      </c>
      <c r="BY284" s="108" t="str">
        <f t="shared" si="118"/>
        <v>OOS</v>
      </c>
      <c r="BZ284" s="108"/>
      <c r="CA284" s="119" t="str">
        <f t="shared" si="119"/>
        <v/>
      </c>
      <c r="CB284" s="174">
        <f t="shared" si="110"/>
        <v>-1</v>
      </c>
      <c r="CC284" s="113" t="str">
        <f t="shared" si="120"/>
        <v/>
      </c>
      <c r="CD284" s="108" t="str">
        <f t="shared" si="121"/>
        <v/>
      </c>
      <c r="CE284" s="108" t="str">
        <f t="shared" si="122"/>
        <v/>
      </c>
      <c r="CF284" s="108" t="str">
        <f t="shared" si="123"/>
        <v/>
      </c>
      <c r="CG284" s="108" t="str">
        <f t="shared" si="124"/>
        <v/>
      </c>
      <c r="CH284" s="103"/>
      <c r="CI284" s="119" t="str">
        <f t="shared" si="113"/>
        <v/>
      </c>
      <c r="CJ284" s="174">
        <f t="shared" si="111"/>
        <v>-1</v>
      </c>
      <c r="CK284" s="113" t="str">
        <f t="shared" si="125"/>
        <v/>
      </c>
      <c r="CL284" s="108" t="str">
        <f t="shared" si="126"/>
        <v/>
      </c>
      <c r="CM284" s="108" t="str">
        <f t="shared" si="127"/>
        <v/>
      </c>
      <c r="CN284" s="108" t="str">
        <f t="shared" si="128"/>
        <v/>
      </c>
      <c r="CO284" s="108" t="str">
        <f t="shared" si="129"/>
        <v/>
      </c>
    </row>
    <row r="285" spans="1:93">
      <c r="A285" s="103" t="s">
        <v>790</v>
      </c>
      <c r="B285" s="103" t="s">
        <v>174</v>
      </c>
      <c r="C285" s="103" t="s">
        <v>152</v>
      </c>
      <c r="D285" s="250" t="s">
        <v>153</v>
      </c>
      <c r="E285" s="250"/>
      <c r="F285" s="182">
        <v>9020</v>
      </c>
      <c r="G285" s="250" t="s">
        <v>175</v>
      </c>
      <c r="H285" s="250">
        <v>84</v>
      </c>
      <c r="I285" s="250"/>
      <c r="J285" s="250"/>
      <c r="K285" s="250"/>
      <c r="L285" s="250" t="s">
        <v>61</v>
      </c>
      <c r="M285" s="250">
        <v>84</v>
      </c>
      <c r="N285" s="250"/>
      <c r="O285" s="250"/>
      <c r="P285" s="250" t="s">
        <v>153</v>
      </c>
      <c r="Q285" s="250"/>
      <c r="R285" s="250"/>
      <c r="S285" s="250"/>
      <c r="T285" s="250" t="s">
        <v>155</v>
      </c>
      <c r="U285" s="103" t="s">
        <v>791</v>
      </c>
      <c r="V285" s="106" t="s">
        <v>157</v>
      </c>
      <c r="W285" s="103" t="s">
        <v>81</v>
      </c>
      <c r="X285" s="103">
        <f>IFERROR(MATCH(W285,'CostModel Coef'!$C$9:$C$12,0),0)</f>
        <v>1</v>
      </c>
      <c r="Y285" s="103"/>
      <c r="Z285" s="103">
        <f>IF($X285&gt;0,INDEX('CostModel Coef'!D$9:D$12,$X285),"")</f>
        <v>3.0430000000000001</v>
      </c>
      <c r="AA285" s="103">
        <f>IF($X285&gt;0,INDEX('CostModel Coef'!E$9:E$12,$X285),"")</f>
        <v>-0.14966150225589619</v>
      </c>
      <c r="AB285" s="103">
        <f>IF($X285&gt;0,INDEX('CostModel Coef'!F$9:F$12,$X285),"")</f>
        <v>0.52692151711335011</v>
      </c>
      <c r="AC285" s="103">
        <f>IF($X285&gt;0,INDEX('CostModel Coef'!G$9:G$12,$X285),"")</f>
        <v>1.8411</v>
      </c>
      <c r="AD285" s="103">
        <f>IF($X285&gt;0,INDEX('CostModel Coef'!H$9:H$12,$X285),"")</f>
        <v>-1.8050999999999999</v>
      </c>
      <c r="AE285" s="103">
        <f>IF($X285&gt;0,INDEX('CostModel Coef'!J$9:J$12,$X285),"")</f>
        <v>-1.1288</v>
      </c>
      <c r="AF285" s="103">
        <f>IF($X285&gt;0,INDEX('CostModel Coef'!K$9:K$12,$X285),"")</f>
        <v>-1.845</v>
      </c>
      <c r="AG285" s="103">
        <f>IF($X285&gt;0,INDEX('CostModel Coef'!L$9:L$12,$X285),"")</f>
        <v>6.7507000000000001</v>
      </c>
      <c r="AH285" s="103">
        <f>IF($X285&gt;0,INDEX('CostModel Coef'!M$9:M$12,$X285),"")</f>
        <v>5.8051000000000004</v>
      </c>
      <c r="AI285" s="103">
        <f>IF($X285&gt;0,INDEX('CostModel Coef'!N$9:N$12,$X285),"")</f>
        <v>6.1600000000000002E-2</v>
      </c>
      <c r="AJ285" s="103">
        <f>IF($X285&gt;0,INDEX('CostModel Coef'!Q$9:Q$12,$X285),"")</f>
        <v>6.6500000000000004E-2</v>
      </c>
      <c r="AK285" s="103">
        <f>IF($X285&gt;0,INDEX('CostModel Coef'!T$9:T$12,$X285),"")</f>
        <v>9.35E-2</v>
      </c>
      <c r="AL285" s="103"/>
      <c r="AM285" s="108">
        <f t="shared" si="105"/>
        <v>13.233392014857454</v>
      </c>
      <c r="AN285" s="108">
        <f t="shared" si="106"/>
        <v>15.078392014857453</v>
      </c>
      <c r="AO285" s="108">
        <f t="shared" si="107"/>
        <v>13.273292014857454</v>
      </c>
      <c r="AP285" s="108">
        <f t="shared" si="108"/>
        <v>13.273292014857454</v>
      </c>
      <c r="AQ285" s="108">
        <f t="shared" si="109"/>
        <v>12.144492014857454</v>
      </c>
      <c r="AR285" s="108"/>
      <c r="AS285" s="108"/>
      <c r="AT285" s="103">
        <f>IF($X285&gt;0,INDEX('CostModel Coef'!D$13:D$16,$X285),"")</f>
        <v>2.1320000000000001</v>
      </c>
      <c r="AU285" s="103">
        <f>IF($X285&gt;0,INDEX('CostModel Coef'!E$13:E$16,$X285),"")</f>
        <v>0.23699999999999999</v>
      </c>
      <c r="AV285" s="103">
        <f>IF($X285&gt;0,INDEX('CostModel Coef'!F$13:F$16,$X285),"")</f>
        <v>0.59899999999999998</v>
      </c>
      <c r="AW285" s="103">
        <f>IF($X285&gt;0,INDEX('CostModel Coef'!G$13:G$16,$X285),"")</f>
        <v>0</v>
      </c>
      <c r="AX285" s="103">
        <f>IF($X285&gt;0,INDEX('CostModel Coef'!H$13:H$16,$X285),"")</f>
        <v>-1.69</v>
      </c>
      <c r="AY285" s="103">
        <f>IF($X285&gt;0,INDEX('CostModel Coef'!I$13:I$16,$X285),"")</f>
        <v>-1.1599999999999999</v>
      </c>
      <c r="AZ285" s="103">
        <f>IF($X285&gt;0,INDEX('CostModel Coef'!J$13:J$16,$X285),"")</f>
        <v>0</v>
      </c>
      <c r="BA285" s="103">
        <f>IF($X285&gt;0,INDEX('CostModel Coef'!K$13:K$16,$X285),"")</f>
        <v>-2.4630000000000001</v>
      </c>
      <c r="BB285" s="103">
        <f>IF($X285&gt;0,INDEX('CostModel Coef'!L$13:L$16,$X285),"")</f>
        <v>0.46179999999999999</v>
      </c>
      <c r="BC285" s="103">
        <f>IF($X285&gt;0,INDEX('CostModel Coef'!M$13:M$16,$X285),"")</f>
        <v>0</v>
      </c>
      <c r="BD285" s="103">
        <f>IF($X285&gt;0,INDEX('CostModel Coef'!N$13:N$16,$X285),"")</f>
        <v>0.19869999999999999</v>
      </c>
      <c r="BE285" s="103">
        <f>IF($X285&gt;0,INDEX('CostModel Coef'!O$13:O$16,$X285),"")</f>
        <v>0.6</v>
      </c>
      <c r="BF285" s="103">
        <f>IF($X285&gt;0,INDEX('CostModel Coef'!P$13:P$16,$X285),"")</f>
        <v>15</v>
      </c>
      <c r="BG285" s="103">
        <f>IF($X285&gt;0,INDEX('CostModel Coef'!Q$13:Q$16,$X285),"")</f>
        <v>0</v>
      </c>
      <c r="BH285" s="103">
        <f>IF($X285&gt;0,INDEX('CostModel Coef'!R$13:R$16,$X285),"")</f>
        <v>3</v>
      </c>
      <c r="BI285" s="103">
        <f>IF($X285&gt;0,INDEX('CostModel Coef'!S$13:S$16,$X285),"")</f>
        <v>150</v>
      </c>
      <c r="BJ285" s="103">
        <f>IF($X285&gt;0,INDEX('CostModel Coef'!T$13:T$16,$X285),"")</f>
        <v>0</v>
      </c>
      <c r="BK285" s="103">
        <f>IF($X285&gt;0,INDEX('CostModel Coef'!U$13:U$16,$X285),"")</f>
        <v>9.1999999999999998E-3</v>
      </c>
      <c r="BL285" s="103">
        <f>IF($X285&gt;0,INDEX('CostModel Coef'!V$13:V$16,$X285),"")</f>
        <v>-8.8000000000000005E-3</v>
      </c>
      <c r="BM285" s="103">
        <f>IF($X285&gt;0,INDEX('CostModel Coef'!W$13:W$16,$X285),"")</f>
        <v>0</v>
      </c>
      <c r="BN285" s="103">
        <f>IF($X285&gt;0,INDEX('CostModel Coef'!X$13:X$16,$X285),"")</f>
        <v>0</v>
      </c>
      <c r="BO285" s="103"/>
      <c r="BP285" s="119">
        <v>2000</v>
      </c>
      <c r="BQ285" s="103"/>
      <c r="BR285" s="103"/>
      <c r="BS285" s="119" t="str">
        <f t="shared" si="112"/>
        <v>WRR0347_CFLscw(84w)</v>
      </c>
      <c r="BT285" s="174">
        <f t="shared" si="104"/>
        <v>291</v>
      </c>
      <c r="BU285" s="113" t="str">
        <f t="shared" si="114"/>
        <v>OOS</v>
      </c>
      <c r="BV285" s="108" t="str">
        <f t="shared" si="115"/>
        <v>OOS</v>
      </c>
      <c r="BW285" s="108" t="str">
        <f t="shared" si="116"/>
        <v>OOS</v>
      </c>
      <c r="BX285" s="108" t="str">
        <f t="shared" si="117"/>
        <v>OOS</v>
      </c>
      <c r="BY285" s="108" t="str">
        <f t="shared" si="118"/>
        <v>OOS</v>
      </c>
      <c r="BZ285" s="108"/>
      <c r="CA285" s="119" t="str">
        <f t="shared" si="119"/>
        <v>WRR0407_CFLscw(84w)</v>
      </c>
      <c r="CB285" s="174">
        <f t="shared" si="110"/>
        <v>342</v>
      </c>
      <c r="CC285" s="113" t="str">
        <f t="shared" si="120"/>
        <v/>
      </c>
      <c r="CD285" s="108" t="str">
        <f t="shared" si="121"/>
        <v/>
      </c>
      <c r="CE285" s="108" t="str">
        <f t="shared" si="122"/>
        <v/>
      </c>
      <c r="CF285" s="108" t="str">
        <f t="shared" si="123"/>
        <v/>
      </c>
      <c r="CG285" s="108" t="str">
        <f t="shared" si="124"/>
        <v/>
      </c>
      <c r="CH285" s="103"/>
      <c r="CI285" s="119" t="str">
        <f t="shared" si="113"/>
        <v>WRR0347_CFLscw(84w)</v>
      </c>
      <c r="CJ285" s="174">
        <f t="shared" si="111"/>
        <v>291</v>
      </c>
      <c r="CK285" s="113" t="str">
        <f t="shared" si="125"/>
        <v/>
      </c>
      <c r="CL285" s="108" t="str">
        <f t="shared" si="126"/>
        <v/>
      </c>
      <c r="CM285" s="108" t="str">
        <f t="shared" si="127"/>
        <v/>
      </c>
      <c r="CN285" s="108" t="str">
        <f t="shared" si="128"/>
        <v/>
      </c>
      <c r="CO285" s="108" t="str">
        <f t="shared" si="129"/>
        <v/>
      </c>
    </row>
    <row r="286" spans="1:93">
      <c r="A286" s="103" t="s">
        <v>792</v>
      </c>
      <c r="B286" s="103" t="s">
        <v>174</v>
      </c>
      <c r="C286" s="103" t="s">
        <v>152</v>
      </c>
      <c r="D286" s="250" t="s">
        <v>153</v>
      </c>
      <c r="E286" s="250"/>
      <c r="F286" s="182">
        <v>9020</v>
      </c>
      <c r="G286" s="250" t="s">
        <v>175</v>
      </c>
      <c r="H286" s="250">
        <v>85</v>
      </c>
      <c r="I286" s="250"/>
      <c r="J286" s="250"/>
      <c r="K286" s="250"/>
      <c r="L286" s="250" t="s">
        <v>61</v>
      </c>
      <c r="M286" s="250">
        <v>85</v>
      </c>
      <c r="N286" s="250"/>
      <c r="O286" s="250"/>
      <c r="P286" s="250" t="s">
        <v>153</v>
      </c>
      <c r="Q286" s="250"/>
      <c r="R286" s="250"/>
      <c r="S286" s="250"/>
      <c r="T286" s="250" t="s">
        <v>155</v>
      </c>
      <c r="U286" s="103" t="s">
        <v>793</v>
      </c>
      <c r="V286" s="106" t="s">
        <v>157</v>
      </c>
      <c r="W286" s="103" t="s">
        <v>81</v>
      </c>
      <c r="X286" s="103">
        <f>IFERROR(MATCH(W286,'CostModel Coef'!$C$9:$C$12,0),0)</f>
        <v>1</v>
      </c>
      <c r="Y286" s="103"/>
      <c r="Z286" s="103">
        <f>IF($X286&gt;0,INDEX('CostModel Coef'!D$9:D$12,$X286),"")</f>
        <v>3.0430000000000001</v>
      </c>
      <c r="AA286" s="103">
        <f>IF($X286&gt;0,INDEX('CostModel Coef'!E$9:E$12,$X286),"")</f>
        <v>-0.14966150225589619</v>
      </c>
      <c r="AB286" s="103">
        <f>IF($X286&gt;0,INDEX('CostModel Coef'!F$9:F$12,$X286),"")</f>
        <v>0.52692151711335011</v>
      </c>
      <c r="AC286" s="103">
        <f>IF($X286&gt;0,INDEX('CostModel Coef'!G$9:G$12,$X286),"")</f>
        <v>1.8411</v>
      </c>
      <c r="AD286" s="103">
        <f>IF($X286&gt;0,INDEX('CostModel Coef'!H$9:H$12,$X286),"")</f>
        <v>-1.8050999999999999</v>
      </c>
      <c r="AE286" s="103">
        <f>IF($X286&gt;0,INDEX('CostModel Coef'!J$9:J$12,$X286),"")</f>
        <v>-1.1288</v>
      </c>
      <c r="AF286" s="103">
        <f>IF($X286&gt;0,INDEX('CostModel Coef'!K$9:K$12,$X286),"")</f>
        <v>-1.845</v>
      </c>
      <c r="AG286" s="103">
        <f>IF($X286&gt;0,INDEX('CostModel Coef'!L$9:L$12,$X286),"")</f>
        <v>6.7507000000000001</v>
      </c>
      <c r="AH286" s="103">
        <f>IF($X286&gt;0,INDEX('CostModel Coef'!M$9:M$12,$X286),"")</f>
        <v>5.8051000000000004</v>
      </c>
      <c r="AI286" s="103">
        <f>IF($X286&gt;0,INDEX('CostModel Coef'!N$9:N$12,$X286),"")</f>
        <v>6.1600000000000002E-2</v>
      </c>
      <c r="AJ286" s="103">
        <f>IF($X286&gt;0,INDEX('CostModel Coef'!Q$9:Q$12,$X286),"")</f>
        <v>6.6500000000000004E-2</v>
      </c>
      <c r="AK286" s="103">
        <f>IF($X286&gt;0,INDEX('CostModel Coef'!T$9:T$12,$X286),"")</f>
        <v>9.35E-2</v>
      </c>
      <c r="AL286" s="103"/>
      <c r="AM286" s="108">
        <f t="shared" si="105"/>
        <v>13.393392014857454</v>
      </c>
      <c r="AN286" s="108">
        <f t="shared" si="106"/>
        <v>15.238392014857453</v>
      </c>
      <c r="AO286" s="108">
        <f t="shared" si="107"/>
        <v>13.433292014857454</v>
      </c>
      <c r="AP286" s="108">
        <f t="shared" si="108"/>
        <v>13.433292014857454</v>
      </c>
      <c r="AQ286" s="108">
        <f t="shared" si="109"/>
        <v>12.304492014857454</v>
      </c>
      <c r="AR286" s="108"/>
      <c r="AS286" s="108"/>
      <c r="AT286" s="103">
        <f>IF($X286&gt;0,INDEX('CostModel Coef'!D$13:D$16,$X286),"")</f>
        <v>2.1320000000000001</v>
      </c>
      <c r="AU286" s="103">
        <f>IF($X286&gt;0,INDEX('CostModel Coef'!E$13:E$16,$X286),"")</f>
        <v>0.23699999999999999</v>
      </c>
      <c r="AV286" s="103">
        <f>IF($X286&gt;0,INDEX('CostModel Coef'!F$13:F$16,$X286),"")</f>
        <v>0.59899999999999998</v>
      </c>
      <c r="AW286" s="103">
        <f>IF($X286&gt;0,INDEX('CostModel Coef'!G$13:G$16,$X286),"")</f>
        <v>0</v>
      </c>
      <c r="AX286" s="103">
        <f>IF($X286&gt;0,INDEX('CostModel Coef'!H$13:H$16,$X286),"")</f>
        <v>-1.69</v>
      </c>
      <c r="AY286" s="103">
        <f>IF($X286&gt;0,INDEX('CostModel Coef'!I$13:I$16,$X286),"")</f>
        <v>-1.1599999999999999</v>
      </c>
      <c r="AZ286" s="103">
        <f>IF($X286&gt;0,INDEX('CostModel Coef'!J$13:J$16,$X286),"")</f>
        <v>0</v>
      </c>
      <c r="BA286" s="103">
        <f>IF($X286&gt;0,INDEX('CostModel Coef'!K$13:K$16,$X286),"")</f>
        <v>-2.4630000000000001</v>
      </c>
      <c r="BB286" s="103">
        <f>IF($X286&gt;0,INDEX('CostModel Coef'!L$13:L$16,$X286),"")</f>
        <v>0.46179999999999999</v>
      </c>
      <c r="BC286" s="103">
        <f>IF($X286&gt;0,INDEX('CostModel Coef'!M$13:M$16,$X286),"")</f>
        <v>0</v>
      </c>
      <c r="BD286" s="103">
        <f>IF($X286&gt;0,INDEX('CostModel Coef'!N$13:N$16,$X286),"")</f>
        <v>0.19869999999999999</v>
      </c>
      <c r="BE286" s="103">
        <f>IF($X286&gt;0,INDEX('CostModel Coef'!O$13:O$16,$X286),"")</f>
        <v>0.6</v>
      </c>
      <c r="BF286" s="103">
        <f>IF($X286&gt;0,INDEX('CostModel Coef'!P$13:P$16,$X286),"")</f>
        <v>15</v>
      </c>
      <c r="BG286" s="103">
        <f>IF($X286&gt;0,INDEX('CostModel Coef'!Q$13:Q$16,$X286),"")</f>
        <v>0</v>
      </c>
      <c r="BH286" s="103">
        <f>IF($X286&gt;0,INDEX('CostModel Coef'!R$13:R$16,$X286),"")</f>
        <v>3</v>
      </c>
      <c r="BI286" s="103">
        <f>IF($X286&gt;0,INDEX('CostModel Coef'!S$13:S$16,$X286),"")</f>
        <v>150</v>
      </c>
      <c r="BJ286" s="103">
        <f>IF($X286&gt;0,INDEX('CostModel Coef'!T$13:T$16,$X286),"")</f>
        <v>0</v>
      </c>
      <c r="BK286" s="103">
        <f>IF($X286&gt;0,INDEX('CostModel Coef'!U$13:U$16,$X286),"")</f>
        <v>9.1999999999999998E-3</v>
      </c>
      <c r="BL286" s="103">
        <f>IF($X286&gt;0,INDEX('CostModel Coef'!V$13:V$16,$X286),"")</f>
        <v>-8.8000000000000005E-3</v>
      </c>
      <c r="BM286" s="103">
        <f>IF($X286&gt;0,INDEX('CostModel Coef'!W$13:W$16,$X286),"")</f>
        <v>0</v>
      </c>
      <c r="BN286" s="103">
        <f>IF($X286&gt;0,INDEX('CostModel Coef'!X$13:X$16,$X286),"")</f>
        <v>0</v>
      </c>
      <c r="BO286" s="103"/>
      <c r="BP286" s="119">
        <v>2000</v>
      </c>
      <c r="BQ286" s="103"/>
      <c r="BR286" s="103"/>
      <c r="BS286" s="119" t="str">
        <f t="shared" si="112"/>
        <v>WRR0347_CFLscw(85w)</v>
      </c>
      <c r="BT286" s="174">
        <f t="shared" si="104"/>
        <v>295</v>
      </c>
      <c r="BU286" s="113" t="str">
        <f t="shared" si="114"/>
        <v>OOS</v>
      </c>
      <c r="BV286" s="108" t="str">
        <f t="shared" si="115"/>
        <v>OOS</v>
      </c>
      <c r="BW286" s="108" t="str">
        <f t="shared" si="116"/>
        <v>OOS</v>
      </c>
      <c r="BX286" s="108" t="str">
        <f t="shared" si="117"/>
        <v>OOS</v>
      </c>
      <c r="BY286" s="108" t="str">
        <f t="shared" si="118"/>
        <v>OOS</v>
      </c>
      <c r="BZ286" s="108"/>
      <c r="CA286" s="119" t="str">
        <f t="shared" si="119"/>
        <v>WRR0407_CFLscw(85w)</v>
      </c>
      <c r="CB286" s="174">
        <f t="shared" si="110"/>
        <v>346</v>
      </c>
      <c r="CC286" s="113" t="str">
        <f t="shared" si="120"/>
        <v/>
      </c>
      <c r="CD286" s="108" t="str">
        <f t="shared" si="121"/>
        <v/>
      </c>
      <c r="CE286" s="108" t="str">
        <f t="shared" si="122"/>
        <v/>
      </c>
      <c r="CF286" s="108" t="str">
        <f t="shared" si="123"/>
        <v/>
      </c>
      <c r="CG286" s="108" t="str">
        <f t="shared" si="124"/>
        <v/>
      </c>
      <c r="CH286" s="103"/>
      <c r="CI286" s="119" t="str">
        <f t="shared" si="113"/>
        <v>WRR0347_CFLscw(85w)</v>
      </c>
      <c r="CJ286" s="174">
        <f t="shared" si="111"/>
        <v>295</v>
      </c>
      <c r="CK286" s="113" t="str">
        <f t="shared" si="125"/>
        <v/>
      </c>
      <c r="CL286" s="108" t="str">
        <f t="shared" si="126"/>
        <v/>
      </c>
      <c r="CM286" s="108" t="str">
        <f t="shared" si="127"/>
        <v/>
      </c>
      <c r="CN286" s="108" t="str">
        <f t="shared" si="128"/>
        <v/>
      </c>
      <c r="CO286" s="108" t="str">
        <f t="shared" si="129"/>
        <v/>
      </c>
    </row>
    <row r="287" spans="1:93">
      <c r="A287" s="103" t="s">
        <v>794</v>
      </c>
      <c r="B287" s="103" t="s">
        <v>165</v>
      </c>
      <c r="C287" s="103" t="s">
        <v>152</v>
      </c>
      <c r="D287" s="250" t="s">
        <v>153</v>
      </c>
      <c r="E287" s="250">
        <v>82</v>
      </c>
      <c r="F287" s="182">
        <v>9020</v>
      </c>
      <c r="G287" s="250" t="s">
        <v>175</v>
      </c>
      <c r="H287" s="250">
        <v>8</v>
      </c>
      <c r="I287" s="250">
        <v>320</v>
      </c>
      <c r="J287" s="250">
        <v>400</v>
      </c>
      <c r="K287" s="250" t="s">
        <v>795</v>
      </c>
      <c r="L287" s="250" t="s">
        <v>61</v>
      </c>
      <c r="M287" s="250">
        <v>8</v>
      </c>
      <c r="N287" s="250"/>
      <c r="O287" s="250"/>
      <c r="P287" s="250" t="s">
        <v>153</v>
      </c>
      <c r="Q287" s="250"/>
      <c r="R287" s="250"/>
      <c r="S287" s="250"/>
      <c r="T287" s="250" t="s">
        <v>155</v>
      </c>
      <c r="U287" s="103" t="s">
        <v>796</v>
      </c>
      <c r="V287" s="106" t="s">
        <v>157</v>
      </c>
      <c r="W287" s="103" t="s">
        <v>81</v>
      </c>
      <c r="X287" s="103">
        <f>IFERROR(MATCH(W287,'CostModel Coef'!$C$9:$C$12,0),0)</f>
        <v>1</v>
      </c>
      <c r="Y287" s="103"/>
      <c r="Z287" s="103">
        <f>IF($X287&gt;0,INDEX('CostModel Coef'!D$9:D$12,$X287),"")</f>
        <v>3.0430000000000001</v>
      </c>
      <c r="AA287" s="103">
        <f>IF($X287&gt;0,INDEX('CostModel Coef'!E$9:E$12,$X287),"")</f>
        <v>-0.14966150225589619</v>
      </c>
      <c r="AB287" s="103">
        <f>IF($X287&gt;0,INDEX('CostModel Coef'!F$9:F$12,$X287),"")</f>
        <v>0.52692151711335011</v>
      </c>
      <c r="AC287" s="103">
        <f>IF($X287&gt;0,INDEX('CostModel Coef'!G$9:G$12,$X287),"")</f>
        <v>1.8411</v>
      </c>
      <c r="AD287" s="103">
        <f>IF($X287&gt;0,INDEX('CostModel Coef'!H$9:H$12,$X287),"")</f>
        <v>-1.8050999999999999</v>
      </c>
      <c r="AE287" s="103">
        <f>IF($X287&gt;0,INDEX('CostModel Coef'!J$9:J$12,$X287),"")</f>
        <v>-1.1288</v>
      </c>
      <c r="AF287" s="103">
        <f>IF($X287&gt;0,INDEX('CostModel Coef'!K$9:K$12,$X287),"")</f>
        <v>-1.845</v>
      </c>
      <c r="AG287" s="103">
        <f>IF($X287&gt;0,INDEX('CostModel Coef'!L$9:L$12,$X287),"")</f>
        <v>6.7507000000000001</v>
      </c>
      <c r="AH287" s="103">
        <f>IF($X287&gt;0,INDEX('CostModel Coef'!M$9:M$12,$X287),"")</f>
        <v>5.8051000000000004</v>
      </c>
      <c r="AI287" s="103">
        <f>IF($X287&gt;0,INDEX('CostModel Coef'!N$9:N$12,$X287),"")</f>
        <v>6.1600000000000002E-2</v>
      </c>
      <c r="AJ287" s="103">
        <f>IF($X287&gt;0,INDEX('CostModel Coef'!Q$9:Q$12,$X287),"")</f>
        <v>6.6500000000000004E-2</v>
      </c>
      <c r="AK287" s="103">
        <f>IF($X287&gt;0,INDEX('CostModel Coef'!T$9:T$12,$X287),"")</f>
        <v>9.35E-2</v>
      </c>
      <c r="AL287" s="103"/>
      <c r="AM287" s="108">
        <f t="shared" si="105"/>
        <v>2.6628920148574542</v>
      </c>
      <c r="AN287" s="108">
        <f t="shared" si="106"/>
        <v>4.5078920148574539</v>
      </c>
      <c r="AO287" s="108">
        <f t="shared" si="107"/>
        <v>2.702792014857454</v>
      </c>
      <c r="AP287" s="108">
        <f t="shared" si="108"/>
        <v>2.702792014857454</v>
      </c>
      <c r="AQ287" s="108">
        <f t="shared" si="109"/>
        <v>1.573992014857454</v>
      </c>
      <c r="AR287" s="108"/>
      <c r="AS287" s="108"/>
      <c r="AT287" s="103">
        <f>IF($X287&gt;0,INDEX('CostModel Coef'!D$13:D$16,$X287),"")</f>
        <v>2.1320000000000001</v>
      </c>
      <c r="AU287" s="103">
        <f>IF($X287&gt;0,INDEX('CostModel Coef'!E$13:E$16,$X287),"")</f>
        <v>0.23699999999999999</v>
      </c>
      <c r="AV287" s="103">
        <f>IF($X287&gt;0,INDEX('CostModel Coef'!F$13:F$16,$X287),"")</f>
        <v>0.59899999999999998</v>
      </c>
      <c r="AW287" s="103">
        <f>IF($X287&gt;0,INDEX('CostModel Coef'!G$13:G$16,$X287),"")</f>
        <v>0</v>
      </c>
      <c r="AX287" s="103">
        <f>IF($X287&gt;0,INDEX('CostModel Coef'!H$13:H$16,$X287),"")</f>
        <v>-1.69</v>
      </c>
      <c r="AY287" s="103">
        <f>IF($X287&gt;0,INDEX('CostModel Coef'!I$13:I$16,$X287),"")</f>
        <v>-1.1599999999999999</v>
      </c>
      <c r="AZ287" s="103">
        <f>IF($X287&gt;0,INDEX('CostModel Coef'!J$13:J$16,$X287),"")</f>
        <v>0</v>
      </c>
      <c r="BA287" s="103">
        <f>IF($X287&gt;0,INDEX('CostModel Coef'!K$13:K$16,$X287),"")</f>
        <v>-2.4630000000000001</v>
      </c>
      <c r="BB287" s="103">
        <f>IF($X287&gt;0,INDEX('CostModel Coef'!L$13:L$16,$X287),"")</f>
        <v>0.46179999999999999</v>
      </c>
      <c r="BC287" s="103">
        <f>IF($X287&gt;0,INDEX('CostModel Coef'!M$13:M$16,$X287),"")</f>
        <v>0</v>
      </c>
      <c r="BD287" s="103">
        <f>IF($X287&gt;0,INDEX('CostModel Coef'!N$13:N$16,$X287),"")</f>
        <v>0.19869999999999999</v>
      </c>
      <c r="BE287" s="103">
        <f>IF($X287&gt;0,INDEX('CostModel Coef'!O$13:O$16,$X287),"")</f>
        <v>0.6</v>
      </c>
      <c r="BF287" s="103">
        <f>IF($X287&gt;0,INDEX('CostModel Coef'!P$13:P$16,$X287),"")</f>
        <v>15</v>
      </c>
      <c r="BG287" s="103">
        <f>IF($X287&gt;0,INDEX('CostModel Coef'!Q$13:Q$16,$X287),"")</f>
        <v>0</v>
      </c>
      <c r="BH287" s="103">
        <f>IF($X287&gt;0,INDEX('CostModel Coef'!R$13:R$16,$X287),"")</f>
        <v>3</v>
      </c>
      <c r="BI287" s="103">
        <f>IF($X287&gt;0,INDEX('CostModel Coef'!S$13:S$16,$X287),"")</f>
        <v>150</v>
      </c>
      <c r="BJ287" s="103">
        <f>IF($X287&gt;0,INDEX('CostModel Coef'!T$13:T$16,$X287),"")</f>
        <v>0</v>
      </c>
      <c r="BK287" s="103">
        <f>IF($X287&gt;0,INDEX('CostModel Coef'!U$13:U$16,$X287),"")</f>
        <v>9.1999999999999998E-3</v>
      </c>
      <c r="BL287" s="103">
        <f>IF($X287&gt;0,INDEX('CostModel Coef'!V$13:V$16,$X287),"")</f>
        <v>-8.8000000000000005E-3</v>
      </c>
      <c r="BM287" s="103">
        <f>IF($X287&gt;0,INDEX('CostModel Coef'!W$13:W$16,$X287),"")</f>
        <v>0</v>
      </c>
      <c r="BN287" s="103">
        <f>IF($X287&gt;0,INDEX('CostModel Coef'!X$13:X$16,$X287),"")</f>
        <v>0</v>
      </c>
      <c r="BO287" s="103"/>
      <c r="BP287" s="119">
        <v>2000</v>
      </c>
      <c r="BQ287" s="103"/>
      <c r="BR287" s="103"/>
      <c r="BS287" s="119" t="str">
        <f t="shared" si="112"/>
        <v>WRR0347_CFLscw(8w)</v>
      </c>
      <c r="BT287" s="174">
        <f t="shared" si="104"/>
        <v>28</v>
      </c>
      <c r="BU287" s="113">
        <f t="shared" si="114"/>
        <v>0.90240000000000009</v>
      </c>
      <c r="BV287" s="108">
        <f t="shared" si="115"/>
        <v>3.3654000000000002</v>
      </c>
      <c r="BW287" s="108">
        <f t="shared" si="116"/>
        <v>1.6754000000000002</v>
      </c>
      <c r="BX287" s="108">
        <f t="shared" si="117"/>
        <v>0.5154000000000003</v>
      </c>
      <c r="BY287" s="108">
        <f t="shared" si="118"/>
        <v>0.5154000000000003</v>
      </c>
      <c r="BZ287" s="108"/>
      <c r="CA287" s="119" t="str">
        <f t="shared" si="119"/>
        <v>WRR0407_CFLscw(8w)</v>
      </c>
      <c r="CB287" s="174">
        <f t="shared" si="110"/>
        <v>33</v>
      </c>
      <c r="CC287" s="113">
        <f t="shared" si="120"/>
        <v>0.93000000000000016</v>
      </c>
      <c r="CD287" s="108">
        <f t="shared" si="121"/>
        <v>3.3930000000000002</v>
      </c>
      <c r="CE287" s="108">
        <f t="shared" si="122"/>
        <v>1.7030000000000003</v>
      </c>
      <c r="CF287" s="108">
        <f t="shared" si="123"/>
        <v>0.54300000000000037</v>
      </c>
      <c r="CG287" s="108">
        <f t="shared" si="124"/>
        <v>0.54300000000000037</v>
      </c>
      <c r="CH287" s="103"/>
      <c r="CI287" s="119" t="str">
        <f t="shared" si="113"/>
        <v>WRR0347_CFLscw(8w)</v>
      </c>
      <c r="CJ287" s="174">
        <f t="shared" si="111"/>
        <v>28</v>
      </c>
      <c r="CK287" s="113">
        <f t="shared" si="125"/>
        <v>0.90240000000000009</v>
      </c>
      <c r="CL287" s="108">
        <f t="shared" si="126"/>
        <v>3.3654000000000002</v>
      </c>
      <c r="CM287" s="108">
        <f t="shared" si="127"/>
        <v>1.6754000000000002</v>
      </c>
      <c r="CN287" s="108">
        <f t="shared" si="128"/>
        <v>0.5154000000000003</v>
      </c>
      <c r="CO287" s="108">
        <f t="shared" si="129"/>
        <v>0.5154000000000003</v>
      </c>
    </row>
    <row r="288" spans="1:93">
      <c r="A288" s="103" t="s">
        <v>797</v>
      </c>
      <c r="B288" s="103" t="s">
        <v>174</v>
      </c>
      <c r="C288" s="103" t="s">
        <v>153</v>
      </c>
      <c r="D288" s="250" t="s">
        <v>153</v>
      </c>
      <c r="E288" s="250"/>
      <c r="F288" s="182">
        <v>9020</v>
      </c>
      <c r="G288" s="250" t="s">
        <v>175</v>
      </c>
      <c r="H288" s="250">
        <v>92</v>
      </c>
      <c r="I288" s="250"/>
      <c r="J288" s="250"/>
      <c r="K288" s="250"/>
      <c r="L288" s="250" t="s">
        <v>61</v>
      </c>
      <c r="M288" s="250">
        <v>92</v>
      </c>
      <c r="N288" s="250"/>
      <c r="O288" s="250"/>
      <c r="P288" s="250" t="s">
        <v>153</v>
      </c>
      <c r="Q288" s="250"/>
      <c r="R288" s="250"/>
      <c r="S288" s="250"/>
      <c r="T288" s="250" t="s">
        <v>155</v>
      </c>
      <c r="U288" s="103" t="s">
        <v>798</v>
      </c>
      <c r="V288" s="106" t="s">
        <v>157</v>
      </c>
      <c r="W288" s="103" t="s">
        <v>158</v>
      </c>
      <c r="X288" s="103">
        <f>IFERROR(MATCH(W288,'CostModel Coef'!$C$9:$C$12,0),0)</f>
        <v>0</v>
      </c>
      <c r="Y288" s="103"/>
      <c r="Z288" s="103" t="str">
        <f>IF($X288&gt;0,INDEX('CostModel Coef'!D$9:D$12,$X288),"")</f>
        <v/>
      </c>
      <c r="AA288" s="103" t="str">
        <f>IF($X288&gt;0,INDEX('CostModel Coef'!E$9:E$12,$X288),"")</f>
        <v/>
      </c>
      <c r="AB288" s="103" t="str">
        <f>IF($X288&gt;0,INDEX('CostModel Coef'!F$9:F$12,$X288),"")</f>
        <v/>
      </c>
      <c r="AC288" s="103" t="str">
        <f>IF($X288&gt;0,INDEX('CostModel Coef'!G$9:G$12,$X288),"")</f>
        <v/>
      </c>
      <c r="AD288" s="103" t="str">
        <f>IF($X288&gt;0,INDEX('CostModel Coef'!H$9:H$12,$X288),"")</f>
        <v/>
      </c>
      <c r="AE288" s="103" t="str">
        <f>IF($X288&gt;0,INDEX('CostModel Coef'!J$9:J$12,$X288),"")</f>
        <v/>
      </c>
      <c r="AF288" s="103" t="str">
        <f>IF($X288&gt;0,INDEX('CostModel Coef'!K$9:K$12,$X288),"")</f>
        <v/>
      </c>
      <c r="AG288" s="103" t="str">
        <f>IF($X288&gt;0,INDEX('CostModel Coef'!L$9:L$12,$X288),"")</f>
        <v/>
      </c>
      <c r="AH288" s="103" t="str">
        <f>IF($X288&gt;0,INDEX('CostModel Coef'!M$9:M$12,$X288),"")</f>
        <v/>
      </c>
      <c r="AI288" s="103" t="str">
        <f>IF($X288&gt;0,INDEX('CostModel Coef'!N$9:N$12,$X288),"")</f>
        <v/>
      </c>
      <c r="AJ288" s="103" t="str">
        <f>IF($X288&gt;0,INDEX('CostModel Coef'!Q$9:Q$12,$X288),"")</f>
        <v/>
      </c>
      <c r="AK288" s="103" t="str">
        <f>IF($X288&gt;0,INDEX('CostModel Coef'!T$9:T$12,$X288),"")</f>
        <v/>
      </c>
      <c r="AL288" s="103"/>
      <c r="AM288" s="108" t="str">
        <f t="shared" si="105"/>
        <v/>
      </c>
      <c r="AN288" s="108" t="str">
        <f t="shared" si="106"/>
        <v/>
      </c>
      <c r="AO288" s="108" t="str">
        <f t="shared" si="107"/>
        <v/>
      </c>
      <c r="AP288" s="108" t="str">
        <f t="shared" si="108"/>
        <v/>
      </c>
      <c r="AQ288" s="108" t="str">
        <f t="shared" si="109"/>
        <v/>
      </c>
      <c r="AR288" s="108"/>
      <c r="AS288" s="108"/>
      <c r="AT288" s="103" t="str">
        <f>IF($X288&gt;0,INDEX('CostModel Coef'!D$13:D$16,$X288),"")</f>
        <v/>
      </c>
      <c r="AU288" s="103" t="str">
        <f>IF($X288&gt;0,INDEX('CostModel Coef'!E$13:E$16,$X288),"")</f>
        <v/>
      </c>
      <c r="AV288" s="103" t="str">
        <f>IF($X288&gt;0,INDEX('CostModel Coef'!F$13:F$16,$X288),"")</f>
        <v/>
      </c>
      <c r="AW288" s="103" t="str">
        <f>IF($X288&gt;0,INDEX('CostModel Coef'!G$13:G$16,$X288),"")</f>
        <v/>
      </c>
      <c r="AX288" s="103" t="str">
        <f>IF($X288&gt;0,INDEX('CostModel Coef'!H$13:H$16,$X288),"")</f>
        <v/>
      </c>
      <c r="AY288" s="103" t="str">
        <f>IF($X288&gt;0,INDEX('CostModel Coef'!I$13:I$16,$X288),"")</f>
        <v/>
      </c>
      <c r="AZ288" s="103" t="str">
        <f>IF($X288&gt;0,INDEX('CostModel Coef'!J$13:J$16,$X288),"")</f>
        <v/>
      </c>
      <c r="BA288" s="103" t="str">
        <f>IF($X288&gt;0,INDEX('CostModel Coef'!K$13:K$16,$X288),"")</f>
        <v/>
      </c>
      <c r="BB288" s="103" t="str">
        <f>IF($X288&gt;0,INDEX('CostModel Coef'!L$13:L$16,$X288),"")</f>
        <v/>
      </c>
      <c r="BC288" s="103" t="str">
        <f>IF($X288&gt;0,INDEX('CostModel Coef'!M$13:M$16,$X288),"")</f>
        <v/>
      </c>
      <c r="BD288" s="103" t="str">
        <f>IF($X288&gt;0,INDEX('CostModel Coef'!N$13:N$16,$X288),"")</f>
        <v/>
      </c>
      <c r="BE288" s="103" t="str">
        <f>IF($X288&gt;0,INDEX('CostModel Coef'!O$13:O$16,$X288),"")</f>
        <v/>
      </c>
      <c r="BF288" s="103" t="str">
        <f>IF($X288&gt;0,INDEX('CostModel Coef'!P$13:P$16,$X288),"")</f>
        <v/>
      </c>
      <c r="BG288" s="103" t="str">
        <f>IF($X288&gt;0,INDEX('CostModel Coef'!Q$13:Q$16,$X288),"")</f>
        <v/>
      </c>
      <c r="BH288" s="103" t="str">
        <f>IF($X288&gt;0,INDEX('CostModel Coef'!R$13:R$16,$X288),"")</f>
        <v/>
      </c>
      <c r="BI288" s="103" t="str">
        <f>IF($X288&gt;0,INDEX('CostModel Coef'!S$13:S$16,$X288),"")</f>
        <v/>
      </c>
      <c r="BJ288" s="103" t="str">
        <f>IF($X288&gt;0,INDEX('CostModel Coef'!T$13:T$16,$X288),"")</f>
        <v/>
      </c>
      <c r="BK288" s="103" t="str">
        <f>IF($X288&gt;0,INDEX('CostModel Coef'!U$13:U$16,$X288),"")</f>
        <v/>
      </c>
      <c r="BL288" s="103" t="str">
        <f>IF($X288&gt;0,INDEX('CostModel Coef'!V$13:V$16,$X288),"")</f>
        <v/>
      </c>
      <c r="BM288" s="103" t="str">
        <f>IF($X288&gt;0,INDEX('CostModel Coef'!W$13:W$16,$X288),"")</f>
        <v/>
      </c>
      <c r="BN288" s="103" t="str">
        <f>IF($X288&gt;0,INDEX('CostModel Coef'!X$13:X$16,$X288),"")</f>
        <v/>
      </c>
      <c r="BO288" s="103"/>
      <c r="BP288" s="119">
        <v>2000</v>
      </c>
      <c r="BQ288" s="103"/>
      <c r="BR288" s="103"/>
      <c r="BS288" s="119" t="str">
        <f t="shared" si="112"/>
        <v/>
      </c>
      <c r="BT288" s="174">
        <f t="shared" si="104"/>
        <v>-1</v>
      </c>
      <c r="BU288" s="113" t="str">
        <f t="shared" si="114"/>
        <v>OOS</v>
      </c>
      <c r="BV288" s="108" t="str">
        <f t="shared" si="115"/>
        <v>OOS</v>
      </c>
      <c r="BW288" s="108" t="str">
        <f t="shared" si="116"/>
        <v>OOS</v>
      </c>
      <c r="BX288" s="108" t="str">
        <f t="shared" si="117"/>
        <v>OOS</v>
      </c>
      <c r="BY288" s="108" t="str">
        <f t="shared" si="118"/>
        <v>OOS</v>
      </c>
      <c r="BZ288" s="108"/>
      <c r="CA288" s="119" t="str">
        <f t="shared" si="119"/>
        <v/>
      </c>
      <c r="CB288" s="174">
        <f t="shared" si="110"/>
        <v>-1</v>
      </c>
      <c r="CC288" s="113" t="str">
        <f t="shared" si="120"/>
        <v/>
      </c>
      <c r="CD288" s="108" t="str">
        <f t="shared" si="121"/>
        <v/>
      </c>
      <c r="CE288" s="108" t="str">
        <f t="shared" si="122"/>
        <v/>
      </c>
      <c r="CF288" s="108" t="str">
        <f t="shared" si="123"/>
        <v/>
      </c>
      <c r="CG288" s="108" t="str">
        <f t="shared" si="124"/>
        <v/>
      </c>
      <c r="CH288" s="103"/>
      <c r="CI288" s="119" t="str">
        <f t="shared" si="113"/>
        <v/>
      </c>
      <c r="CJ288" s="174">
        <f t="shared" si="111"/>
        <v>-1</v>
      </c>
      <c r="CK288" s="113" t="str">
        <f t="shared" si="125"/>
        <v/>
      </c>
      <c r="CL288" s="108" t="str">
        <f t="shared" si="126"/>
        <v/>
      </c>
      <c r="CM288" s="108" t="str">
        <f t="shared" si="127"/>
        <v/>
      </c>
      <c r="CN288" s="108" t="str">
        <f t="shared" si="128"/>
        <v/>
      </c>
      <c r="CO288" s="108" t="str">
        <f t="shared" si="129"/>
        <v/>
      </c>
    </row>
    <row r="289" spans="1:93">
      <c r="A289" s="103" t="s">
        <v>799</v>
      </c>
      <c r="B289" s="103" t="s">
        <v>174</v>
      </c>
      <c r="C289" s="103" t="s">
        <v>153</v>
      </c>
      <c r="D289" s="250" t="s">
        <v>153</v>
      </c>
      <c r="E289" s="250"/>
      <c r="F289" s="182">
        <v>9020</v>
      </c>
      <c r="G289" s="250" t="s">
        <v>175</v>
      </c>
      <c r="H289" s="250">
        <v>96</v>
      </c>
      <c r="I289" s="250"/>
      <c r="J289" s="250"/>
      <c r="K289" s="250"/>
      <c r="L289" s="250" t="s">
        <v>61</v>
      </c>
      <c r="M289" s="250">
        <v>96</v>
      </c>
      <c r="N289" s="250"/>
      <c r="O289" s="250"/>
      <c r="P289" s="250" t="s">
        <v>153</v>
      </c>
      <c r="Q289" s="250"/>
      <c r="R289" s="250"/>
      <c r="S289" s="250"/>
      <c r="T289" s="250" t="s">
        <v>155</v>
      </c>
      <c r="U289" s="103" t="s">
        <v>800</v>
      </c>
      <c r="V289" s="106" t="s">
        <v>157</v>
      </c>
      <c r="W289" s="103" t="s">
        <v>158</v>
      </c>
      <c r="X289" s="103">
        <f>IFERROR(MATCH(W289,'CostModel Coef'!$C$9:$C$12,0),0)</f>
        <v>0</v>
      </c>
      <c r="Y289" s="103"/>
      <c r="Z289" s="103" t="str">
        <f>IF($X289&gt;0,INDEX('CostModel Coef'!D$9:D$12,$X289),"")</f>
        <v/>
      </c>
      <c r="AA289" s="103" t="str">
        <f>IF($X289&gt;0,INDEX('CostModel Coef'!E$9:E$12,$X289),"")</f>
        <v/>
      </c>
      <c r="AB289" s="103" t="str">
        <f>IF($X289&gt;0,INDEX('CostModel Coef'!F$9:F$12,$X289),"")</f>
        <v/>
      </c>
      <c r="AC289" s="103" t="str">
        <f>IF($X289&gt;0,INDEX('CostModel Coef'!G$9:G$12,$X289),"")</f>
        <v/>
      </c>
      <c r="AD289" s="103" t="str">
        <f>IF($X289&gt;0,INDEX('CostModel Coef'!H$9:H$12,$X289),"")</f>
        <v/>
      </c>
      <c r="AE289" s="103" t="str">
        <f>IF($X289&gt;0,INDEX('CostModel Coef'!J$9:J$12,$X289),"")</f>
        <v/>
      </c>
      <c r="AF289" s="103" t="str">
        <f>IF($X289&gt;0,INDEX('CostModel Coef'!K$9:K$12,$X289),"")</f>
        <v/>
      </c>
      <c r="AG289" s="103" t="str">
        <f>IF($X289&gt;0,INDEX('CostModel Coef'!L$9:L$12,$X289),"")</f>
        <v/>
      </c>
      <c r="AH289" s="103" t="str">
        <f>IF($X289&gt;0,INDEX('CostModel Coef'!M$9:M$12,$X289),"")</f>
        <v/>
      </c>
      <c r="AI289" s="103" t="str">
        <f>IF($X289&gt;0,INDEX('CostModel Coef'!N$9:N$12,$X289),"")</f>
        <v/>
      </c>
      <c r="AJ289" s="103" t="str">
        <f>IF($X289&gt;0,INDEX('CostModel Coef'!Q$9:Q$12,$X289),"")</f>
        <v/>
      </c>
      <c r="AK289" s="103" t="str">
        <f>IF($X289&gt;0,INDEX('CostModel Coef'!T$9:T$12,$X289),"")</f>
        <v/>
      </c>
      <c r="AL289" s="103"/>
      <c r="AM289" s="108" t="str">
        <f t="shared" si="105"/>
        <v/>
      </c>
      <c r="AN289" s="108" t="str">
        <f t="shared" si="106"/>
        <v/>
      </c>
      <c r="AO289" s="108" t="str">
        <f t="shared" si="107"/>
        <v/>
      </c>
      <c r="AP289" s="108" t="str">
        <f t="shared" si="108"/>
        <v/>
      </c>
      <c r="AQ289" s="108" t="str">
        <f t="shared" si="109"/>
        <v/>
      </c>
      <c r="AR289" s="108"/>
      <c r="AS289" s="108"/>
      <c r="AT289" s="103" t="str">
        <f>IF($X289&gt;0,INDEX('CostModel Coef'!D$13:D$16,$X289),"")</f>
        <v/>
      </c>
      <c r="AU289" s="103" t="str">
        <f>IF($X289&gt;0,INDEX('CostModel Coef'!E$13:E$16,$X289),"")</f>
        <v/>
      </c>
      <c r="AV289" s="103" t="str">
        <f>IF($X289&gt;0,INDEX('CostModel Coef'!F$13:F$16,$X289),"")</f>
        <v/>
      </c>
      <c r="AW289" s="103" t="str">
        <f>IF($X289&gt;0,INDEX('CostModel Coef'!G$13:G$16,$X289),"")</f>
        <v/>
      </c>
      <c r="AX289" s="103" t="str">
        <f>IF($X289&gt;0,INDEX('CostModel Coef'!H$13:H$16,$X289),"")</f>
        <v/>
      </c>
      <c r="AY289" s="103" t="str">
        <f>IF($X289&gt;0,INDEX('CostModel Coef'!I$13:I$16,$X289),"")</f>
        <v/>
      </c>
      <c r="AZ289" s="103" t="str">
        <f>IF($X289&gt;0,INDEX('CostModel Coef'!J$13:J$16,$X289),"")</f>
        <v/>
      </c>
      <c r="BA289" s="103" t="str">
        <f>IF($X289&gt;0,INDEX('CostModel Coef'!K$13:K$16,$X289),"")</f>
        <v/>
      </c>
      <c r="BB289" s="103" t="str">
        <f>IF($X289&gt;0,INDEX('CostModel Coef'!L$13:L$16,$X289),"")</f>
        <v/>
      </c>
      <c r="BC289" s="103" t="str">
        <f>IF($X289&gt;0,INDEX('CostModel Coef'!M$13:M$16,$X289),"")</f>
        <v/>
      </c>
      <c r="BD289" s="103" t="str">
        <f>IF($X289&gt;0,INDEX('CostModel Coef'!N$13:N$16,$X289),"")</f>
        <v/>
      </c>
      <c r="BE289" s="103" t="str">
        <f>IF($X289&gt;0,INDEX('CostModel Coef'!O$13:O$16,$X289),"")</f>
        <v/>
      </c>
      <c r="BF289" s="103" t="str">
        <f>IF($X289&gt;0,INDEX('CostModel Coef'!P$13:P$16,$X289),"")</f>
        <v/>
      </c>
      <c r="BG289" s="103" t="str">
        <f>IF($X289&gt;0,INDEX('CostModel Coef'!Q$13:Q$16,$X289),"")</f>
        <v/>
      </c>
      <c r="BH289" s="103" t="str">
        <f>IF($X289&gt;0,INDEX('CostModel Coef'!R$13:R$16,$X289),"")</f>
        <v/>
      </c>
      <c r="BI289" s="103" t="str">
        <f>IF($X289&gt;0,INDEX('CostModel Coef'!S$13:S$16,$X289),"")</f>
        <v/>
      </c>
      <c r="BJ289" s="103" t="str">
        <f>IF($X289&gt;0,INDEX('CostModel Coef'!T$13:T$16,$X289),"")</f>
        <v/>
      </c>
      <c r="BK289" s="103" t="str">
        <f>IF($X289&gt;0,INDEX('CostModel Coef'!U$13:U$16,$X289),"")</f>
        <v/>
      </c>
      <c r="BL289" s="103" t="str">
        <f>IF($X289&gt;0,INDEX('CostModel Coef'!V$13:V$16,$X289),"")</f>
        <v/>
      </c>
      <c r="BM289" s="103" t="str">
        <f>IF($X289&gt;0,INDEX('CostModel Coef'!W$13:W$16,$X289),"")</f>
        <v/>
      </c>
      <c r="BN289" s="103" t="str">
        <f>IF($X289&gt;0,INDEX('CostModel Coef'!X$13:X$16,$X289),"")</f>
        <v/>
      </c>
      <c r="BO289" s="103"/>
      <c r="BP289" s="119">
        <v>2000</v>
      </c>
      <c r="BQ289" s="103"/>
      <c r="BR289" s="103"/>
      <c r="BS289" s="119" t="str">
        <f t="shared" si="112"/>
        <v/>
      </c>
      <c r="BT289" s="174">
        <f t="shared" si="104"/>
        <v>-1</v>
      </c>
      <c r="BU289" s="113" t="str">
        <f t="shared" si="114"/>
        <v>OOS</v>
      </c>
      <c r="BV289" s="108" t="str">
        <f t="shared" si="115"/>
        <v>OOS</v>
      </c>
      <c r="BW289" s="108" t="str">
        <f t="shared" si="116"/>
        <v>OOS</v>
      </c>
      <c r="BX289" s="108" t="str">
        <f t="shared" si="117"/>
        <v>OOS</v>
      </c>
      <c r="BY289" s="108" t="str">
        <f t="shared" si="118"/>
        <v>OOS</v>
      </c>
      <c r="BZ289" s="108"/>
      <c r="CA289" s="119" t="str">
        <f t="shared" si="119"/>
        <v/>
      </c>
      <c r="CB289" s="174">
        <f t="shared" si="110"/>
        <v>-1</v>
      </c>
      <c r="CC289" s="113" t="str">
        <f t="shared" si="120"/>
        <v/>
      </c>
      <c r="CD289" s="108" t="str">
        <f t="shared" si="121"/>
        <v/>
      </c>
      <c r="CE289" s="108" t="str">
        <f t="shared" si="122"/>
        <v/>
      </c>
      <c r="CF289" s="108" t="str">
        <f t="shared" si="123"/>
        <v/>
      </c>
      <c r="CG289" s="108" t="str">
        <f t="shared" si="124"/>
        <v/>
      </c>
      <c r="CH289" s="103"/>
      <c r="CI289" s="119" t="str">
        <f t="shared" si="113"/>
        <v/>
      </c>
      <c r="CJ289" s="174">
        <f t="shared" si="111"/>
        <v>-1</v>
      </c>
      <c r="CK289" s="113" t="str">
        <f t="shared" si="125"/>
        <v/>
      </c>
      <c r="CL289" s="108" t="str">
        <f t="shared" si="126"/>
        <v/>
      </c>
      <c r="CM289" s="108" t="str">
        <f t="shared" si="127"/>
        <v/>
      </c>
      <c r="CN289" s="108" t="str">
        <f t="shared" si="128"/>
        <v/>
      </c>
      <c r="CO289" s="108" t="str">
        <f t="shared" si="129"/>
        <v/>
      </c>
    </row>
    <row r="290" spans="1:93">
      <c r="A290" s="103" t="s">
        <v>801</v>
      </c>
      <c r="B290" s="103" t="s">
        <v>165</v>
      </c>
      <c r="C290" s="103" t="s">
        <v>152</v>
      </c>
      <c r="D290" s="250" t="s">
        <v>153</v>
      </c>
      <c r="E290" s="250">
        <v>82</v>
      </c>
      <c r="F290" s="182">
        <v>9020</v>
      </c>
      <c r="G290" s="250" t="s">
        <v>175</v>
      </c>
      <c r="H290" s="250">
        <v>9</v>
      </c>
      <c r="I290" s="250">
        <v>344</v>
      </c>
      <c r="J290" s="250">
        <v>430</v>
      </c>
      <c r="K290" s="250" t="s">
        <v>802</v>
      </c>
      <c r="L290" s="250" t="s">
        <v>61</v>
      </c>
      <c r="M290" s="250">
        <v>9</v>
      </c>
      <c r="N290" s="250"/>
      <c r="O290" s="250"/>
      <c r="P290" s="250" t="s">
        <v>153</v>
      </c>
      <c r="Q290" s="250"/>
      <c r="R290" s="250"/>
      <c r="S290" s="250"/>
      <c r="T290" s="250" t="s">
        <v>155</v>
      </c>
      <c r="U290" s="103" t="s">
        <v>803</v>
      </c>
      <c r="V290" s="106" t="s">
        <v>157</v>
      </c>
      <c r="W290" s="103" t="s">
        <v>81</v>
      </c>
      <c r="X290" s="103">
        <f>IFERROR(MATCH(W290,'CostModel Coef'!$C$9:$C$12,0),0)</f>
        <v>1</v>
      </c>
      <c r="Y290" s="103"/>
      <c r="Z290" s="103">
        <f>IF($X290&gt;0,INDEX('CostModel Coef'!D$9:D$12,$X290),"")</f>
        <v>3.0430000000000001</v>
      </c>
      <c r="AA290" s="103">
        <f>IF($X290&gt;0,INDEX('CostModel Coef'!E$9:E$12,$X290),"")</f>
        <v>-0.14966150225589619</v>
      </c>
      <c r="AB290" s="103">
        <f>IF($X290&gt;0,INDEX('CostModel Coef'!F$9:F$12,$X290),"")</f>
        <v>0.52692151711335011</v>
      </c>
      <c r="AC290" s="103">
        <f>IF($X290&gt;0,INDEX('CostModel Coef'!G$9:G$12,$X290),"")</f>
        <v>1.8411</v>
      </c>
      <c r="AD290" s="103">
        <f>IF($X290&gt;0,INDEX('CostModel Coef'!H$9:H$12,$X290),"")</f>
        <v>-1.8050999999999999</v>
      </c>
      <c r="AE290" s="103">
        <f>IF($X290&gt;0,INDEX('CostModel Coef'!J$9:J$12,$X290),"")</f>
        <v>-1.1288</v>
      </c>
      <c r="AF290" s="103">
        <f>IF($X290&gt;0,INDEX('CostModel Coef'!K$9:K$12,$X290),"")</f>
        <v>-1.845</v>
      </c>
      <c r="AG290" s="103">
        <f>IF($X290&gt;0,INDEX('CostModel Coef'!L$9:L$12,$X290),"")</f>
        <v>6.7507000000000001</v>
      </c>
      <c r="AH290" s="103">
        <f>IF($X290&gt;0,INDEX('CostModel Coef'!M$9:M$12,$X290),"")</f>
        <v>5.8051000000000004</v>
      </c>
      <c r="AI290" s="103">
        <f>IF($X290&gt;0,INDEX('CostModel Coef'!N$9:N$12,$X290),"")</f>
        <v>6.1600000000000002E-2</v>
      </c>
      <c r="AJ290" s="103">
        <f>IF($X290&gt;0,INDEX('CostModel Coef'!Q$9:Q$12,$X290),"")</f>
        <v>6.6500000000000004E-2</v>
      </c>
      <c r="AK290" s="103">
        <f>IF($X290&gt;0,INDEX('CostModel Coef'!T$9:T$12,$X290),"")</f>
        <v>9.35E-2</v>
      </c>
      <c r="AL290" s="103"/>
      <c r="AM290" s="108">
        <f t="shared" si="105"/>
        <v>2.7293920148574546</v>
      </c>
      <c r="AN290" s="108">
        <f t="shared" si="106"/>
        <v>4.5743920148574544</v>
      </c>
      <c r="AO290" s="108">
        <f t="shared" si="107"/>
        <v>2.7692920148574545</v>
      </c>
      <c r="AP290" s="108">
        <f t="shared" si="108"/>
        <v>2.7692920148574545</v>
      </c>
      <c r="AQ290" s="108">
        <f t="shared" si="109"/>
        <v>1.6404920148574544</v>
      </c>
      <c r="AR290" s="108"/>
      <c r="AS290" s="108"/>
      <c r="AT290" s="103">
        <f>IF($X290&gt;0,INDEX('CostModel Coef'!D$13:D$16,$X290),"")</f>
        <v>2.1320000000000001</v>
      </c>
      <c r="AU290" s="103">
        <f>IF($X290&gt;0,INDEX('CostModel Coef'!E$13:E$16,$X290),"")</f>
        <v>0.23699999999999999</v>
      </c>
      <c r="AV290" s="103">
        <f>IF($X290&gt;0,INDEX('CostModel Coef'!F$13:F$16,$X290),"")</f>
        <v>0.59899999999999998</v>
      </c>
      <c r="AW290" s="103">
        <f>IF($X290&gt;0,INDEX('CostModel Coef'!G$13:G$16,$X290),"")</f>
        <v>0</v>
      </c>
      <c r="AX290" s="103">
        <f>IF($X290&gt;0,INDEX('CostModel Coef'!H$13:H$16,$X290),"")</f>
        <v>-1.69</v>
      </c>
      <c r="AY290" s="103">
        <f>IF($X290&gt;0,INDEX('CostModel Coef'!I$13:I$16,$X290),"")</f>
        <v>-1.1599999999999999</v>
      </c>
      <c r="AZ290" s="103">
        <f>IF($X290&gt;0,INDEX('CostModel Coef'!J$13:J$16,$X290),"")</f>
        <v>0</v>
      </c>
      <c r="BA290" s="103">
        <f>IF($X290&gt;0,INDEX('CostModel Coef'!K$13:K$16,$X290),"")</f>
        <v>-2.4630000000000001</v>
      </c>
      <c r="BB290" s="103">
        <f>IF($X290&gt;0,INDEX('CostModel Coef'!L$13:L$16,$X290),"")</f>
        <v>0.46179999999999999</v>
      </c>
      <c r="BC290" s="103">
        <f>IF($X290&gt;0,INDEX('CostModel Coef'!M$13:M$16,$X290),"")</f>
        <v>0</v>
      </c>
      <c r="BD290" s="103">
        <f>IF($X290&gt;0,INDEX('CostModel Coef'!N$13:N$16,$X290),"")</f>
        <v>0.19869999999999999</v>
      </c>
      <c r="BE290" s="103">
        <f>IF($X290&gt;0,INDEX('CostModel Coef'!O$13:O$16,$X290),"")</f>
        <v>0.6</v>
      </c>
      <c r="BF290" s="103">
        <f>IF($X290&gt;0,INDEX('CostModel Coef'!P$13:P$16,$X290),"")</f>
        <v>15</v>
      </c>
      <c r="BG290" s="103">
        <f>IF($X290&gt;0,INDEX('CostModel Coef'!Q$13:Q$16,$X290),"")</f>
        <v>0</v>
      </c>
      <c r="BH290" s="103">
        <f>IF($X290&gt;0,INDEX('CostModel Coef'!R$13:R$16,$X290),"")</f>
        <v>3</v>
      </c>
      <c r="BI290" s="103">
        <f>IF($X290&gt;0,INDEX('CostModel Coef'!S$13:S$16,$X290),"")</f>
        <v>150</v>
      </c>
      <c r="BJ290" s="103">
        <f>IF($X290&gt;0,INDEX('CostModel Coef'!T$13:T$16,$X290),"")</f>
        <v>0</v>
      </c>
      <c r="BK290" s="103">
        <f>IF($X290&gt;0,INDEX('CostModel Coef'!U$13:U$16,$X290),"")</f>
        <v>9.1999999999999998E-3</v>
      </c>
      <c r="BL290" s="103">
        <f>IF($X290&gt;0,INDEX('CostModel Coef'!V$13:V$16,$X290),"")</f>
        <v>-8.8000000000000005E-3</v>
      </c>
      <c r="BM290" s="103">
        <f>IF($X290&gt;0,INDEX('CostModel Coef'!W$13:W$16,$X290),"")</f>
        <v>0</v>
      </c>
      <c r="BN290" s="103">
        <f>IF($X290&gt;0,INDEX('CostModel Coef'!X$13:X$16,$X290),"")</f>
        <v>0</v>
      </c>
      <c r="BO290" s="103"/>
      <c r="BP290" s="119">
        <v>2000</v>
      </c>
      <c r="BQ290" s="103"/>
      <c r="BR290" s="103"/>
      <c r="BS290" s="119" t="str">
        <f t="shared" si="112"/>
        <v>WRR0347_CFLscw(9w)</v>
      </c>
      <c r="BT290" s="174">
        <f t="shared" si="104"/>
        <v>31</v>
      </c>
      <c r="BU290" s="113">
        <f t="shared" si="114"/>
        <v>0.91159999999999997</v>
      </c>
      <c r="BV290" s="108">
        <f t="shared" si="115"/>
        <v>3.3746</v>
      </c>
      <c r="BW290" s="108">
        <f t="shared" si="116"/>
        <v>1.6846000000000001</v>
      </c>
      <c r="BX290" s="108">
        <f t="shared" si="117"/>
        <v>0.52460000000000018</v>
      </c>
      <c r="BY290" s="108">
        <f t="shared" si="118"/>
        <v>0.52460000000000018</v>
      </c>
      <c r="BZ290" s="108"/>
      <c r="CA290" s="119" t="str">
        <f t="shared" si="119"/>
        <v>WRR0407_CFLscw(9w)</v>
      </c>
      <c r="CB290" s="174">
        <f t="shared" si="110"/>
        <v>37</v>
      </c>
      <c r="CC290" s="113">
        <f t="shared" si="120"/>
        <v>0.9668000000000001</v>
      </c>
      <c r="CD290" s="108">
        <f t="shared" si="121"/>
        <v>3.4298000000000002</v>
      </c>
      <c r="CE290" s="108">
        <f t="shared" si="122"/>
        <v>1.7398000000000002</v>
      </c>
      <c r="CF290" s="108">
        <f t="shared" si="123"/>
        <v>0.57980000000000032</v>
      </c>
      <c r="CG290" s="108">
        <f t="shared" si="124"/>
        <v>0.57980000000000032</v>
      </c>
      <c r="CH290" s="103"/>
      <c r="CI290" s="119" t="str">
        <f t="shared" si="113"/>
        <v>WRR0347_CFLscw(9w)</v>
      </c>
      <c r="CJ290" s="174">
        <f t="shared" si="111"/>
        <v>31</v>
      </c>
      <c r="CK290" s="113">
        <f t="shared" si="125"/>
        <v>0.91159999999999997</v>
      </c>
      <c r="CL290" s="108">
        <f t="shared" si="126"/>
        <v>3.3746</v>
      </c>
      <c r="CM290" s="108">
        <f t="shared" si="127"/>
        <v>1.6846000000000001</v>
      </c>
      <c r="CN290" s="108">
        <f t="shared" si="128"/>
        <v>0.52460000000000018</v>
      </c>
      <c r="CO290" s="108">
        <f t="shared" si="129"/>
        <v>0.52460000000000018</v>
      </c>
    </row>
    <row r="291" spans="1:93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  <c r="AA291" s="103"/>
      <c r="AB291" s="103"/>
      <c r="AC291" s="103"/>
      <c r="AD291" s="103"/>
      <c r="AE291" s="103"/>
      <c r="AF291" s="103"/>
      <c r="AG291" s="103"/>
      <c r="AH291" s="103"/>
      <c r="AI291" s="103"/>
      <c r="AJ291" s="103"/>
      <c r="AK291" s="103"/>
      <c r="AL291" s="103"/>
      <c r="AM291" s="103"/>
      <c r="AN291" s="103"/>
      <c r="AO291" s="103"/>
      <c r="AP291" s="103"/>
      <c r="AQ291" s="103"/>
      <c r="AR291" s="103"/>
      <c r="AS291" s="103"/>
      <c r="AT291" s="103"/>
      <c r="AU291" s="103"/>
      <c r="AV291" s="103"/>
      <c r="AW291" s="103"/>
      <c r="AX291" s="103"/>
      <c r="AY291" s="103"/>
      <c r="AZ291" s="103"/>
      <c r="BA291" s="103"/>
      <c r="BB291" s="103"/>
      <c r="BC291" s="103"/>
      <c r="BD291" s="103"/>
      <c r="BE291" s="103"/>
      <c r="BF291" s="103"/>
      <c r="BG291" s="103"/>
      <c r="BH291" s="103"/>
      <c r="BI291" s="103"/>
      <c r="BJ291" s="103"/>
      <c r="BK291" s="103"/>
      <c r="BL291" s="103"/>
      <c r="BM291" s="103"/>
      <c r="BN291" s="103"/>
      <c r="BO291" s="103"/>
      <c r="BP291" s="103"/>
      <c r="BQ291" s="103"/>
      <c r="BR291" s="103"/>
      <c r="BS291" s="103"/>
      <c r="BT291" s="103"/>
      <c r="BU291" s="103"/>
      <c r="BV291" s="103"/>
      <c r="BW291" s="103"/>
      <c r="BX291" s="103"/>
      <c r="BY291" s="103"/>
      <c r="BZ291" s="103"/>
      <c r="CA291" s="103"/>
      <c r="CB291" s="103"/>
      <c r="CC291" s="103"/>
      <c r="CD291" s="103"/>
      <c r="CE291" s="103"/>
      <c r="CF291" s="103"/>
      <c r="CG291" s="103"/>
      <c r="CH291" s="103"/>
      <c r="CI291" s="103"/>
      <c r="CJ291" s="103"/>
      <c r="CK291" s="103"/>
      <c r="CL291" s="103"/>
      <c r="CM291" s="103"/>
      <c r="CN291" s="103"/>
      <c r="CO291" s="103"/>
    </row>
  </sheetData>
  <autoFilter ref="A7:U290" xr:uid="{00000000-0009-0000-0000-000002000000}"/>
  <mergeCells count="8">
    <mergeCell ref="Z6:AB6"/>
    <mergeCell ref="AC6:AK6"/>
    <mergeCell ref="AM6:AQ6"/>
    <mergeCell ref="BU6:BY6"/>
    <mergeCell ref="AT6:AV6"/>
    <mergeCell ref="BE6:BF6"/>
    <mergeCell ref="BH6:BI6"/>
    <mergeCell ref="AX6:BA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78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2" max="2" width="8.5703125" customWidth="1"/>
    <col min="3" max="3" width="22.42578125" customWidth="1"/>
    <col min="4" max="4" width="11.28515625" bestFit="1" customWidth="1"/>
    <col min="5" max="5" width="9.5703125" bestFit="1" customWidth="1"/>
    <col min="6" max="6" width="11" bestFit="1" customWidth="1"/>
    <col min="7" max="7" width="9.85546875" bestFit="1" customWidth="1"/>
    <col min="8" max="8" width="9.5703125" bestFit="1" customWidth="1"/>
    <col min="10" max="10" width="30.5703125" customWidth="1"/>
    <col min="12" max="12" width="9.7109375" bestFit="1" customWidth="1"/>
    <col min="13" max="13" width="11.140625" bestFit="1" customWidth="1"/>
    <col min="14" max="14" width="9.42578125" bestFit="1" customWidth="1"/>
    <col min="15" max="15" width="10.85546875" bestFit="1" customWidth="1"/>
    <col min="16" max="16" width="9.7109375" bestFit="1" customWidth="1"/>
    <col min="19" max="19" width="35" customWidth="1"/>
    <col min="26" max="26" width="9.7109375" customWidth="1"/>
    <col min="27" max="27" width="15.85546875" customWidth="1"/>
    <col min="28" max="28" width="32.7109375" bestFit="1" customWidth="1"/>
  </cols>
  <sheetData>
    <row r="1" spans="1:39">
      <c r="A1" s="103"/>
      <c r="B1" s="103"/>
      <c r="C1" s="103">
        <f>COUNTA(C5:C177)-COUNTIF(C5:C177,"")</f>
        <v>173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>
        <f>COUNTA(S5:S177)-COUNTIF(S5:S177,"")</f>
        <v>157</v>
      </c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</row>
    <row r="2" spans="1:39">
      <c r="A2" s="103"/>
      <c r="B2" s="103"/>
      <c r="C2" s="105" t="s">
        <v>804</v>
      </c>
      <c r="D2" s="103"/>
      <c r="E2" s="103"/>
      <c r="F2" s="103"/>
      <c r="G2" s="103"/>
      <c r="H2" s="103"/>
      <c r="I2" s="103"/>
      <c r="J2" s="105" t="s">
        <v>805</v>
      </c>
      <c r="K2" s="103"/>
      <c r="L2" s="103"/>
      <c r="M2" s="103"/>
      <c r="N2" s="103"/>
      <c r="O2" s="103"/>
      <c r="P2" s="103"/>
      <c r="Q2" s="103"/>
      <c r="R2" s="103"/>
      <c r="S2" s="105" t="s">
        <v>806</v>
      </c>
      <c r="T2" s="103"/>
      <c r="U2" s="103"/>
      <c r="V2" s="103"/>
      <c r="W2" s="103"/>
      <c r="X2" s="103"/>
      <c r="Y2" s="103"/>
      <c r="Z2" s="103"/>
      <c r="AA2" s="103" t="s">
        <v>807</v>
      </c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</row>
    <row r="3" spans="1:39">
      <c r="A3" s="103"/>
      <c r="B3" s="177" t="s">
        <v>808</v>
      </c>
      <c r="C3" s="103"/>
      <c r="D3" s="260" t="s">
        <v>809</v>
      </c>
      <c r="E3" s="260"/>
      <c r="F3" s="260"/>
      <c r="G3" s="260"/>
      <c r="H3" s="260"/>
      <c r="I3" s="103"/>
      <c r="J3" s="103"/>
      <c r="K3" s="103"/>
      <c r="L3" s="260" t="s">
        <v>809</v>
      </c>
      <c r="M3" s="260"/>
      <c r="N3" s="260"/>
      <c r="O3" s="260"/>
      <c r="P3" s="260"/>
      <c r="Q3" s="103"/>
      <c r="R3" s="103"/>
      <c r="S3" s="103"/>
      <c r="T3" s="260" t="s">
        <v>809</v>
      </c>
      <c r="U3" s="260"/>
      <c r="V3" s="260"/>
      <c r="W3" s="260"/>
      <c r="X3" s="260"/>
      <c r="Y3" s="103"/>
      <c r="Z3" s="103"/>
      <c r="AA3" s="103" t="s">
        <v>34</v>
      </c>
      <c r="AB3" s="103"/>
      <c r="AC3" s="103"/>
      <c r="AD3" s="259" t="s">
        <v>810</v>
      </c>
      <c r="AE3" s="259"/>
      <c r="AF3" s="259"/>
      <c r="AG3" s="259"/>
      <c r="AH3" s="259"/>
      <c r="AI3" s="103"/>
      <c r="AJ3" s="103"/>
      <c r="AK3" s="103" t="s">
        <v>811</v>
      </c>
      <c r="AL3" s="103"/>
      <c r="AM3" s="103"/>
    </row>
    <row r="4" spans="1:39" ht="15.75" thickBot="1">
      <c r="A4" s="103"/>
      <c r="B4" s="178" t="s">
        <v>812</v>
      </c>
      <c r="C4" s="173" t="s">
        <v>813</v>
      </c>
      <c r="D4" s="173" t="s">
        <v>140</v>
      </c>
      <c r="E4" s="173" t="s">
        <v>141</v>
      </c>
      <c r="F4" s="173" t="s">
        <v>142</v>
      </c>
      <c r="G4" s="173" t="s">
        <v>143</v>
      </c>
      <c r="H4" s="173" t="s">
        <v>144</v>
      </c>
      <c r="I4" s="103"/>
      <c r="J4" s="104" t="s">
        <v>814</v>
      </c>
      <c r="K4" s="104" t="s">
        <v>61</v>
      </c>
      <c r="L4" s="104" t="s">
        <v>140</v>
      </c>
      <c r="M4" s="104" t="s">
        <v>141</v>
      </c>
      <c r="N4" s="104" t="s">
        <v>142</v>
      </c>
      <c r="O4" s="104" t="s">
        <v>143</v>
      </c>
      <c r="P4" s="104" t="s">
        <v>144</v>
      </c>
      <c r="Q4" s="103"/>
      <c r="R4" s="103"/>
      <c r="S4" s="173" t="s">
        <v>815</v>
      </c>
      <c r="T4" s="173" t="s">
        <v>140</v>
      </c>
      <c r="U4" s="173" t="s">
        <v>141</v>
      </c>
      <c r="V4" s="173" t="s">
        <v>142</v>
      </c>
      <c r="W4" s="173" t="s">
        <v>143</v>
      </c>
      <c r="X4" s="173" t="s">
        <v>144</v>
      </c>
      <c r="Y4" s="103"/>
      <c r="Z4" s="103"/>
      <c r="AA4" s="104" t="s">
        <v>816</v>
      </c>
      <c r="AB4" s="104" t="s">
        <v>817</v>
      </c>
      <c r="AC4" s="103"/>
      <c r="AD4" s="173" t="s">
        <v>140</v>
      </c>
      <c r="AE4" s="173" t="s">
        <v>141</v>
      </c>
      <c r="AF4" s="173" t="s">
        <v>142</v>
      </c>
      <c r="AG4" s="173" t="s">
        <v>143</v>
      </c>
      <c r="AH4" s="173" t="s">
        <v>144</v>
      </c>
      <c r="AI4" s="103"/>
      <c r="AJ4" s="103"/>
      <c r="AK4" s="112" t="s">
        <v>104</v>
      </c>
      <c r="AL4" s="112" t="s">
        <v>818</v>
      </c>
      <c r="AM4" s="112" t="s">
        <v>150</v>
      </c>
    </row>
    <row r="5" spans="1:39">
      <c r="A5" s="103"/>
      <c r="B5" s="179">
        <f>IFERROR(MATCH(C5,'CFL &amp; Incand Cost Development'!$A$8:$A$290,0),0)</f>
        <v>223</v>
      </c>
      <c r="C5" s="111" t="s">
        <v>646</v>
      </c>
      <c r="D5" s="111">
        <f>INDEX('CFL &amp; Incand Cost Development'!AM$8:AM$290,$B5)</f>
        <v>2.7958920148574551</v>
      </c>
      <c r="E5" s="111">
        <f>INDEX('CFL &amp; Incand Cost Development'!AN$8:AN$290,$B5)</f>
        <v>4.6408920148574548</v>
      </c>
      <c r="F5" s="111">
        <f>INDEX('CFL &amp; Incand Cost Development'!AO$8:AO$290,$B5)</f>
        <v>2.8357920148574549</v>
      </c>
      <c r="G5" s="111">
        <f>INDEX('CFL &amp; Incand Cost Development'!AP$8:AP$290,$B5)</f>
        <v>2.8357920148574549</v>
      </c>
      <c r="H5" s="111">
        <f>INDEX('CFL &amp; Incand Cost Development'!AQ$8:AQ$290,$B5)</f>
        <v>1.7069920148574549</v>
      </c>
      <c r="I5" s="103"/>
      <c r="J5" s="183" t="str">
        <f>INDEX('CFL &amp; Incand Cost Development'!BS$8:BS$290,$B5)</f>
        <v>WRR0347_CFLscw(10w)</v>
      </c>
      <c r="K5" s="250">
        <f>INDEX('CFL &amp; Incand Cost Development'!BT$8:BT$290,$B5)</f>
        <v>35</v>
      </c>
      <c r="L5" s="250">
        <f>INDEX('CFL &amp; Incand Cost Development'!BU$8:BU$290,$B5)</f>
        <v>0.94839999999999991</v>
      </c>
      <c r="M5" s="250">
        <f>INDEX('CFL &amp; Incand Cost Development'!BV$8:BV$290,$B5)</f>
        <v>3.4114</v>
      </c>
      <c r="N5" s="250">
        <f>INDEX('CFL &amp; Incand Cost Development'!BW$8:BW$290,$B5)</f>
        <v>1.7214</v>
      </c>
      <c r="O5" s="250">
        <f>INDEX('CFL &amp; Incand Cost Development'!BX$8:BX$290,$B5)</f>
        <v>0.56140000000000012</v>
      </c>
      <c r="P5" s="250">
        <f>INDEX('CFL &amp; Incand Cost Development'!BY$8:BY$290,$B5)</f>
        <v>0.56140000000000012</v>
      </c>
      <c r="Q5" s="103"/>
      <c r="R5" s="103"/>
      <c r="S5" s="103" t="str">
        <f t="shared" ref="S5:S36" si="0">IF(L5&lt;&gt;"OOS","Std_"&amp;MID(J5,9,99)&amp;"_60pInc-"&amp;VLOOKUP(LEFT(J5,7),$AK$4:$AL$6,2,FALSE),"")</f>
        <v>Std_CFLscw(10w)_60pInc-r0248</v>
      </c>
      <c r="T5" s="111">
        <f t="shared" ref="T5:T36" si="1">IFERROR(0.6*L5+0.4*D5,"")</f>
        <v>1.6873968059429818</v>
      </c>
      <c r="U5" s="111">
        <f t="shared" ref="U5:U36" si="2">IFERROR(0.6*M5+0.4*E5,"")</f>
        <v>3.903196805942982</v>
      </c>
      <c r="V5" s="111">
        <f t="shared" ref="V5:V36" si="3">IFERROR(0.6*N5+0.4*F5,"")</f>
        <v>2.167156805942982</v>
      </c>
      <c r="W5" s="111">
        <f t="shared" ref="W5:W36" si="4">IFERROR(0.6*O5+0.4*G5,"")</f>
        <v>1.471156805942982</v>
      </c>
      <c r="X5" s="111">
        <f t="shared" ref="X5:X36" si="5">IFERROR(0.6*P5+0.4*H5,"")</f>
        <v>1.0196368059429821</v>
      </c>
      <c r="Y5" s="103"/>
      <c r="Z5" s="103"/>
      <c r="AA5" s="103" t="str">
        <f t="shared" ref="AA5:AA36" si="6">VLOOKUP(LEFT(J5,7),$AK$4:$AM$6,3,FALSE)</f>
        <v>CFLratio0248</v>
      </c>
      <c r="AB5" s="103" t="str">
        <f>C5&amp;AA5</f>
        <v>CFLscw(10w)CFLratio0248</v>
      </c>
      <c r="AC5" s="103"/>
      <c r="AD5" s="108">
        <f>IFERROR(D5-T5,"")</f>
        <v>1.1084952089144733</v>
      </c>
      <c r="AE5" s="108">
        <f t="shared" ref="AE5:AE68" si="7">IFERROR(E5-U5,"")</f>
        <v>0.73769520891447282</v>
      </c>
      <c r="AF5" s="108">
        <f t="shared" ref="AF5:AF68" si="8">IFERROR(F5-V5,"")</f>
        <v>0.66863520891447292</v>
      </c>
      <c r="AG5" s="108">
        <f t="shared" ref="AG5:AG68" si="9">IFERROR(G5-W5,"")</f>
        <v>1.3646352089144729</v>
      </c>
      <c r="AH5" s="108">
        <f t="shared" ref="AH5:AH68" si="10">IFERROR(H5-X5,"")</f>
        <v>0.68735520891447277</v>
      </c>
      <c r="AI5" s="103"/>
      <c r="AJ5" s="103"/>
      <c r="AK5" s="112" t="s">
        <v>105</v>
      </c>
      <c r="AL5" s="112" t="s">
        <v>819</v>
      </c>
      <c r="AM5" s="112" t="s">
        <v>159</v>
      </c>
    </row>
    <row r="6" spans="1:39">
      <c r="A6" s="103"/>
      <c r="B6" s="179">
        <f>IFERROR(MATCH(C6,'CFL &amp; Incand Cost Development'!$A$8:$A$290,0),0)</f>
        <v>225</v>
      </c>
      <c r="C6" s="111" t="s">
        <v>651</v>
      </c>
      <c r="D6" s="111">
        <f>INDEX('CFL &amp; Incand Cost Development'!AM$8:AM$290,$B6)</f>
        <v>2.8623920148574546</v>
      </c>
      <c r="E6" s="111">
        <f>INDEX('CFL &amp; Incand Cost Development'!AN$8:AN$290,$B6)</f>
        <v>4.7073920148574544</v>
      </c>
      <c r="F6" s="111">
        <f>INDEX('CFL &amp; Incand Cost Development'!AO$8:AO$290,$B6)</f>
        <v>2.9022920148574545</v>
      </c>
      <c r="G6" s="111">
        <f>INDEX('CFL &amp; Incand Cost Development'!AP$8:AP$290,$B6)</f>
        <v>2.9022920148574545</v>
      </c>
      <c r="H6" s="111">
        <f>INDEX('CFL &amp; Incand Cost Development'!AQ$8:AQ$290,$B6)</f>
        <v>1.7734920148574544</v>
      </c>
      <c r="I6" s="103"/>
      <c r="J6" s="183" t="str">
        <f>INDEX('CFL &amp; Incand Cost Development'!BS$8:BS$290,$B6)</f>
        <v>WRR0347_CFLscw(11w)</v>
      </c>
      <c r="K6" s="250">
        <f>INDEX('CFL &amp; Incand Cost Development'!BT$8:BT$290,$B6)</f>
        <v>38</v>
      </c>
      <c r="L6" s="250">
        <f>INDEX('CFL &amp; Incand Cost Development'!BU$8:BU$290,$B6)</f>
        <v>0.97599999999999998</v>
      </c>
      <c r="M6" s="250">
        <f>INDEX('CFL &amp; Incand Cost Development'!BV$8:BV$290,$B6)</f>
        <v>3.4390000000000001</v>
      </c>
      <c r="N6" s="250">
        <f>INDEX('CFL &amp; Incand Cost Development'!BW$8:BW$290,$B6)</f>
        <v>1.7490000000000001</v>
      </c>
      <c r="O6" s="250">
        <f>INDEX('CFL &amp; Incand Cost Development'!BX$8:BX$290,$B6)</f>
        <v>0.58900000000000019</v>
      </c>
      <c r="P6" s="250">
        <f>INDEX('CFL &amp; Incand Cost Development'!BY$8:BY$290,$B6)</f>
        <v>0.58900000000000019</v>
      </c>
      <c r="Q6" s="103"/>
      <c r="R6" s="103"/>
      <c r="S6" s="103" t="str">
        <f t="shared" si="0"/>
        <v>Std_CFLscw(11w)_60pInc-r0248</v>
      </c>
      <c r="T6" s="111">
        <f t="shared" si="1"/>
        <v>1.7305568059429821</v>
      </c>
      <c r="U6" s="111">
        <f t="shared" si="2"/>
        <v>3.9463568059429819</v>
      </c>
      <c r="V6" s="111">
        <f t="shared" si="3"/>
        <v>2.2103168059429819</v>
      </c>
      <c r="W6" s="111">
        <f t="shared" si="4"/>
        <v>1.5143168059429819</v>
      </c>
      <c r="X6" s="111">
        <f t="shared" si="5"/>
        <v>1.062796805942982</v>
      </c>
      <c r="Y6" s="103"/>
      <c r="Z6" s="103"/>
      <c r="AA6" s="103" t="str">
        <f t="shared" si="6"/>
        <v>CFLratio0248</v>
      </c>
      <c r="AB6" s="103" t="str">
        <f t="shared" ref="AB6:AB69" si="11">C6&amp;AA6</f>
        <v>CFLscw(11w)CFLratio0248</v>
      </c>
      <c r="AC6" s="103"/>
      <c r="AD6" s="108">
        <f t="shared" ref="AD6:AD69" si="12">IFERROR(D6-T6,"")</f>
        <v>1.1318352089144725</v>
      </c>
      <c r="AE6" s="108">
        <f t="shared" si="7"/>
        <v>0.76103520891447252</v>
      </c>
      <c r="AF6" s="108">
        <f t="shared" si="8"/>
        <v>0.69197520891447262</v>
      </c>
      <c r="AG6" s="108">
        <f t="shared" si="9"/>
        <v>1.3879752089144726</v>
      </c>
      <c r="AH6" s="108">
        <f t="shared" si="10"/>
        <v>0.71069520891447246</v>
      </c>
      <c r="AI6" s="103"/>
      <c r="AJ6" s="103"/>
      <c r="AK6" s="112" t="s">
        <v>97</v>
      </c>
      <c r="AL6" s="112" t="s">
        <v>820</v>
      </c>
      <c r="AM6" s="112" t="s">
        <v>161</v>
      </c>
    </row>
    <row r="7" spans="1:39">
      <c r="A7" s="103"/>
      <c r="B7" s="179">
        <f>IFERROR(MATCH(C7,'CFL &amp; Incand Cost Development'!$A$8:$A$290,0),0)</f>
        <v>226</v>
      </c>
      <c r="C7" s="111" t="s">
        <v>654</v>
      </c>
      <c r="D7" s="111">
        <f>INDEX('CFL &amp; Incand Cost Development'!AM$8:AM$290,$B7)</f>
        <v>18.993392014857456</v>
      </c>
      <c r="E7" s="111">
        <f>INDEX('CFL &amp; Incand Cost Development'!AN$8:AN$290,$B7)</f>
        <v>20.838392014857455</v>
      </c>
      <c r="F7" s="111">
        <f>INDEX('CFL &amp; Incand Cost Development'!AO$8:AO$290,$B7)</f>
        <v>19.033292014857455</v>
      </c>
      <c r="G7" s="111">
        <f>INDEX('CFL &amp; Incand Cost Development'!AP$8:AP$290,$B7)</f>
        <v>19.033292014857455</v>
      </c>
      <c r="H7" s="111">
        <f>INDEX('CFL &amp; Incand Cost Development'!AQ$8:AQ$290,$B7)</f>
        <v>17.904492014857453</v>
      </c>
      <c r="I7" s="103"/>
      <c r="J7" s="183" t="str">
        <f>INDEX('CFL &amp; Incand Cost Development'!BS$8:BS$290,$B7)</f>
        <v>WRR0347_CFLscw(120w)</v>
      </c>
      <c r="K7" s="250">
        <f>INDEX('CFL &amp; Incand Cost Development'!BT$8:BT$290,$B7)</f>
        <v>416</v>
      </c>
      <c r="L7" s="250" t="str">
        <f>INDEX('CFL &amp; Incand Cost Development'!BU$8:BU$290,$B7)</f>
        <v>OOS</v>
      </c>
      <c r="M7" s="250" t="str">
        <f>INDEX('CFL &amp; Incand Cost Development'!BV$8:BV$290,$B7)</f>
        <v>OOS</v>
      </c>
      <c r="N7" s="250" t="str">
        <f>INDEX('CFL &amp; Incand Cost Development'!BW$8:BW$290,$B7)</f>
        <v>OOS</v>
      </c>
      <c r="O7" s="250" t="str">
        <f>INDEX('CFL &amp; Incand Cost Development'!BX$8:BX$290,$B7)</f>
        <v>OOS</v>
      </c>
      <c r="P7" s="250" t="str">
        <f>INDEX('CFL &amp; Incand Cost Development'!BY$8:BY$290,$B7)</f>
        <v>OOS</v>
      </c>
      <c r="Q7" s="103"/>
      <c r="R7" s="103"/>
      <c r="S7" s="103" t="str">
        <f t="shared" si="0"/>
        <v/>
      </c>
      <c r="T7" s="111" t="str">
        <f t="shared" si="1"/>
        <v/>
      </c>
      <c r="U7" s="111" t="str">
        <f t="shared" si="2"/>
        <v/>
      </c>
      <c r="V7" s="111" t="str">
        <f t="shared" si="3"/>
        <v/>
      </c>
      <c r="W7" s="111" t="str">
        <f t="shared" si="4"/>
        <v/>
      </c>
      <c r="X7" s="111" t="str">
        <f t="shared" si="5"/>
        <v/>
      </c>
      <c r="Y7" s="103"/>
      <c r="Z7" s="103"/>
      <c r="AA7" s="103" t="str">
        <f t="shared" si="6"/>
        <v>CFLratio0248</v>
      </c>
      <c r="AB7" s="103" t="str">
        <f t="shared" si="11"/>
        <v>CFLscw(120w)CFLratio0248</v>
      </c>
      <c r="AC7" s="103"/>
      <c r="AD7" s="108" t="str">
        <f t="shared" si="12"/>
        <v/>
      </c>
      <c r="AE7" s="108" t="str">
        <f t="shared" si="7"/>
        <v/>
      </c>
      <c r="AF7" s="108" t="str">
        <f t="shared" si="8"/>
        <v/>
      </c>
      <c r="AG7" s="108" t="str">
        <f t="shared" si="9"/>
        <v/>
      </c>
      <c r="AH7" s="108" t="str">
        <f t="shared" si="10"/>
        <v/>
      </c>
      <c r="AI7" s="103"/>
      <c r="AJ7" s="103"/>
      <c r="AK7" s="112"/>
      <c r="AL7" s="112"/>
      <c r="AM7" s="112"/>
    </row>
    <row r="8" spans="1:39">
      <c r="A8" s="103"/>
      <c r="B8" s="179">
        <f>IFERROR(MATCH(C8,'CFL &amp; Incand Cost Development'!$A$8:$A$290,0),0)</f>
        <v>228</v>
      </c>
      <c r="C8" s="111" t="s">
        <v>658</v>
      </c>
      <c r="D8" s="111">
        <f>INDEX('CFL &amp; Incand Cost Development'!AM$8:AM$290,$B8)</f>
        <v>2.9288920148574542</v>
      </c>
      <c r="E8" s="111">
        <f>INDEX('CFL &amp; Incand Cost Development'!AN$8:AN$290,$B8)</f>
        <v>4.773892014857454</v>
      </c>
      <c r="F8" s="111">
        <f>INDEX('CFL &amp; Incand Cost Development'!AO$8:AO$290,$B8)</f>
        <v>2.968792014857454</v>
      </c>
      <c r="G8" s="111">
        <f>INDEX('CFL &amp; Incand Cost Development'!AP$8:AP$290,$B8)</f>
        <v>2.968792014857454</v>
      </c>
      <c r="H8" s="111">
        <f>INDEX('CFL &amp; Incand Cost Development'!AQ$8:AQ$290,$B8)</f>
        <v>1.839992014857454</v>
      </c>
      <c r="I8" s="103"/>
      <c r="J8" s="183" t="str">
        <f>INDEX('CFL &amp; Incand Cost Development'!BS$8:BS$290,$B8)</f>
        <v>WRR0347_CFLscw(12w)</v>
      </c>
      <c r="K8" s="250">
        <f>INDEX('CFL &amp; Incand Cost Development'!BT$8:BT$290,$B8)</f>
        <v>42</v>
      </c>
      <c r="L8" s="250">
        <f>INDEX('CFL &amp; Incand Cost Development'!BU$8:BU$290,$B8)</f>
        <v>1.0127999999999999</v>
      </c>
      <c r="M8" s="250">
        <f>INDEX('CFL &amp; Incand Cost Development'!BV$8:BV$290,$B8)</f>
        <v>3.4758</v>
      </c>
      <c r="N8" s="250">
        <f>INDEX('CFL &amp; Incand Cost Development'!BW$8:BW$290,$B8)</f>
        <v>1.7858000000000001</v>
      </c>
      <c r="O8" s="250">
        <f>INDEX('CFL &amp; Incand Cost Development'!BX$8:BX$290,$B8)</f>
        <v>0.62580000000000013</v>
      </c>
      <c r="P8" s="250">
        <f>INDEX('CFL &amp; Incand Cost Development'!BY$8:BY$290,$B8)</f>
        <v>0.62580000000000013</v>
      </c>
      <c r="Q8" s="103"/>
      <c r="R8" s="103"/>
      <c r="S8" s="103" t="str">
        <f t="shared" si="0"/>
        <v>Std_CFLscw(12w)_60pInc-r0248</v>
      </c>
      <c r="T8" s="111">
        <f t="shared" si="1"/>
        <v>1.7792368059429817</v>
      </c>
      <c r="U8" s="111">
        <f t="shared" si="2"/>
        <v>3.9950368059429815</v>
      </c>
      <c r="V8" s="111">
        <f t="shared" si="3"/>
        <v>2.2589968059429815</v>
      </c>
      <c r="W8" s="111">
        <f t="shared" si="4"/>
        <v>1.5629968059429817</v>
      </c>
      <c r="X8" s="111">
        <f t="shared" si="5"/>
        <v>1.1114768059429818</v>
      </c>
      <c r="Y8" s="103"/>
      <c r="Z8" s="103"/>
      <c r="AA8" s="103" t="str">
        <f t="shared" si="6"/>
        <v>CFLratio0248</v>
      </c>
      <c r="AB8" s="103" t="str">
        <f t="shared" si="11"/>
        <v>CFLscw(12w)CFLratio0248</v>
      </c>
      <c r="AC8" s="103"/>
      <c r="AD8" s="108">
        <f t="shared" si="12"/>
        <v>1.1496552089144725</v>
      </c>
      <c r="AE8" s="108">
        <f t="shared" si="7"/>
        <v>0.77885520891447246</v>
      </c>
      <c r="AF8" s="108">
        <f t="shared" si="8"/>
        <v>0.70979520891447256</v>
      </c>
      <c r="AG8" s="108">
        <f t="shared" si="9"/>
        <v>1.4057952089144723</v>
      </c>
      <c r="AH8" s="108">
        <f t="shared" si="10"/>
        <v>0.72851520891447219</v>
      </c>
      <c r="AI8" s="103"/>
      <c r="AJ8" s="103"/>
      <c r="AK8" s="112" t="s">
        <v>821</v>
      </c>
      <c r="AL8" s="112"/>
      <c r="AM8" s="112"/>
    </row>
    <row r="9" spans="1:39">
      <c r="A9" s="103"/>
      <c r="B9" s="179">
        <f>IFERROR(MATCH(C9,'CFL &amp; Incand Cost Development'!$A$8:$A$290,0),0)</f>
        <v>229</v>
      </c>
      <c r="C9" s="111" t="s">
        <v>661</v>
      </c>
      <c r="D9" s="111">
        <f>INDEX('CFL &amp; Incand Cost Development'!AM$8:AM$290,$B9)</f>
        <v>2.9953920148574547</v>
      </c>
      <c r="E9" s="111">
        <f>INDEX('CFL &amp; Incand Cost Development'!AN$8:AN$290,$B9)</f>
        <v>4.8403920148574544</v>
      </c>
      <c r="F9" s="111">
        <f>INDEX('CFL &amp; Incand Cost Development'!AO$8:AO$290,$B9)</f>
        <v>3.0352920148574545</v>
      </c>
      <c r="G9" s="111">
        <f>INDEX('CFL &amp; Incand Cost Development'!AP$8:AP$290,$B9)</f>
        <v>3.0352920148574545</v>
      </c>
      <c r="H9" s="111">
        <f>INDEX('CFL &amp; Incand Cost Development'!AQ$8:AQ$290,$B9)</f>
        <v>1.9064920148574545</v>
      </c>
      <c r="I9" s="103"/>
      <c r="J9" s="183" t="str">
        <f>INDEX('CFL &amp; Incand Cost Development'!BS$8:BS$290,$B9)</f>
        <v>WRR0347_CFLscw(13w)</v>
      </c>
      <c r="K9" s="250">
        <f>INDEX('CFL &amp; Incand Cost Development'!BT$8:BT$290,$B9)</f>
        <v>45</v>
      </c>
      <c r="L9" s="250">
        <f>INDEX('CFL &amp; Incand Cost Development'!BU$8:BU$290,$B9)</f>
        <v>1.0404</v>
      </c>
      <c r="M9" s="250">
        <f>INDEX('CFL &amp; Incand Cost Development'!BV$8:BV$290,$B9)</f>
        <v>3.5034000000000001</v>
      </c>
      <c r="N9" s="250">
        <f>INDEX('CFL &amp; Incand Cost Development'!BW$8:BW$290,$B9)</f>
        <v>1.8134000000000001</v>
      </c>
      <c r="O9" s="250">
        <f>INDEX('CFL &amp; Incand Cost Development'!BX$8:BX$290,$B9)</f>
        <v>0.6534000000000002</v>
      </c>
      <c r="P9" s="250">
        <f>INDEX('CFL &amp; Incand Cost Development'!BY$8:BY$290,$B9)</f>
        <v>0.6534000000000002</v>
      </c>
      <c r="Q9" s="103"/>
      <c r="R9" s="103"/>
      <c r="S9" s="103" t="str">
        <f t="shared" si="0"/>
        <v>Std_CFLscw(13w)_60pInc-r0248</v>
      </c>
      <c r="T9" s="111">
        <f t="shared" si="1"/>
        <v>1.822396805942982</v>
      </c>
      <c r="U9" s="111">
        <f t="shared" si="2"/>
        <v>4.0381968059429818</v>
      </c>
      <c r="V9" s="111">
        <f t="shared" si="3"/>
        <v>2.3021568059429818</v>
      </c>
      <c r="W9" s="111">
        <f t="shared" si="4"/>
        <v>1.606156805942982</v>
      </c>
      <c r="X9" s="111">
        <f t="shared" si="5"/>
        <v>1.1546368059429819</v>
      </c>
      <c r="Y9" s="103"/>
      <c r="Z9" s="103"/>
      <c r="AA9" s="103" t="str">
        <f t="shared" si="6"/>
        <v>CFLratio0248</v>
      </c>
      <c r="AB9" s="103" t="str">
        <f t="shared" si="11"/>
        <v>CFLscw(13w)CFLratio0248</v>
      </c>
      <c r="AC9" s="103"/>
      <c r="AD9" s="108">
        <f t="shared" si="12"/>
        <v>1.1729952089144726</v>
      </c>
      <c r="AE9" s="108">
        <f t="shared" si="7"/>
        <v>0.8021952089144726</v>
      </c>
      <c r="AF9" s="108">
        <f t="shared" si="8"/>
        <v>0.7331352089144727</v>
      </c>
      <c r="AG9" s="108">
        <f t="shared" si="9"/>
        <v>1.4291352089144724</v>
      </c>
      <c r="AH9" s="108">
        <f t="shared" si="10"/>
        <v>0.75185520891447255</v>
      </c>
      <c r="AI9" s="103"/>
      <c r="AJ9" s="103"/>
      <c r="AK9" s="112" t="s">
        <v>141</v>
      </c>
      <c r="AL9" s="112"/>
      <c r="AM9" s="112"/>
    </row>
    <row r="10" spans="1:39">
      <c r="A10" s="103"/>
      <c r="B10" s="179">
        <f>IFERROR(MATCH(C10,'CFL &amp; Incand Cost Development'!$A$8:$A$290,0),0)</f>
        <v>230</v>
      </c>
      <c r="C10" s="111" t="s">
        <v>664</v>
      </c>
      <c r="D10" s="111">
        <f>INDEX('CFL &amp; Incand Cost Development'!AM$8:AM$290,$B10)</f>
        <v>3.0618920148574551</v>
      </c>
      <c r="E10" s="111">
        <f>INDEX('CFL &amp; Incand Cost Development'!AN$8:AN$290,$B10)</f>
        <v>4.9068920148574549</v>
      </c>
      <c r="F10" s="111">
        <f>INDEX('CFL &amp; Incand Cost Development'!AO$8:AO$290,$B10)</f>
        <v>3.1017920148574549</v>
      </c>
      <c r="G10" s="111">
        <f>INDEX('CFL &amp; Incand Cost Development'!AP$8:AP$290,$B10)</f>
        <v>3.1017920148574549</v>
      </c>
      <c r="H10" s="111">
        <f>INDEX('CFL &amp; Incand Cost Development'!AQ$8:AQ$290,$B10)</f>
        <v>1.9729920148574549</v>
      </c>
      <c r="I10" s="103"/>
      <c r="J10" s="183" t="str">
        <f>INDEX('CFL &amp; Incand Cost Development'!BS$8:BS$290,$B10)</f>
        <v>WRR0347_CFLscw(14w)</v>
      </c>
      <c r="K10" s="250">
        <f>INDEX('CFL &amp; Incand Cost Development'!BT$8:BT$290,$B10)</f>
        <v>49</v>
      </c>
      <c r="L10" s="250">
        <f>INDEX('CFL &amp; Incand Cost Development'!BU$8:BU$290,$B10)</f>
        <v>1.0771999999999999</v>
      </c>
      <c r="M10" s="250">
        <f>INDEX('CFL &amp; Incand Cost Development'!BV$8:BV$290,$B10)</f>
        <v>3.5402</v>
      </c>
      <c r="N10" s="250">
        <f>INDEX('CFL &amp; Incand Cost Development'!BW$8:BW$290,$B10)</f>
        <v>1.8502000000000001</v>
      </c>
      <c r="O10" s="250">
        <f>INDEX('CFL &amp; Incand Cost Development'!BX$8:BX$290,$B10)</f>
        <v>0.69020000000000015</v>
      </c>
      <c r="P10" s="250">
        <f>INDEX('CFL &amp; Incand Cost Development'!BY$8:BY$290,$B10)</f>
        <v>0.69020000000000015</v>
      </c>
      <c r="Q10" s="103"/>
      <c r="R10" s="103"/>
      <c r="S10" s="103" t="str">
        <f t="shared" si="0"/>
        <v>Std_CFLscw(14w)_60pInc-r0248</v>
      </c>
      <c r="T10" s="111">
        <f t="shared" si="1"/>
        <v>1.8710768059429821</v>
      </c>
      <c r="U10" s="111">
        <f t="shared" si="2"/>
        <v>4.0868768059429819</v>
      </c>
      <c r="V10" s="111">
        <f t="shared" si="3"/>
        <v>2.3508368059429818</v>
      </c>
      <c r="W10" s="111">
        <f t="shared" si="4"/>
        <v>1.6548368059429821</v>
      </c>
      <c r="X10" s="111">
        <f t="shared" si="5"/>
        <v>1.2033168059429822</v>
      </c>
      <c r="Y10" s="103"/>
      <c r="Z10" s="103"/>
      <c r="AA10" s="103" t="str">
        <f t="shared" si="6"/>
        <v>CFLratio0248</v>
      </c>
      <c r="AB10" s="103" t="str">
        <f t="shared" si="11"/>
        <v>CFLscw(14w)CFLratio0248</v>
      </c>
      <c r="AC10" s="103"/>
      <c r="AD10" s="108">
        <f t="shared" si="12"/>
        <v>1.190815208914473</v>
      </c>
      <c r="AE10" s="108">
        <f t="shared" si="7"/>
        <v>0.82001520891447299</v>
      </c>
      <c r="AF10" s="108">
        <f t="shared" si="8"/>
        <v>0.75095520891447309</v>
      </c>
      <c r="AG10" s="108">
        <f t="shared" si="9"/>
        <v>1.4469552089144728</v>
      </c>
      <c r="AH10" s="108">
        <f t="shared" si="10"/>
        <v>0.76967520891447272</v>
      </c>
      <c r="AI10" s="103"/>
      <c r="AJ10" s="103"/>
      <c r="AK10" s="112" t="s">
        <v>142</v>
      </c>
      <c r="AL10" s="112"/>
      <c r="AM10" s="112"/>
    </row>
    <row r="11" spans="1:39">
      <c r="A11" s="103"/>
      <c r="B11" s="179">
        <f>IFERROR(MATCH(C11,'CFL &amp; Incand Cost Development'!$A$8:$A$290,0),0)</f>
        <v>232</v>
      </c>
      <c r="C11" s="111" t="s">
        <v>670</v>
      </c>
      <c r="D11" s="111">
        <f>INDEX('CFL &amp; Incand Cost Development'!AM$8:AM$290,$B11)</f>
        <v>3.1283920148574547</v>
      </c>
      <c r="E11" s="111">
        <f>INDEX('CFL &amp; Incand Cost Development'!AN$8:AN$290,$B11)</f>
        <v>4.9733920148574544</v>
      </c>
      <c r="F11" s="111">
        <f>INDEX('CFL &amp; Incand Cost Development'!AO$8:AO$290,$B11)</f>
        <v>3.1682920148574545</v>
      </c>
      <c r="G11" s="111">
        <f>INDEX('CFL &amp; Incand Cost Development'!AP$8:AP$290,$B11)</f>
        <v>3.1682920148574545</v>
      </c>
      <c r="H11" s="111">
        <f>INDEX('CFL &amp; Incand Cost Development'!AQ$8:AQ$290,$B11)</f>
        <v>2.0394920148574545</v>
      </c>
      <c r="I11" s="103"/>
      <c r="J11" s="183" t="str">
        <f>INDEX('CFL &amp; Incand Cost Development'!BS$8:BS$290,$B11)</f>
        <v>WRR0347_CFLscw(15w)</v>
      </c>
      <c r="K11" s="250">
        <f>INDEX('CFL &amp; Incand Cost Development'!BT$8:BT$290,$B11)</f>
        <v>52</v>
      </c>
      <c r="L11" s="250">
        <f>INDEX('CFL &amp; Incand Cost Development'!BU$8:BU$290,$B11)</f>
        <v>1.1048</v>
      </c>
      <c r="M11" s="250">
        <f>INDEX('CFL &amp; Incand Cost Development'!BV$8:BV$290,$B11)</f>
        <v>3.5678000000000001</v>
      </c>
      <c r="N11" s="250">
        <f>INDEX('CFL &amp; Incand Cost Development'!BW$8:BW$290,$B11)</f>
        <v>1.8778000000000001</v>
      </c>
      <c r="O11" s="250">
        <f>INDEX('CFL &amp; Incand Cost Development'!BX$8:BX$290,$B11)</f>
        <v>0.71780000000000022</v>
      </c>
      <c r="P11" s="250">
        <f>INDEX('CFL &amp; Incand Cost Development'!BY$8:BY$290,$B11)</f>
        <v>0.71780000000000022</v>
      </c>
      <c r="Q11" s="103"/>
      <c r="R11" s="103"/>
      <c r="S11" s="103" t="str">
        <f t="shared" si="0"/>
        <v>Std_CFLscw(15w)_60pInc-r0248</v>
      </c>
      <c r="T11" s="111">
        <f t="shared" si="1"/>
        <v>1.914236805942982</v>
      </c>
      <c r="U11" s="111">
        <f t="shared" si="2"/>
        <v>4.1300368059429822</v>
      </c>
      <c r="V11" s="111">
        <f t="shared" si="3"/>
        <v>2.3939968059429821</v>
      </c>
      <c r="W11" s="111">
        <f t="shared" si="4"/>
        <v>1.697996805942982</v>
      </c>
      <c r="X11" s="111">
        <f t="shared" si="5"/>
        <v>1.246476805942982</v>
      </c>
      <c r="Y11" s="103"/>
      <c r="Z11" s="103"/>
      <c r="AA11" s="103" t="str">
        <f t="shared" si="6"/>
        <v>CFLratio0248</v>
      </c>
      <c r="AB11" s="103" t="str">
        <f t="shared" si="11"/>
        <v>CFLscw(15w)CFLratio0248</v>
      </c>
      <c r="AC11" s="103"/>
      <c r="AD11" s="108">
        <f t="shared" si="12"/>
        <v>1.2141552089144727</v>
      </c>
      <c r="AE11" s="108">
        <f t="shared" si="7"/>
        <v>0.84335520891447224</v>
      </c>
      <c r="AF11" s="108">
        <f t="shared" si="8"/>
        <v>0.77429520891447234</v>
      </c>
      <c r="AG11" s="108">
        <f t="shared" si="9"/>
        <v>1.4702952089144725</v>
      </c>
      <c r="AH11" s="108">
        <f t="shared" si="10"/>
        <v>0.79301520891447241</v>
      </c>
      <c r="AI11" s="103"/>
      <c r="AJ11" s="103"/>
      <c r="AK11" s="112" t="s">
        <v>143</v>
      </c>
      <c r="AL11" s="112"/>
      <c r="AM11" s="112"/>
    </row>
    <row r="12" spans="1:39">
      <c r="A12" s="103"/>
      <c r="B12" s="179">
        <f>IFERROR(MATCH(C12,'CFL &amp; Incand Cost Development'!$A$8:$A$290,0),0)</f>
        <v>233</v>
      </c>
      <c r="C12" s="111" t="s">
        <v>673</v>
      </c>
      <c r="D12" s="111">
        <f>INDEX('CFL &amp; Incand Cost Development'!AM$8:AM$290,$B12)</f>
        <v>3.1948920148574542</v>
      </c>
      <c r="E12" s="111">
        <f>INDEX('CFL &amp; Incand Cost Development'!AN$8:AN$290,$B12)</f>
        <v>5.039892014857454</v>
      </c>
      <c r="F12" s="111">
        <f>INDEX('CFL &amp; Incand Cost Development'!AO$8:AO$290,$B12)</f>
        <v>3.234792014857454</v>
      </c>
      <c r="G12" s="111">
        <f>INDEX('CFL &amp; Incand Cost Development'!AP$8:AP$290,$B12)</f>
        <v>3.234792014857454</v>
      </c>
      <c r="H12" s="111">
        <f>INDEX('CFL &amp; Incand Cost Development'!AQ$8:AQ$290,$B12)</f>
        <v>2.105992014857454</v>
      </c>
      <c r="I12" s="103"/>
      <c r="J12" s="183" t="str">
        <f>INDEX('CFL &amp; Incand Cost Development'!BS$8:BS$290,$B12)</f>
        <v>WRR0347_CFLscw(16w)</v>
      </c>
      <c r="K12" s="250">
        <f>INDEX('CFL &amp; Incand Cost Development'!BT$8:BT$290,$B12)</f>
        <v>56</v>
      </c>
      <c r="L12" s="250">
        <f>INDEX('CFL &amp; Incand Cost Development'!BU$8:BU$290,$B12)</f>
        <v>1.1415999999999999</v>
      </c>
      <c r="M12" s="250">
        <f>INDEX('CFL &amp; Incand Cost Development'!BV$8:BV$290,$B12)</f>
        <v>3.6046</v>
      </c>
      <c r="N12" s="250">
        <f>INDEX('CFL &amp; Incand Cost Development'!BW$8:BW$290,$B12)</f>
        <v>1.9146000000000001</v>
      </c>
      <c r="O12" s="250">
        <f>INDEX('CFL &amp; Incand Cost Development'!BX$8:BX$290,$B12)</f>
        <v>0.75460000000000016</v>
      </c>
      <c r="P12" s="250">
        <f>INDEX('CFL &amp; Incand Cost Development'!BY$8:BY$290,$B12)</f>
        <v>0.75460000000000016</v>
      </c>
      <c r="Q12" s="103"/>
      <c r="R12" s="103"/>
      <c r="S12" s="103" t="str">
        <f t="shared" si="0"/>
        <v>Std_CFLscw(16w)_60pInc-r0248</v>
      </c>
      <c r="T12" s="111">
        <f t="shared" si="1"/>
        <v>1.9629168059429816</v>
      </c>
      <c r="U12" s="111">
        <f t="shared" si="2"/>
        <v>4.1787168059429813</v>
      </c>
      <c r="V12" s="111">
        <f t="shared" si="3"/>
        <v>2.4426768059429818</v>
      </c>
      <c r="W12" s="111">
        <f t="shared" si="4"/>
        <v>1.7466768059429818</v>
      </c>
      <c r="X12" s="111">
        <f t="shared" si="5"/>
        <v>1.2951568059429817</v>
      </c>
      <c r="Y12" s="103"/>
      <c r="Z12" s="103"/>
      <c r="AA12" s="103" t="str">
        <f t="shared" si="6"/>
        <v>CFLratio0248</v>
      </c>
      <c r="AB12" s="103" t="str">
        <f t="shared" si="11"/>
        <v>CFLscw(16w)CFLratio0248</v>
      </c>
      <c r="AC12" s="103"/>
      <c r="AD12" s="108">
        <f t="shared" si="12"/>
        <v>1.2319752089144727</v>
      </c>
      <c r="AE12" s="108">
        <f t="shared" si="7"/>
        <v>0.86117520891447263</v>
      </c>
      <c r="AF12" s="108">
        <f t="shared" si="8"/>
        <v>0.79211520891447229</v>
      </c>
      <c r="AG12" s="108">
        <f t="shared" si="9"/>
        <v>1.4881152089144722</v>
      </c>
      <c r="AH12" s="108">
        <f t="shared" si="10"/>
        <v>0.81083520891447236</v>
      </c>
      <c r="AI12" s="103"/>
      <c r="AJ12" s="103"/>
      <c r="AK12" s="112" t="s">
        <v>144</v>
      </c>
      <c r="AL12" s="112"/>
      <c r="AM12" s="112"/>
    </row>
    <row r="13" spans="1:39">
      <c r="A13" s="103"/>
      <c r="B13" s="179">
        <f>IFERROR(MATCH(C13,'CFL &amp; Incand Cost Development'!$A$8:$A$290,0),0)</f>
        <v>234</v>
      </c>
      <c r="C13" s="111" t="s">
        <v>676</v>
      </c>
      <c r="D13" s="111">
        <f>INDEX('CFL &amp; Incand Cost Development'!AM$8:AM$290,$B13)</f>
        <v>3.2613920148574547</v>
      </c>
      <c r="E13" s="111">
        <f>INDEX('CFL &amp; Incand Cost Development'!AN$8:AN$290,$B13)</f>
        <v>5.1063920148574544</v>
      </c>
      <c r="F13" s="111">
        <f>INDEX('CFL &amp; Incand Cost Development'!AO$8:AO$290,$B13)</f>
        <v>3.3012920148574545</v>
      </c>
      <c r="G13" s="111">
        <f>INDEX('CFL &amp; Incand Cost Development'!AP$8:AP$290,$B13)</f>
        <v>3.3012920148574545</v>
      </c>
      <c r="H13" s="111">
        <f>INDEX('CFL &amp; Incand Cost Development'!AQ$8:AQ$290,$B13)</f>
        <v>2.1724920148574545</v>
      </c>
      <c r="I13" s="103"/>
      <c r="J13" s="183" t="str">
        <f>INDEX('CFL &amp; Incand Cost Development'!BS$8:BS$290,$B13)</f>
        <v>WRR0347_CFLscw(17w)</v>
      </c>
      <c r="K13" s="250">
        <f>INDEX('CFL &amp; Incand Cost Development'!BT$8:BT$290,$B13)</f>
        <v>59</v>
      </c>
      <c r="L13" s="250">
        <f>INDEX('CFL &amp; Incand Cost Development'!BU$8:BU$290,$B13)</f>
        <v>1.1692</v>
      </c>
      <c r="M13" s="250">
        <f>INDEX('CFL &amp; Incand Cost Development'!BV$8:BV$290,$B13)</f>
        <v>3.6322000000000001</v>
      </c>
      <c r="N13" s="250">
        <f>INDEX('CFL &amp; Incand Cost Development'!BW$8:BW$290,$B13)</f>
        <v>1.9422000000000001</v>
      </c>
      <c r="O13" s="250">
        <f>INDEX('CFL &amp; Incand Cost Development'!BX$8:BX$290,$B13)</f>
        <v>0.78220000000000023</v>
      </c>
      <c r="P13" s="250">
        <f>INDEX('CFL &amp; Incand Cost Development'!BY$8:BY$290,$B13)</f>
        <v>0.78220000000000023</v>
      </c>
      <c r="Q13" s="103"/>
      <c r="R13" s="103"/>
      <c r="S13" s="103" t="str">
        <f t="shared" si="0"/>
        <v>Std_CFLscw(17w)_60pInc-r0248</v>
      </c>
      <c r="T13" s="111">
        <f t="shared" si="1"/>
        <v>2.0060768059429819</v>
      </c>
      <c r="U13" s="111">
        <f t="shared" si="2"/>
        <v>4.2218768059429816</v>
      </c>
      <c r="V13" s="111">
        <f t="shared" si="3"/>
        <v>2.4858368059429821</v>
      </c>
      <c r="W13" s="111">
        <f t="shared" si="4"/>
        <v>1.7898368059429821</v>
      </c>
      <c r="X13" s="111">
        <f t="shared" si="5"/>
        <v>1.338316805942982</v>
      </c>
      <c r="Y13" s="103"/>
      <c r="Z13" s="103"/>
      <c r="AA13" s="103" t="str">
        <f t="shared" si="6"/>
        <v>CFLratio0248</v>
      </c>
      <c r="AB13" s="103" t="str">
        <f t="shared" si="11"/>
        <v>CFLscw(17w)CFLratio0248</v>
      </c>
      <c r="AC13" s="103"/>
      <c r="AD13" s="108">
        <f t="shared" si="12"/>
        <v>1.2553152089144728</v>
      </c>
      <c r="AE13" s="108">
        <f t="shared" si="7"/>
        <v>0.88451520891447277</v>
      </c>
      <c r="AF13" s="108">
        <f t="shared" si="8"/>
        <v>0.81545520891447243</v>
      </c>
      <c r="AG13" s="108">
        <f t="shared" si="9"/>
        <v>1.5114552089144724</v>
      </c>
      <c r="AH13" s="108">
        <f t="shared" si="10"/>
        <v>0.8341752089144725</v>
      </c>
      <c r="AI13" s="103"/>
      <c r="AJ13" s="103"/>
      <c r="AK13" s="103"/>
      <c r="AL13" s="103"/>
      <c r="AM13" s="103"/>
    </row>
    <row r="14" spans="1:39">
      <c r="A14" s="103"/>
      <c r="B14" s="179">
        <f>IFERROR(MATCH(C14,'CFL &amp; Incand Cost Development'!$A$8:$A$290,0),0)</f>
        <v>235</v>
      </c>
      <c r="C14" s="111" t="s">
        <v>679</v>
      </c>
      <c r="D14" s="111">
        <f>INDEX('CFL &amp; Incand Cost Development'!AM$8:AM$290,$B14)</f>
        <v>3.3278920148574551</v>
      </c>
      <c r="E14" s="111">
        <f>INDEX('CFL &amp; Incand Cost Development'!AN$8:AN$290,$B14)</f>
        <v>5.1728920148574549</v>
      </c>
      <c r="F14" s="111">
        <f>INDEX('CFL &amp; Incand Cost Development'!AO$8:AO$290,$B14)</f>
        <v>3.3677920148574549</v>
      </c>
      <c r="G14" s="111">
        <f>INDEX('CFL &amp; Incand Cost Development'!AP$8:AP$290,$B14)</f>
        <v>3.3677920148574549</v>
      </c>
      <c r="H14" s="111">
        <f>INDEX('CFL &amp; Incand Cost Development'!AQ$8:AQ$290,$B14)</f>
        <v>2.2389920148574549</v>
      </c>
      <c r="I14" s="103"/>
      <c r="J14" s="183" t="str">
        <f>INDEX('CFL &amp; Incand Cost Development'!BS$8:BS$290,$B14)</f>
        <v>WRR0347_CFLscw(18w)</v>
      </c>
      <c r="K14" s="250">
        <f>INDEX('CFL &amp; Incand Cost Development'!BT$8:BT$290,$B14)</f>
        <v>62</v>
      </c>
      <c r="L14" s="250">
        <f>INDEX('CFL &amp; Incand Cost Development'!BU$8:BU$290,$B14)</f>
        <v>1.1968000000000001</v>
      </c>
      <c r="M14" s="250">
        <f>INDEX('CFL &amp; Incand Cost Development'!BV$8:BV$290,$B14)</f>
        <v>3.6598000000000002</v>
      </c>
      <c r="N14" s="250">
        <f>INDEX('CFL &amp; Incand Cost Development'!BW$8:BW$290,$B14)</f>
        <v>1.9698000000000002</v>
      </c>
      <c r="O14" s="250">
        <f>INDEX('CFL &amp; Incand Cost Development'!BX$8:BX$290,$B14)</f>
        <v>0.8098000000000003</v>
      </c>
      <c r="P14" s="250">
        <f>INDEX('CFL &amp; Incand Cost Development'!BY$8:BY$290,$B14)</f>
        <v>0.8098000000000003</v>
      </c>
      <c r="Q14" s="103"/>
      <c r="R14" s="103"/>
      <c r="S14" s="103" t="str">
        <f t="shared" si="0"/>
        <v>Std_CFLscw(18w)_60pInc-r0248</v>
      </c>
      <c r="T14" s="111">
        <f t="shared" si="1"/>
        <v>2.0492368059429822</v>
      </c>
      <c r="U14" s="111">
        <f t="shared" si="2"/>
        <v>4.265036805942982</v>
      </c>
      <c r="V14" s="111">
        <f t="shared" si="3"/>
        <v>2.5289968059429819</v>
      </c>
      <c r="W14" s="111">
        <f t="shared" si="4"/>
        <v>1.8329968059429822</v>
      </c>
      <c r="X14" s="111">
        <f t="shared" si="5"/>
        <v>1.3814768059429821</v>
      </c>
      <c r="Y14" s="103"/>
      <c r="Z14" s="103"/>
      <c r="AA14" s="103" t="str">
        <f t="shared" si="6"/>
        <v>CFLratio0248</v>
      </c>
      <c r="AB14" s="103" t="str">
        <f t="shared" si="11"/>
        <v>CFLscw(18w)CFLratio0248</v>
      </c>
      <c r="AC14" s="103"/>
      <c r="AD14" s="108">
        <f t="shared" si="12"/>
        <v>1.2786552089144729</v>
      </c>
      <c r="AE14" s="108">
        <f t="shared" si="7"/>
        <v>0.90785520891447291</v>
      </c>
      <c r="AF14" s="108">
        <f t="shared" si="8"/>
        <v>0.83879520891447301</v>
      </c>
      <c r="AG14" s="108">
        <f t="shared" si="9"/>
        <v>1.5347952089144727</v>
      </c>
      <c r="AH14" s="108">
        <f t="shared" si="10"/>
        <v>0.85751520891447286</v>
      </c>
      <c r="AI14" s="103"/>
      <c r="AJ14" s="103"/>
      <c r="AK14" s="103"/>
      <c r="AL14" s="103"/>
      <c r="AM14" s="103"/>
    </row>
    <row r="15" spans="1:39">
      <c r="A15" s="103"/>
      <c r="B15" s="179">
        <f>IFERROR(MATCH(C15,'CFL &amp; Incand Cost Development'!$A$8:$A$290,0),0)</f>
        <v>237</v>
      </c>
      <c r="C15" s="111" t="s">
        <v>684</v>
      </c>
      <c r="D15" s="111">
        <f>INDEX('CFL &amp; Incand Cost Development'!AM$8:AM$290,$B15)</f>
        <v>3.3943920148574547</v>
      </c>
      <c r="E15" s="111">
        <f>INDEX('CFL &amp; Incand Cost Development'!AN$8:AN$290,$B15)</f>
        <v>5.2393920148574544</v>
      </c>
      <c r="F15" s="111">
        <f>INDEX('CFL &amp; Incand Cost Development'!AO$8:AO$290,$B15)</f>
        <v>3.4342920148574545</v>
      </c>
      <c r="G15" s="111">
        <f>INDEX('CFL &amp; Incand Cost Development'!AP$8:AP$290,$B15)</f>
        <v>3.4342920148574545</v>
      </c>
      <c r="H15" s="111">
        <f>INDEX('CFL &amp; Incand Cost Development'!AQ$8:AQ$290,$B15)</f>
        <v>2.3054920148574545</v>
      </c>
      <c r="I15" s="103"/>
      <c r="J15" s="183" t="str">
        <f>INDEX('CFL &amp; Incand Cost Development'!BS$8:BS$290,$B15)</f>
        <v>WRR0347_CFLscw(19w)</v>
      </c>
      <c r="K15" s="250">
        <f>INDEX('CFL &amp; Incand Cost Development'!BT$8:BT$290,$B15)</f>
        <v>66</v>
      </c>
      <c r="L15" s="250">
        <f>INDEX('CFL &amp; Incand Cost Development'!BU$8:BU$290,$B15)</f>
        <v>1.2336</v>
      </c>
      <c r="M15" s="250">
        <f>INDEX('CFL &amp; Incand Cost Development'!BV$8:BV$290,$B15)</f>
        <v>3.6966000000000001</v>
      </c>
      <c r="N15" s="250">
        <f>INDEX('CFL &amp; Incand Cost Development'!BW$8:BW$290,$B15)</f>
        <v>2.0066000000000002</v>
      </c>
      <c r="O15" s="250">
        <f>INDEX('CFL &amp; Incand Cost Development'!BX$8:BX$290,$B15)</f>
        <v>0.84660000000000024</v>
      </c>
      <c r="P15" s="250">
        <f>INDEX('CFL &amp; Incand Cost Development'!BY$8:BY$290,$B15)</f>
        <v>0.84660000000000024</v>
      </c>
      <c r="Q15" s="103"/>
      <c r="R15" s="103"/>
      <c r="S15" s="103" t="str">
        <f t="shared" si="0"/>
        <v>Std_CFLscw(19w)_60pInc-r0248</v>
      </c>
      <c r="T15" s="111">
        <f t="shared" si="1"/>
        <v>2.0979168059429818</v>
      </c>
      <c r="U15" s="111">
        <f t="shared" si="2"/>
        <v>4.313716805942982</v>
      </c>
      <c r="V15" s="111">
        <f t="shared" si="3"/>
        <v>2.577676805942982</v>
      </c>
      <c r="W15" s="111">
        <f t="shared" si="4"/>
        <v>1.8816768059429818</v>
      </c>
      <c r="X15" s="111">
        <f t="shared" si="5"/>
        <v>1.4301568059429819</v>
      </c>
      <c r="Y15" s="103"/>
      <c r="Z15" s="103"/>
      <c r="AA15" s="103" t="str">
        <f t="shared" si="6"/>
        <v>CFLratio0248</v>
      </c>
      <c r="AB15" s="103" t="str">
        <f t="shared" si="11"/>
        <v>CFLscw(19w)CFLratio0248</v>
      </c>
      <c r="AC15" s="103"/>
      <c r="AD15" s="108">
        <f t="shared" si="12"/>
        <v>1.2964752089144729</v>
      </c>
      <c r="AE15" s="108">
        <f t="shared" si="7"/>
        <v>0.92567520891447241</v>
      </c>
      <c r="AF15" s="108">
        <f t="shared" si="8"/>
        <v>0.85661520891447251</v>
      </c>
      <c r="AG15" s="108">
        <f t="shared" si="9"/>
        <v>1.5526152089144727</v>
      </c>
      <c r="AH15" s="108">
        <f t="shared" si="10"/>
        <v>0.87533520891447258</v>
      </c>
      <c r="AI15" s="103"/>
      <c r="AJ15" s="103"/>
      <c r="AK15" s="103"/>
      <c r="AL15" s="103"/>
      <c r="AM15" s="103"/>
    </row>
    <row r="16" spans="1:39">
      <c r="A16" s="103"/>
      <c r="B16" s="179">
        <f>IFERROR(MATCH(C16,'CFL &amp; Incand Cost Development'!$A$8:$A$290,0),0)</f>
        <v>239</v>
      </c>
      <c r="C16" s="111" t="s">
        <v>690</v>
      </c>
      <c r="D16" s="111">
        <f>INDEX('CFL &amp; Incand Cost Development'!AM$8:AM$290,$B16)</f>
        <v>3.4608920148574542</v>
      </c>
      <c r="E16" s="111">
        <f>INDEX('CFL &amp; Incand Cost Development'!AN$8:AN$290,$B16)</f>
        <v>5.305892014857454</v>
      </c>
      <c r="F16" s="111">
        <f>INDEX('CFL &amp; Incand Cost Development'!AO$8:AO$290,$B16)</f>
        <v>3.5007920148574541</v>
      </c>
      <c r="G16" s="111">
        <f>INDEX('CFL &amp; Incand Cost Development'!AP$8:AP$290,$B16)</f>
        <v>3.5007920148574541</v>
      </c>
      <c r="H16" s="111">
        <f>INDEX('CFL &amp; Incand Cost Development'!AQ$8:AQ$290,$B16)</f>
        <v>2.371992014857454</v>
      </c>
      <c r="I16" s="103"/>
      <c r="J16" s="183" t="str">
        <f>INDEX('CFL &amp; Incand Cost Development'!BS$8:BS$290,$B16)</f>
        <v>WRR0347_CFLscw(20w)</v>
      </c>
      <c r="K16" s="250">
        <f>INDEX('CFL &amp; Incand Cost Development'!BT$8:BT$290,$B16)</f>
        <v>69</v>
      </c>
      <c r="L16" s="250">
        <f>INDEX('CFL &amp; Incand Cost Development'!BU$8:BU$290,$B16)</f>
        <v>1.2612000000000001</v>
      </c>
      <c r="M16" s="250">
        <f>INDEX('CFL &amp; Incand Cost Development'!BV$8:BV$290,$B16)</f>
        <v>3.7242000000000002</v>
      </c>
      <c r="N16" s="250">
        <f>INDEX('CFL &amp; Incand Cost Development'!BW$8:BW$290,$B16)</f>
        <v>2.0342000000000002</v>
      </c>
      <c r="O16" s="250">
        <f>INDEX('CFL &amp; Incand Cost Development'!BX$8:BX$290,$B16)</f>
        <v>0.87420000000000031</v>
      </c>
      <c r="P16" s="250">
        <f>INDEX('CFL &amp; Incand Cost Development'!BY$8:BY$290,$B16)</f>
        <v>0.87420000000000031</v>
      </c>
      <c r="Q16" s="103"/>
      <c r="R16" s="103"/>
      <c r="S16" s="103" t="str">
        <f t="shared" si="0"/>
        <v>Std_CFLscw(20w)_60pInc-r0248</v>
      </c>
      <c r="T16" s="111">
        <f t="shared" si="1"/>
        <v>2.1410768059429817</v>
      </c>
      <c r="U16" s="111">
        <f t="shared" si="2"/>
        <v>4.3568768059429814</v>
      </c>
      <c r="V16" s="111">
        <f t="shared" si="3"/>
        <v>2.6208368059429819</v>
      </c>
      <c r="W16" s="111">
        <f t="shared" si="4"/>
        <v>1.9248368059429821</v>
      </c>
      <c r="X16" s="111">
        <f t="shared" si="5"/>
        <v>1.4733168059429818</v>
      </c>
      <c r="Y16" s="103"/>
      <c r="Z16" s="103"/>
      <c r="AA16" s="103" t="str">
        <f t="shared" si="6"/>
        <v>CFLratio0248</v>
      </c>
      <c r="AB16" s="103" t="str">
        <f t="shared" si="11"/>
        <v>CFLscw(20w)CFLratio0248</v>
      </c>
      <c r="AC16" s="103"/>
      <c r="AD16" s="108">
        <f t="shared" si="12"/>
        <v>1.3198152089144726</v>
      </c>
      <c r="AE16" s="108">
        <f t="shared" si="7"/>
        <v>0.94901520891447255</v>
      </c>
      <c r="AF16" s="108">
        <f t="shared" si="8"/>
        <v>0.87995520891447221</v>
      </c>
      <c r="AG16" s="108">
        <f t="shared" si="9"/>
        <v>1.5759552089144719</v>
      </c>
      <c r="AH16" s="108">
        <f t="shared" si="10"/>
        <v>0.89867520891447228</v>
      </c>
      <c r="AI16" s="103"/>
      <c r="AJ16" s="103"/>
      <c r="AK16" s="103"/>
      <c r="AL16" s="103"/>
      <c r="AM16" s="103"/>
    </row>
    <row r="17" spans="2:34">
      <c r="B17" s="179">
        <f>IFERROR(MATCH(C17,'CFL &amp; Incand Cost Development'!$A$8:$A$290,0),0)</f>
        <v>240</v>
      </c>
      <c r="C17" s="111" t="s">
        <v>693</v>
      </c>
      <c r="D17" s="111">
        <f>INDEX('CFL &amp; Incand Cost Development'!AM$8:AM$290,$B17)</f>
        <v>3.5273920148574547</v>
      </c>
      <c r="E17" s="111">
        <f>INDEX('CFL &amp; Incand Cost Development'!AN$8:AN$290,$B17)</f>
        <v>5.3723920148574544</v>
      </c>
      <c r="F17" s="111">
        <f>INDEX('CFL &amp; Incand Cost Development'!AO$8:AO$290,$B17)</f>
        <v>3.5672920148574545</v>
      </c>
      <c r="G17" s="111">
        <f>INDEX('CFL &amp; Incand Cost Development'!AP$8:AP$290,$B17)</f>
        <v>3.5672920148574545</v>
      </c>
      <c r="H17" s="111">
        <f>INDEX('CFL &amp; Incand Cost Development'!AQ$8:AQ$290,$B17)</f>
        <v>2.4384920148574545</v>
      </c>
      <c r="I17" s="103"/>
      <c r="J17" s="183" t="str">
        <f>INDEX('CFL &amp; Incand Cost Development'!BS$8:BS$290,$B17)</f>
        <v>WRR0347_CFLscw(21w)</v>
      </c>
      <c r="K17" s="250">
        <f>INDEX('CFL &amp; Incand Cost Development'!BT$8:BT$290,$B17)</f>
        <v>73</v>
      </c>
      <c r="L17" s="250">
        <f>INDEX('CFL &amp; Incand Cost Development'!BU$8:BU$290,$B17)</f>
        <v>1.298</v>
      </c>
      <c r="M17" s="250">
        <f>INDEX('CFL &amp; Incand Cost Development'!BV$8:BV$290,$B17)</f>
        <v>3.7610000000000001</v>
      </c>
      <c r="N17" s="250">
        <f>INDEX('CFL &amp; Incand Cost Development'!BW$8:BW$290,$B17)</f>
        <v>2.0710000000000002</v>
      </c>
      <c r="O17" s="250">
        <f>INDEX('CFL &amp; Incand Cost Development'!BX$8:BX$290,$B17)</f>
        <v>0.91100000000000025</v>
      </c>
      <c r="P17" s="250">
        <f>INDEX('CFL &amp; Incand Cost Development'!BY$8:BY$290,$B17)</f>
        <v>0.91100000000000025</v>
      </c>
      <c r="Q17" s="103"/>
      <c r="R17" s="103"/>
      <c r="S17" s="103" t="str">
        <f t="shared" si="0"/>
        <v>Std_CFLscw(21w)_60pInc-r0248</v>
      </c>
      <c r="T17" s="111">
        <f t="shared" si="1"/>
        <v>2.1897568059429822</v>
      </c>
      <c r="U17" s="111">
        <f t="shared" si="2"/>
        <v>4.4055568059429824</v>
      </c>
      <c r="V17" s="111">
        <f t="shared" si="3"/>
        <v>2.6695168059429824</v>
      </c>
      <c r="W17" s="111">
        <f t="shared" si="4"/>
        <v>1.9735168059429822</v>
      </c>
      <c r="X17" s="111">
        <f t="shared" si="5"/>
        <v>1.5219968059429818</v>
      </c>
      <c r="Y17" s="103"/>
      <c r="Z17" s="103"/>
      <c r="AA17" s="103" t="str">
        <f t="shared" si="6"/>
        <v>CFLratio0248</v>
      </c>
      <c r="AB17" s="103" t="str">
        <f t="shared" si="11"/>
        <v>CFLscw(21w)CFLratio0248</v>
      </c>
      <c r="AC17" s="103"/>
      <c r="AD17" s="108">
        <f t="shared" si="12"/>
        <v>1.3376352089144725</v>
      </c>
      <c r="AE17" s="108">
        <f t="shared" si="7"/>
        <v>0.96683520891447206</v>
      </c>
      <c r="AF17" s="108">
        <f t="shared" si="8"/>
        <v>0.89777520891447216</v>
      </c>
      <c r="AG17" s="108">
        <f t="shared" si="9"/>
        <v>1.5937752089144723</v>
      </c>
      <c r="AH17" s="108">
        <f t="shared" si="10"/>
        <v>0.91649520891447267</v>
      </c>
    </row>
    <row r="18" spans="2:34">
      <c r="B18" s="179">
        <f>IFERROR(MATCH(C18,'CFL &amp; Incand Cost Development'!$A$8:$A$290,0),0)</f>
        <v>241</v>
      </c>
      <c r="C18" s="111" t="s">
        <v>696</v>
      </c>
      <c r="D18" s="111">
        <f>INDEX('CFL &amp; Incand Cost Development'!AM$8:AM$290,$B18)</f>
        <v>3.5938920148574551</v>
      </c>
      <c r="E18" s="111">
        <f>INDEX('CFL &amp; Incand Cost Development'!AN$8:AN$290,$B18)</f>
        <v>5.4388920148574549</v>
      </c>
      <c r="F18" s="111">
        <f>INDEX('CFL &amp; Incand Cost Development'!AO$8:AO$290,$B18)</f>
        <v>3.633792014857455</v>
      </c>
      <c r="G18" s="111">
        <f>INDEX('CFL &amp; Incand Cost Development'!AP$8:AP$290,$B18)</f>
        <v>3.633792014857455</v>
      </c>
      <c r="H18" s="111">
        <f>INDEX('CFL &amp; Incand Cost Development'!AQ$8:AQ$290,$B18)</f>
        <v>2.5049920148574549</v>
      </c>
      <c r="I18" s="103"/>
      <c r="J18" s="183" t="str">
        <f>INDEX('CFL &amp; Incand Cost Development'!BS$8:BS$290,$B18)</f>
        <v>WRR0347_CFLscw(22w)</v>
      </c>
      <c r="K18" s="250">
        <f>INDEX('CFL &amp; Incand Cost Development'!BT$8:BT$290,$B18)</f>
        <v>76</v>
      </c>
      <c r="L18" s="250">
        <f>INDEX('CFL &amp; Incand Cost Development'!BU$8:BU$290,$B18)</f>
        <v>1.3168000000000002</v>
      </c>
      <c r="M18" s="250">
        <f>INDEX('CFL &amp; Incand Cost Development'!BV$8:BV$290,$B18)</f>
        <v>3.7798000000000003</v>
      </c>
      <c r="N18" s="250">
        <f>INDEX('CFL &amp; Incand Cost Development'!BW$8:BW$290,$B18)</f>
        <v>2.0898000000000003</v>
      </c>
      <c r="O18" s="250">
        <f>INDEX('CFL &amp; Incand Cost Development'!BX$8:BX$290,$B18)</f>
        <v>0.9298000000000004</v>
      </c>
      <c r="P18" s="250">
        <f>INDEX('CFL &amp; Incand Cost Development'!BY$8:BY$290,$B18)</f>
        <v>0.9298000000000004</v>
      </c>
      <c r="Q18" s="103"/>
      <c r="R18" s="103"/>
      <c r="S18" s="103" t="str">
        <f t="shared" si="0"/>
        <v>Std_CFLscw(22w)_60pInc-r0248</v>
      </c>
      <c r="T18" s="111">
        <f t="shared" si="1"/>
        <v>2.2276368059429821</v>
      </c>
      <c r="U18" s="111">
        <f t="shared" si="2"/>
        <v>4.4434368059429818</v>
      </c>
      <c r="V18" s="111">
        <f t="shared" si="3"/>
        <v>2.7073968059429823</v>
      </c>
      <c r="W18" s="111">
        <f t="shared" si="4"/>
        <v>2.0113968059429825</v>
      </c>
      <c r="X18" s="111">
        <f t="shared" si="5"/>
        <v>1.5598768059429822</v>
      </c>
      <c r="Y18" s="103"/>
      <c r="Z18" s="103"/>
      <c r="AA18" s="103" t="str">
        <f t="shared" si="6"/>
        <v>CFLratio0248</v>
      </c>
      <c r="AB18" s="103" t="str">
        <f t="shared" si="11"/>
        <v>CFLscw(22w)CFLratio0248</v>
      </c>
      <c r="AC18" s="103"/>
      <c r="AD18" s="108">
        <f t="shared" si="12"/>
        <v>1.3662552089144731</v>
      </c>
      <c r="AE18" s="108">
        <f t="shared" si="7"/>
        <v>0.99545520891447303</v>
      </c>
      <c r="AF18" s="108">
        <f t="shared" si="8"/>
        <v>0.92639520891447269</v>
      </c>
      <c r="AG18" s="108">
        <f t="shared" si="9"/>
        <v>1.6223952089144724</v>
      </c>
      <c r="AH18" s="108">
        <f t="shared" si="10"/>
        <v>0.94511520891447276</v>
      </c>
    </row>
    <row r="19" spans="2:34">
      <c r="B19" s="179">
        <f>IFERROR(MATCH(C19,'CFL &amp; Incand Cost Development'!$A$8:$A$290,0),0)</f>
        <v>242</v>
      </c>
      <c r="C19" s="111" t="s">
        <v>699</v>
      </c>
      <c r="D19" s="111">
        <f>INDEX('CFL &amp; Incand Cost Development'!AM$8:AM$290,$B19)</f>
        <v>3.6603920148574547</v>
      </c>
      <c r="E19" s="111">
        <f>INDEX('CFL &amp; Incand Cost Development'!AN$8:AN$290,$B19)</f>
        <v>5.5053920148574544</v>
      </c>
      <c r="F19" s="111">
        <f>INDEX('CFL &amp; Incand Cost Development'!AO$8:AO$290,$B19)</f>
        <v>3.7002920148574545</v>
      </c>
      <c r="G19" s="111">
        <f>INDEX('CFL &amp; Incand Cost Development'!AP$8:AP$290,$B19)</f>
        <v>3.7002920148574545</v>
      </c>
      <c r="H19" s="111">
        <f>INDEX('CFL &amp; Incand Cost Development'!AQ$8:AQ$290,$B19)</f>
        <v>2.5714920148574545</v>
      </c>
      <c r="I19" s="103"/>
      <c r="J19" s="183" t="str">
        <f>INDEX('CFL &amp; Incand Cost Development'!BS$8:BS$290,$B19)</f>
        <v>WRR0347_CFLscw(23w)</v>
      </c>
      <c r="K19" s="250">
        <f>INDEX('CFL &amp; Incand Cost Development'!BT$8:BT$290,$B19)</f>
        <v>80</v>
      </c>
      <c r="L19" s="250">
        <f>INDEX('CFL &amp; Incand Cost Development'!BU$8:BU$290,$B19)</f>
        <v>1.3184</v>
      </c>
      <c r="M19" s="250">
        <f>INDEX('CFL &amp; Incand Cost Development'!BV$8:BV$290,$B19)</f>
        <v>3.7814000000000001</v>
      </c>
      <c r="N19" s="250">
        <f>INDEX('CFL &amp; Incand Cost Development'!BW$8:BW$290,$B19)</f>
        <v>2.0914000000000001</v>
      </c>
      <c r="O19" s="250">
        <f>INDEX('CFL &amp; Incand Cost Development'!BX$8:BX$290,$B19)</f>
        <v>0.93140000000000023</v>
      </c>
      <c r="P19" s="250">
        <f>INDEX('CFL &amp; Incand Cost Development'!BY$8:BY$290,$B19)</f>
        <v>0.93140000000000023</v>
      </c>
      <c r="Q19" s="103"/>
      <c r="R19" s="103"/>
      <c r="S19" s="103" t="str">
        <f t="shared" si="0"/>
        <v>Std_CFLscw(23w)_60pInc-r0248</v>
      </c>
      <c r="T19" s="111">
        <f t="shared" si="1"/>
        <v>2.2551968059429819</v>
      </c>
      <c r="U19" s="111">
        <f t="shared" si="2"/>
        <v>4.4709968059429812</v>
      </c>
      <c r="V19" s="111">
        <f t="shared" si="3"/>
        <v>2.7349568059429821</v>
      </c>
      <c r="W19" s="111">
        <f t="shared" si="4"/>
        <v>2.0389568059429819</v>
      </c>
      <c r="X19" s="111">
        <f t="shared" si="5"/>
        <v>1.587436805942982</v>
      </c>
      <c r="Y19" s="103"/>
      <c r="Z19" s="103"/>
      <c r="AA19" s="103" t="str">
        <f t="shared" si="6"/>
        <v>CFLratio0248</v>
      </c>
      <c r="AB19" s="103" t="str">
        <f t="shared" si="11"/>
        <v>CFLscw(23w)CFLratio0248</v>
      </c>
      <c r="AC19" s="103"/>
      <c r="AD19" s="108">
        <f t="shared" si="12"/>
        <v>1.4051952089144728</v>
      </c>
      <c r="AE19" s="108">
        <f t="shared" si="7"/>
        <v>1.0343952089144732</v>
      </c>
      <c r="AF19" s="108">
        <f t="shared" si="8"/>
        <v>0.96533520891447244</v>
      </c>
      <c r="AG19" s="108">
        <f t="shared" si="9"/>
        <v>1.6613352089144726</v>
      </c>
      <c r="AH19" s="108">
        <f t="shared" si="10"/>
        <v>0.98405520891447251</v>
      </c>
    </row>
    <row r="20" spans="2:34">
      <c r="B20" s="179">
        <f>IFERROR(MATCH(C20,'CFL &amp; Incand Cost Development'!$A$8:$A$290,0),0)</f>
        <v>243</v>
      </c>
      <c r="C20" s="111" t="s">
        <v>702</v>
      </c>
      <c r="D20" s="111">
        <f>INDEX('CFL &amp; Incand Cost Development'!AM$8:AM$290,$B20)</f>
        <v>3.7268920148574542</v>
      </c>
      <c r="E20" s="111">
        <f>INDEX('CFL &amp; Incand Cost Development'!AN$8:AN$290,$B20)</f>
        <v>5.571892014857454</v>
      </c>
      <c r="F20" s="111">
        <f>INDEX('CFL &amp; Incand Cost Development'!AO$8:AO$290,$B20)</f>
        <v>3.7667920148574541</v>
      </c>
      <c r="G20" s="111">
        <f>INDEX('CFL &amp; Incand Cost Development'!AP$8:AP$290,$B20)</f>
        <v>3.7667920148574541</v>
      </c>
      <c r="H20" s="111">
        <f>INDEX('CFL &amp; Incand Cost Development'!AQ$8:AQ$290,$B20)</f>
        <v>2.637992014857454</v>
      </c>
      <c r="I20" s="103"/>
      <c r="J20" s="183" t="str">
        <f>INDEX('CFL &amp; Incand Cost Development'!BS$8:BS$290,$B20)</f>
        <v>WRR0347_CFLscw(24w)</v>
      </c>
      <c r="K20" s="250">
        <f>INDEX('CFL &amp; Incand Cost Development'!BT$8:BT$290,$B20)</f>
        <v>83</v>
      </c>
      <c r="L20" s="250">
        <f>INDEX('CFL &amp; Incand Cost Development'!BU$8:BU$290,$B20)</f>
        <v>1.3196000000000003</v>
      </c>
      <c r="M20" s="250">
        <f>INDEX('CFL &amp; Incand Cost Development'!BV$8:BV$290,$B20)</f>
        <v>3.7826000000000004</v>
      </c>
      <c r="N20" s="250">
        <f>INDEX('CFL &amp; Incand Cost Development'!BW$8:BW$290,$B20)</f>
        <v>2.0926000000000005</v>
      </c>
      <c r="O20" s="250">
        <f>INDEX('CFL &amp; Incand Cost Development'!BX$8:BX$290,$B20)</f>
        <v>0.93260000000000054</v>
      </c>
      <c r="P20" s="250">
        <f>INDEX('CFL &amp; Incand Cost Development'!BY$8:BY$290,$B20)</f>
        <v>0.93260000000000054</v>
      </c>
      <c r="Q20" s="103"/>
      <c r="R20" s="103"/>
      <c r="S20" s="103" t="str">
        <f t="shared" si="0"/>
        <v>Std_CFLscw(24w)_60pInc-r0248</v>
      </c>
      <c r="T20" s="111">
        <f t="shared" si="1"/>
        <v>2.2825168059429819</v>
      </c>
      <c r="U20" s="111">
        <f t="shared" si="2"/>
        <v>4.4983168059429826</v>
      </c>
      <c r="V20" s="111">
        <f t="shared" si="3"/>
        <v>2.7622768059429816</v>
      </c>
      <c r="W20" s="111">
        <f t="shared" si="4"/>
        <v>2.0662768059429819</v>
      </c>
      <c r="X20" s="111">
        <f t="shared" si="5"/>
        <v>1.614756805942982</v>
      </c>
      <c r="Y20" s="103"/>
      <c r="Z20" s="103"/>
      <c r="AA20" s="103" t="str">
        <f t="shared" si="6"/>
        <v>CFLratio0248</v>
      </c>
      <c r="AB20" s="103" t="str">
        <f t="shared" si="11"/>
        <v>CFLscw(24w)CFLratio0248</v>
      </c>
      <c r="AC20" s="103"/>
      <c r="AD20" s="108">
        <f t="shared" si="12"/>
        <v>1.4443752089144724</v>
      </c>
      <c r="AE20" s="108">
        <f t="shared" si="7"/>
        <v>1.0735752089144714</v>
      </c>
      <c r="AF20" s="108">
        <f t="shared" si="8"/>
        <v>1.0045152089144724</v>
      </c>
      <c r="AG20" s="108">
        <f t="shared" si="9"/>
        <v>1.7005152089144722</v>
      </c>
      <c r="AH20" s="108">
        <f t="shared" si="10"/>
        <v>1.0232352089144721</v>
      </c>
    </row>
    <row r="21" spans="2:34">
      <c r="B21" s="179">
        <f>IFERROR(MATCH(C21,'CFL &amp; Incand Cost Development'!$A$8:$A$290,0),0)</f>
        <v>244</v>
      </c>
      <c r="C21" s="111" t="s">
        <v>705</v>
      </c>
      <c r="D21" s="111">
        <f>INDEX('CFL &amp; Incand Cost Development'!AM$8:AM$290,$B21)</f>
        <v>3.7933920148574547</v>
      </c>
      <c r="E21" s="111">
        <f>INDEX('CFL &amp; Incand Cost Development'!AN$8:AN$290,$B21)</f>
        <v>5.6383920148574544</v>
      </c>
      <c r="F21" s="111">
        <f>INDEX('CFL &amp; Incand Cost Development'!AO$8:AO$290,$B21)</f>
        <v>3.8332920148574545</v>
      </c>
      <c r="G21" s="111">
        <f>INDEX('CFL &amp; Incand Cost Development'!AP$8:AP$290,$B21)</f>
        <v>3.8332920148574545</v>
      </c>
      <c r="H21" s="111">
        <f>INDEX('CFL &amp; Incand Cost Development'!AQ$8:AQ$290,$B21)</f>
        <v>2.7044920148574545</v>
      </c>
      <c r="I21" s="103"/>
      <c r="J21" s="183" t="str">
        <f>INDEX('CFL &amp; Incand Cost Development'!BS$8:BS$290,$B21)</f>
        <v>WRR0347_CFLscw(25w)</v>
      </c>
      <c r="K21" s="250">
        <f>INDEX('CFL &amp; Incand Cost Development'!BT$8:BT$290,$B21)</f>
        <v>87</v>
      </c>
      <c r="L21" s="250">
        <f>INDEX('CFL &amp; Incand Cost Development'!BU$8:BU$290,$B21)</f>
        <v>1.3212000000000002</v>
      </c>
      <c r="M21" s="250">
        <f>INDEX('CFL &amp; Incand Cost Development'!BV$8:BV$290,$B21)</f>
        <v>3.7842000000000002</v>
      </c>
      <c r="N21" s="250">
        <f>INDEX('CFL &amp; Incand Cost Development'!BW$8:BW$290,$B21)</f>
        <v>2.0942000000000003</v>
      </c>
      <c r="O21" s="250">
        <f>INDEX('CFL &amp; Incand Cost Development'!BX$8:BX$290,$B21)</f>
        <v>0.93420000000000036</v>
      </c>
      <c r="P21" s="250">
        <f>INDEX('CFL &amp; Incand Cost Development'!BY$8:BY$290,$B21)</f>
        <v>0.93420000000000036</v>
      </c>
      <c r="Q21" s="103"/>
      <c r="R21" s="103"/>
      <c r="S21" s="103" t="str">
        <f t="shared" si="0"/>
        <v>Std_CFLscw(25w)_60pInc-r0248</v>
      </c>
      <c r="T21" s="111">
        <f t="shared" si="1"/>
        <v>2.3100768059429821</v>
      </c>
      <c r="U21" s="111">
        <f t="shared" si="2"/>
        <v>4.5258768059429819</v>
      </c>
      <c r="V21" s="111">
        <f t="shared" si="3"/>
        <v>2.7898368059429819</v>
      </c>
      <c r="W21" s="111">
        <f t="shared" si="4"/>
        <v>2.0938368059429822</v>
      </c>
      <c r="X21" s="111">
        <f t="shared" si="5"/>
        <v>1.6423168059429822</v>
      </c>
      <c r="Y21" s="103"/>
      <c r="Z21" s="103"/>
      <c r="AA21" s="103" t="str">
        <f t="shared" si="6"/>
        <v>CFLratio0248</v>
      </c>
      <c r="AB21" s="103" t="str">
        <f t="shared" si="11"/>
        <v>CFLscw(25w)CFLratio0248</v>
      </c>
      <c r="AC21" s="103"/>
      <c r="AD21" s="108">
        <f t="shared" si="12"/>
        <v>1.4833152089144725</v>
      </c>
      <c r="AE21" s="108">
        <f t="shared" si="7"/>
        <v>1.1125152089144725</v>
      </c>
      <c r="AF21" s="108">
        <f t="shared" si="8"/>
        <v>1.0434552089144726</v>
      </c>
      <c r="AG21" s="108">
        <f t="shared" si="9"/>
        <v>1.7394552089144724</v>
      </c>
      <c r="AH21" s="108">
        <f t="shared" si="10"/>
        <v>1.0621752089144723</v>
      </c>
    </row>
    <row r="22" spans="2:34">
      <c r="B22" s="179">
        <f>IFERROR(MATCH(C22,'CFL &amp; Incand Cost Development'!$A$8:$A$290,0),0)</f>
        <v>245</v>
      </c>
      <c r="C22" s="111" t="s">
        <v>708</v>
      </c>
      <c r="D22" s="111">
        <f>INDEX('CFL &amp; Incand Cost Development'!AM$8:AM$290,$B22)</f>
        <v>3.9533920148574548</v>
      </c>
      <c r="E22" s="111">
        <f>INDEX('CFL &amp; Incand Cost Development'!AN$8:AN$290,$B22)</f>
        <v>5.7983920148574546</v>
      </c>
      <c r="F22" s="111">
        <f>INDEX('CFL &amp; Incand Cost Development'!AO$8:AO$290,$B22)</f>
        <v>3.9932920148574551</v>
      </c>
      <c r="G22" s="111">
        <f>INDEX('CFL &amp; Incand Cost Development'!AP$8:AP$290,$B22)</f>
        <v>3.9932920148574551</v>
      </c>
      <c r="H22" s="111">
        <f>INDEX('CFL &amp; Incand Cost Development'!AQ$8:AQ$290,$B22)</f>
        <v>2.8644920148574551</v>
      </c>
      <c r="I22" s="103"/>
      <c r="J22" s="183" t="str">
        <f>INDEX('CFL &amp; Incand Cost Development'!BS$8:BS$290,$B22)</f>
        <v>WRR0347_CFLscw(26w)</v>
      </c>
      <c r="K22" s="250">
        <f>INDEX('CFL &amp; Incand Cost Development'!BT$8:BT$290,$B22)</f>
        <v>90</v>
      </c>
      <c r="L22" s="250">
        <f>INDEX('CFL &amp; Incand Cost Development'!BU$8:BU$290,$B22)</f>
        <v>1.3224</v>
      </c>
      <c r="M22" s="250">
        <f>INDEX('CFL &amp; Incand Cost Development'!BV$8:BV$290,$B22)</f>
        <v>3.7854000000000001</v>
      </c>
      <c r="N22" s="250">
        <f>INDEX('CFL &amp; Incand Cost Development'!BW$8:BW$290,$B22)</f>
        <v>2.0954000000000002</v>
      </c>
      <c r="O22" s="250">
        <f>INDEX('CFL &amp; Incand Cost Development'!BX$8:BX$290,$B22)</f>
        <v>0.93540000000000023</v>
      </c>
      <c r="P22" s="250">
        <f>INDEX('CFL &amp; Incand Cost Development'!BY$8:BY$290,$B22)</f>
        <v>0.93540000000000023</v>
      </c>
      <c r="Q22" s="103"/>
      <c r="R22" s="103"/>
      <c r="S22" s="103" t="str">
        <f t="shared" si="0"/>
        <v>Std_CFLscw(26w)_60pInc-r0248</v>
      </c>
      <c r="T22" s="111">
        <f t="shared" si="1"/>
        <v>2.374796805942982</v>
      </c>
      <c r="U22" s="111">
        <f t="shared" si="2"/>
        <v>4.5905968059429823</v>
      </c>
      <c r="V22" s="111">
        <f t="shared" si="3"/>
        <v>2.8545568059429822</v>
      </c>
      <c r="W22" s="111">
        <f t="shared" si="4"/>
        <v>2.158556805942982</v>
      </c>
      <c r="X22" s="111">
        <f t="shared" si="5"/>
        <v>1.7070368059429821</v>
      </c>
      <c r="Y22" s="103"/>
      <c r="Z22" s="103"/>
      <c r="AA22" s="103" t="str">
        <f t="shared" si="6"/>
        <v>CFLratio0248</v>
      </c>
      <c r="AB22" s="103" t="str">
        <f t="shared" si="11"/>
        <v>CFLscw(26w)CFLratio0248</v>
      </c>
      <c r="AC22" s="103"/>
      <c r="AD22" s="108">
        <f t="shared" si="12"/>
        <v>1.5785952089144728</v>
      </c>
      <c r="AE22" s="108">
        <f t="shared" si="7"/>
        <v>1.2077952089144723</v>
      </c>
      <c r="AF22" s="108">
        <f t="shared" si="8"/>
        <v>1.1387352089144729</v>
      </c>
      <c r="AG22" s="108">
        <f t="shared" si="9"/>
        <v>1.8347352089144731</v>
      </c>
      <c r="AH22" s="108">
        <f t="shared" si="10"/>
        <v>1.157455208914473</v>
      </c>
    </row>
    <row r="23" spans="2:34">
      <c r="B23" s="179">
        <f>IFERROR(MATCH(C23,'CFL &amp; Incand Cost Development'!$A$8:$A$290,0),0)</f>
        <v>246</v>
      </c>
      <c r="C23" s="111" t="s">
        <v>711</v>
      </c>
      <c r="D23" s="111">
        <f>INDEX('CFL &amp; Incand Cost Development'!AM$8:AM$290,$B23)</f>
        <v>4.113392014857455</v>
      </c>
      <c r="E23" s="111">
        <f>INDEX('CFL &amp; Incand Cost Development'!AN$8:AN$290,$B23)</f>
        <v>5.9583920148574547</v>
      </c>
      <c r="F23" s="111">
        <f>INDEX('CFL &amp; Incand Cost Development'!AO$8:AO$290,$B23)</f>
        <v>4.1532920148574544</v>
      </c>
      <c r="G23" s="111">
        <f>INDEX('CFL &amp; Incand Cost Development'!AP$8:AP$290,$B23)</f>
        <v>4.1532920148574544</v>
      </c>
      <c r="H23" s="111">
        <f>INDEX('CFL &amp; Incand Cost Development'!AQ$8:AQ$290,$B23)</f>
        <v>3.0244920148574543</v>
      </c>
      <c r="I23" s="103"/>
      <c r="J23" s="183" t="str">
        <f>INDEX('CFL &amp; Incand Cost Development'!BS$8:BS$290,$B23)</f>
        <v>WRR0347_CFLscw(27w)</v>
      </c>
      <c r="K23" s="250">
        <f>INDEX('CFL &amp; Incand Cost Development'!BT$8:BT$290,$B23)</f>
        <v>94</v>
      </c>
      <c r="L23" s="250">
        <f>INDEX('CFL &amp; Incand Cost Development'!BU$8:BU$290,$B23)</f>
        <v>1.3239999999999998</v>
      </c>
      <c r="M23" s="250">
        <f>INDEX('CFL &amp; Incand Cost Development'!BV$8:BV$290,$B23)</f>
        <v>3.7869999999999999</v>
      </c>
      <c r="N23" s="250">
        <f>INDEX('CFL &amp; Incand Cost Development'!BW$8:BW$290,$B23)</f>
        <v>2.097</v>
      </c>
      <c r="O23" s="250">
        <f>INDEX('CFL &amp; Incand Cost Development'!BX$8:BX$290,$B23)</f>
        <v>0.93700000000000006</v>
      </c>
      <c r="P23" s="250">
        <f>INDEX('CFL &amp; Incand Cost Development'!BY$8:BY$290,$B23)</f>
        <v>0.93700000000000006</v>
      </c>
      <c r="Q23" s="103"/>
      <c r="R23" s="103"/>
      <c r="S23" s="103" t="str">
        <f t="shared" si="0"/>
        <v>Std_CFLscw(27w)_60pInc-r0248</v>
      </c>
      <c r="T23" s="111">
        <f t="shared" si="1"/>
        <v>2.4397568059429822</v>
      </c>
      <c r="U23" s="111">
        <f t="shared" si="2"/>
        <v>4.6555568059429824</v>
      </c>
      <c r="V23" s="111">
        <f t="shared" si="3"/>
        <v>2.9195168059429819</v>
      </c>
      <c r="W23" s="111">
        <f t="shared" si="4"/>
        <v>2.2235168059429817</v>
      </c>
      <c r="X23" s="111">
        <f t="shared" si="5"/>
        <v>1.7719968059429818</v>
      </c>
      <c r="Y23" s="103"/>
      <c r="Z23" s="103"/>
      <c r="AA23" s="103" t="str">
        <f t="shared" si="6"/>
        <v>CFLratio0248</v>
      </c>
      <c r="AB23" s="103" t="str">
        <f t="shared" si="11"/>
        <v>CFLscw(27w)CFLratio0248</v>
      </c>
      <c r="AC23" s="103"/>
      <c r="AD23" s="108">
        <f t="shared" si="12"/>
        <v>1.6736352089144728</v>
      </c>
      <c r="AE23" s="108">
        <f t="shared" si="7"/>
        <v>1.3028352089144724</v>
      </c>
      <c r="AF23" s="108">
        <f t="shared" si="8"/>
        <v>1.2337752089144725</v>
      </c>
      <c r="AG23" s="108">
        <f t="shared" si="9"/>
        <v>1.9297752089144726</v>
      </c>
      <c r="AH23" s="108">
        <f t="shared" si="10"/>
        <v>1.2524952089144725</v>
      </c>
    </row>
    <row r="24" spans="2:34">
      <c r="B24" s="179">
        <f>IFERROR(MATCH(C24,'CFL &amp; Incand Cost Development'!$A$8:$A$290,0),0)</f>
        <v>247</v>
      </c>
      <c r="C24" s="111" t="s">
        <v>714</v>
      </c>
      <c r="D24" s="111">
        <f>INDEX('CFL &amp; Incand Cost Development'!AM$8:AM$290,$B24)</f>
        <v>4.2733920148574542</v>
      </c>
      <c r="E24" s="111">
        <f>INDEX('CFL &amp; Incand Cost Development'!AN$8:AN$290,$B24)</f>
        <v>6.118392014857454</v>
      </c>
      <c r="F24" s="111">
        <f>INDEX('CFL &amp; Incand Cost Development'!AO$8:AO$290,$B24)</f>
        <v>4.3132920148574545</v>
      </c>
      <c r="G24" s="111">
        <f>INDEX('CFL &amp; Incand Cost Development'!AP$8:AP$290,$B24)</f>
        <v>4.3132920148574545</v>
      </c>
      <c r="H24" s="111">
        <f>INDEX('CFL &amp; Incand Cost Development'!AQ$8:AQ$290,$B24)</f>
        <v>3.184492014857454</v>
      </c>
      <c r="I24" s="103"/>
      <c r="J24" s="183" t="str">
        <f>INDEX('CFL &amp; Incand Cost Development'!BS$8:BS$290,$B24)</f>
        <v>WRR0347_CFLscw(28w)</v>
      </c>
      <c r="K24" s="250">
        <f>INDEX('CFL &amp; Incand Cost Development'!BT$8:BT$290,$B24)</f>
        <v>97</v>
      </c>
      <c r="L24" s="250">
        <f>INDEX('CFL &amp; Incand Cost Development'!BU$8:BU$290,$B24)</f>
        <v>1.3252000000000002</v>
      </c>
      <c r="M24" s="250">
        <f>INDEX('CFL &amp; Incand Cost Development'!BV$8:BV$290,$B24)</f>
        <v>3.7882000000000002</v>
      </c>
      <c r="N24" s="250">
        <f>INDEX('CFL &amp; Incand Cost Development'!BW$8:BW$290,$B24)</f>
        <v>2.0982000000000003</v>
      </c>
      <c r="O24" s="250">
        <f>INDEX('CFL &amp; Incand Cost Development'!BX$8:BX$290,$B24)</f>
        <v>0.93820000000000037</v>
      </c>
      <c r="P24" s="250">
        <f>INDEX('CFL &amp; Incand Cost Development'!BY$8:BY$290,$B24)</f>
        <v>0.93820000000000037</v>
      </c>
      <c r="Q24" s="103"/>
      <c r="R24" s="103"/>
      <c r="S24" s="103" t="str">
        <f t="shared" si="0"/>
        <v>Std_CFLscw(28w)_60pInc-r0248</v>
      </c>
      <c r="T24" s="111">
        <f t="shared" si="1"/>
        <v>2.5044768059429821</v>
      </c>
      <c r="U24" s="111">
        <f t="shared" si="2"/>
        <v>4.7202768059429818</v>
      </c>
      <c r="V24" s="111">
        <f t="shared" si="3"/>
        <v>2.9842368059429818</v>
      </c>
      <c r="W24" s="111">
        <f t="shared" si="4"/>
        <v>2.2882368059429821</v>
      </c>
      <c r="X24" s="111">
        <f t="shared" si="5"/>
        <v>1.8367168059429817</v>
      </c>
      <c r="Y24" s="103"/>
      <c r="Z24" s="103"/>
      <c r="AA24" s="103" t="str">
        <f t="shared" si="6"/>
        <v>CFLratio0248</v>
      </c>
      <c r="AB24" s="103" t="str">
        <f t="shared" si="11"/>
        <v>CFLscw(28w)CFLratio0248</v>
      </c>
      <c r="AC24" s="103"/>
      <c r="AD24" s="108">
        <f t="shared" si="12"/>
        <v>1.7689152089144722</v>
      </c>
      <c r="AE24" s="108">
        <f t="shared" si="7"/>
        <v>1.3981152089144722</v>
      </c>
      <c r="AF24" s="108">
        <f t="shared" si="8"/>
        <v>1.3290552089144727</v>
      </c>
      <c r="AG24" s="108">
        <f t="shared" si="9"/>
        <v>2.0250552089144724</v>
      </c>
      <c r="AH24" s="108">
        <f t="shared" si="10"/>
        <v>1.3477752089144723</v>
      </c>
    </row>
    <row r="25" spans="2:34">
      <c r="B25" s="179">
        <f>IFERROR(MATCH(C25,'CFL &amp; Incand Cost Development'!$A$8:$A$290,0),0)</f>
        <v>248</v>
      </c>
      <c r="C25" s="111" t="s">
        <v>717</v>
      </c>
      <c r="D25" s="111">
        <f>INDEX('CFL &amp; Incand Cost Development'!AM$8:AM$290,$B25)</f>
        <v>4.4333920148574544</v>
      </c>
      <c r="E25" s="111">
        <f>INDEX('CFL &amp; Incand Cost Development'!AN$8:AN$290,$B25)</f>
        <v>6.2783920148574541</v>
      </c>
      <c r="F25" s="111">
        <f>INDEX('CFL &amp; Incand Cost Development'!AO$8:AO$290,$B25)</f>
        <v>4.4732920148574546</v>
      </c>
      <c r="G25" s="111">
        <f>INDEX('CFL &amp; Incand Cost Development'!AP$8:AP$290,$B25)</f>
        <v>4.4732920148574546</v>
      </c>
      <c r="H25" s="111">
        <f>INDEX('CFL &amp; Incand Cost Development'!AQ$8:AQ$290,$B25)</f>
        <v>3.3444920148574546</v>
      </c>
      <c r="I25" s="103"/>
      <c r="J25" s="183" t="str">
        <f>INDEX('CFL &amp; Incand Cost Development'!BS$8:BS$290,$B25)</f>
        <v>WRR0347_CFLscw(29w)</v>
      </c>
      <c r="K25" s="250">
        <f>INDEX('CFL &amp; Incand Cost Development'!BT$8:BT$290,$B25)</f>
        <v>101</v>
      </c>
      <c r="L25" s="250">
        <f>INDEX('CFL &amp; Incand Cost Development'!BU$8:BU$290,$B25)</f>
        <v>1.3268</v>
      </c>
      <c r="M25" s="250">
        <f>INDEX('CFL &amp; Incand Cost Development'!BV$8:BV$290,$B25)</f>
        <v>3.7898000000000001</v>
      </c>
      <c r="N25" s="250">
        <f>INDEX('CFL &amp; Incand Cost Development'!BW$8:BW$290,$B25)</f>
        <v>2.0998000000000001</v>
      </c>
      <c r="O25" s="250">
        <f>INDEX('CFL &amp; Incand Cost Development'!BX$8:BX$290,$B25)</f>
        <v>0.93980000000000019</v>
      </c>
      <c r="P25" s="250">
        <f>INDEX('CFL &amp; Incand Cost Development'!BY$8:BY$290,$B25)</f>
        <v>0.93980000000000019</v>
      </c>
      <c r="Q25" s="103"/>
      <c r="R25" s="103"/>
      <c r="S25" s="103" t="str">
        <f t="shared" si="0"/>
        <v>Std_CFLscw(29w)_60pInc-r0248</v>
      </c>
      <c r="T25" s="111">
        <f t="shared" si="1"/>
        <v>2.5694368059429817</v>
      </c>
      <c r="U25" s="111">
        <f t="shared" si="2"/>
        <v>4.785236805942982</v>
      </c>
      <c r="V25" s="111">
        <f t="shared" si="3"/>
        <v>3.0491968059429819</v>
      </c>
      <c r="W25" s="111">
        <f t="shared" si="4"/>
        <v>2.3531968059429822</v>
      </c>
      <c r="X25" s="111">
        <f t="shared" si="5"/>
        <v>1.9016768059429818</v>
      </c>
      <c r="Y25" s="103"/>
      <c r="Z25" s="103"/>
      <c r="AA25" s="103" t="str">
        <f t="shared" si="6"/>
        <v>CFLratio0248</v>
      </c>
      <c r="AB25" s="103" t="str">
        <f t="shared" si="11"/>
        <v>CFLscw(29w)CFLratio0248</v>
      </c>
      <c r="AC25" s="103"/>
      <c r="AD25" s="108">
        <f t="shared" si="12"/>
        <v>1.8639552089144726</v>
      </c>
      <c r="AE25" s="108">
        <f t="shared" si="7"/>
        <v>1.4931552089144722</v>
      </c>
      <c r="AF25" s="108">
        <f t="shared" si="8"/>
        <v>1.4240952089144727</v>
      </c>
      <c r="AG25" s="108">
        <f t="shared" si="9"/>
        <v>2.1200952089144725</v>
      </c>
      <c r="AH25" s="108">
        <f t="shared" si="10"/>
        <v>1.4428152089144728</v>
      </c>
    </row>
    <row r="26" spans="2:34">
      <c r="B26" s="179">
        <f>IFERROR(MATCH(C26,'CFL &amp; Incand Cost Development'!$A$8:$A$290,0),0)</f>
        <v>249</v>
      </c>
      <c r="C26" s="111" t="s">
        <v>720</v>
      </c>
      <c r="D26" s="111">
        <f>INDEX('CFL &amp; Incand Cost Development'!AM$8:AM$290,$B26)</f>
        <v>4.5933920148574554</v>
      </c>
      <c r="E26" s="111">
        <f>INDEX('CFL &amp; Incand Cost Development'!AN$8:AN$290,$B26)</f>
        <v>6.4383920148574552</v>
      </c>
      <c r="F26" s="111">
        <f>INDEX('CFL &amp; Incand Cost Development'!AO$8:AO$290,$B26)</f>
        <v>4.6332920148574548</v>
      </c>
      <c r="G26" s="111">
        <f>INDEX('CFL &amp; Incand Cost Development'!AP$8:AP$290,$B26)</f>
        <v>4.6332920148574548</v>
      </c>
      <c r="H26" s="111">
        <f>INDEX('CFL &amp; Incand Cost Development'!AQ$8:AQ$290,$B26)</f>
        <v>3.5044920148574548</v>
      </c>
      <c r="I26" s="103"/>
      <c r="J26" s="183" t="str">
        <f>INDEX('CFL &amp; Incand Cost Development'!BS$8:BS$290,$B26)</f>
        <v>WRR0347_CFLscw(30w)</v>
      </c>
      <c r="K26" s="250">
        <f>INDEX('CFL &amp; Incand Cost Development'!BT$8:BT$290,$B26)</f>
        <v>104</v>
      </c>
      <c r="L26" s="250">
        <f>INDEX('CFL &amp; Incand Cost Development'!BU$8:BU$290,$B26)</f>
        <v>1.3279999999999998</v>
      </c>
      <c r="M26" s="250">
        <f>INDEX('CFL &amp; Incand Cost Development'!BV$8:BV$290,$B26)</f>
        <v>3.7909999999999999</v>
      </c>
      <c r="N26" s="250">
        <f>INDEX('CFL &amp; Incand Cost Development'!BW$8:BW$290,$B26)</f>
        <v>2.101</v>
      </c>
      <c r="O26" s="250">
        <f>INDEX('CFL &amp; Incand Cost Development'!BX$8:BX$290,$B26)</f>
        <v>0.94100000000000006</v>
      </c>
      <c r="P26" s="250">
        <f>INDEX('CFL &amp; Incand Cost Development'!BY$8:BY$290,$B26)</f>
        <v>0.94100000000000006</v>
      </c>
      <c r="Q26" s="103"/>
      <c r="R26" s="103"/>
      <c r="S26" s="103" t="str">
        <f t="shared" si="0"/>
        <v>Std_CFLscw(30w)_60pInc-r0248</v>
      </c>
      <c r="T26" s="111">
        <f t="shared" si="1"/>
        <v>2.6341568059429821</v>
      </c>
      <c r="U26" s="111">
        <f t="shared" si="2"/>
        <v>4.8499568059429823</v>
      </c>
      <c r="V26" s="111">
        <f t="shared" si="3"/>
        <v>3.1139168059429823</v>
      </c>
      <c r="W26" s="111">
        <f t="shared" si="4"/>
        <v>2.4179168059429821</v>
      </c>
      <c r="X26" s="111">
        <f t="shared" si="5"/>
        <v>1.9663968059429819</v>
      </c>
      <c r="Y26" s="103"/>
      <c r="Z26" s="103"/>
      <c r="AA26" s="103" t="str">
        <f t="shared" si="6"/>
        <v>CFLratio0248</v>
      </c>
      <c r="AB26" s="103" t="str">
        <f t="shared" si="11"/>
        <v>CFLscw(30w)CFLratio0248</v>
      </c>
      <c r="AC26" s="103"/>
      <c r="AD26" s="108">
        <f t="shared" si="12"/>
        <v>1.9592352089144733</v>
      </c>
      <c r="AE26" s="108">
        <f t="shared" si="7"/>
        <v>1.5884352089144729</v>
      </c>
      <c r="AF26" s="108">
        <f t="shared" si="8"/>
        <v>1.5193752089144725</v>
      </c>
      <c r="AG26" s="108">
        <f t="shared" si="9"/>
        <v>2.2153752089144727</v>
      </c>
      <c r="AH26" s="108">
        <f t="shared" si="10"/>
        <v>1.5380952089144728</v>
      </c>
    </row>
    <row r="27" spans="2:34">
      <c r="B27" s="179">
        <f>IFERROR(MATCH(C27,'CFL &amp; Incand Cost Development'!$A$8:$A$290,0),0)</f>
        <v>250</v>
      </c>
      <c r="C27" s="111" t="s">
        <v>723</v>
      </c>
      <c r="D27" s="111">
        <f>INDEX('CFL &amp; Incand Cost Development'!AM$8:AM$290,$B27)</f>
        <v>4.7533920148574547</v>
      </c>
      <c r="E27" s="111">
        <f>INDEX('CFL &amp; Incand Cost Development'!AN$8:AN$290,$B27)</f>
        <v>6.5983920148574544</v>
      </c>
      <c r="F27" s="111">
        <f>INDEX('CFL &amp; Incand Cost Development'!AO$8:AO$290,$B27)</f>
        <v>4.7932920148574549</v>
      </c>
      <c r="G27" s="111">
        <f>INDEX('CFL &amp; Incand Cost Development'!AP$8:AP$290,$B27)</f>
        <v>4.7932920148574549</v>
      </c>
      <c r="H27" s="111">
        <f>INDEX('CFL &amp; Incand Cost Development'!AQ$8:AQ$290,$B27)</f>
        <v>3.6644920148574545</v>
      </c>
      <c r="I27" s="103"/>
      <c r="J27" s="183" t="str">
        <f>INDEX('CFL &amp; Incand Cost Development'!BS$8:BS$290,$B27)</f>
        <v>WRR0347_CFLscw(31w)</v>
      </c>
      <c r="K27" s="250">
        <f>INDEX('CFL &amp; Incand Cost Development'!BT$8:BT$290,$B27)</f>
        <v>108</v>
      </c>
      <c r="L27" s="250">
        <f>INDEX('CFL &amp; Incand Cost Development'!BU$8:BU$290,$B27)</f>
        <v>1.3296000000000001</v>
      </c>
      <c r="M27" s="250">
        <f>INDEX('CFL &amp; Incand Cost Development'!BV$8:BV$290,$B27)</f>
        <v>3.7926000000000002</v>
      </c>
      <c r="N27" s="250">
        <f>INDEX('CFL &amp; Incand Cost Development'!BW$8:BW$290,$B27)</f>
        <v>2.1026000000000002</v>
      </c>
      <c r="O27" s="250">
        <f>INDEX('CFL &amp; Incand Cost Development'!BX$8:BX$290,$B27)</f>
        <v>0.94260000000000033</v>
      </c>
      <c r="P27" s="250">
        <f>INDEX('CFL &amp; Incand Cost Development'!BY$8:BY$290,$B27)</f>
        <v>0.94260000000000033</v>
      </c>
      <c r="Q27" s="103"/>
      <c r="R27" s="103"/>
      <c r="S27" s="103" t="str">
        <f t="shared" si="0"/>
        <v>Std_CFLscw(31w)_60pInc-r0248</v>
      </c>
      <c r="T27" s="111">
        <f t="shared" si="1"/>
        <v>2.6991168059429818</v>
      </c>
      <c r="U27" s="111">
        <f t="shared" si="2"/>
        <v>4.9149168059429815</v>
      </c>
      <c r="V27" s="111">
        <f t="shared" si="3"/>
        <v>3.1788768059429824</v>
      </c>
      <c r="W27" s="111">
        <f t="shared" si="4"/>
        <v>2.4828768059429822</v>
      </c>
      <c r="X27" s="111">
        <f t="shared" si="5"/>
        <v>2.0313568059429818</v>
      </c>
      <c r="Y27" s="103"/>
      <c r="Z27" s="103"/>
      <c r="AA27" s="103" t="str">
        <f t="shared" si="6"/>
        <v>CFLratio0248</v>
      </c>
      <c r="AB27" s="103" t="str">
        <f t="shared" si="11"/>
        <v>CFLscw(31w)CFLratio0248</v>
      </c>
      <c r="AC27" s="103"/>
      <c r="AD27" s="108">
        <f t="shared" si="12"/>
        <v>2.0542752089144729</v>
      </c>
      <c r="AE27" s="108">
        <f t="shared" si="7"/>
        <v>1.6834752089144729</v>
      </c>
      <c r="AF27" s="108">
        <f t="shared" si="8"/>
        <v>1.6144152089144725</v>
      </c>
      <c r="AG27" s="108">
        <f t="shared" si="9"/>
        <v>2.3104152089144727</v>
      </c>
      <c r="AH27" s="108">
        <f t="shared" si="10"/>
        <v>1.6331352089144726</v>
      </c>
    </row>
    <row r="28" spans="2:34">
      <c r="B28" s="179">
        <f>IFERROR(MATCH(C28,'CFL &amp; Incand Cost Development'!$A$8:$A$290,0),0)</f>
        <v>251</v>
      </c>
      <c r="C28" s="111" t="s">
        <v>726</v>
      </c>
      <c r="D28" s="111">
        <f>INDEX('CFL &amp; Incand Cost Development'!AM$8:AM$290,$B28)</f>
        <v>4.9133920148574539</v>
      </c>
      <c r="E28" s="111">
        <f>INDEX('CFL &amp; Incand Cost Development'!AN$8:AN$290,$B28)</f>
        <v>6.7583920148574537</v>
      </c>
      <c r="F28" s="111">
        <f>INDEX('CFL &amp; Incand Cost Development'!AO$8:AO$290,$B28)</f>
        <v>4.9532920148574542</v>
      </c>
      <c r="G28" s="111">
        <f>INDEX('CFL &amp; Incand Cost Development'!AP$8:AP$290,$B28)</f>
        <v>4.9532920148574542</v>
      </c>
      <c r="H28" s="111">
        <f>INDEX('CFL &amp; Incand Cost Development'!AQ$8:AQ$290,$B28)</f>
        <v>3.8244920148574542</v>
      </c>
      <c r="I28" s="103"/>
      <c r="J28" s="183" t="str">
        <f>INDEX('CFL &amp; Incand Cost Development'!BS$8:BS$290,$B28)</f>
        <v>WRR0347_CFLscw(32w)</v>
      </c>
      <c r="K28" s="250">
        <f>INDEX('CFL &amp; Incand Cost Development'!BT$8:BT$290,$B28)</f>
        <v>111</v>
      </c>
      <c r="L28" s="250">
        <f>INDEX('CFL &amp; Incand Cost Development'!BU$8:BU$290,$B28)</f>
        <v>1.3307999999999995</v>
      </c>
      <c r="M28" s="250">
        <f>INDEX('CFL &amp; Incand Cost Development'!BV$8:BV$290,$B28)</f>
        <v>3.7937999999999996</v>
      </c>
      <c r="N28" s="250">
        <f>INDEX('CFL &amp; Incand Cost Development'!BW$8:BW$290,$B28)</f>
        <v>2.1037999999999997</v>
      </c>
      <c r="O28" s="250">
        <f>INDEX('CFL &amp; Incand Cost Development'!BX$8:BX$290,$B28)</f>
        <v>0.94379999999999975</v>
      </c>
      <c r="P28" s="250">
        <f>INDEX('CFL &amp; Incand Cost Development'!BY$8:BY$290,$B28)</f>
        <v>0.94379999999999975</v>
      </c>
      <c r="Q28" s="103"/>
      <c r="R28" s="103"/>
      <c r="S28" s="103" t="str">
        <f t="shared" si="0"/>
        <v>Std_CFLscw(32w)_60pInc-r0248</v>
      </c>
      <c r="T28" s="111">
        <f t="shared" si="1"/>
        <v>2.7638368059429812</v>
      </c>
      <c r="U28" s="111">
        <f t="shared" si="2"/>
        <v>4.979636805942981</v>
      </c>
      <c r="V28" s="111">
        <f t="shared" si="3"/>
        <v>3.2435968059429818</v>
      </c>
      <c r="W28" s="111">
        <f t="shared" si="4"/>
        <v>2.5475968059429817</v>
      </c>
      <c r="X28" s="111">
        <f t="shared" si="5"/>
        <v>2.0960768059429817</v>
      </c>
      <c r="Y28" s="103"/>
      <c r="Z28" s="103"/>
      <c r="AA28" s="103" t="str">
        <f t="shared" si="6"/>
        <v>CFLratio0248</v>
      </c>
      <c r="AB28" s="103" t="str">
        <f t="shared" si="11"/>
        <v>CFLscw(32w)CFLratio0248</v>
      </c>
      <c r="AC28" s="103"/>
      <c r="AD28" s="108">
        <f t="shared" si="12"/>
        <v>2.1495552089144727</v>
      </c>
      <c r="AE28" s="108">
        <f t="shared" si="7"/>
        <v>1.7787552089144727</v>
      </c>
      <c r="AF28" s="108">
        <f t="shared" si="8"/>
        <v>1.7096952089144724</v>
      </c>
      <c r="AG28" s="108">
        <f t="shared" si="9"/>
        <v>2.4056952089144725</v>
      </c>
      <c r="AH28" s="108">
        <f t="shared" si="10"/>
        <v>1.7284152089144724</v>
      </c>
    </row>
    <row r="29" spans="2:34">
      <c r="B29" s="179">
        <f>IFERROR(MATCH(C29,'CFL &amp; Incand Cost Development'!$A$8:$A$290,0),0)</f>
        <v>252</v>
      </c>
      <c r="C29" s="111" t="s">
        <v>729</v>
      </c>
      <c r="D29" s="111">
        <f>INDEX('CFL &amp; Incand Cost Development'!AM$8:AM$290,$B29)</f>
        <v>5.0733920148574541</v>
      </c>
      <c r="E29" s="111">
        <f>INDEX('CFL &amp; Incand Cost Development'!AN$8:AN$290,$B29)</f>
        <v>6.9183920148574547</v>
      </c>
      <c r="F29" s="111">
        <f>INDEX('CFL &amp; Incand Cost Development'!AO$8:AO$290,$B29)</f>
        <v>5.1132920148574543</v>
      </c>
      <c r="G29" s="111">
        <f>INDEX('CFL &amp; Incand Cost Development'!AP$8:AP$290,$B29)</f>
        <v>5.1132920148574543</v>
      </c>
      <c r="H29" s="111">
        <f>INDEX('CFL &amp; Incand Cost Development'!AQ$8:AQ$290,$B29)</f>
        <v>3.9844920148574543</v>
      </c>
      <c r="I29" s="103"/>
      <c r="J29" s="183" t="str">
        <f>INDEX('CFL &amp; Incand Cost Development'!BS$8:BS$290,$B29)</f>
        <v>WRR0347_CFLscw(33w)</v>
      </c>
      <c r="K29" s="250">
        <f>INDEX('CFL &amp; Incand Cost Development'!BT$8:BT$290,$B29)</f>
        <v>115</v>
      </c>
      <c r="L29" s="250">
        <f>INDEX('CFL &amp; Incand Cost Development'!BU$8:BU$290,$B29)</f>
        <v>1.3324000000000003</v>
      </c>
      <c r="M29" s="250">
        <f>INDEX('CFL &amp; Incand Cost Development'!BV$8:BV$290,$B29)</f>
        <v>3.7954000000000003</v>
      </c>
      <c r="N29" s="250">
        <f>INDEX('CFL &amp; Incand Cost Development'!BW$8:BW$290,$B29)</f>
        <v>2.1054000000000004</v>
      </c>
      <c r="O29" s="250">
        <f>INDEX('CFL &amp; Incand Cost Development'!BX$8:BX$290,$B29)</f>
        <v>0.94540000000000046</v>
      </c>
      <c r="P29" s="250">
        <f>INDEX('CFL &amp; Incand Cost Development'!BY$8:BY$290,$B29)</f>
        <v>0.94540000000000046</v>
      </c>
      <c r="Q29" s="103"/>
      <c r="R29" s="103"/>
      <c r="S29" s="103" t="str">
        <f t="shared" si="0"/>
        <v>Std_CFLscw(33w)_60pInc-r0248</v>
      </c>
      <c r="T29" s="111">
        <f t="shared" si="1"/>
        <v>2.8287968059429818</v>
      </c>
      <c r="U29" s="111">
        <f t="shared" si="2"/>
        <v>5.044596805942982</v>
      </c>
      <c r="V29" s="111">
        <f t="shared" si="3"/>
        <v>3.308556805942982</v>
      </c>
      <c r="W29" s="111">
        <f t="shared" si="4"/>
        <v>2.6125568059429822</v>
      </c>
      <c r="X29" s="111">
        <f t="shared" si="5"/>
        <v>2.1610368059429823</v>
      </c>
      <c r="Y29" s="103"/>
      <c r="Z29" s="103"/>
      <c r="AA29" s="103" t="str">
        <f t="shared" si="6"/>
        <v>CFLratio0248</v>
      </c>
      <c r="AB29" s="103" t="str">
        <f t="shared" si="11"/>
        <v>CFLscw(33w)CFLratio0248</v>
      </c>
      <c r="AC29" s="103"/>
      <c r="AD29" s="108">
        <f t="shared" si="12"/>
        <v>2.2445952089144723</v>
      </c>
      <c r="AE29" s="108">
        <f t="shared" si="7"/>
        <v>1.8737952089144727</v>
      </c>
      <c r="AF29" s="108">
        <f t="shared" si="8"/>
        <v>1.8047352089144724</v>
      </c>
      <c r="AG29" s="108">
        <f t="shared" si="9"/>
        <v>2.5007352089144721</v>
      </c>
      <c r="AH29" s="108">
        <f t="shared" si="10"/>
        <v>1.823455208914472</v>
      </c>
    </row>
    <row r="30" spans="2:34">
      <c r="B30" s="179">
        <f>IFERROR(MATCH(C30,'CFL &amp; Incand Cost Development'!$A$8:$A$290,0),0)</f>
        <v>253</v>
      </c>
      <c r="C30" s="111" t="s">
        <v>731</v>
      </c>
      <c r="D30" s="111">
        <f>INDEX('CFL &amp; Incand Cost Development'!AM$8:AM$290,$B30)</f>
        <v>5.5533920148574545</v>
      </c>
      <c r="E30" s="111">
        <f>INDEX('CFL &amp; Incand Cost Development'!AN$8:AN$290,$B30)</f>
        <v>7.3983920148574542</v>
      </c>
      <c r="F30" s="111">
        <f>INDEX('CFL &amp; Incand Cost Development'!AO$8:AO$290,$B30)</f>
        <v>5.5932920148574539</v>
      </c>
      <c r="G30" s="111">
        <f>INDEX('CFL &amp; Incand Cost Development'!AP$8:AP$290,$B30)</f>
        <v>5.5932920148574539</v>
      </c>
      <c r="H30" s="111">
        <f>INDEX('CFL &amp; Incand Cost Development'!AQ$8:AQ$290,$B30)</f>
        <v>4.4644920148574538</v>
      </c>
      <c r="I30" s="103"/>
      <c r="J30" s="183" t="str">
        <f>INDEX('CFL &amp; Incand Cost Development'!BS$8:BS$290,$B30)</f>
        <v>WRR0347_CFLscw(36w)</v>
      </c>
      <c r="K30" s="250">
        <f>INDEX('CFL &amp; Incand Cost Development'!BT$8:BT$290,$B30)</f>
        <v>125</v>
      </c>
      <c r="L30" s="250">
        <f>INDEX('CFL &amp; Incand Cost Development'!BU$8:BU$290,$B30)</f>
        <v>1.3363999999999998</v>
      </c>
      <c r="M30" s="250">
        <f>INDEX('CFL &amp; Incand Cost Development'!BV$8:BV$290,$B30)</f>
        <v>3.7993999999999999</v>
      </c>
      <c r="N30" s="250">
        <f>INDEX('CFL &amp; Incand Cost Development'!BW$8:BW$290,$B30)</f>
        <v>2.1093999999999999</v>
      </c>
      <c r="O30" s="250">
        <f>INDEX('CFL &amp; Incand Cost Development'!BX$8:BX$290,$B30)</f>
        <v>0.94940000000000002</v>
      </c>
      <c r="P30" s="250">
        <f>INDEX('CFL &amp; Incand Cost Development'!BY$8:BY$290,$B30)</f>
        <v>0.94940000000000002</v>
      </c>
      <c r="Q30" s="103"/>
      <c r="R30" s="103"/>
      <c r="S30" s="103" t="str">
        <f t="shared" si="0"/>
        <v>Std_CFLscw(36w)_60pInc-r0248</v>
      </c>
      <c r="T30" s="111">
        <f t="shared" si="1"/>
        <v>3.0231968059429817</v>
      </c>
      <c r="U30" s="111">
        <f t="shared" si="2"/>
        <v>5.2389968059429819</v>
      </c>
      <c r="V30" s="111">
        <f t="shared" si="3"/>
        <v>3.5029568059429814</v>
      </c>
      <c r="W30" s="111">
        <f t="shared" si="4"/>
        <v>2.8069568059429817</v>
      </c>
      <c r="X30" s="111">
        <f t="shared" si="5"/>
        <v>2.3554368059429818</v>
      </c>
      <c r="Y30" s="103"/>
      <c r="Z30" s="103"/>
      <c r="AA30" s="103" t="str">
        <f t="shared" si="6"/>
        <v>CFLratio0248</v>
      </c>
      <c r="AB30" s="103" t="str">
        <f t="shared" si="11"/>
        <v>CFLscw(36w)CFLratio0248</v>
      </c>
      <c r="AC30" s="103"/>
      <c r="AD30" s="108">
        <f t="shared" si="12"/>
        <v>2.5301952089144728</v>
      </c>
      <c r="AE30" s="108">
        <f t="shared" si="7"/>
        <v>2.1593952089144723</v>
      </c>
      <c r="AF30" s="108">
        <f t="shared" si="8"/>
        <v>2.0903352089144724</v>
      </c>
      <c r="AG30" s="108">
        <f t="shared" si="9"/>
        <v>2.7863352089144722</v>
      </c>
      <c r="AH30" s="108">
        <f t="shared" si="10"/>
        <v>2.1090552089144721</v>
      </c>
    </row>
    <row r="31" spans="2:34">
      <c r="B31" s="179">
        <f>IFERROR(MATCH(C31,'CFL &amp; Incand Cost Development'!$A$8:$A$290,0),0)</f>
        <v>254</v>
      </c>
      <c r="C31" s="111" t="s">
        <v>733</v>
      </c>
      <c r="D31" s="111">
        <f>INDEX('CFL &amp; Incand Cost Development'!AM$8:AM$290,$B31)</f>
        <v>5.8733920148574548</v>
      </c>
      <c r="E31" s="111">
        <f>INDEX('CFL &amp; Incand Cost Development'!AN$8:AN$290,$B31)</f>
        <v>7.7183920148574554</v>
      </c>
      <c r="F31" s="111">
        <f>INDEX('CFL &amp; Incand Cost Development'!AO$8:AO$290,$B31)</f>
        <v>5.913292014857455</v>
      </c>
      <c r="G31" s="111">
        <f>INDEX('CFL &amp; Incand Cost Development'!AP$8:AP$290,$B31)</f>
        <v>5.913292014857455</v>
      </c>
      <c r="H31" s="111">
        <f>INDEX('CFL &amp; Incand Cost Development'!AQ$8:AQ$290,$B31)</f>
        <v>4.784492014857455</v>
      </c>
      <c r="I31" s="103"/>
      <c r="J31" s="183" t="str">
        <f>INDEX('CFL &amp; Incand Cost Development'!BS$8:BS$290,$B31)</f>
        <v>WRR0347_CFLscw(38w)</v>
      </c>
      <c r="K31" s="250">
        <f>INDEX('CFL &amp; Incand Cost Development'!BT$8:BT$290,$B31)</f>
        <v>132</v>
      </c>
      <c r="L31" s="250">
        <f>INDEX('CFL &amp; Incand Cost Development'!BU$8:BU$290,$B31)</f>
        <v>1.3391999999999999</v>
      </c>
      <c r="M31" s="250">
        <f>INDEX('CFL &amp; Incand Cost Development'!BV$8:BV$290,$B31)</f>
        <v>3.8022</v>
      </c>
      <c r="N31" s="250">
        <f>INDEX('CFL &amp; Incand Cost Development'!BW$8:BW$290,$B31)</f>
        <v>2.1122000000000001</v>
      </c>
      <c r="O31" s="250">
        <f>INDEX('CFL &amp; Incand Cost Development'!BX$8:BX$290,$B31)</f>
        <v>0.95220000000000016</v>
      </c>
      <c r="P31" s="250">
        <f>INDEX('CFL &amp; Incand Cost Development'!BY$8:BY$290,$B31)</f>
        <v>0.95220000000000016</v>
      </c>
      <c r="Q31" s="103"/>
      <c r="R31" s="103"/>
      <c r="S31" s="103" t="str">
        <f t="shared" si="0"/>
        <v>Std_CFLscw(38w)_60pInc-r0248</v>
      </c>
      <c r="T31" s="111">
        <f t="shared" si="1"/>
        <v>3.1528768059429817</v>
      </c>
      <c r="U31" s="111">
        <f t="shared" si="2"/>
        <v>5.3686768059429824</v>
      </c>
      <c r="V31" s="111">
        <f t="shared" si="3"/>
        <v>3.6326368059429823</v>
      </c>
      <c r="W31" s="111">
        <f t="shared" si="4"/>
        <v>2.9366368059429822</v>
      </c>
      <c r="X31" s="111">
        <f t="shared" si="5"/>
        <v>2.4851168059429822</v>
      </c>
      <c r="Y31" s="103"/>
      <c r="Z31" s="103"/>
      <c r="AA31" s="103" t="str">
        <f t="shared" si="6"/>
        <v>CFLratio0248</v>
      </c>
      <c r="AB31" s="103" t="str">
        <f t="shared" si="11"/>
        <v>CFLscw(38w)CFLratio0248</v>
      </c>
      <c r="AC31" s="103"/>
      <c r="AD31" s="108">
        <f t="shared" si="12"/>
        <v>2.7205152089144731</v>
      </c>
      <c r="AE31" s="108">
        <f t="shared" si="7"/>
        <v>2.3497152089144731</v>
      </c>
      <c r="AF31" s="108">
        <f t="shared" si="8"/>
        <v>2.2806552089144727</v>
      </c>
      <c r="AG31" s="108">
        <f t="shared" si="9"/>
        <v>2.9766552089144729</v>
      </c>
      <c r="AH31" s="108">
        <f t="shared" si="10"/>
        <v>2.2993752089144728</v>
      </c>
    </row>
    <row r="32" spans="2:34">
      <c r="B32" s="179">
        <f>IFERROR(MATCH(C32,'CFL &amp; Incand Cost Development'!$A$8:$A$290,0),0)</f>
        <v>255</v>
      </c>
      <c r="C32" s="111" t="s">
        <v>735</v>
      </c>
      <c r="D32" s="111">
        <f>INDEX('CFL &amp; Incand Cost Development'!AM$8:AM$290,$B32)</f>
        <v>6.0333920148574549</v>
      </c>
      <c r="E32" s="111">
        <f>INDEX('CFL &amp; Incand Cost Development'!AN$8:AN$290,$B32)</f>
        <v>7.8783920148574547</v>
      </c>
      <c r="F32" s="111">
        <f>INDEX('CFL &amp; Incand Cost Development'!AO$8:AO$290,$B32)</f>
        <v>6.0732920148574543</v>
      </c>
      <c r="G32" s="111">
        <f>INDEX('CFL &amp; Incand Cost Development'!AP$8:AP$290,$B32)</f>
        <v>6.0732920148574543</v>
      </c>
      <c r="H32" s="111">
        <f>INDEX('CFL &amp; Incand Cost Development'!AQ$8:AQ$290,$B32)</f>
        <v>4.9444920148574543</v>
      </c>
      <c r="I32" s="103"/>
      <c r="J32" s="183" t="str">
        <f>INDEX('CFL &amp; Incand Cost Development'!BS$8:BS$290,$B32)</f>
        <v>WRR0347_CFLscw(39w)</v>
      </c>
      <c r="K32" s="250">
        <f>INDEX('CFL &amp; Incand Cost Development'!BT$8:BT$290,$B32)</f>
        <v>135</v>
      </c>
      <c r="L32" s="250">
        <f>INDEX('CFL &amp; Incand Cost Development'!BU$8:BU$290,$B32)</f>
        <v>1.3404000000000003</v>
      </c>
      <c r="M32" s="250">
        <f>INDEX('CFL &amp; Incand Cost Development'!BV$8:BV$290,$B32)</f>
        <v>3.8034000000000003</v>
      </c>
      <c r="N32" s="250">
        <f>INDEX('CFL &amp; Incand Cost Development'!BW$8:BW$290,$B32)</f>
        <v>2.1134000000000004</v>
      </c>
      <c r="O32" s="250">
        <f>INDEX('CFL &amp; Incand Cost Development'!BX$8:BX$290,$B32)</f>
        <v>0.95340000000000047</v>
      </c>
      <c r="P32" s="250">
        <f>INDEX('CFL &amp; Incand Cost Development'!BY$8:BY$290,$B32)</f>
        <v>0.95340000000000047</v>
      </c>
      <c r="Q32" s="103"/>
      <c r="R32" s="103"/>
      <c r="S32" s="103" t="str">
        <f t="shared" si="0"/>
        <v>Std_CFLscw(39w)_60pInc-r0248</v>
      </c>
      <c r="T32" s="111">
        <f t="shared" si="1"/>
        <v>3.217596805942982</v>
      </c>
      <c r="U32" s="111">
        <f t="shared" si="2"/>
        <v>5.4333968059429818</v>
      </c>
      <c r="V32" s="111">
        <f t="shared" si="3"/>
        <v>3.6973568059429818</v>
      </c>
      <c r="W32" s="111">
        <f t="shared" si="4"/>
        <v>3.001356805942982</v>
      </c>
      <c r="X32" s="111">
        <f t="shared" si="5"/>
        <v>2.5498368059429821</v>
      </c>
      <c r="Y32" s="103"/>
      <c r="Z32" s="103"/>
      <c r="AA32" s="103" t="str">
        <f t="shared" si="6"/>
        <v>CFLratio0248</v>
      </c>
      <c r="AB32" s="103" t="str">
        <f t="shared" si="11"/>
        <v>CFLscw(39w)CFLratio0248</v>
      </c>
      <c r="AC32" s="103"/>
      <c r="AD32" s="108">
        <f t="shared" si="12"/>
        <v>2.8157952089144729</v>
      </c>
      <c r="AE32" s="108">
        <f t="shared" si="7"/>
        <v>2.4449952089144729</v>
      </c>
      <c r="AF32" s="108">
        <f t="shared" si="8"/>
        <v>2.3759352089144725</v>
      </c>
      <c r="AG32" s="108">
        <f t="shared" si="9"/>
        <v>3.0719352089144722</v>
      </c>
      <c r="AH32" s="108">
        <f t="shared" si="10"/>
        <v>2.3946552089144721</v>
      </c>
    </row>
    <row r="33" spans="2:34">
      <c r="B33" s="179">
        <f>IFERROR(MATCH(C33,'CFL &amp; Incand Cost Development'!$A$8:$A$290,0),0)</f>
        <v>256</v>
      </c>
      <c r="C33" s="111" t="s">
        <v>737</v>
      </c>
      <c r="D33" s="111">
        <f>INDEX('CFL &amp; Incand Cost Development'!AM$8:AM$290,$B33)</f>
        <v>2.3303920148574546</v>
      </c>
      <c r="E33" s="111">
        <f>INDEX('CFL &amp; Incand Cost Development'!AN$8:AN$290,$B33)</f>
        <v>4.1753920148574544</v>
      </c>
      <c r="F33" s="111">
        <f>INDEX('CFL &amp; Incand Cost Development'!AO$8:AO$290,$B33)</f>
        <v>2.3702920148574544</v>
      </c>
      <c r="G33" s="111">
        <f>INDEX('CFL &amp; Incand Cost Development'!AP$8:AP$290,$B33)</f>
        <v>2.3702920148574544</v>
      </c>
      <c r="H33" s="111">
        <f>INDEX('CFL &amp; Incand Cost Development'!AQ$8:AQ$290,$B33)</f>
        <v>1.2414920148574544</v>
      </c>
      <c r="I33" s="103"/>
      <c r="J33" s="183" t="str">
        <f>INDEX('CFL &amp; Incand Cost Development'!BS$8:BS$290,$B33)</f>
        <v>WRR0347_CFLscw(3w)</v>
      </c>
      <c r="K33" s="250">
        <f>INDEX('CFL &amp; Incand Cost Development'!BT$8:BT$290,$B33)</f>
        <v>10</v>
      </c>
      <c r="L33" s="250">
        <f>INDEX('CFL &amp; Incand Cost Development'!BU$8:BU$290,$B33)</f>
        <v>0.90240000000000009</v>
      </c>
      <c r="M33" s="250">
        <f>INDEX('CFL &amp; Incand Cost Development'!BV$8:BV$290,$B33)</f>
        <v>3.3654000000000002</v>
      </c>
      <c r="N33" s="250">
        <f>INDEX('CFL &amp; Incand Cost Development'!BW$8:BW$290,$B33)</f>
        <v>1.6754000000000002</v>
      </c>
      <c r="O33" s="250">
        <f>INDEX('CFL &amp; Incand Cost Development'!BX$8:BX$290,$B33)</f>
        <v>0.5154000000000003</v>
      </c>
      <c r="P33" s="250">
        <f>INDEX('CFL &amp; Incand Cost Development'!BY$8:BY$290,$B33)</f>
        <v>0.5154000000000003</v>
      </c>
      <c r="Q33" s="103"/>
      <c r="R33" s="103"/>
      <c r="S33" s="103" t="str">
        <f t="shared" si="0"/>
        <v>Std_CFLscw(3w)_60pInc-r0248</v>
      </c>
      <c r="T33" s="111">
        <f t="shared" si="1"/>
        <v>1.4735968059429818</v>
      </c>
      <c r="U33" s="111">
        <f t="shared" si="2"/>
        <v>3.689396805942982</v>
      </c>
      <c r="V33" s="111">
        <f t="shared" si="3"/>
        <v>1.953356805942982</v>
      </c>
      <c r="W33" s="111">
        <f t="shared" si="4"/>
        <v>1.257356805942982</v>
      </c>
      <c r="X33" s="111">
        <f t="shared" si="5"/>
        <v>0.8058368059429819</v>
      </c>
      <c r="Y33" s="103"/>
      <c r="Z33" s="103"/>
      <c r="AA33" s="103" t="str">
        <f t="shared" si="6"/>
        <v>CFLratio0248</v>
      </c>
      <c r="AB33" s="103" t="str">
        <f t="shared" si="11"/>
        <v>CFLscw(3w)CFLratio0248</v>
      </c>
      <c r="AC33" s="103"/>
      <c r="AD33" s="108">
        <f t="shared" si="12"/>
        <v>0.85679520891447281</v>
      </c>
      <c r="AE33" s="108">
        <f t="shared" si="7"/>
        <v>0.48599520891447234</v>
      </c>
      <c r="AF33" s="108">
        <f t="shared" si="8"/>
        <v>0.41693520891447244</v>
      </c>
      <c r="AG33" s="108">
        <f t="shared" si="9"/>
        <v>1.1129352089144724</v>
      </c>
      <c r="AH33" s="108">
        <f t="shared" si="10"/>
        <v>0.43565520891447251</v>
      </c>
    </row>
    <row r="34" spans="2:34">
      <c r="B34" s="179">
        <f>IFERROR(MATCH(C34,'CFL &amp; Incand Cost Development'!$A$8:$A$290,0),0)</f>
        <v>257</v>
      </c>
      <c r="C34" s="111" t="s">
        <v>740</v>
      </c>
      <c r="D34" s="111">
        <f>INDEX('CFL &amp; Incand Cost Development'!AM$8:AM$290,$B34)</f>
        <v>6.1933920148574542</v>
      </c>
      <c r="E34" s="111">
        <f>INDEX('CFL &amp; Incand Cost Development'!AN$8:AN$290,$B34)</f>
        <v>8.0383920148574539</v>
      </c>
      <c r="F34" s="111">
        <f>INDEX('CFL &amp; Incand Cost Development'!AO$8:AO$290,$B34)</f>
        <v>6.2332920148574544</v>
      </c>
      <c r="G34" s="111">
        <f>INDEX('CFL &amp; Incand Cost Development'!AP$8:AP$290,$B34)</f>
        <v>6.2332920148574544</v>
      </c>
      <c r="H34" s="111">
        <f>INDEX('CFL &amp; Incand Cost Development'!AQ$8:AQ$290,$B34)</f>
        <v>5.1044920148574544</v>
      </c>
      <c r="I34" s="103"/>
      <c r="J34" s="183" t="str">
        <f>INDEX('CFL &amp; Incand Cost Development'!BS$8:BS$290,$B34)</f>
        <v>WRR0347_CFLscw(40w)</v>
      </c>
      <c r="K34" s="250">
        <f>INDEX('CFL &amp; Incand Cost Development'!BT$8:BT$290,$B34)</f>
        <v>139</v>
      </c>
      <c r="L34" s="250">
        <f>INDEX('CFL &amp; Incand Cost Development'!BU$8:BU$290,$B34)</f>
        <v>1.3419999999999996</v>
      </c>
      <c r="M34" s="250">
        <f>INDEX('CFL &amp; Incand Cost Development'!BV$8:BV$290,$B34)</f>
        <v>3.8049999999999997</v>
      </c>
      <c r="N34" s="250">
        <f>INDEX('CFL &amp; Incand Cost Development'!BW$8:BW$290,$B34)</f>
        <v>2.1149999999999998</v>
      </c>
      <c r="O34" s="250">
        <f>INDEX('CFL &amp; Incand Cost Development'!BX$8:BX$290,$B34)</f>
        <v>0.95499999999999985</v>
      </c>
      <c r="P34" s="250">
        <f>INDEX('CFL &amp; Incand Cost Development'!BY$8:BY$290,$B34)</f>
        <v>0.95499999999999985</v>
      </c>
      <c r="Q34" s="103"/>
      <c r="R34" s="103"/>
      <c r="S34" s="103" t="str">
        <f t="shared" si="0"/>
        <v>Std_CFLscw(40w)_60pInc-r0248</v>
      </c>
      <c r="T34" s="111">
        <f t="shared" si="1"/>
        <v>3.2825568059429817</v>
      </c>
      <c r="U34" s="111">
        <f t="shared" si="2"/>
        <v>5.498356805942981</v>
      </c>
      <c r="V34" s="111">
        <f t="shared" si="3"/>
        <v>3.7623168059429819</v>
      </c>
      <c r="W34" s="111">
        <f t="shared" si="4"/>
        <v>3.0663168059429817</v>
      </c>
      <c r="X34" s="111">
        <f t="shared" si="5"/>
        <v>2.6147968059429818</v>
      </c>
      <c r="Y34" s="103"/>
      <c r="Z34" s="103"/>
      <c r="AA34" s="103" t="str">
        <f t="shared" si="6"/>
        <v>CFLratio0248</v>
      </c>
      <c r="AB34" s="103" t="str">
        <f t="shared" si="11"/>
        <v>CFLscw(40w)CFLratio0248</v>
      </c>
      <c r="AC34" s="103"/>
      <c r="AD34" s="108">
        <f t="shared" si="12"/>
        <v>2.9108352089144724</v>
      </c>
      <c r="AE34" s="108">
        <f t="shared" si="7"/>
        <v>2.5400352089144729</v>
      </c>
      <c r="AF34" s="108">
        <f t="shared" si="8"/>
        <v>2.4709752089144725</v>
      </c>
      <c r="AG34" s="108">
        <f t="shared" si="9"/>
        <v>3.1669752089144727</v>
      </c>
      <c r="AH34" s="108">
        <f t="shared" si="10"/>
        <v>2.4896952089144726</v>
      </c>
    </row>
    <row r="35" spans="2:34">
      <c r="B35" s="179">
        <f>IFERROR(MATCH(C35,'CFL &amp; Incand Cost Development'!$A$8:$A$290,0),0)</f>
        <v>258</v>
      </c>
      <c r="C35" s="111" t="s">
        <v>742</v>
      </c>
      <c r="D35" s="111">
        <f>INDEX('CFL &amp; Incand Cost Development'!AM$8:AM$290,$B35)</f>
        <v>6.5133920148574553</v>
      </c>
      <c r="E35" s="111">
        <f>INDEX('CFL &amp; Incand Cost Development'!AN$8:AN$290,$B35)</f>
        <v>8.3583920148574542</v>
      </c>
      <c r="F35" s="111">
        <f>INDEX('CFL &amp; Incand Cost Development'!AO$8:AO$290,$B35)</f>
        <v>6.5532920148574547</v>
      </c>
      <c r="G35" s="111">
        <f>INDEX('CFL &amp; Incand Cost Development'!AP$8:AP$290,$B35)</f>
        <v>6.5532920148574547</v>
      </c>
      <c r="H35" s="111">
        <f>INDEX('CFL &amp; Incand Cost Development'!AQ$8:AQ$290,$B35)</f>
        <v>5.4244920148574547</v>
      </c>
      <c r="I35" s="103"/>
      <c r="J35" s="183" t="str">
        <f>INDEX('CFL &amp; Incand Cost Development'!BS$8:BS$290,$B35)</f>
        <v>WRR0347_CFLscw(42w)</v>
      </c>
      <c r="K35" s="250">
        <f>INDEX('CFL &amp; Incand Cost Development'!BT$8:BT$290,$B35)</f>
        <v>146</v>
      </c>
      <c r="L35" s="250">
        <f>INDEX('CFL &amp; Incand Cost Development'!BU$8:BU$290,$B35)</f>
        <v>1.3447999999999998</v>
      </c>
      <c r="M35" s="250">
        <f>INDEX('CFL &amp; Incand Cost Development'!BV$8:BV$290,$B35)</f>
        <v>3.8077999999999999</v>
      </c>
      <c r="N35" s="250">
        <f>INDEX('CFL &amp; Incand Cost Development'!BW$8:BW$290,$B35)</f>
        <v>2.1177999999999999</v>
      </c>
      <c r="O35" s="250">
        <f>INDEX('CFL &amp; Incand Cost Development'!BX$8:BX$290,$B35)</f>
        <v>0.95779999999999998</v>
      </c>
      <c r="P35" s="250">
        <f>INDEX('CFL &amp; Incand Cost Development'!BY$8:BY$290,$B35)</f>
        <v>0.95779999999999998</v>
      </c>
      <c r="Q35" s="103"/>
      <c r="R35" s="103"/>
      <c r="S35" s="103" t="str">
        <f t="shared" si="0"/>
        <v>Std_CFLscw(42w)_60pInc-r0248</v>
      </c>
      <c r="T35" s="111">
        <f t="shared" si="1"/>
        <v>3.4122368059429817</v>
      </c>
      <c r="U35" s="111">
        <f t="shared" si="2"/>
        <v>5.6280368059429815</v>
      </c>
      <c r="V35" s="111">
        <f t="shared" si="3"/>
        <v>3.8919968059429815</v>
      </c>
      <c r="W35" s="111">
        <f t="shared" si="4"/>
        <v>3.1959968059429817</v>
      </c>
      <c r="X35" s="111">
        <f t="shared" si="5"/>
        <v>2.7444768059429818</v>
      </c>
      <c r="Y35" s="103"/>
      <c r="Z35" s="103"/>
      <c r="AA35" s="103" t="str">
        <f t="shared" si="6"/>
        <v>CFLratio0248</v>
      </c>
      <c r="AB35" s="103" t="str">
        <f t="shared" si="11"/>
        <v>CFLscw(42w)CFLratio0248</v>
      </c>
      <c r="AC35" s="103"/>
      <c r="AD35" s="108">
        <f t="shared" si="12"/>
        <v>3.1011552089144736</v>
      </c>
      <c r="AE35" s="108">
        <f t="shared" si="7"/>
        <v>2.7303552089144727</v>
      </c>
      <c r="AF35" s="108">
        <f t="shared" si="8"/>
        <v>2.6612952089144732</v>
      </c>
      <c r="AG35" s="108">
        <f t="shared" si="9"/>
        <v>3.357295208914473</v>
      </c>
      <c r="AH35" s="108">
        <f t="shared" si="10"/>
        <v>2.6800152089144729</v>
      </c>
    </row>
    <row r="36" spans="2:34">
      <c r="B36" s="179">
        <f>IFERROR(MATCH(C36,'CFL &amp; Incand Cost Development'!$A$8:$A$290,0),0)</f>
        <v>259</v>
      </c>
      <c r="C36" s="111" t="s">
        <v>745</v>
      </c>
      <c r="D36" s="111">
        <f>INDEX('CFL &amp; Incand Cost Development'!AM$8:AM$290,$B36)</f>
        <v>6.8333920148574538</v>
      </c>
      <c r="E36" s="111">
        <f>INDEX('CFL &amp; Incand Cost Development'!AN$8:AN$290,$B36)</f>
        <v>8.6783920148574545</v>
      </c>
      <c r="F36" s="111">
        <f>INDEX('CFL &amp; Incand Cost Development'!AO$8:AO$290,$B36)</f>
        <v>6.8732920148574541</v>
      </c>
      <c r="G36" s="111">
        <f>INDEX('CFL &amp; Incand Cost Development'!AP$8:AP$290,$B36)</f>
        <v>6.8732920148574541</v>
      </c>
      <c r="H36" s="111">
        <f>INDEX('CFL &amp; Incand Cost Development'!AQ$8:AQ$290,$B36)</f>
        <v>5.7444920148574541</v>
      </c>
      <c r="I36" s="103"/>
      <c r="J36" s="183" t="str">
        <f>INDEX('CFL &amp; Incand Cost Development'!BS$8:BS$290,$B36)</f>
        <v>WRR0347_CFLscw(44w)</v>
      </c>
      <c r="K36" s="250">
        <f>INDEX('CFL &amp; Incand Cost Development'!BT$8:BT$290,$B36)</f>
        <v>153</v>
      </c>
      <c r="L36" s="250" t="str">
        <f>INDEX('CFL &amp; Incand Cost Development'!BU$8:BU$290,$B36)</f>
        <v>OOS</v>
      </c>
      <c r="M36" s="250" t="str">
        <f>INDEX('CFL &amp; Incand Cost Development'!BV$8:BV$290,$B36)</f>
        <v>OOS</v>
      </c>
      <c r="N36" s="250" t="str">
        <f>INDEX('CFL &amp; Incand Cost Development'!BW$8:BW$290,$B36)</f>
        <v>OOS</v>
      </c>
      <c r="O36" s="250" t="str">
        <f>INDEX('CFL &amp; Incand Cost Development'!BX$8:BX$290,$B36)</f>
        <v>OOS</v>
      </c>
      <c r="P36" s="250" t="str">
        <f>INDEX('CFL &amp; Incand Cost Development'!BY$8:BY$290,$B36)</f>
        <v>OOS</v>
      </c>
      <c r="Q36" s="103"/>
      <c r="R36" s="103"/>
      <c r="S36" s="103" t="str">
        <f t="shared" si="0"/>
        <v/>
      </c>
      <c r="T36" s="111" t="str">
        <f t="shared" si="1"/>
        <v/>
      </c>
      <c r="U36" s="111" t="str">
        <f t="shared" si="2"/>
        <v/>
      </c>
      <c r="V36" s="111" t="str">
        <f t="shared" si="3"/>
        <v/>
      </c>
      <c r="W36" s="111" t="str">
        <f t="shared" si="4"/>
        <v/>
      </c>
      <c r="X36" s="111" t="str">
        <f t="shared" si="5"/>
        <v/>
      </c>
      <c r="Y36" s="103"/>
      <c r="Z36" s="103"/>
      <c r="AA36" s="103" t="str">
        <f t="shared" si="6"/>
        <v>CFLratio0248</v>
      </c>
      <c r="AB36" s="103" t="str">
        <f t="shared" si="11"/>
        <v>CFLscw(44w)CFLratio0248</v>
      </c>
      <c r="AC36" s="103"/>
      <c r="AD36" s="108" t="str">
        <f t="shared" si="12"/>
        <v/>
      </c>
      <c r="AE36" s="108" t="str">
        <f t="shared" si="7"/>
        <v/>
      </c>
      <c r="AF36" s="108" t="str">
        <f t="shared" si="8"/>
        <v/>
      </c>
      <c r="AG36" s="108" t="str">
        <f t="shared" si="9"/>
        <v/>
      </c>
      <c r="AH36" s="108" t="str">
        <f t="shared" si="10"/>
        <v/>
      </c>
    </row>
    <row r="37" spans="2:34">
      <c r="B37" s="179">
        <f>IFERROR(MATCH(C37,'CFL &amp; Incand Cost Development'!$A$8:$A$290,0),0)</f>
        <v>260</v>
      </c>
      <c r="C37" s="111" t="s">
        <v>747</v>
      </c>
      <c r="D37" s="111">
        <f>INDEX('CFL &amp; Incand Cost Development'!AM$8:AM$290,$B37)</f>
        <v>6.9933920148574549</v>
      </c>
      <c r="E37" s="111">
        <f>INDEX('CFL &amp; Incand Cost Development'!AN$8:AN$290,$B37)</f>
        <v>8.8383920148574546</v>
      </c>
      <c r="F37" s="111">
        <f>INDEX('CFL &amp; Incand Cost Development'!AO$8:AO$290,$B37)</f>
        <v>7.0332920148574551</v>
      </c>
      <c r="G37" s="111">
        <f>INDEX('CFL &amp; Incand Cost Development'!AP$8:AP$290,$B37)</f>
        <v>7.0332920148574551</v>
      </c>
      <c r="H37" s="111">
        <f>INDEX('CFL &amp; Incand Cost Development'!AQ$8:AQ$290,$B37)</f>
        <v>5.9044920148574551</v>
      </c>
      <c r="I37" s="103"/>
      <c r="J37" s="183" t="str">
        <f>INDEX('CFL &amp; Incand Cost Development'!BS$8:BS$290,$B37)</f>
        <v>WRR0347_CFLscw(45w)</v>
      </c>
      <c r="K37" s="250">
        <f>INDEX('CFL &amp; Incand Cost Development'!BT$8:BT$290,$B37)</f>
        <v>156</v>
      </c>
      <c r="L37" s="250" t="str">
        <f>INDEX('CFL &amp; Incand Cost Development'!BU$8:BU$290,$B37)</f>
        <v>OOS</v>
      </c>
      <c r="M37" s="250" t="str">
        <f>INDEX('CFL &amp; Incand Cost Development'!BV$8:BV$290,$B37)</f>
        <v>OOS</v>
      </c>
      <c r="N37" s="250" t="str">
        <f>INDEX('CFL &amp; Incand Cost Development'!BW$8:BW$290,$B37)</f>
        <v>OOS</v>
      </c>
      <c r="O37" s="250" t="str">
        <f>INDEX('CFL &amp; Incand Cost Development'!BX$8:BX$290,$B37)</f>
        <v>OOS</v>
      </c>
      <c r="P37" s="250" t="str">
        <f>INDEX('CFL &amp; Incand Cost Development'!BY$8:BY$290,$B37)</f>
        <v>OOS</v>
      </c>
      <c r="Q37" s="103"/>
      <c r="R37" s="103"/>
      <c r="S37" s="103" t="str">
        <f t="shared" ref="S37:S68" si="13">IF(L37&lt;&gt;"OOS","Std_"&amp;MID(J37,9,99)&amp;"_60pInc-"&amp;VLOOKUP(LEFT(J37,7),$AK$4:$AL$6,2,FALSE),"")</f>
        <v/>
      </c>
      <c r="T37" s="111" t="str">
        <f t="shared" ref="T37:T68" si="14">IFERROR(0.6*L37+0.4*D37,"")</f>
        <v/>
      </c>
      <c r="U37" s="111" t="str">
        <f t="shared" ref="U37:U68" si="15">IFERROR(0.6*M37+0.4*E37,"")</f>
        <v/>
      </c>
      <c r="V37" s="111" t="str">
        <f t="shared" ref="V37:V68" si="16">IFERROR(0.6*N37+0.4*F37,"")</f>
        <v/>
      </c>
      <c r="W37" s="111" t="str">
        <f t="shared" ref="W37:W68" si="17">IFERROR(0.6*O37+0.4*G37,"")</f>
        <v/>
      </c>
      <c r="X37" s="111" t="str">
        <f t="shared" ref="X37:X68" si="18">IFERROR(0.6*P37+0.4*H37,"")</f>
        <v/>
      </c>
      <c r="Y37" s="103"/>
      <c r="Z37" s="103"/>
      <c r="AA37" s="103" t="str">
        <f t="shared" ref="AA37:AA68" si="19">VLOOKUP(LEFT(J37,7),$AK$4:$AM$6,3,FALSE)</f>
        <v>CFLratio0248</v>
      </c>
      <c r="AB37" s="103" t="str">
        <f t="shared" si="11"/>
        <v>CFLscw(45w)CFLratio0248</v>
      </c>
      <c r="AC37" s="103"/>
      <c r="AD37" s="108" t="str">
        <f t="shared" si="12"/>
        <v/>
      </c>
      <c r="AE37" s="108" t="str">
        <f t="shared" si="7"/>
        <v/>
      </c>
      <c r="AF37" s="108" t="str">
        <f t="shared" si="8"/>
        <v/>
      </c>
      <c r="AG37" s="108" t="str">
        <f t="shared" si="9"/>
        <v/>
      </c>
      <c r="AH37" s="108" t="str">
        <f t="shared" si="10"/>
        <v/>
      </c>
    </row>
    <row r="38" spans="2:34">
      <c r="B38" s="179">
        <f>IFERROR(MATCH(C38,'CFL &amp; Incand Cost Development'!$A$8:$A$290,0),0)</f>
        <v>261</v>
      </c>
      <c r="C38" s="111" t="s">
        <v>749</v>
      </c>
      <c r="D38" s="111">
        <f>INDEX('CFL &amp; Incand Cost Development'!AM$8:AM$290,$B38)</f>
        <v>7.4733920148574544</v>
      </c>
      <c r="E38" s="111">
        <f>INDEX('CFL &amp; Incand Cost Development'!AN$8:AN$290,$B38)</f>
        <v>9.3183920148574551</v>
      </c>
      <c r="F38" s="111">
        <f>INDEX('CFL &amp; Incand Cost Development'!AO$8:AO$290,$B38)</f>
        <v>7.5132920148574538</v>
      </c>
      <c r="G38" s="111">
        <f>INDEX('CFL &amp; Incand Cost Development'!AP$8:AP$290,$B38)</f>
        <v>7.5132920148574538</v>
      </c>
      <c r="H38" s="111">
        <f>INDEX('CFL &amp; Incand Cost Development'!AQ$8:AQ$290,$B38)</f>
        <v>6.3844920148574538</v>
      </c>
      <c r="I38" s="103"/>
      <c r="J38" s="183" t="str">
        <f>INDEX('CFL &amp; Incand Cost Development'!BS$8:BS$290,$B38)</f>
        <v>WRR0347_CFLscw(48w)</v>
      </c>
      <c r="K38" s="250">
        <f>INDEX('CFL &amp; Incand Cost Development'!BT$8:BT$290,$B38)</f>
        <v>167</v>
      </c>
      <c r="L38" s="250" t="str">
        <f>INDEX('CFL &amp; Incand Cost Development'!BU$8:BU$290,$B38)</f>
        <v>OOS</v>
      </c>
      <c r="M38" s="250" t="str">
        <f>INDEX('CFL &amp; Incand Cost Development'!BV$8:BV$290,$B38)</f>
        <v>OOS</v>
      </c>
      <c r="N38" s="250" t="str">
        <f>INDEX('CFL &amp; Incand Cost Development'!BW$8:BW$290,$B38)</f>
        <v>OOS</v>
      </c>
      <c r="O38" s="250" t="str">
        <f>INDEX('CFL &amp; Incand Cost Development'!BX$8:BX$290,$B38)</f>
        <v>OOS</v>
      </c>
      <c r="P38" s="250" t="str">
        <f>INDEX('CFL &amp; Incand Cost Development'!BY$8:BY$290,$B38)</f>
        <v>OOS</v>
      </c>
      <c r="Q38" s="103"/>
      <c r="R38" s="103"/>
      <c r="S38" s="103" t="str">
        <f t="shared" si="13"/>
        <v/>
      </c>
      <c r="T38" s="111" t="str">
        <f t="shared" si="14"/>
        <v/>
      </c>
      <c r="U38" s="111" t="str">
        <f t="shared" si="15"/>
        <v/>
      </c>
      <c r="V38" s="111" t="str">
        <f t="shared" si="16"/>
        <v/>
      </c>
      <c r="W38" s="111" t="str">
        <f t="shared" si="17"/>
        <v/>
      </c>
      <c r="X38" s="111" t="str">
        <f t="shared" si="18"/>
        <v/>
      </c>
      <c r="Y38" s="103"/>
      <c r="Z38" s="103"/>
      <c r="AA38" s="103" t="str">
        <f t="shared" si="19"/>
        <v>CFLratio0248</v>
      </c>
      <c r="AB38" s="103" t="str">
        <f t="shared" si="11"/>
        <v>CFLscw(48w)CFLratio0248</v>
      </c>
      <c r="AC38" s="103"/>
      <c r="AD38" s="108" t="str">
        <f t="shared" si="12"/>
        <v/>
      </c>
      <c r="AE38" s="108" t="str">
        <f t="shared" si="7"/>
        <v/>
      </c>
      <c r="AF38" s="108" t="str">
        <f t="shared" si="8"/>
        <v/>
      </c>
      <c r="AG38" s="108" t="str">
        <f t="shared" si="9"/>
        <v/>
      </c>
      <c r="AH38" s="108" t="str">
        <f t="shared" si="10"/>
        <v/>
      </c>
    </row>
    <row r="39" spans="2:34">
      <c r="B39" s="179">
        <f>IFERROR(MATCH(C39,'CFL &amp; Incand Cost Development'!$A$8:$A$290,0),0)</f>
        <v>262</v>
      </c>
      <c r="C39" s="111" t="s">
        <v>751</v>
      </c>
      <c r="D39" s="111">
        <f>INDEX('CFL &amp; Incand Cost Development'!AM$8:AM$290,$B39)</f>
        <v>2.3968920148574542</v>
      </c>
      <c r="E39" s="111">
        <f>INDEX('CFL &amp; Incand Cost Development'!AN$8:AN$290,$B39)</f>
        <v>4.2418920148574539</v>
      </c>
      <c r="F39" s="111">
        <f>INDEX('CFL &amp; Incand Cost Development'!AO$8:AO$290,$B39)</f>
        <v>2.436792014857454</v>
      </c>
      <c r="G39" s="111">
        <f>INDEX('CFL &amp; Incand Cost Development'!AP$8:AP$290,$B39)</f>
        <v>2.436792014857454</v>
      </c>
      <c r="H39" s="111">
        <f>INDEX('CFL &amp; Incand Cost Development'!AQ$8:AQ$290,$B39)</f>
        <v>1.307992014857454</v>
      </c>
      <c r="I39" s="103"/>
      <c r="J39" s="183" t="str">
        <f>INDEX('CFL &amp; Incand Cost Development'!BS$8:BS$290,$B39)</f>
        <v>WRR0347_CFLscw(4w)</v>
      </c>
      <c r="K39" s="250">
        <f>INDEX('CFL &amp; Incand Cost Development'!BT$8:BT$290,$B39)</f>
        <v>14</v>
      </c>
      <c r="L39" s="250">
        <f>INDEX('CFL &amp; Incand Cost Development'!BU$8:BU$290,$B39)</f>
        <v>0.90240000000000009</v>
      </c>
      <c r="M39" s="250">
        <f>INDEX('CFL &amp; Incand Cost Development'!BV$8:BV$290,$B39)</f>
        <v>3.3654000000000002</v>
      </c>
      <c r="N39" s="250">
        <f>INDEX('CFL &amp; Incand Cost Development'!BW$8:BW$290,$B39)</f>
        <v>1.6754000000000002</v>
      </c>
      <c r="O39" s="250">
        <f>INDEX('CFL &amp; Incand Cost Development'!BX$8:BX$290,$B39)</f>
        <v>0.5154000000000003</v>
      </c>
      <c r="P39" s="250">
        <f>INDEX('CFL &amp; Incand Cost Development'!BY$8:BY$290,$B39)</f>
        <v>0.5154000000000003</v>
      </c>
      <c r="Q39" s="103"/>
      <c r="R39" s="103"/>
      <c r="S39" s="103" t="str">
        <f t="shared" si="13"/>
        <v>Std_CFLscw(4w)_60pInc-r0248</v>
      </c>
      <c r="T39" s="111">
        <f t="shared" si="14"/>
        <v>1.5001968059429818</v>
      </c>
      <c r="U39" s="111">
        <f t="shared" si="15"/>
        <v>3.7159968059429813</v>
      </c>
      <c r="V39" s="111">
        <f t="shared" si="16"/>
        <v>1.9799568059429817</v>
      </c>
      <c r="W39" s="111">
        <f t="shared" si="17"/>
        <v>1.2839568059429818</v>
      </c>
      <c r="X39" s="111">
        <f t="shared" si="18"/>
        <v>0.83243680594298175</v>
      </c>
      <c r="Y39" s="103"/>
      <c r="Z39" s="103"/>
      <c r="AA39" s="103" t="str">
        <f t="shared" si="19"/>
        <v>CFLratio0248</v>
      </c>
      <c r="AB39" s="103" t="str">
        <f t="shared" si="11"/>
        <v>CFLscw(4w)CFLratio0248</v>
      </c>
      <c r="AC39" s="103"/>
      <c r="AD39" s="108">
        <f t="shared" si="12"/>
        <v>0.89669520891447241</v>
      </c>
      <c r="AE39" s="108">
        <f t="shared" si="7"/>
        <v>0.52589520891447261</v>
      </c>
      <c r="AF39" s="108">
        <f t="shared" si="8"/>
        <v>0.45683520891447227</v>
      </c>
      <c r="AG39" s="108">
        <f t="shared" si="9"/>
        <v>1.1528352089144722</v>
      </c>
      <c r="AH39" s="108">
        <f t="shared" si="10"/>
        <v>0.47555520891447223</v>
      </c>
    </row>
    <row r="40" spans="2:34">
      <c r="B40" s="179">
        <f>IFERROR(MATCH(C40,'CFL &amp; Incand Cost Development'!$A$8:$A$290,0),0)</f>
        <v>263</v>
      </c>
      <c r="C40" s="111" t="s">
        <v>754</v>
      </c>
      <c r="D40" s="111">
        <f>INDEX('CFL &amp; Incand Cost Development'!AM$8:AM$290,$B40)</f>
        <v>7.7933920148574547</v>
      </c>
      <c r="E40" s="111">
        <f>INDEX('CFL &amp; Incand Cost Development'!AN$8:AN$290,$B40)</f>
        <v>9.6383920148574553</v>
      </c>
      <c r="F40" s="111">
        <f>INDEX('CFL &amp; Incand Cost Development'!AO$8:AO$290,$B40)</f>
        <v>7.833292014857455</v>
      </c>
      <c r="G40" s="111">
        <f>INDEX('CFL &amp; Incand Cost Development'!AP$8:AP$290,$B40)</f>
        <v>7.833292014857455</v>
      </c>
      <c r="H40" s="111">
        <f>INDEX('CFL &amp; Incand Cost Development'!AQ$8:AQ$290,$B40)</f>
        <v>6.7044920148574549</v>
      </c>
      <c r="I40" s="103"/>
      <c r="J40" s="183" t="str">
        <f>INDEX('CFL &amp; Incand Cost Development'!BS$8:BS$290,$B40)</f>
        <v>WRR0347_CFLscw(50w)</v>
      </c>
      <c r="K40" s="250">
        <f>INDEX('CFL &amp; Incand Cost Development'!BT$8:BT$290,$B40)</f>
        <v>174</v>
      </c>
      <c r="L40" s="250" t="str">
        <f>INDEX('CFL &amp; Incand Cost Development'!BU$8:BU$290,$B40)</f>
        <v>OOS</v>
      </c>
      <c r="M40" s="250" t="str">
        <f>INDEX('CFL &amp; Incand Cost Development'!BV$8:BV$290,$B40)</f>
        <v>OOS</v>
      </c>
      <c r="N40" s="250" t="str">
        <f>INDEX('CFL &amp; Incand Cost Development'!BW$8:BW$290,$B40)</f>
        <v>OOS</v>
      </c>
      <c r="O40" s="250" t="str">
        <f>INDEX('CFL &amp; Incand Cost Development'!BX$8:BX$290,$B40)</f>
        <v>OOS</v>
      </c>
      <c r="P40" s="250" t="str">
        <f>INDEX('CFL &amp; Incand Cost Development'!BY$8:BY$290,$B40)</f>
        <v>OOS</v>
      </c>
      <c r="Q40" s="103"/>
      <c r="R40" s="103"/>
      <c r="S40" s="103" t="str">
        <f t="shared" si="13"/>
        <v/>
      </c>
      <c r="T40" s="111" t="str">
        <f t="shared" si="14"/>
        <v/>
      </c>
      <c r="U40" s="111" t="str">
        <f t="shared" si="15"/>
        <v/>
      </c>
      <c r="V40" s="111" t="str">
        <f t="shared" si="16"/>
        <v/>
      </c>
      <c r="W40" s="111" t="str">
        <f t="shared" si="17"/>
        <v/>
      </c>
      <c r="X40" s="111" t="str">
        <f t="shared" si="18"/>
        <v/>
      </c>
      <c r="Y40" s="103"/>
      <c r="Z40" s="103"/>
      <c r="AA40" s="103" t="str">
        <f t="shared" si="19"/>
        <v>CFLratio0248</v>
      </c>
      <c r="AB40" s="103" t="str">
        <f t="shared" si="11"/>
        <v>CFLscw(50w)CFLratio0248</v>
      </c>
      <c r="AC40" s="103"/>
      <c r="AD40" s="108" t="str">
        <f t="shared" si="12"/>
        <v/>
      </c>
      <c r="AE40" s="108" t="str">
        <f t="shared" si="7"/>
        <v/>
      </c>
      <c r="AF40" s="108" t="str">
        <f t="shared" si="8"/>
        <v/>
      </c>
      <c r="AG40" s="108" t="str">
        <f t="shared" si="9"/>
        <v/>
      </c>
      <c r="AH40" s="108" t="str">
        <f t="shared" si="10"/>
        <v/>
      </c>
    </row>
    <row r="41" spans="2:34">
      <c r="B41" s="179">
        <f>IFERROR(MATCH(C41,'CFL &amp; Incand Cost Development'!$A$8:$A$290,0),0)</f>
        <v>264</v>
      </c>
      <c r="C41" s="111" t="s">
        <v>756</v>
      </c>
      <c r="D41" s="111">
        <f>INDEX('CFL &amp; Incand Cost Development'!AM$8:AM$290,$B41)</f>
        <v>8.113392014857455</v>
      </c>
      <c r="E41" s="111">
        <f>INDEX('CFL &amp; Incand Cost Development'!AN$8:AN$290,$B41)</f>
        <v>9.9583920148574538</v>
      </c>
      <c r="F41" s="111">
        <f>INDEX('CFL &amp; Incand Cost Development'!AO$8:AO$290,$B41)</f>
        <v>8.1532920148574544</v>
      </c>
      <c r="G41" s="111">
        <f>INDEX('CFL &amp; Incand Cost Development'!AP$8:AP$290,$B41)</f>
        <v>8.1532920148574544</v>
      </c>
      <c r="H41" s="111">
        <f>INDEX('CFL &amp; Incand Cost Development'!AQ$8:AQ$290,$B41)</f>
        <v>7.0244920148574543</v>
      </c>
      <c r="I41" s="103"/>
      <c r="J41" s="183" t="str">
        <f>INDEX('CFL &amp; Incand Cost Development'!BS$8:BS$290,$B41)</f>
        <v>WRR0347_CFLscw(52w)</v>
      </c>
      <c r="K41" s="250">
        <f>INDEX('CFL &amp; Incand Cost Development'!BT$8:BT$290,$B41)</f>
        <v>180</v>
      </c>
      <c r="L41" s="250" t="str">
        <f>INDEX('CFL &amp; Incand Cost Development'!BU$8:BU$290,$B41)</f>
        <v>OOS</v>
      </c>
      <c r="M41" s="250" t="str">
        <f>INDEX('CFL &amp; Incand Cost Development'!BV$8:BV$290,$B41)</f>
        <v>OOS</v>
      </c>
      <c r="N41" s="250" t="str">
        <f>INDEX('CFL &amp; Incand Cost Development'!BW$8:BW$290,$B41)</f>
        <v>OOS</v>
      </c>
      <c r="O41" s="250" t="str">
        <f>INDEX('CFL &amp; Incand Cost Development'!BX$8:BX$290,$B41)</f>
        <v>OOS</v>
      </c>
      <c r="P41" s="250" t="str">
        <f>INDEX('CFL &amp; Incand Cost Development'!BY$8:BY$290,$B41)</f>
        <v>OOS</v>
      </c>
      <c r="Q41" s="103"/>
      <c r="R41" s="103"/>
      <c r="S41" s="103" t="str">
        <f t="shared" si="13"/>
        <v/>
      </c>
      <c r="T41" s="111" t="str">
        <f t="shared" si="14"/>
        <v/>
      </c>
      <c r="U41" s="111" t="str">
        <f t="shared" si="15"/>
        <v/>
      </c>
      <c r="V41" s="111" t="str">
        <f t="shared" si="16"/>
        <v/>
      </c>
      <c r="W41" s="111" t="str">
        <f t="shared" si="17"/>
        <v/>
      </c>
      <c r="X41" s="111" t="str">
        <f t="shared" si="18"/>
        <v/>
      </c>
      <c r="Y41" s="103"/>
      <c r="Z41" s="103"/>
      <c r="AA41" s="103" t="str">
        <f t="shared" si="19"/>
        <v>CFLratio0248</v>
      </c>
      <c r="AB41" s="103" t="str">
        <f t="shared" si="11"/>
        <v>CFLscw(52w)CFLratio0248</v>
      </c>
      <c r="AC41" s="103"/>
      <c r="AD41" s="108" t="str">
        <f t="shared" si="12"/>
        <v/>
      </c>
      <c r="AE41" s="108" t="str">
        <f t="shared" si="7"/>
        <v/>
      </c>
      <c r="AF41" s="108" t="str">
        <f t="shared" si="8"/>
        <v/>
      </c>
      <c r="AG41" s="108" t="str">
        <f t="shared" si="9"/>
        <v/>
      </c>
      <c r="AH41" s="108" t="str">
        <f t="shared" si="10"/>
        <v/>
      </c>
    </row>
    <row r="42" spans="2:34">
      <c r="B42" s="179">
        <f>IFERROR(MATCH(C42,'CFL &amp; Incand Cost Development'!$A$8:$A$290,0),0)</f>
        <v>265</v>
      </c>
      <c r="C42" s="111" t="s">
        <v>758</v>
      </c>
      <c r="D42" s="111">
        <f>INDEX('CFL &amp; Incand Cost Development'!AM$8:AM$290,$B42)</f>
        <v>8.5933920148574554</v>
      </c>
      <c r="E42" s="111">
        <f>INDEX('CFL &amp; Incand Cost Development'!AN$8:AN$290,$B42)</f>
        <v>10.438392014857454</v>
      </c>
      <c r="F42" s="111">
        <f>INDEX('CFL &amp; Incand Cost Development'!AO$8:AO$290,$B42)</f>
        <v>8.6332920148574548</v>
      </c>
      <c r="G42" s="111">
        <f>INDEX('CFL &amp; Incand Cost Development'!AP$8:AP$290,$B42)</f>
        <v>8.6332920148574548</v>
      </c>
      <c r="H42" s="111">
        <f>INDEX('CFL &amp; Incand Cost Development'!AQ$8:AQ$290,$B42)</f>
        <v>7.5044920148574548</v>
      </c>
      <c r="I42" s="103"/>
      <c r="J42" s="183" t="str">
        <f>INDEX('CFL &amp; Incand Cost Development'!BS$8:BS$290,$B42)</f>
        <v>WRR0347_CFLscw(55w)</v>
      </c>
      <c r="K42" s="250">
        <f>INDEX('CFL &amp; Incand Cost Development'!BT$8:BT$290,$B42)</f>
        <v>191</v>
      </c>
      <c r="L42" s="250" t="str">
        <f>INDEX('CFL &amp; Incand Cost Development'!BU$8:BU$290,$B42)</f>
        <v>OOS</v>
      </c>
      <c r="M42" s="250" t="str">
        <f>INDEX('CFL &amp; Incand Cost Development'!BV$8:BV$290,$B42)</f>
        <v>OOS</v>
      </c>
      <c r="N42" s="250" t="str">
        <f>INDEX('CFL &amp; Incand Cost Development'!BW$8:BW$290,$B42)</f>
        <v>OOS</v>
      </c>
      <c r="O42" s="250" t="str">
        <f>INDEX('CFL &amp; Incand Cost Development'!BX$8:BX$290,$B42)</f>
        <v>OOS</v>
      </c>
      <c r="P42" s="250" t="str">
        <f>INDEX('CFL &amp; Incand Cost Development'!BY$8:BY$290,$B42)</f>
        <v>OOS</v>
      </c>
      <c r="Q42" s="103"/>
      <c r="R42" s="103"/>
      <c r="S42" s="103" t="str">
        <f t="shared" si="13"/>
        <v/>
      </c>
      <c r="T42" s="111" t="str">
        <f t="shared" si="14"/>
        <v/>
      </c>
      <c r="U42" s="111" t="str">
        <f t="shared" si="15"/>
        <v/>
      </c>
      <c r="V42" s="111" t="str">
        <f t="shared" si="16"/>
        <v/>
      </c>
      <c r="W42" s="111" t="str">
        <f t="shared" si="17"/>
        <v/>
      </c>
      <c r="X42" s="111" t="str">
        <f t="shared" si="18"/>
        <v/>
      </c>
      <c r="Y42" s="103"/>
      <c r="Z42" s="103"/>
      <c r="AA42" s="103" t="str">
        <f t="shared" si="19"/>
        <v>CFLratio0248</v>
      </c>
      <c r="AB42" s="103" t="str">
        <f t="shared" si="11"/>
        <v>CFLscw(55w)CFLratio0248</v>
      </c>
      <c r="AC42" s="103"/>
      <c r="AD42" s="108" t="str">
        <f t="shared" si="12"/>
        <v/>
      </c>
      <c r="AE42" s="108" t="str">
        <f t="shared" si="7"/>
        <v/>
      </c>
      <c r="AF42" s="108" t="str">
        <f t="shared" si="8"/>
        <v/>
      </c>
      <c r="AG42" s="108" t="str">
        <f t="shared" si="9"/>
        <v/>
      </c>
      <c r="AH42" s="108" t="str">
        <f t="shared" si="10"/>
        <v/>
      </c>
    </row>
    <row r="43" spans="2:34">
      <c r="B43" s="179">
        <f>IFERROR(MATCH(C43,'CFL &amp; Incand Cost Development'!$A$8:$A$290,0),0)</f>
        <v>266</v>
      </c>
      <c r="C43" s="111" t="s">
        <v>761</v>
      </c>
      <c r="D43" s="111">
        <f>INDEX('CFL &amp; Incand Cost Development'!AM$8:AM$290,$B43)</f>
        <v>2.4633920148574546</v>
      </c>
      <c r="E43" s="111">
        <f>INDEX('CFL &amp; Incand Cost Development'!AN$8:AN$290,$B43)</f>
        <v>4.3083920148574544</v>
      </c>
      <c r="F43" s="111">
        <f>INDEX('CFL &amp; Incand Cost Development'!AO$8:AO$290,$B43)</f>
        <v>2.5032920148574545</v>
      </c>
      <c r="G43" s="111">
        <f>INDEX('CFL &amp; Incand Cost Development'!AP$8:AP$290,$B43)</f>
        <v>2.5032920148574545</v>
      </c>
      <c r="H43" s="111">
        <f>INDEX('CFL &amp; Incand Cost Development'!AQ$8:AQ$290,$B43)</f>
        <v>1.3744920148574544</v>
      </c>
      <c r="I43" s="103"/>
      <c r="J43" s="183" t="str">
        <f>INDEX('CFL &amp; Incand Cost Development'!BS$8:BS$290,$B43)</f>
        <v>WRR0347_CFLscw(5w)</v>
      </c>
      <c r="K43" s="250">
        <f>INDEX('CFL &amp; Incand Cost Development'!BT$8:BT$290,$B43)</f>
        <v>17</v>
      </c>
      <c r="L43" s="250">
        <f>INDEX('CFL &amp; Incand Cost Development'!BU$8:BU$290,$B43)</f>
        <v>0.90240000000000009</v>
      </c>
      <c r="M43" s="250">
        <f>INDEX('CFL &amp; Incand Cost Development'!BV$8:BV$290,$B43)</f>
        <v>3.3654000000000002</v>
      </c>
      <c r="N43" s="250">
        <f>INDEX('CFL &amp; Incand Cost Development'!BW$8:BW$290,$B43)</f>
        <v>1.6754000000000002</v>
      </c>
      <c r="O43" s="250">
        <f>INDEX('CFL &amp; Incand Cost Development'!BX$8:BX$290,$B43)</f>
        <v>0.5154000000000003</v>
      </c>
      <c r="P43" s="250">
        <f>INDEX('CFL &amp; Incand Cost Development'!BY$8:BY$290,$B43)</f>
        <v>0.5154000000000003</v>
      </c>
      <c r="Q43" s="103"/>
      <c r="R43" s="103"/>
      <c r="S43" s="103" t="str">
        <f t="shared" si="13"/>
        <v>Std_CFLscw(5w)_60pInc-r0248</v>
      </c>
      <c r="T43" s="111">
        <f t="shared" si="14"/>
        <v>1.5267968059429819</v>
      </c>
      <c r="U43" s="111">
        <f t="shared" si="15"/>
        <v>3.7425968059429815</v>
      </c>
      <c r="V43" s="111">
        <f t="shared" si="16"/>
        <v>2.0065568059429819</v>
      </c>
      <c r="W43" s="111">
        <f t="shared" si="17"/>
        <v>1.310556805942982</v>
      </c>
      <c r="X43" s="111">
        <f t="shared" si="18"/>
        <v>0.85903680594298193</v>
      </c>
      <c r="Y43" s="103"/>
      <c r="Z43" s="103"/>
      <c r="AA43" s="103" t="str">
        <f t="shared" si="19"/>
        <v>CFLratio0248</v>
      </c>
      <c r="AB43" s="103" t="str">
        <f t="shared" si="11"/>
        <v>CFLscw(5w)CFLratio0248</v>
      </c>
      <c r="AC43" s="103"/>
      <c r="AD43" s="108">
        <f t="shared" si="12"/>
        <v>0.93659520891447268</v>
      </c>
      <c r="AE43" s="108">
        <f t="shared" si="7"/>
        <v>0.56579520891447288</v>
      </c>
      <c r="AF43" s="108">
        <f t="shared" si="8"/>
        <v>0.49673520891447254</v>
      </c>
      <c r="AG43" s="108">
        <f t="shared" si="9"/>
        <v>1.1927352089144725</v>
      </c>
      <c r="AH43" s="108">
        <f t="shared" si="10"/>
        <v>0.5154552089144725</v>
      </c>
    </row>
    <row r="44" spans="2:34">
      <c r="B44" s="179">
        <f>IFERROR(MATCH(C44,'CFL &amp; Incand Cost Development'!$A$8:$A$290,0),0)</f>
        <v>270</v>
      </c>
      <c r="C44" s="111" t="s">
        <v>771</v>
      </c>
      <c r="D44" s="111">
        <f>INDEX('CFL &amp; Incand Cost Development'!AM$8:AM$290,$B44)</f>
        <v>10.673392014857455</v>
      </c>
      <c r="E44" s="111">
        <f>INDEX('CFL &amp; Incand Cost Development'!AN$8:AN$290,$B44)</f>
        <v>12.518392014857454</v>
      </c>
      <c r="F44" s="111">
        <f>INDEX('CFL &amp; Incand Cost Development'!AO$8:AO$290,$B44)</f>
        <v>10.713292014857455</v>
      </c>
      <c r="G44" s="111">
        <f>INDEX('CFL &amp; Incand Cost Development'!AP$8:AP$290,$B44)</f>
        <v>10.713292014857455</v>
      </c>
      <c r="H44" s="111">
        <f>INDEX('CFL &amp; Incand Cost Development'!AQ$8:AQ$290,$B44)</f>
        <v>9.5844920148574548</v>
      </c>
      <c r="I44" s="103"/>
      <c r="J44" s="183" t="str">
        <f>INDEX('CFL &amp; Incand Cost Development'!BS$8:BS$290,$B44)</f>
        <v>WRR0347_CFLscw(68w)</v>
      </c>
      <c r="K44" s="250">
        <f>INDEX('CFL &amp; Incand Cost Development'!BT$8:BT$290,$B44)</f>
        <v>236</v>
      </c>
      <c r="L44" s="250" t="str">
        <f>INDEX('CFL &amp; Incand Cost Development'!BU$8:BU$290,$B44)</f>
        <v>OOS</v>
      </c>
      <c r="M44" s="250" t="str">
        <f>INDEX('CFL &amp; Incand Cost Development'!BV$8:BV$290,$B44)</f>
        <v>OOS</v>
      </c>
      <c r="N44" s="250" t="str">
        <f>INDEX('CFL &amp; Incand Cost Development'!BW$8:BW$290,$B44)</f>
        <v>OOS</v>
      </c>
      <c r="O44" s="250" t="str">
        <f>INDEX('CFL &amp; Incand Cost Development'!BX$8:BX$290,$B44)</f>
        <v>OOS</v>
      </c>
      <c r="P44" s="250" t="str">
        <f>INDEX('CFL &amp; Incand Cost Development'!BY$8:BY$290,$B44)</f>
        <v>OOS</v>
      </c>
      <c r="Q44" s="103"/>
      <c r="R44" s="103"/>
      <c r="S44" s="103" t="str">
        <f t="shared" si="13"/>
        <v/>
      </c>
      <c r="T44" s="111" t="str">
        <f t="shared" si="14"/>
        <v/>
      </c>
      <c r="U44" s="111" t="str">
        <f t="shared" si="15"/>
        <v/>
      </c>
      <c r="V44" s="111" t="str">
        <f t="shared" si="16"/>
        <v/>
      </c>
      <c r="W44" s="111" t="str">
        <f t="shared" si="17"/>
        <v/>
      </c>
      <c r="X44" s="111" t="str">
        <f t="shared" si="18"/>
        <v/>
      </c>
      <c r="Y44" s="103"/>
      <c r="Z44" s="103"/>
      <c r="AA44" s="103" t="str">
        <f t="shared" si="19"/>
        <v>CFLratio0248</v>
      </c>
      <c r="AB44" s="103" t="str">
        <f t="shared" si="11"/>
        <v>CFLscw(68w)CFLratio0248</v>
      </c>
      <c r="AC44" s="103"/>
      <c r="AD44" s="108" t="str">
        <f t="shared" si="12"/>
        <v/>
      </c>
      <c r="AE44" s="108" t="str">
        <f t="shared" si="7"/>
        <v/>
      </c>
      <c r="AF44" s="108" t="str">
        <f t="shared" si="8"/>
        <v/>
      </c>
      <c r="AG44" s="108" t="str">
        <f t="shared" si="9"/>
        <v/>
      </c>
      <c r="AH44" s="108" t="str">
        <f t="shared" si="10"/>
        <v/>
      </c>
    </row>
    <row r="45" spans="2:34">
      <c r="B45" s="179">
        <f>IFERROR(MATCH(C45,'CFL &amp; Incand Cost Development'!$A$8:$A$290,0),0)</f>
        <v>271</v>
      </c>
      <c r="C45" s="111" t="s">
        <v>773</v>
      </c>
      <c r="D45" s="111">
        <f>INDEX('CFL &amp; Incand Cost Development'!AM$8:AM$290,$B45)</f>
        <v>10.833392014857454</v>
      </c>
      <c r="E45" s="111">
        <f>INDEX('CFL &amp; Incand Cost Development'!AN$8:AN$290,$B45)</f>
        <v>12.678392014857454</v>
      </c>
      <c r="F45" s="111">
        <f>INDEX('CFL &amp; Incand Cost Development'!AO$8:AO$290,$B45)</f>
        <v>10.873292014857453</v>
      </c>
      <c r="G45" s="111">
        <f>INDEX('CFL &amp; Incand Cost Development'!AP$8:AP$290,$B45)</f>
        <v>10.873292014857453</v>
      </c>
      <c r="H45" s="111">
        <f>INDEX('CFL &amp; Incand Cost Development'!AQ$8:AQ$290,$B45)</f>
        <v>9.7444920148574532</v>
      </c>
      <c r="I45" s="103"/>
      <c r="J45" s="183" t="str">
        <f>INDEX('CFL &amp; Incand Cost Development'!BS$8:BS$290,$B45)</f>
        <v>WRR0347_CFLscw(69w)</v>
      </c>
      <c r="K45" s="250">
        <f>INDEX('CFL &amp; Incand Cost Development'!BT$8:BT$290,$B45)</f>
        <v>239</v>
      </c>
      <c r="L45" s="250" t="str">
        <f>INDEX('CFL &amp; Incand Cost Development'!BU$8:BU$290,$B45)</f>
        <v>OOS</v>
      </c>
      <c r="M45" s="250" t="str">
        <f>INDEX('CFL &amp; Incand Cost Development'!BV$8:BV$290,$B45)</f>
        <v>OOS</v>
      </c>
      <c r="N45" s="250" t="str">
        <f>INDEX('CFL &amp; Incand Cost Development'!BW$8:BW$290,$B45)</f>
        <v>OOS</v>
      </c>
      <c r="O45" s="250" t="str">
        <f>INDEX('CFL &amp; Incand Cost Development'!BX$8:BX$290,$B45)</f>
        <v>OOS</v>
      </c>
      <c r="P45" s="250" t="str">
        <f>INDEX('CFL &amp; Incand Cost Development'!BY$8:BY$290,$B45)</f>
        <v>OOS</v>
      </c>
      <c r="Q45" s="103"/>
      <c r="R45" s="103"/>
      <c r="S45" s="103" t="str">
        <f t="shared" si="13"/>
        <v/>
      </c>
      <c r="T45" s="111" t="str">
        <f t="shared" si="14"/>
        <v/>
      </c>
      <c r="U45" s="111" t="str">
        <f t="shared" si="15"/>
        <v/>
      </c>
      <c r="V45" s="111" t="str">
        <f t="shared" si="16"/>
        <v/>
      </c>
      <c r="W45" s="111" t="str">
        <f t="shared" si="17"/>
        <v/>
      </c>
      <c r="X45" s="111" t="str">
        <f t="shared" si="18"/>
        <v/>
      </c>
      <c r="Y45" s="103"/>
      <c r="Z45" s="103"/>
      <c r="AA45" s="103" t="str">
        <f t="shared" si="19"/>
        <v>CFLratio0248</v>
      </c>
      <c r="AB45" s="103" t="str">
        <f t="shared" si="11"/>
        <v>CFLscw(69w)CFLratio0248</v>
      </c>
      <c r="AC45" s="103"/>
      <c r="AD45" s="108" t="str">
        <f t="shared" si="12"/>
        <v/>
      </c>
      <c r="AE45" s="108" t="str">
        <f t="shared" si="7"/>
        <v/>
      </c>
      <c r="AF45" s="108" t="str">
        <f t="shared" si="8"/>
        <v/>
      </c>
      <c r="AG45" s="108" t="str">
        <f t="shared" si="9"/>
        <v/>
      </c>
      <c r="AH45" s="108" t="str">
        <f t="shared" si="10"/>
        <v/>
      </c>
    </row>
    <row r="46" spans="2:34">
      <c r="B46" s="179">
        <f>IFERROR(MATCH(C46,'CFL &amp; Incand Cost Development'!$A$8:$A$290,0),0)</f>
        <v>272</v>
      </c>
      <c r="C46" s="111" t="s">
        <v>775</v>
      </c>
      <c r="D46" s="111">
        <f>INDEX('CFL &amp; Incand Cost Development'!AM$8:AM$290,$B46)</f>
        <v>2.5298920148574551</v>
      </c>
      <c r="E46" s="111">
        <f>INDEX('CFL &amp; Incand Cost Development'!AN$8:AN$290,$B46)</f>
        <v>4.3748920148574548</v>
      </c>
      <c r="F46" s="111">
        <f>INDEX('CFL &amp; Incand Cost Development'!AO$8:AO$290,$B46)</f>
        <v>2.5697920148574549</v>
      </c>
      <c r="G46" s="111">
        <f>INDEX('CFL &amp; Incand Cost Development'!AP$8:AP$290,$B46)</f>
        <v>2.5697920148574549</v>
      </c>
      <c r="H46" s="111">
        <f>INDEX('CFL &amp; Incand Cost Development'!AQ$8:AQ$290,$B46)</f>
        <v>1.4409920148574549</v>
      </c>
      <c r="I46" s="103"/>
      <c r="J46" s="183" t="str">
        <f>INDEX('CFL &amp; Incand Cost Development'!BS$8:BS$290,$B46)</f>
        <v>WRR0347_CFLscw(6w)</v>
      </c>
      <c r="K46" s="250">
        <f>INDEX('CFL &amp; Incand Cost Development'!BT$8:BT$290,$B46)</f>
        <v>21</v>
      </c>
      <c r="L46" s="250">
        <f>INDEX('CFL &amp; Incand Cost Development'!BU$8:BU$290,$B46)</f>
        <v>0.90240000000000009</v>
      </c>
      <c r="M46" s="250">
        <f>INDEX('CFL &amp; Incand Cost Development'!BV$8:BV$290,$B46)</f>
        <v>3.3654000000000002</v>
      </c>
      <c r="N46" s="250">
        <f>INDEX('CFL &amp; Incand Cost Development'!BW$8:BW$290,$B46)</f>
        <v>1.6754000000000002</v>
      </c>
      <c r="O46" s="250">
        <f>INDEX('CFL &amp; Incand Cost Development'!BX$8:BX$290,$B46)</f>
        <v>0.5154000000000003</v>
      </c>
      <c r="P46" s="250">
        <f>INDEX('CFL &amp; Incand Cost Development'!BY$8:BY$290,$B46)</f>
        <v>0.5154000000000003</v>
      </c>
      <c r="Q46" s="103"/>
      <c r="R46" s="103"/>
      <c r="S46" s="103" t="str">
        <f t="shared" si="13"/>
        <v>Std_CFLscw(6w)_60pInc-r0248</v>
      </c>
      <c r="T46" s="111">
        <f t="shared" si="14"/>
        <v>1.5533968059429819</v>
      </c>
      <c r="U46" s="111">
        <f t="shared" si="15"/>
        <v>3.7691968059429817</v>
      </c>
      <c r="V46" s="111">
        <f t="shared" si="16"/>
        <v>2.0331568059429821</v>
      </c>
      <c r="W46" s="111">
        <f t="shared" si="17"/>
        <v>1.3371568059429821</v>
      </c>
      <c r="X46" s="111">
        <f t="shared" si="18"/>
        <v>0.88563680594298211</v>
      </c>
      <c r="Y46" s="103"/>
      <c r="Z46" s="103"/>
      <c r="AA46" s="103" t="str">
        <f t="shared" si="19"/>
        <v>CFLratio0248</v>
      </c>
      <c r="AB46" s="103" t="str">
        <f t="shared" si="11"/>
        <v>CFLscw(6w)CFLratio0248</v>
      </c>
      <c r="AC46" s="103"/>
      <c r="AD46" s="108">
        <f t="shared" si="12"/>
        <v>0.97649520891447317</v>
      </c>
      <c r="AE46" s="108">
        <f t="shared" si="7"/>
        <v>0.60569520891447315</v>
      </c>
      <c r="AF46" s="108">
        <f t="shared" si="8"/>
        <v>0.53663520891447281</v>
      </c>
      <c r="AG46" s="108">
        <f t="shared" si="9"/>
        <v>1.2326352089144728</v>
      </c>
      <c r="AH46" s="108">
        <f t="shared" si="10"/>
        <v>0.55535520891447276</v>
      </c>
    </row>
    <row r="47" spans="2:34">
      <c r="B47" s="179">
        <f>IFERROR(MATCH(C47,'CFL &amp; Incand Cost Development'!$A$8:$A$290,0),0)</f>
        <v>276</v>
      </c>
      <c r="C47" s="111" t="s">
        <v>784</v>
      </c>
      <c r="D47" s="111">
        <f>INDEX('CFL &amp; Incand Cost Development'!AM$8:AM$290,$B47)</f>
        <v>2.5963920148574546</v>
      </c>
      <c r="E47" s="111">
        <f>INDEX('CFL &amp; Incand Cost Development'!AN$8:AN$290,$B47)</f>
        <v>4.4413920148574544</v>
      </c>
      <c r="F47" s="111">
        <f>INDEX('CFL &amp; Incand Cost Development'!AO$8:AO$290,$B47)</f>
        <v>2.6362920148574545</v>
      </c>
      <c r="G47" s="111">
        <f>INDEX('CFL &amp; Incand Cost Development'!AP$8:AP$290,$B47)</f>
        <v>2.6362920148574545</v>
      </c>
      <c r="H47" s="111">
        <f>INDEX('CFL &amp; Incand Cost Development'!AQ$8:AQ$290,$B47)</f>
        <v>1.5074920148574544</v>
      </c>
      <c r="I47" s="103"/>
      <c r="J47" s="183" t="str">
        <f>INDEX('CFL &amp; Incand Cost Development'!BS$8:BS$290,$B47)</f>
        <v>WRR0347_CFLscw(7w)</v>
      </c>
      <c r="K47" s="250">
        <f>INDEX('CFL &amp; Incand Cost Development'!BT$8:BT$290,$B47)</f>
        <v>24</v>
      </c>
      <c r="L47" s="250">
        <f>INDEX('CFL &amp; Incand Cost Development'!BU$8:BU$290,$B47)</f>
        <v>0.90240000000000009</v>
      </c>
      <c r="M47" s="250">
        <f>INDEX('CFL &amp; Incand Cost Development'!BV$8:BV$290,$B47)</f>
        <v>3.3654000000000002</v>
      </c>
      <c r="N47" s="250">
        <f>INDEX('CFL &amp; Incand Cost Development'!BW$8:BW$290,$B47)</f>
        <v>1.6754000000000002</v>
      </c>
      <c r="O47" s="250">
        <f>INDEX('CFL &amp; Incand Cost Development'!BX$8:BX$290,$B47)</f>
        <v>0.5154000000000003</v>
      </c>
      <c r="P47" s="250">
        <f>INDEX('CFL &amp; Incand Cost Development'!BY$8:BY$290,$B47)</f>
        <v>0.5154000000000003</v>
      </c>
      <c r="Q47" s="103"/>
      <c r="R47" s="103"/>
      <c r="S47" s="103" t="str">
        <f t="shared" si="13"/>
        <v>Std_CFLscw(7w)_60pInc-r0248</v>
      </c>
      <c r="T47" s="111">
        <f t="shared" si="14"/>
        <v>1.5799968059429821</v>
      </c>
      <c r="U47" s="111">
        <f t="shared" si="15"/>
        <v>3.7957968059429819</v>
      </c>
      <c r="V47" s="111">
        <f t="shared" si="16"/>
        <v>2.0597568059429818</v>
      </c>
      <c r="W47" s="111">
        <f t="shared" si="17"/>
        <v>1.3637568059429821</v>
      </c>
      <c r="X47" s="111">
        <f t="shared" si="18"/>
        <v>0.91223680594298195</v>
      </c>
      <c r="Y47" s="103"/>
      <c r="Z47" s="103"/>
      <c r="AA47" s="103" t="str">
        <f t="shared" si="19"/>
        <v>CFLratio0248</v>
      </c>
      <c r="AB47" s="103" t="str">
        <f t="shared" si="11"/>
        <v>CFLscw(7w)CFLratio0248</v>
      </c>
      <c r="AC47" s="103"/>
      <c r="AD47" s="108">
        <f t="shared" si="12"/>
        <v>1.0163952089144725</v>
      </c>
      <c r="AE47" s="108">
        <f t="shared" si="7"/>
        <v>0.64559520891447253</v>
      </c>
      <c r="AF47" s="108">
        <f t="shared" si="8"/>
        <v>0.57653520891447263</v>
      </c>
      <c r="AG47" s="108">
        <f t="shared" si="9"/>
        <v>1.2725352089144724</v>
      </c>
      <c r="AH47" s="108">
        <f t="shared" si="10"/>
        <v>0.59525520891447248</v>
      </c>
    </row>
    <row r="48" spans="2:34">
      <c r="B48" s="179">
        <f>IFERROR(MATCH(C48,'CFL &amp; Incand Cost Development'!$A$8:$A$290,0),0)</f>
        <v>278</v>
      </c>
      <c r="C48" s="111" t="s">
        <v>790</v>
      </c>
      <c r="D48" s="111">
        <f>INDEX('CFL &amp; Incand Cost Development'!AM$8:AM$290,$B48)</f>
        <v>13.233392014857454</v>
      </c>
      <c r="E48" s="111">
        <f>INDEX('CFL &amp; Incand Cost Development'!AN$8:AN$290,$B48)</f>
        <v>15.078392014857453</v>
      </c>
      <c r="F48" s="111">
        <f>INDEX('CFL &amp; Incand Cost Development'!AO$8:AO$290,$B48)</f>
        <v>13.273292014857454</v>
      </c>
      <c r="G48" s="111">
        <f>INDEX('CFL &amp; Incand Cost Development'!AP$8:AP$290,$B48)</f>
        <v>13.273292014857454</v>
      </c>
      <c r="H48" s="111">
        <f>INDEX('CFL &amp; Incand Cost Development'!AQ$8:AQ$290,$B48)</f>
        <v>12.144492014857454</v>
      </c>
      <c r="I48" s="103"/>
      <c r="J48" s="183" t="str">
        <f>INDEX('CFL &amp; Incand Cost Development'!BS$8:BS$290,$B48)</f>
        <v>WRR0347_CFLscw(84w)</v>
      </c>
      <c r="K48" s="250">
        <f>INDEX('CFL &amp; Incand Cost Development'!BT$8:BT$290,$B48)</f>
        <v>291</v>
      </c>
      <c r="L48" s="250" t="str">
        <f>INDEX('CFL &amp; Incand Cost Development'!BU$8:BU$290,$B48)</f>
        <v>OOS</v>
      </c>
      <c r="M48" s="250" t="str">
        <f>INDEX('CFL &amp; Incand Cost Development'!BV$8:BV$290,$B48)</f>
        <v>OOS</v>
      </c>
      <c r="N48" s="250" t="str">
        <f>INDEX('CFL &amp; Incand Cost Development'!BW$8:BW$290,$B48)</f>
        <v>OOS</v>
      </c>
      <c r="O48" s="250" t="str">
        <f>INDEX('CFL &amp; Incand Cost Development'!BX$8:BX$290,$B48)</f>
        <v>OOS</v>
      </c>
      <c r="P48" s="250" t="str">
        <f>INDEX('CFL &amp; Incand Cost Development'!BY$8:BY$290,$B48)</f>
        <v>OOS</v>
      </c>
      <c r="Q48" s="103"/>
      <c r="R48" s="103"/>
      <c r="S48" s="103" t="str">
        <f t="shared" si="13"/>
        <v/>
      </c>
      <c r="T48" s="111" t="str">
        <f t="shared" si="14"/>
        <v/>
      </c>
      <c r="U48" s="111" t="str">
        <f t="shared" si="15"/>
        <v/>
      </c>
      <c r="V48" s="111" t="str">
        <f t="shared" si="16"/>
        <v/>
      </c>
      <c r="W48" s="111" t="str">
        <f t="shared" si="17"/>
        <v/>
      </c>
      <c r="X48" s="111" t="str">
        <f t="shared" si="18"/>
        <v/>
      </c>
      <c r="Y48" s="103"/>
      <c r="Z48" s="103"/>
      <c r="AA48" s="103" t="str">
        <f t="shared" si="19"/>
        <v>CFLratio0248</v>
      </c>
      <c r="AB48" s="103" t="str">
        <f t="shared" si="11"/>
        <v>CFLscw(84w)CFLratio0248</v>
      </c>
      <c r="AC48" s="103"/>
      <c r="AD48" s="108" t="str">
        <f t="shared" si="12"/>
        <v/>
      </c>
      <c r="AE48" s="108" t="str">
        <f t="shared" si="7"/>
        <v/>
      </c>
      <c r="AF48" s="108" t="str">
        <f t="shared" si="8"/>
        <v/>
      </c>
      <c r="AG48" s="108" t="str">
        <f t="shared" si="9"/>
        <v/>
      </c>
      <c r="AH48" s="108" t="str">
        <f t="shared" si="10"/>
        <v/>
      </c>
    </row>
    <row r="49" spans="2:34">
      <c r="B49" s="179">
        <f>IFERROR(MATCH(C49,'CFL &amp; Incand Cost Development'!$A$8:$A$290,0),0)</f>
        <v>279</v>
      </c>
      <c r="C49" s="111" t="s">
        <v>792</v>
      </c>
      <c r="D49" s="111">
        <f>INDEX('CFL &amp; Incand Cost Development'!AM$8:AM$290,$B49)</f>
        <v>13.393392014857454</v>
      </c>
      <c r="E49" s="111">
        <f>INDEX('CFL &amp; Incand Cost Development'!AN$8:AN$290,$B49)</f>
        <v>15.238392014857453</v>
      </c>
      <c r="F49" s="111">
        <f>INDEX('CFL &amp; Incand Cost Development'!AO$8:AO$290,$B49)</f>
        <v>13.433292014857454</v>
      </c>
      <c r="G49" s="111">
        <f>INDEX('CFL &amp; Incand Cost Development'!AP$8:AP$290,$B49)</f>
        <v>13.433292014857454</v>
      </c>
      <c r="H49" s="111">
        <f>INDEX('CFL &amp; Incand Cost Development'!AQ$8:AQ$290,$B49)</f>
        <v>12.304492014857454</v>
      </c>
      <c r="I49" s="103"/>
      <c r="J49" s="183" t="str">
        <f>INDEX('CFL &amp; Incand Cost Development'!BS$8:BS$290,$B49)</f>
        <v>WRR0347_CFLscw(85w)</v>
      </c>
      <c r="K49" s="250">
        <f>INDEX('CFL &amp; Incand Cost Development'!BT$8:BT$290,$B49)</f>
        <v>295</v>
      </c>
      <c r="L49" s="250" t="str">
        <f>INDEX('CFL &amp; Incand Cost Development'!BU$8:BU$290,$B49)</f>
        <v>OOS</v>
      </c>
      <c r="M49" s="250" t="str">
        <f>INDEX('CFL &amp; Incand Cost Development'!BV$8:BV$290,$B49)</f>
        <v>OOS</v>
      </c>
      <c r="N49" s="250" t="str">
        <f>INDEX('CFL &amp; Incand Cost Development'!BW$8:BW$290,$B49)</f>
        <v>OOS</v>
      </c>
      <c r="O49" s="250" t="str">
        <f>INDEX('CFL &amp; Incand Cost Development'!BX$8:BX$290,$B49)</f>
        <v>OOS</v>
      </c>
      <c r="P49" s="250" t="str">
        <f>INDEX('CFL &amp; Incand Cost Development'!BY$8:BY$290,$B49)</f>
        <v>OOS</v>
      </c>
      <c r="Q49" s="103"/>
      <c r="R49" s="103"/>
      <c r="S49" s="103" t="str">
        <f t="shared" si="13"/>
        <v/>
      </c>
      <c r="T49" s="111" t="str">
        <f t="shared" si="14"/>
        <v/>
      </c>
      <c r="U49" s="111" t="str">
        <f t="shared" si="15"/>
        <v/>
      </c>
      <c r="V49" s="111" t="str">
        <f t="shared" si="16"/>
        <v/>
      </c>
      <c r="W49" s="111" t="str">
        <f t="shared" si="17"/>
        <v/>
      </c>
      <c r="X49" s="111" t="str">
        <f t="shared" si="18"/>
        <v/>
      </c>
      <c r="Y49" s="103"/>
      <c r="Z49" s="103"/>
      <c r="AA49" s="103" t="str">
        <f t="shared" si="19"/>
        <v>CFLratio0248</v>
      </c>
      <c r="AB49" s="103" t="str">
        <f t="shared" si="11"/>
        <v>CFLscw(85w)CFLratio0248</v>
      </c>
      <c r="AC49" s="103"/>
      <c r="AD49" s="108" t="str">
        <f t="shared" si="12"/>
        <v/>
      </c>
      <c r="AE49" s="108" t="str">
        <f t="shared" si="7"/>
        <v/>
      </c>
      <c r="AF49" s="108" t="str">
        <f t="shared" si="8"/>
        <v/>
      </c>
      <c r="AG49" s="108" t="str">
        <f t="shared" si="9"/>
        <v/>
      </c>
      <c r="AH49" s="108" t="str">
        <f t="shared" si="10"/>
        <v/>
      </c>
    </row>
    <row r="50" spans="2:34">
      <c r="B50" s="179">
        <f>IFERROR(MATCH(C50,'CFL &amp; Incand Cost Development'!$A$8:$A$290,0),0)</f>
        <v>280</v>
      </c>
      <c r="C50" s="111" t="s">
        <v>794</v>
      </c>
      <c r="D50" s="111">
        <f>INDEX('CFL &amp; Incand Cost Development'!AM$8:AM$290,$B50)</f>
        <v>2.6628920148574542</v>
      </c>
      <c r="E50" s="111">
        <f>INDEX('CFL &amp; Incand Cost Development'!AN$8:AN$290,$B50)</f>
        <v>4.5078920148574539</v>
      </c>
      <c r="F50" s="111">
        <f>INDEX('CFL &amp; Incand Cost Development'!AO$8:AO$290,$B50)</f>
        <v>2.702792014857454</v>
      </c>
      <c r="G50" s="111">
        <f>INDEX('CFL &amp; Incand Cost Development'!AP$8:AP$290,$B50)</f>
        <v>2.702792014857454</v>
      </c>
      <c r="H50" s="111">
        <f>INDEX('CFL &amp; Incand Cost Development'!AQ$8:AQ$290,$B50)</f>
        <v>1.573992014857454</v>
      </c>
      <c r="I50" s="103"/>
      <c r="J50" s="183" t="str">
        <f>INDEX('CFL &amp; Incand Cost Development'!BS$8:BS$290,$B50)</f>
        <v>WRR0347_CFLscw(8w)</v>
      </c>
      <c r="K50" s="250">
        <f>INDEX('CFL &amp; Incand Cost Development'!BT$8:BT$290,$B50)</f>
        <v>28</v>
      </c>
      <c r="L50" s="250">
        <f>INDEX('CFL &amp; Incand Cost Development'!BU$8:BU$290,$B50)</f>
        <v>0.90240000000000009</v>
      </c>
      <c r="M50" s="250">
        <f>INDEX('CFL &amp; Incand Cost Development'!BV$8:BV$290,$B50)</f>
        <v>3.3654000000000002</v>
      </c>
      <c r="N50" s="250">
        <f>INDEX('CFL &amp; Incand Cost Development'!BW$8:BW$290,$B50)</f>
        <v>1.6754000000000002</v>
      </c>
      <c r="O50" s="250">
        <f>INDEX('CFL &amp; Incand Cost Development'!BX$8:BX$290,$B50)</f>
        <v>0.5154000000000003</v>
      </c>
      <c r="P50" s="250">
        <f>INDEX('CFL &amp; Incand Cost Development'!BY$8:BY$290,$B50)</f>
        <v>0.5154000000000003</v>
      </c>
      <c r="Q50" s="103"/>
      <c r="R50" s="103"/>
      <c r="S50" s="103" t="str">
        <f t="shared" si="13"/>
        <v>Std_CFLscw(8w)_60pInc-r0248</v>
      </c>
      <c r="T50" s="111">
        <f t="shared" si="14"/>
        <v>1.6065968059429818</v>
      </c>
      <c r="U50" s="111">
        <f t="shared" si="15"/>
        <v>3.8223968059429816</v>
      </c>
      <c r="V50" s="111">
        <f t="shared" si="16"/>
        <v>2.086356805942982</v>
      </c>
      <c r="W50" s="111">
        <f t="shared" si="17"/>
        <v>1.3903568059429818</v>
      </c>
      <c r="X50" s="111">
        <f t="shared" si="18"/>
        <v>0.9388368059429818</v>
      </c>
      <c r="Y50" s="103"/>
      <c r="Z50" s="103"/>
      <c r="AA50" s="103" t="str">
        <f t="shared" si="19"/>
        <v>CFLratio0248</v>
      </c>
      <c r="AB50" s="103" t="str">
        <f t="shared" si="11"/>
        <v>CFLscw(8w)CFLratio0248</v>
      </c>
      <c r="AC50" s="103"/>
      <c r="AD50" s="108">
        <f t="shared" si="12"/>
        <v>1.0562952089144724</v>
      </c>
      <c r="AE50" s="108">
        <f t="shared" si="7"/>
        <v>0.68549520891447235</v>
      </c>
      <c r="AF50" s="108">
        <f t="shared" si="8"/>
        <v>0.61643520891447201</v>
      </c>
      <c r="AG50" s="108">
        <f t="shared" si="9"/>
        <v>1.3124352089144722</v>
      </c>
      <c r="AH50" s="108">
        <f t="shared" si="10"/>
        <v>0.63515520891447219</v>
      </c>
    </row>
    <row r="51" spans="2:34">
      <c r="B51" s="179">
        <f>IFERROR(MATCH(C51,'CFL &amp; Incand Cost Development'!$A$8:$A$290,0),0)</f>
        <v>283</v>
      </c>
      <c r="C51" s="111" t="s">
        <v>801</v>
      </c>
      <c r="D51" s="111">
        <f>INDEX('CFL &amp; Incand Cost Development'!AM$8:AM$290,$B51)</f>
        <v>2.7293920148574546</v>
      </c>
      <c r="E51" s="111">
        <f>INDEX('CFL &amp; Incand Cost Development'!AN$8:AN$290,$B51)</f>
        <v>4.5743920148574544</v>
      </c>
      <c r="F51" s="111">
        <f>INDEX('CFL &amp; Incand Cost Development'!AO$8:AO$290,$B51)</f>
        <v>2.7692920148574545</v>
      </c>
      <c r="G51" s="111">
        <f>INDEX('CFL &amp; Incand Cost Development'!AP$8:AP$290,$B51)</f>
        <v>2.7692920148574545</v>
      </c>
      <c r="H51" s="111">
        <f>INDEX('CFL &amp; Incand Cost Development'!AQ$8:AQ$290,$B51)</f>
        <v>1.6404920148574544</v>
      </c>
      <c r="I51" s="103"/>
      <c r="J51" s="183" t="str">
        <f>INDEX('CFL &amp; Incand Cost Development'!BS$8:BS$290,$B51)</f>
        <v>WRR0347_CFLscw(9w)</v>
      </c>
      <c r="K51" s="250">
        <f>INDEX('CFL &amp; Incand Cost Development'!BT$8:BT$290,$B51)</f>
        <v>31</v>
      </c>
      <c r="L51" s="250">
        <f>INDEX('CFL &amp; Incand Cost Development'!BU$8:BU$290,$B51)</f>
        <v>0.91159999999999997</v>
      </c>
      <c r="M51" s="250">
        <f>INDEX('CFL &amp; Incand Cost Development'!BV$8:BV$290,$B51)</f>
        <v>3.3746</v>
      </c>
      <c r="N51" s="250">
        <f>INDEX('CFL &amp; Incand Cost Development'!BW$8:BW$290,$B51)</f>
        <v>1.6846000000000001</v>
      </c>
      <c r="O51" s="250">
        <f>INDEX('CFL &amp; Incand Cost Development'!BX$8:BX$290,$B51)</f>
        <v>0.52460000000000018</v>
      </c>
      <c r="P51" s="250">
        <f>INDEX('CFL &amp; Incand Cost Development'!BY$8:BY$290,$B51)</f>
        <v>0.52460000000000018</v>
      </c>
      <c r="Q51" s="103"/>
      <c r="R51" s="103"/>
      <c r="S51" s="103" t="str">
        <f t="shared" si="13"/>
        <v>Std_CFLscw(9w)_60pInc-r0248</v>
      </c>
      <c r="T51" s="111">
        <f t="shared" si="14"/>
        <v>1.6387168059429817</v>
      </c>
      <c r="U51" s="111">
        <f t="shared" si="15"/>
        <v>3.854516805942982</v>
      </c>
      <c r="V51" s="111">
        <f t="shared" si="16"/>
        <v>2.1184768059429819</v>
      </c>
      <c r="W51" s="111">
        <f t="shared" si="17"/>
        <v>1.422476805942982</v>
      </c>
      <c r="X51" s="111">
        <f t="shared" si="18"/>
        <v>0.97095680594298184</v>
      </c>
      <c r="Y51" s="103"/>
      <c r="Z51" s="103"/>
      <c r="AA51" s="103" t="str">
        <f t="shared" si="19"/>
        <v>CFLratio0248</v>
      </c>
      <c r="AB51" s="103" t="str">
        <f t="shared" si="11"/>
        <v>CFLscw(9w)CFLratio0248</v>
      </c>
      <c r="AC51" s="103"/>
      <c r="AD51" s="108">
        <f t="shared" si="12"/>
        <v>1.0906752089144729</v>
      </c>
      <c r="AE51" s="108">
        <f t="shared" si="7"/>
        <v>0.71987520891447243</v>
      </c>
      <c r="AF51" s="108">
        <f t="shared" si="8"/>
        <v>0.65081520891447253</v>
      </c>
      <c r="AG51" s="108">
        <f t="shared" si="9"/>
        <v>1.3468152089144725</v>
      </c>
      <c r="AH51" s="108">
        <f t="shared" si="10"/>
        <v>0.6695352089144726</v>
      </c>
    </row>
    <row r="52" spans="2:34">
      <c r="B52" s="179">
        <f>IFERROR(MATCH(C52,'CFL &amp; Incand Cost Development'!$A$8:$A$290,0),0)</f>
        <v>8</v>
      </c>
      <c r="C52" s="111" t="s">
        <v>173</v>
      </c>
      <c r="D52" s="111">
        <f>INDEX('CFL &amp; Incand Cost Development'!AM$8:AM$290,$B52)</f>
        <v>9.746092014857453</v>
      </c>
      <c r="E52" s="111">
        <f>INDEX('CFL &amp; Incand Cost Development'!AN$8:AN$290,$B52)</f>
        <v>11.591092014857454</v>
      </c>
      <c r="F52" s="111">
        <f>INDEX('CFL &amp; Incand Cost Development'!AO$8:AO$290,$B52)</f>
        <v>9.7859920148574542</v>
      </c>
      <c r="G52" s="111">
        <f>INDEX('CFL &amp; Incand Cost Development'!AP$8:AP$290,$B52)</f>
        <v>9.7859920148574542</v>
      </c>
      <c r="H52" s="111">
        <f>INDEX('CFL &amp; Incand Cost Development'!AQ$8:AQ$290,$B52)</f>
        <v>8.6571920148574542</v>
      </c>
      <c r="I52" s="103"/>
      <c r="J52" s="183" t="str">
        <f>INDEX('CFL &amp; Incand Cost Development'!BS$8:BS$290,$B52)</f>
        <v>WRR0347_CFLscw-3way(13w)</v>
      </c>
      <c r="K52" s="250">
        <f>INDEX('CFL &amp; Incand Cost Development'!BT$8:BT$290,$B52)</f>
        <v>45</v>
      </c>
      <c r="L52" s="250">
        <f>INDEX('CFL &amp; Incand Cost Development'!BU$8:BU$290,$B52)</f>
        <v>1.5022000000000002</v>
      </c>
      <c r="M52" s="250">
        <f>INDEX('CFL &amp; Incand Cost Development'!BV$8:BV$290,$B52)</f>
        <v>3.9652000000000003</v>
      </c>
      <c r="N52" s="250">
        <f>INDEX('CFL &amp; Incand Cost Development'!BW$8:BW$290,$B52)</f>
        <v>2.2752000000000003</v>
      </c>
      <c r="O52" s="250">
        <f>INDEX('CFL &amp; Incand Cost Development'!BX$8:BX$290,$B52)</f>
        <v>1.1152000000000004</v>
      </c>
      <c r="P52" s="250">
        <f>INDEX('CFL &amp; Incand Cost Development'!BY$8:BY$290,$B52)</f>
        <v>1.1152000000000004</v>
      </c>
      <c r="Q52" s="103"/>
      <c r="R52" s="103"/>
      <c r="S52" s="103" t="str">
        <f t="shared" si="13"/>
        <v>Std_CFLscw-3way(13w)_60pInc-r0248</v>
      </c>
      <c r="T52" s="111">
        <f t="shared" si="14"/>
        <v>4.799756805942982</v>
      </c>
      <c r="U52" s="111">
        <f t="shared" si="15"/>
        <v>7.0155568059429818</v>
      </c>
      <c r="V52" s="111">
        <f t="shared" si="16"/>
        <v>5.2795168059429818</v>
      </c>
      <c r="W52" s="111">
        <f t="shared" si="17"/>
        <v>4.5835168059429821</v>
      </c>
      <c r="X52" s="111">
        <f t="shared" si="18"/>
        <v>4.1319968059429817</v>
      </c>
      <c r="Y52" s="103"/>
      <c r="Z52" s="103"/>
      <c r="AA52" s="103" t="str">
        <f t="shared" si="19"/>
        <v>CFLratio0248</v>
      </c>
      <c r="AB52" s="103" t="str">
        <f t="shared" si="11"/>
        <v>CFLscw-3way(13w)CFLratio0248</v>
      </c>
      <c r="AC52" s="103"/>
      <c r="AD52" s="108">
        <f t="shared" si="12"/>
        <v>4.946335208914471</v>
      </c>
      <c r="AE52" s="108">
        <f t="shared" si="7"/>
        <v>4.5755352089144719</v>
      </c>
      <c r="AF52" s="108">
        <f t="shared" si="8"/>
        <v>4.5064752089144724</v>
      </c>
      <c r="AG52" s="108">
        <f t="shared" si="9"/>
        <v>5.2024752089144721</v>
      </c>
      <c r="AH52" s="108">
        <f t="shared" si="10"/>
        <v>4.5251952089144725</v>
      </c>
    </row>
    <row r="53" spans="2:34">
      <c r="B53" s="179">
        <f>IFERROR(MATCH(C53,'CFL &amp; Incand Cost Development'!$A$8:$A$290,0),0)</f>
        <v>9</v>
      </c>
      <c r="C53" s="111" t="s">
        <v>178</v>
      </c>
      <c r="D53" s="111">
        <f>INDEX('CFL &amp; Incand Cost Development'!AM$8:AM$290,$B53)</f>
        <v>9.8790920148574539</v>
      </c>
      <c r="E53" s="111">
        <f>INDEX('CFL &amp; Incand Cost Development'!AN$8:AN$290,$B53)</f>
        <v>11.724092014857455</v>
      </c>
      <c r="F53" s="111">
        <f>INDEX('CFL &amp; Incand Cost Development'!AO$8:AO$290,$B53)</f>
        <v>9.9189920148574551</v>
      </c>
      <c r="G53" s="111">
        <f>INDEX('CFL &amp; Incand Cost Development'!AP$8:AP$290,$B53)</f>
        <v>9.9189920148574551</v>
      </c>
      <c r="H53" s="111">
        <f>INDEX('CFL &amp; Incand Cost Development'!AQ$8:AQ$290,$B53)</f>
        <v>8.790192014857455</v>
      </c>
      <c r="I53" s="103"/>
      <c r="J53" s="183" t="str">
        <f>INDEX('CFL &amp; Incand Cost Development'!BS$8:BS$290,$B53)</f>
        <v>WRR0347_CFLscw-3way(15w)</v>
      </c>
      <c r="K53" s="250">
        <f>INDEX('CFL &amp; Incand Cost Development'!BT$8:BT$290,$B53)</f>
        <v>52</v>
      </c>
      <c r="L53" s="250">
        <f>INDEX('CFL &amp; Incand Cost Development'!BU$8:BU$290,$B53)</f>
        <v>1.5666000000000002</v>
      </c>
      <c r="M53" s="250">
        <f>INDEX('CFL &amp; Incand Cost Development'!BV$8:BV$290,$B53)</f>
        <v>4.0296000000000003</v>
      </c>
      <c r="N53" s="250">
        <f>INDEX('CFL &amp; Incand Cost Development'!BW$8:BW$290,$B53)</f>
        <v>2.3396000000000003</v>
      </c>
      <c r="O53" s="250">
        <f>INDEX('CFL &amp; Incand Cost Development'!BX$8:BX$290,$B53)</f>
        <v>1.1796000000000004</v>
      </c>
      <c r="P53" s="250">
        <f>INDEX('CFL &amp; Incand Cost Development'!BY$8:BY$290,$B53)</f>
        <v>1.1796000000000004</v>
      </c>
      <c r="Q53" s="103"/>
      <c r="R53" s="103"/>
      <c r="S53" s="103" t="str">
        <f t="shared" si="13"/>
        <v>Std_CFLscw-3way(15w)_60pInc-r0248</v>
      </c>
      <c r="T53" s="111">
        <f t="shared" si="14"/>
        <v>4.8915968059429815</v>
      </c>
      <c r="U53" s="111">
        <f t="shared" si="15"/>
        <v>7.1073968059429813</v>
      </c>
      <c r="V53" s="111">
        <f t="shared" si="16"/>
        <v>5.3713568059429821</v>
      </c>
      <c r="W53" s="111">
        <f t="shared" si="17"/>
        <v>4.6753568059429824</v>
      </c>
      <c r="X53" s="111">
        <f t="shared" si="18"/>
        <v>4.2238368059429821</v>
      </c>
      <c r="Y53" s="103"/>
      <c r="Z53" s="103"/>
      <c r="AA53" s="103" t="str">
        <f t="shared" si="19"/>
        <v>CFLratio0248</v>
      </c>
      <c r="AB53" s="103" t="str">
        <f t="shared" si="11"/>
        <v>CFLscw-3way(15w)CFLratio0248</v>
      </c>
      <c r="AC53" s="103"/>
      <c r="AD53" s="108">
        <f t="shared" si="12"/>
        <v>4.9874952089144724</v>
      </c>
      <c r="AE53" s="108">
        <f t="shared" si="7"/>
        <v>4.6166952089144733</v>
      </c>
      <c r="AF53" s="108">
        <f t="shared" si="8"/>
        <v>4.5476352089144729</v>
      </c>
      <c r="AG53" s="108">
        <f t="shared" si="9"/>
        <v>5.2436352089144727</v>
      </c>
      <c r="AH53" s="108">
        <f t="shared" si="10"/>
        <v>4.566355208914473</v>
      </c>
    </row>
    <row r="54" spans="2:34">
      <c r="B54" s="179">
        <f>IFERROR(MATCH(C54,'CFL &amp; Incand Cost Development'!$A$8:$A$290,0),0)</f>
        <v>10</v>
      </c>
      <c r="C54" s="111" t="s">
        <v>180</v>
      </c>
      <c r="D54" s="111">
        <f>INDEX('CFL &amp; Incand Cost Development'!AM$8:AM$290,$B54)</f>
        <v>9.9455920148574535</v>
      </c>
      <c r="E54" s="111">
        <f>INDEX('CFL &amp; Incand Cost Development'!AN$8:AN$290,$B54)</f>
        <v>11.790592014857454</v>
      </c>
      <c r="F54" s="111">
        <f>INDEX('CFL &amp; Incand Cost Development'!AO$8:AO$290,$B54)</f>
        <v>9.9854920148574546</v>
      </c>
      <c r="G54" s="111">
        <f>INDEX('CFL &amp; Incand Cost Development'!AP$8:AP$290,$B54)</f>
        <v>9.9854920148574546</v>
      </c>
      <c r="H54" s="111">
        <f>INDEX('CFL &amp; Incand Cost Development'!AQ$8:AQ$290,$B54)</f>
        <v>8.8566920148574546</v>
      </c>
      <c r="I54" s="103"/>
      <c r="J54" s="183" t="str">
        <f>INDEX('CFL &amp; Incand Cost Development'!BS$8:BS$290,$B54)</f>
        <v>WRR0347_CFLscw-3way(16w)</v>
      </c>
      <c r="K54" s="250">
        <f>INDEX('CFL &amp; Incand Cost Development'!BT$8:BT$290,$B54)</f>
        <v>56</v>
      </c>
      <c r="L54" s="250">
        <f>INDEX('CFL &amp; Incand Cost Development'!BU$8:BU$290,$B54)</f>
        <v>1.6034000000000006</v>
      </c>
      <c r="M54" s="250">
        <f>INDEX('CFL &amp; Incand Cost Development'!BV$8:BV$290,$B54)</f>
        <v>4.0664000000000007</v>
      </c>
      <c r="N54" s="250">
        <f>INDEX('CFL &amp; Incand Cost Development'!BW$8:BW$290,$B54)</f>
        <v>2.3764000000000007</v>
      </c>
      <c r="O54" s="250">
        <f>INDEX('CFL &amp; Incand Cost Development'!BX$8:BX$290,$B54)</f>
        <v>1.2164000000000008</v>
      </c>
      <c r="P54" s="250">
        <f>INDEX('CFL &amp; Incand Cost Development'!BY$8:BY$290,$B54)</f>
        <v>1.2164000000000008</v>
      </c>
      <c r="Q54" s="103"/>
      <c r="R54" s="103"/>
      <c r="S54" s="103" t="str">
        <f t="shared" si="13"/>
        <v>Std_CFLscw-3way(16w)_60pInc-r0248</v>
      </c>
      <c r="T54" s="111">
        <f t="shared" si="14"/>
        <v>4.9402768059429816</v>
      </c>
      <c r="U54" s="111">
        <f t="shared" si="15"/>
        <v>7.1560768059429822</v>
      </c>
      <c r="V54" s="111">
        <f t="shared" si="16"/>
        <v>5.4200368059429831</v>
      </c>
      <c r="W54" s="111">
        <f t="shared" si="17"/>
        <v>4.7240368059429825</v>
      </c>
      <c r="X54" s="111">
        <f t="shared" si="18"/>
        <v>4.2725168059429821</v>
      </c>
      <c r="Y54" s="103"/>
      <c r="Z54" s="103"/>
      <c r="AA54" s="103" t="str">
        <f t="shared" si="19"/>
        <v>CFLratio0248</v>
      </c>
      <c r="AB54" s="103" t="str">
        <f t="shared" si="11"/>
        <v>CFLscw-3way(16w)CFLratio0248</v>
      </c>
      <c r="AC54" s="103"/>
      <c r="AD54" s="108">
        <f t="shared" si="12"/>
        <v>5.0053152089144719</v>
      </c>
      <c r="AE54" s="108">
        <f t="shared" si="7"/>
        <v>4.6345152089144719</v>
      </c>
      <c r="AF54" s="108">
        <f t="shared" si="8"/>
        <v>4.5654552089144715</v>
      </c>
      <c r="AG54" s="108">
        <f t="shared" si="9"/>
        <v>5.2614552089144722</v>
      </c>
      <c r="AH54" s="108">
        <f t="shared" si="10"/>
        <v>4.5841752089144725</v>
      </c>
    </row>
    <row r="55" spans="2:34">
      <c r="B55" s="179">
        <f>IFERROR(MATCH(C55,'CFL &amp; Incand Cost Development'!$A$8:$A$290,0),0)</f>
        <v>11</v>
      </c>
      <c r="C55" s="111" t="s">
        <v>182</v>
      </c>
      <c r="D55" s="111">
        <f>INDEX('CFL &amp; Incand Cost Development'!AM$8:AM$290,$B55)</f>
        <v>10.012092014857453</v>
      </c>
      <c r="E55" s="111">
        <f>INDEX('CFL &amp; Incand Cost Development'!AN$8:AN$290,$B55)</f>
        <v>11.857092014857454</v>
      </c>
      <c r="F55" s="111">
        <f>INDEX('CFL &amp; Incand Cost Development'!AO$8:AO$290,$B55)</f>
        <v>10.051992014857454</v>
      </c>
      <c r="G55" s="111">
        <f>INDEX('CFL &amp; Incand Cost Development'!AP$8:AP$290,$B55)</f>
        <v>10.051992014857454</v>
      </c>
      <c r="H55" s="111">
        <f>INDEX('CFL &amp; Incand Cost Development'!AQ$8:AQ$290,$B55)</f>
        <v>8.9231920148574542</v>
      </c>
      <c r="I55" s="103"/>
      <c r="J55" s="183" t="str">
        <f>INDEX('CFL &amp; Incand Cost Development'!BS$8:BS$290,$B55)</f>
        <v>WRR0347_CFLscw-3way(17w)</v>
      </c>
      <c r="K55" s="250">
        <f>INDEX('CFL &amp; Incand Cost Development'!BT$8:BT$290,$B55)</f>
        <v>59</v>
      </c>
      <c r="L55" s="250">
        <f>INDEX('CFL &amp; Incand Cost Development'!BU$8:BU$290,$B55)</f>
        <v>1.6310000000000002</v>
      </c>
      <c r="M55" s="250">
        <f>INDEX('CFL &amp; Incand Cost Development'!BV$8:BV$290,$B55)</f>
        <v>4.0940000000000003</v>
      </c>
      <c r="N55" s="250">
        <f>INDEX('CFL &amp; Incand Cost Development'!BW$8:BW$290,$B55)</f>
        <v>2.4040000000000004</v>
      </c>
      <c r="O55" s="250">
        <f>INDEX('CFL &amp; Incand Cost Development'!BX$8:BX$290,$B55)</f>
        <v>1.2440000000000004</v>
      </c>
      <c r="P55" s="250">
        <f>INDEX('CFL &amp; Incand Cost Development'!BY$8:BY$290,$B55)</f>
        <v>1.2440000000000004</v>
      </c>
      <c r="Q55" s="103"/>
      <c r="R55" s="103"/>
      <c r="S55" s="103" t="str">
        <f t="shared" si="13"/>
        <v>Std_CFLscw-3way(17w)_60pInc-r0248</v>
      </c>
      <c r="T55" s="111">
        <f t="shared" si="14"/>
        <v>4.9834368059429819</v>
      </c>
      <c r="U55" s="111">
        <f t="shared" si="15"/>
        <v>7.1992368059429808</v>
      </c>
      <c r="V55" s="111">
        <f t="shared" si="16"/>
        <v>5.4631968059429816</v>
      </c>
      <c r="W55" s="111">
        <f t="shared" si="17"/>
        <v>4.7671968059429819</v>
      </c>
      <c r="X55" s="111">
        <f t="shared" si="18"/>
        <v>4.3156768059429824</v>
      </c>
      <c r="Y55" s="103"/>
      <c r="Z55" s="103"/>
      <c r="AA55" s="103" t="str">
        <f t="shared" si="19"/>
        <v>CFLratio0248</v>
      </c>
      <c r="AB55" s="103" t="str">
        <f t="shared" si="11"/>
        <v>CFLscw-3way(17w)CFLratio0248</v>
      </c>
      <c r="AC55" s="103"/>
      <c r="AD55" s="108">
        <f t="shared" si="12"/>
        <v>5.0286552089144712</v>
      </c>
      <c r="AE55" s="108">
        <f t="shared" si="7"/>
        <v>4.6578552089144729</v>
      </c>
      <c r="AF55" s="108">
        <f t="shared" si="8"/>
        <v>4.5887952089144726</v>
      </c>
      <c r="AG55" s="108">
        <f t="shared" si="9"/>
        <v>5.2847952089144723</v>
      </c>
      <c r="AH55" s="108">
        <f t="shared" si="10"/>
        <v>4.6075152089144717</v>
      </c>
    </row>
    <row r="56" spans="2:34">
      <c r="B56" s="179">
        <f>IFERROR(MATCH(C56,'CFL &amp; Incand Cost Development'!$A$8:$A$290,0),0)</f>
        <v>12</v>
      </c>
      <c r="C56" s="111" t="s">
        <v>184</v>
      </c>
      <c r="D56" s="111">
        <f>INDEX('CFL &amp; Incand Cost Development'!AM$8:AM$290,$B56)</f>
        <v>10.078592014857454</v>
      </c>
      <c r="E56" s="111">
        <f>INDEX('CFL &amp; Incand Cost Development'!AN$8:AN$290,$B56)</f>
        <v>11.923592014857455</v>
      </c>
      <c r="F56" s="111">
        <f>INDEX('CFL &amp; Incand Cost Development'!AO$8:AO$290,$B56)</f>
        <v>10.118492014857456</v>
      </c>
      <c r="G56" s="111">
        <f>INDEX('CFL &amp; Incand Cost Development'!AP$8:AP$290,$B56)</f>
        <v>10.118492014857456</v>
      </c>
      <c r="H56" s="111">
        <f>INDEX('CFL &amp; Incand Cost Development'!AQ$8:AQ$290,$B56)</f>
        <v>8.9896920148574555</v>
      </c>
      <c r="I56" s="103"/>
      <c r="J56" s="183" t="str">
        <f>INDEX('CFL &amp; Incand Cost Development'!BS$8:BS$290,$B56)</f>
        <v>WRR0347_CFLscw-3way(18w)</v>
      </c>
      <c r="K56" s="250">
        <f>INDEX('CFL &amp; Incand Cost Development'!BT$8:BT$290,$B56)</f>
        <v>62</v>
      </c>
      <c r="L56" s="250">
        <f>INDEX('CFL &amp; Incand Cost Development'!BU$8:BU$290,$B56)</f>
        <v>1.6586000000000007</v>
      </c>
      <c r="M56" s="250">
        <f>INDEX('CFL &amp; Incand Cost Development'!BV$8:BV$290,$B56)</f>
        <v>4.1216000000000008</v>
      </c>
      <c r="N56" s="250">
        <f>INDEX('CFL &amp; Incand Cost Development'!BW$8:BW$290,$B56)</f>
        <v>2.4316000000000009</v>
      </c>
      <c r="O56" s="250">
        <f>INDEX('CFL &amp; Incand Cost Development'!BX$8:BX$290,$B56)</f>
        <v>1.271600000000001</v>
      </c>
      <c r="P56" s="250">
        <f>INDEX('CFL &amp; Incand Cost Development'!BY$8:BY$290,$B56)</f>
        <v>1.271600000000001</v>
      </c>
      <c r="Q56" s="103"/>
      <c r="R56" s="103"/>
      <c r="S56" s="103" t="str">
        <f t="shared" si="13"/>
        <v>Std_CFLscw-3way(18w)_60pInc-r0248</v>
      </c>
      <c r="T56" s="111">
        <f t="shared" si="14"/>
        <v>5.0265968059429822</v>
      </c>
      <c r="U56" s="111">
        <f t="shared" si="15"/>
        <v>7.2423968059429829</v>
      </c>
      <c r="V56" s="111">
        <f t="shared" si="16"/>
        <v>5.5063568059429828</v>
      </c>
      <c r="W56" s="111">
        <f t="shared" si="17"/>
        <v>4.8103568059429831</v>
      </c>
      <c r="X56" s="111">
        <f t="shared" si="18"/>
        <v>4.3588368059429827</v>
      </c>
      <c r="Y56" s="103"/>
      <c r="Z56" s="103"/>
      <c r="AA56" s="103" t="str">
        <f t="shared" si="19"/>
        <v>CFLratio0248</v>
      </c>
      <c r="AB56" s="103" t="str">
        <f t="shared" si="11"/>
        <v>CFLscw-3way(18w)CFLratio0248</v>
      </c>
      <c r="AC56" s="103"/>
      <c r="AD56" s="108">
        <f t="shared" si="12"/>
        <v>5.0519952089144722</v>
      </c>
      <c r="AE56" s="108">
        <f t="shared" si="7"/>
        <v>4.6811952089144722</v>
      </c>
      <c r="AF56" s="108">
        <f t="shared" si="8"/>
        <v>4.6121352089144727</v>
      </c>
      <c r="AG56" s="108">
        <f t="shared" si="9"/>
        <v>5.3081352089144724</v>
      </c>
      <c r="AH56" s="108">
        <f t="shared" si="10"/>
        <v>4.6308552089144728</v>
      </c>
    </row>
    <row r="57" spans="2:34">
      <c r="B57" s="179">
        <f>IFERROR(MATCH(C57,'CFL &amp; Incand Cost Development'!$A$8:$A$290,0),0)</f>
        <v>13</v>
      </c>
      <c r="C57" s="111" t="s">
        <v>186</v>
      </c>
      <c r="D57" s="111">
        <f>INDEX('CFL &amp; Incand Cost Development'!AM$8:AM$290,$B57)</f>
        <v>10.145092014857454</v>
      </c>
      <c r="E57" s="111">
        <f>INDEX('CFL &amp; Incand Cost Development'!AN$8:AN$290,$B57)</f>
        <v>11.990092014857455</v>
      </c>
      <c r="F57" s="111">
        <f>INDEX('CFL &amp; Incand Cost Development'!AO$8:AO$290,$B57)</f>
        <v>10.184992014857455</v>
      </c>
      <c r="G57" s="111">
        <f>INDEX('CFL &amp; Incand Cost Development'!AP$8:AP$290,$B57)</f>
        <v>10.184992014857455</v>
      </c>
      <c r="H57" s="111">
        <f>INDEX('CFL &amp; Incand Cost Development'!AQ$8:AQ$290,$B57)</f>
        <v>9.0561920148574551</v>
      </c>
      <c r="I57" s="103"/>
      <c r="J57" s="183" t="str">
        <f>INDEX('CFL &amp; Incand Cost Development'!BS$8:BS$290,$B57)</f>
        <v>WRR0347_CFLscw-3way(19w)</v>
      </c>
      <c r="K57" s="250">
        <f>INDEX('CFL &amp; Incand Cost Development'!BT$8:BT$290,$B57)</f>
        <v>66</v>
      </c>
      <c r="L57" s="250">
        <f>INDEX('CFL &amp; Incand Cost Development'!BU$8:BU$290,$B57)</f>
        <v>1.6954000000000002</v>
      </c>
      <c r="M57" s="250">
        <f>INDEX('CFL &amp; Incand Cost Development'!BV$8:BV$290,$B57)</f>
        <v>4.1584000000000003</v>
      </c>
      <c r="N57" s="250">
        <f>INDEX('CFL &amp; Incand Cost Development'!BW$8:BW$290,$B57)</f>
        <v>2.4684000000000004</v>
      </c>
      <c r="O57" s="250">
        <f>INDEX('CFL &amp; Incand Cost Development'!BX$8:BX$290,$B57)</f>
        <v>1.3084000000000005</v>
      </c>
      <c r="P57" s="250">
        <f>INDEX('CFL &amp; Incand Cost Development'!BY$8:BY$290,$B57)</f>
        <v>1.3084000000000005</v>
      </c>
      <c r="Q57" s="103"/>
      <c r="R57" s="103"/>
      <c r="S57" s="103" t="str">
        <f t="shared" si="13"/>
        <v>Std_CFLscw-3way(19w)_60pInc-r0248</v>
      </c>
      <c r="T57" s="111">
        <f t="shared" si="14"/>
        <v>5.0752768059429823</v>
      </c>
      <c r="U57" s="111">
        <f t="shared" si="15"/>
        <v>7.291076805942982</v>
      </c>
      <c r="V57" s="111">
        <f t="shared" si="16"/>
        <v>5.555036805942982</v>
      </c>
      <c r="W57" s="111">
        <f t="shared" si="17"/>
        <v>4.8590368059429823</v>
      </c>
      <c r="X57" s="111">
        <f t="shared" si="18"/>
        <v>4.4075168059429828</v>
      </c>
      <c r="Y57" s="103"/>
      <c r="Z57" s="103"/>
      <c r="AA57" s="103" t="str">
        <f t="shared" si="19"/>
        <v>CFLratio0248</v>
      </c>
      <c r="AB57" s="103" t="str">
        <f t="shared" si="11"/>
        <v>CFLscw-3way(19w)CFLratio0248</v>
      </c>
      <c r="AC57" s="103"/>
      <c r="AD57" s="108">
        <f t="shared" si="12"/>
        <v>5.0698152089144717</v>
      </c>
      <c r="AE57" s="108">
        <f t="shared" si="7"/>
        <v>4.6990152089144726</v>
      </c>
      <c r="AF57" s="108">
        <f t="shared" si="8"/>
        <v>4.6299552089144731</v>
      </c>
      <c r="AG57" s="108">
        <f t="shared" si="9"/>
        <v>5.3259552089144728</v>
      </c>
      <c r="AH57" s="108">
        <f t="shared" si="10"/>
        <v>4.6486752089144723</v>
      </c>
    </row>
    <row r="58" spans="2:34">
      <c r="B58" s="179">
        <f>IFERROR(MATCH(C58,'CFL &amp; Incand Cost Development'!$A$8:$A$290,0),0)</f>
        <v>14</v>
      </c>
      <c r="C58" s="111" t="s">
        <v>188</v>
      </c>
      <c r="D58" s="111">
        <f>INDEX('CFL &amp; Incand Cost Development'!AM$8:AM$290,$B58)</f>
        <v>10.211592014857453</v>
      </c>
      <c r="E58" s="111">
        <f>INDEX('CFL &amp; Incand Cost Development'!AN$8:AN$290,$B58)</f>
        <v>12.056592014857454</v>
      </c>
      <c r="F58" s="111">
        <f>INDEX('CFL &amp; Incand Cost Development'!AO$8:AO$290,$B58)</f>
        <v>10.251492014857455</v>
      </c>
      <c r="G58" s="111">
        <f>INDEX('CFL &amp; Incand Cost Development'!AP$8:AP$290,$B58)</f>
        <v>10.251492014857455</v>
      </c>
      <c r="H58" s="111">
        <f>INDEX('CFL &amp; Incand Cost Development'!AQ$8:AQ$290,$B58)</f>
        <v>9.1226920148574546</v>
      </c>
      <c r="I58" s="103"/>
      <c r="J58" s="183" t="str">
        <f>INDEX('CFL &amp; Incand Cost Development'!BS$8:BS$290,$B58)</f>
        <v>WRR0347_CFLscw-3way(20w)</v>
      </c>
      <c r="K58" s="250">
        <f>INDEX('CFL &amp; Incand Cost Development'!BT$8:BT$290,$B58)</f>
        <v>69</v>
      </c>
      <c r="L58" s="250">
        <f>INDEX('CFL &amp; Incand Cost Development'!BU$8:BU$290,$B58)</f>
        <v>1.7229999999999999</v>
      </c>
      <c r="M58" s="250">
        <f>INDEX('CFL &amp; Incand Cost Development'!BV$8:BV$290,$B58)</f>
        <v>4.1859999999999999</v>
      </c>
      <c r="N58" s="250">
        <f>INDEX('CFL &amp; Incand Cost Development'!BW$8:BW$290,$B58)</f>
        <v>2.496</v>
      </c>
      <c r="O58" s="250">
        <f>INDEX('CFL &amp; Incand Cost Development'!BX$8:BX$290,$B58)</f>
        <v>1.3360000000000001</v>
      </c>
      <c r="P58" s="250">
        <f>INDEX('CFL &amp; Incand Cost Development'!BY$8:BY$290,$B58)</f>
        <v>1.3360000000000001</v>
      </c>
      <c r="Q58" s="103"/>
      <c r="R58" s="103"/>
      <c r="S58" s="103" t="str">
        <f t="shared" si="13"/>
        <v>Std_CFLscw-3way(20w)_60pInc-r0248</v>
      </c>
      <c r="T58" s="111">
        <f t="shared" si="14"/>
        <v>5.1184368059429808</v>
      </c>
      <c r="U58" s="111">
        <f t="shared" si="15"/>
        <v>7.3342368059429823</v>
      </c>
      <c r="V58" s="111">
        <f t="shared" si="16"/>
        <v>5.5981968059429823</v>
      </c>
      <c r="W58" s="111">
        <f t="shared" si="17"/>
        <v>4.9021968059429817</v>
      </c>
      <c r="X58" s="111">
        <f t="shared" si="18"/>
        <v>4.4506768059429822</v>
      </c>
      <c r="Y58" s="103"/>
      <c r="Z58" s="103"/>
      <c r="AA58" s="103" t="str">
        <f t="shared" si="19"/>
        <v>CFLratio0248</v>
      </c>
      <c r="AB58" s="103" t="str">
        <f t="shared" si="11"/>
        <v>CFLscw-3way(20w)CFLratio0248</v>
      </c>
      <c r="AC58" s="103"/>
      <c r="AD58" s="108">
        <f t="shared" si="12"/>
        <v>5.0931552089144727</v>
      </c>
      <c r="AE58" s="108">
        <f t="shared" si="7"/>
        <v>4.7223552089144718</v>
      </c>
      <c r="AF58" s="108">
        <f t="shared" si="8"/>
        <v>4.6532952089144723</v>
      </c>
      <c r="AG58" s="108">
        <f t="shared" si="9"/>
        <v>5.349295208914473</v>
      </c>
      <c r="AH58" s="108">
        <f t="shared" si="10"/>
        <v>4.6720152089144724</v>
      </c>
    </row>
    <row r="59" spans="2:34">
      <c r="B59" s="179">
        <f>IFERROR(MATCH(C59,'CFL &amp; Incand Cost Development'!$A$8:$A$290,0),0)</f>
        <v>15</v>
      </c>
      <c r="C59" s="111" t="s">
        <v>190</v>
      </c>
      <c r="D59" s="111">
        <f>INDEX('CFL &amp; Incand Cost Development'!AM$8:AM$290,$B59)</f>
        <v>10.278092014857453</v>
      </c>
      <c r="E59" s="111">
        <f>INDEX('CFL &amp; Incand Cost Development'!AN$8:AN$290,$B59)</f>
        <v>12.123092014857454</v>
      </c>
      <c r="F59" s="111">
        <f>INDEX('CFL &amp; Incand Cost Development'!AO$8:AO$290,$B59)</f>
        <v>10.317992014857454</v>
      </c>
      <c r="G59" s="111">
        <f>INDEX('CFL &amp; Incand Cost Development'!AP$8:AP$290,$B59)</f>
        <v>10.317992014857454</v>
      </c>
      <c r="H59" s="111">
        <f>INDEX('CFL &amp; Incand Cost Development'!AQ$8:AQ$290,$B59)</f>
        <v>9.1891920148574542</v>
      </c>
      <c r="I59" s="103"/>
      <c r="J59" s="183" t="str">
        <f>INDEX('CFL &amp; Incand Cost Development'!BS$8:BS$290,$B59)</f>
        <v>WRR0347_CFLscw-3way(21w)</v>
      </c>
      <c r="K59" s="250">
        <f>INDEX('CFL &amp; Incand Cost Development'!BT$8:BT$290,$B59)</f>
        <v>73</v>
      </c>
      <c r="L59" s="250">
        <f>INDEX('CFL &amp; Incand Cost Development'!BU$8:BU$290,$B59)</f>
        <v>1.7598000000000003</v>
      </c>
      <c r="M59" s="250">
        <f>INDEX('CFL &amp; Incand Cost Development'!BV$8:BV$290,$B59)</f>
        <v>4.2228000000000003</v>
      </c>
      <c r="N59" s="250">
        <f>INDEX('CFL &amp; Incand Cost Development'!BW$8:BW$290,$B59)</f>
        <v>2.5328000000000004</v>
      </c>
      <c r="O59" s="250">
        <f>INDEX('CFL &amp; Incand Cost Development'!BX$8:BX$290,$B59)</f>
        <v>1.3728000000000005</v>
      </c>
      <c r="P59" s="250">
        <f>INDEX('CFL &amp; Incand Cost Development'!BY$8:BY$290,$B59)</f>
        <v>1.3728000000000005</v>
      </c>
      <c r="Q59" s="103"/>
      <c r="R59" s="103"/>
      <c r="S59" s="103" t="str">
        <f t="shared" si="13"/>
        <v>Std_CFLscw-3way(21w)_60pInc-r0248</v>
      </c>
      <c r="T59" s="111">
        <f t="shared" si="14"/>
        <v>5.1671168059429817</v>
      </c>
      <c r="U59" s="111">
        <f t="shared" si="15"/>
        <v>7.3829168059429815</v>
      </c>
      <c r="V59" s="111">
        <f t="shared" si="16"/>
        <v>5.6468768059429824</v>
      </c>
      <c r="W59" s="111">
        <f t="shared" si="17"/>
        <v>4.9508768059429826</v>
      </c>
      <c r="X59" s="111">
        <f t="shared" si="18"/>
        <v>4.4993568059429823</v>
      </c>
      <c r="Y59" s="103"/>
      <c r="Z59" s="103"/>
      <c r="AA59" s="103" t="str">
        <f t="shared" si="19"/>
        <v>CFLratio0248</v>
      </c>
      <c r="AB59" s="103" t="str">
        <f t="shared" si="11"/>
        <v>CFLscw-3way(21w)CFLratio0248</v>
      </c>
      <c r="AC59" s="103"/>
      <c r="AD59" s="108">
        <f t="shared" si="12"/>
        <v>5.1109752089144713</v>
      </c>
      <c r="AE59" s="108">
        <f t="shared" si="7"/>
        <v>4.7401752089144722</v>
      </c>
      <c r="AF59" s="108">
        <f t="shared" si="8"/>
        <v>4.6711152089144719</v>
      </c>
      <c r="AG59" s="108">
        <f t="shared" si="9"/>
        <v>5.3671152089144716</v>
      </c>
      <c r="AH59" s="108">
        <f t="shared" si="10"/>
        <v>4.6898352089144719</v>
      </c>
    </row>
    <row r="60" spans="2:34">
      <c r="B60" s="179">
        <f>IFERROR(MATCH(C60,'CFL &amp; Incand Cost Development'!$A$8:$A$290,0),0)</f>
        <v>16</v>
      </c>
      <c r="C60" s="111" t="s">
        <v>192</v>
      </c>
      <c r="D60" s="111">
        <f>INDEX('CFL &amp; Incand Cost Development'!AM$8:AM$290,$B60)</f>
        <v>10.344592014857453</v>
      </c>
      <c r="E60" s="111">
        <f>INDEX('CFL &amp; Incand Cost Development'!AN$8:AN$290,$B60)</f>
        <v>12.189592014857453</v>
      </c>
      <c r="F60" s="111">
        <f>INDEX('CFL &amp; Incand Cost Development'!AO$8:AO$290,$B60)</f>
        <v>10.384492014857454</v>
      </c>
      <c r="G60" s="111">
        <f>INDEX('CFL &amp; Incand Cost Development'!AP$8:AP$290,$B60)</f>
        <v>10.384492014857454</v>
      </c>
      <c r="H60" s="111">
        <f>INDEX('CFL &amp; Incand Cost Development'!AQ$8:AQ$290,$B60)</f>
        <v>9.2556920148574537</v>
      </c>
      <c r="I60" s="103"/>
      <c r="J60" s="183" t="str">
        <f>INDEX('CFL &amp; Incand Cost Development'!BS$8:BS$290,$B60)</f>
        <v>WRR0347_CFLscw-3way(22w)</v>
      </c>
      <c r="K60" s="250">
        <f>INDEX('CFL &amp; Incand Cost Development'!BT$8:BT$290,$B60)</f>
        <v>76</v>
      </c>
      <c r="L60" s="250">
        <f>INDEX('CFL &amp; Incand Cost Development'!BU$8:BU$290,$B60)</f>
        <v>1.7786000000000008</v>
      </c>
      <c r="M60" s="250">
        <f>INDEX('CFL &amp; Incand Cost Development'!BV$8:BV$290,$B60)</f>
        <v>4.2416000000000009</v>
      </c>
      <c r="N60" s="250">
        <f>INDEX('CFL &amp; Incand Cost Development'!BW$8:BW$290,$B60)</f>
        <v>2.551600000000001</v>
      </c>
      <c r="O60" s="250">
        <f>INDEX('CFL &amp; Incand Cost Development'!BX$8:BX$290,$B60)</f>
        <v>1.3916000000000011</v>
      </c>
      <c r="P60" s="250">
        <f>INDEX('CFL &amp; Incand Cost Development'!BY$8:BY$290,$B60)</f>
        <v>1.3916000000000011</v>
      </c>
      <c r="Q60" s="103"/>
      <c r="R60" s="103"/>
      <c r="S60" s="103" t="str">
        <f t="shared" si="13"/>
        <v>Std_CFLscw-3way(22w)_60pInc-r0248</v>
      </c>
      <c r="T60" s="111">
        <f t="shared" si="14"/>
        <v>5.2049968059429812</v>
      </c>
      <c r="U60" s="111">
        <f t="shared" si="15"/>
        <v>7.4207968059429819</v>
      </c>
      <c r="V60" s="111">
        <f t="shared" si="16"/>
        <v>5.6847568059429818</v>
      </c>
      <c r="W60" s="111">
        <f t="shared" si="17"/>
        <v>4.9887568059429821</v>
      </c>
      <c r="X60" s="111">
        <f t="shared" si="18"/>
        <v>4.5372368059429817</v>
      </c>
      <c r="Y60" s="103"/>
      <c r="Z60" s="103"/>
      <c r="AA60" s="103" t="str">
        <f t="shared" si="19"/>
        <v>CFLratio0248</v>
      </c>
      <c r="AB60" s="103" t="str">
        <f t="shared" si="11"/>
        <v>CFLscw-3way(22w)CFLratio0248</v>
      </c>
      <c r="AC60" s="103"/>
      <c r="AD60" s="108">
        <f t="shared" si="12"/>
        <v>5.1395952089144714</v>
      </c>
      <c r="AE60" s="108">
        <f t="shared" si="7"/>
        <v>4.7687952089144714</v>
      </c>
      <c r="AF60" s="108">
        <f t="shared" si="8"/>
        <v>4.6997352089144719</v>
      </c>
      <c r="AG60" s="108">
        <f t="shared" si="9"/>
        <v>5.3957352089144717</v>
      </c>
      <c r="AH60" s="108">
        <f t="shared" si="10"/>
        <v>4.718455208914472</v>
      </c>
    </row>
    <row r="61" spans="2:34">
      <c r="B61" s="179">
        <f>IFERROR(MATCH(C61,'CFL &amp; Incand Cost Development'!$A$8:$A$290,0),0)</f>
        <v>17</v>
      </c>
      <c r="C61" s="111" t="s">
        <v>194</v>
      </c>
      <c r="D61" s="111">
        <f>INDEX('CFL &amp; Incand Cost Development'!AM$8:AM$290,$B61)</f>
        <v>10.411092014857454</v>
      </c>
      <c r="E61" s="111">
        <f>INDEX('CFL &amp; Incand Cost Development'!AN$8:AN$290,$B61)</f>
        <v>12.256092014857455</v>
      </c>
      <c r="F61" s="111">
        <f>INDEX('CFL &amp; Incand Cost Development'!AO$8:AO$290,$B61)</f>
        <v>10.450992014857455</v>
      </c>
      <c r="G61" s="111">
        <f>INDEX('CFL &amp; Incand Cost Development'!AP$8:AP$290,$B61)</f>
        <v>10.450992014857455</v>
      </c>
      <c r="H61" s="111">
        <f>INDEX('CFL &amp; Incand Cost Development'!AQ$8:AQ$290,$B61)</f>
        <v>9.3221920148574551</v>
      </c>
      <c r="I61" s="103"/>
      <c r="J61" s="183" t="str">
        <f>INDEX('CFL &amp; Incand Cost Development'!BS$8:BS$290,$B61)</f>
        <v>WRR0347_CFLscw-3way(23w)</v>
      </c>
      <c r="K61" s="250">
        <f>INDEX('CFL &amp; Incand Cost Development'!BT$8:BT$290,$B61)</f>
        <v>80</v>
      </c>
      <c r="L61" s="250">
        <f>INDEX('CFL &amp; Incand Cost Development'!BU$8:BU$290,$B61)</f>
        <v>1.7802000000000007</v>
      </c>
      <c r="M61" s="250">
        <f>INDEX('CFL &amp; Incand Cost Development'!BV$8:BV$290,$B61)</f>
        <v>4.2432000000000007</v>
      </c>
      <c r="N61" s="250">
        <f>INDEX('CFL &amp; Incand Cost Development'!BW$8:BW$290,$B61)</f>
        <v>2.5532000000000008</v>
      </c>
      <c r="O61" s="250">
        <f>INDEX('CFL &amp; Incand Cost Development'!BX$8:BX$290,$B61)</f>
        <v>1.3932000000000009</v>
      </c>
      <c r="P61" s="250">
        <f>INDEX('CFL &amp; Incand Cost Development'!BY$8:BY$290,$B61)</f>
        <v>1.3932000000000009</v>
      </c>
      <c r="Q61" s="103"/>
      <c r="R61" s="103"/>
      <c r="S61" s="103" t="str">
        <f t="shared" si="13"/>
        <v>Std_CFLscw-3way(23w)_60pInc-r0248</v>
      </c>
      <c r="T61" s="111">
        <f t="shared" si="14"/>
        <v>5.2325568059429823</v>
      </c>
      <c r="U61" s="111">
        <f t="shared" si="15"/>
        <v>7.4483568059429821</v>
      </c>
      <c r="V61" s="111">
        <f t="shared" si="16"/>
        <v>5.712316805942983</v>
      </c>
      <c r="W61" s="111">
        <f t="shared" si="17"/>
        <v>5.0163168059429832</v>
      </c>
      <c r="X61" s="111">
        <f t="shared" si="18"/>
        <v>4.5647968059429829</v>
      </c>
      <c r="Y61" s="103"/>
      <c r="Z61" s="103"/>
      <c r="AA61" s="103" t="str">
        <f t="shared" si="19"/>
        <v>CFLratio0248</v>
      </c>
      <c r="AB61" s="103" t="str">
        <f t="shared" si="11"/>
        <v>CFLscw-3way(23w)CFLratio0248</v>
      </c>
      <c r="AC61" s="103"/>
      <c r="AD61" s="108">
        <f t="shared" si="12"/>
        <v>5.1785352089144716</v>
      </c>
      <c r="AE61" s="108">
        <f t="shared" si="7"/>
        <v>4.8077352089144725</v>
      </c>
      <c r="AF61" s="108">
        <f t="shared" si="8"/>
        <v>4.7386752089144721</v>
      </c>
      <c r="AG61" s="108">
        <f t="shared" si="9"/>
        <v>5.4346752089144719</v>
      </c>
      <c r="AH61" s="108">
        <f t="shared" si="10"/>
        <v>4.7573952089144722</v>
      </c>
    </row>
    <row r="62" spans="2:34">
      <c r="B62" s="179">
        <f>IFERROR(MATCH(C62,'CFL &amp; Incand Cost Development'!$A$8:$A$290,0),0)</f>
        <v>18</v>
      </c>
      <c r="C62" s="111" t="s">
        <v>196</v>
      </c>
      <c r="D62" s="111">
        <f>INDEX('CFL &amp; Incand Cost Development'!AM$8:AM$290,$B62)</f>
        <v>10.477592014857454</v>
      </c>
      <c r="E62" s="111">
        <f>INDEX('CFL &amp; Incand Cost Development'!AN$8:AN$290,$B62)</f>
        <v>12.322592014857454</v>
      </c>
      <c r="F62" s="111">
        <f>INDEX('CFL &amp; Incand Cost Development'!AO$8:AO$290,$B62)</f>
        <v>10.517492014857455</v>
      </c>
      <c r="G62" s="111">
        <f>INDEX('CFL &amp; Incand Cost Development'!AP$8:AP$290,$B62)</f>
        <v>10.517492014857455</v>
      </c>
      <c r="H62" s="111">
        <f>INDEX('CFL &amp; Incand Cost Development'!AQ$8:AQ$290,$B62)</f>
        <v>9.3886920148574546</v>
      </c>
      <c r="I62" s="103"/>
      <c r="J62" s="183" t="str">
        <f>INDEX('CFL &amp; Incand Cost Development'!BS$8:BS$290,$B62)</f>
        <v>WRR0347_CFLscw-3way(24w)</v>
      </c>
      <c r="K62" s="250">
        <f>INDEX('CFL &amp; Incand Cost Development'!BT$8:BT$290,$B62)</f>
        <v>83</v>
      </c>
      <c r="L62" s="250">
        <f>INDEX('CFL &amp; Incand Cost Development'!BU$8:BU$290,$B62)</f>
        <v>1.7813999999999997</v>
      </c>
      <c r="M62" s="250">
        <f>INDEX('CFL &amp; Incand Cost Development'!BV$8:BV$290,$B62)</f>
        <v>4.2443999999999997</v>
      </c>
      <c r="N62" s="250">
        <f>INDEX('CFL &amp; Incand Cost Development'!BW$8:BW$290,$B62)</f>
        <v>2.5543999999999998</v>
      </c>
      <c r="O62" s="250">
        <f>INDEX('CFL &amp; Incand Cost Development'!BX$8:BX$290,$B62)</f>
        <v>1.3943999999999999</v>
      </c>
      <c r="P62" s="250">
        <f>INDEX('CFL &amp; Incand Cost Development'!BY$8:BY$290,$B62)</f>
        <v>1.3943999999999999</v>
      </c>
      <c r="Q62" s="103"/>
      <c r="R62" s="103"/>
      <c r="S62" s="103" t="str">
        <f t="shared" si="13"/>
        <v>Std_CFLscw-3way(24w)_60pInc-r0248</v>
      </c>
      <c r="T62" s="111">
        <f t="shared" si="14"/>
        <v>5.259876805942981</v>
      </c>
      <c r="U62" s="111">
        <f t="shared" si="15"/>
        <v>7.4756768059429817</v>
      </c>
      <c r="V62" s="111">
        <f t="shared" si="16"/>
        <v>5.7396368059429816</v>
      </c>
      <c r="W62" s="111">
        <f t="shared" si="17"/>
        <v>5.0436368059429819</v>
      </c>
      <c r="X62" s="111">
        <f t="shared" si="18"/>
        <v>4.5921168059429816</v>
      </c>
      <c r="Y62" s="103"/>
      <c r="Z62" s="103"/>
      <c r="AA62" s="103" t="str">
        <f t="shared" si="19"/>
        <v>CFLratio0248</v>
      </c>
      <c r="AB62" s="103" t="str">
        <f t="shared" si="11"/>
        <v>CFLscw-3way(24w)CFLratio0248</v>
      </c>
      <c r="AC62" s="103"/>
      <c r="AD62" s="108">
        <f t="shared" si="12"/>
        <v>5.2177152089144725</v>
      </c>
      <c r="AE62" s="108">
        <f t="shared" si="7"/>
        <v>4.8469152089144725</v>
      </c>
      <c r="AF62" s="108">
        <f t="shared" si="8"/>
        <v>4.777855208914473</v>
      </c>
      <c r="AG62" s="108">
        <f t="shared" si="9"/>
        <v>5.4738552089144727</v>
      </c>
      <c r="AH62" s="108">
        <f t="shared" si="10"/>
        <v>4.7965752089144731</v>
      </c>
    </row>
    <row r="63" spans="2:34">
      <c r="B63" s="179">
        <f>IFERROR(MATCH(C63,'CFL &amp; Incand Cost Development'!$A$8:$A$290,0),0)</f>
        <v>19</v>
      </c>
      <c r="C63" s="111" t="s">
        <v>198</v>
      </c>
      <c r="D63" s="111">
        <f>INDEX('CFL &amp; Incand Cost Development'!AM$8:AM$290,$B63)</f>
        <v>10.544092014857453</v>
      </c>
      <c r="E63" s="111">
        <f>INDEX('CFL &amp; Incand Cost Development'!AN$8:AN$290,$B63)</f>
        <v>12.389092014857454</v>
      </c>
      <c r="F63" s="111">
        <f>INDEX('CFL &amp; Incand Cost Development'!AO$8:AO$290,$B63)</f>
        <v>10.583992014857454</v>
      </c>
      <c r="G63" s="111">
        <f>INDEX('CFL &amp; Incand Cost Development'!AP$8:AP$290,$B63)</f>
        <v>10.583992014857454</v>
      </c>
      <c r="H63" s="111">
        <f>INDEX('CFL &amp; Incand Cost Development'!AQ$8:AQ$290,$B63)</f>
        <v>9.4551920148574542</v>
      </c>
      <c r="I63" s="103"/>
      <c r="J63" s="183" t="str">
        <f>INDEX('CFL &amp; Incand Cost Development'!BS$8:BS$290,$B63)</f>
        <v>WRR0347_CFLscw-3way(25w)</v>
      </c>
      <c r="K63" s="250">
        <f>INDEX('CFL &amp; Incand Cost Development'!BT$8:BT$290,$B63)</f>
        <v>87</v>
      </c>
      <c r="L63" s="250">
        <f>INDEX('CFL &amp; Incand Cost Development'!BU$8:BU$290,$B63)</f>
        <v>1.7830000000000004</v>
      </c>
      <c r="M63" s="250">
        <f>INDEX('CFL &amp; Incand Cost Development'!BV$8:BV$290,$B63)</f>
        <v>4.2460000000000004</v>
      </c>
      <c r="N63" s="250">
        <f>INDEX('CFL &amp; Incand Cost Development'!BW$8:BW$290,$B63)</f>
        <v>2.5560000000000005</v>
      </c>
      <c r="O63" s="250">
        <f>INDEX('CFL &amp; Incand Cost Development'!BX$8:BX$290,$B63)</f>
        <v>1.3960000000000006</v>
      </c>
      <c r="P63" s="250">
        <f>INDEX('CFL &amp; Incand Cost Development'!BY$8:BY$290,$B63)</f>
        <v>1.3960000000000006</v>
      </c>
      <c r="Q63" s="103"/>
      <c r="R63" s="103"/>
      <c r="S63" s="103" t="str">
        <f t="shared" si="13"/>
        <v>Std_CFLscw-3way(25w)_60pInc-r0248</v>
      </c>
      <c r="T63" s="111">
        <f t="shared" si="14"/>
        <v>5.2874368059429813</v>
      </c>
      <c r="U63" s="111">
        <f t="shared" si="15"/>
        <v>7.5032368059429819</v>
      </c>
      <c r="V63" s="111">
        <f t="shared" si="16"/>
        <v>5.7671968059429819</v>
      </c>
      <c r="W63" s="111">
        <f t="shared" si="17"/>
        <v>5.0711968059429822</v>
      </c>
      <c r="X63" s="111">
        <f t="shared" si="18"/>
        <v>4.6196768059429818</v>
      </c>
      <c r="Y63" s="103"/>
      <c r="Z63" s="103"/>
      <c r="AA63" s="103" t="str">
        <f t="shared" si="19"/>
        <v>CFLratio0248</v>
      </c>
      <c r="AB63" s="103" t="str">
        <f t="shared" si="11"/>
        <v>CFLscw-3way(25w)CFLratio0248</v>
      </c>
      <c r="AC63" s="103"/>
      <c r="AD63" s="108">
        <f t="shared" si="12"/>
        <v>5.2566552089144718</v>
      </c>
      <c r="AE63" s="108">
        <f t="shared" si="7"/>
        <v>4.8858552089144718</v>
      </c>
      <c r="AF63" s="108">
        <f t="shared" si="8"/>
        <v>4.8167952089144723</v>
      </c>
      <c r="AG63" s="108">
        <f t="shared" si="9"/>
        <v>5.5127952089144721</v>
      </c>
      <c r="AH63" s="108">
        <f t="shared" si="10"/>
        <v>4.8355152089144724</v>
      </c>
    </row>
    <row r="64" spans="2:34">
      <c r="B64" s="179">
        <f>IFERROR(MATCH(C64,'CFL &amp; Incand Cost Development'!$A$8:$A$290,0),0)</f>
        <v>20</v>
      </c>
      <c r="C64" s="111" t="s">
        <v>200</v>
      </c>
      <c r="D64" s="111">
        <f>INDEX('CFL &amp; Incand Cost Development'!AM$8:AM$290,$B64)</f>
        <v>10.704092014857455</v>
      </c>
      <c r="E64" s="111">
        <f>INDEX('CFL &amp; Incand Cost Development'!AN$8:AN$290,$B64)</f>
        <v>12.549092014857456</v>
      </c>
      <c r="F64" s="111">
        <f>INDEX('CFL &amp; Incand Cost Development'!AO$8:AO$290,$B64)</f>
        <v>10.743992014857454</v>
      </c>
      <c r="G64" s="111">
        <f>INDEX('CFL &amp; Incand Cost Development'!AP$8:AP$290,$B64)</f>
        <v>10.743992014857454</v>
      </c>
      <c r="H64" s="111">
        <f>INDEX('CFL &amp; Incand Cost Development'!AQ$8:AQ$290,$B64)</f>
        <v>9.6151920148574561</v>
      </c>
      <c r="I64" s="103"/>
      <c r="J64" s="183" t="str">
        <f>INDEX('CFL &amp; Incand Cost Development'!BS$8:BS$290,$B64)</f>
        <v>WRR0347_CFLscw-3way(26w)</v>
      </c>
      <c r="K64" s="250">
        <f>INDEX('CFL &amp; Incand Cost Development'!BT$8:BT$290,$B64)</f>
        <v>90</v>
      </c>
      <c r="L64" s="250">
        <f>INDEX('CFL &amp; Incand Cost Development'!BU$8:BU$290,$B64)</f>
        <v>1.7842000000000011</v>
      </c>
      <c r="M64" s="250">
        <f>INDEX('CFL &amp; Incand Cost Development'!BV$8:BV$290,$B64)</f>
        <v>4.2472000000000012</v>
      </c>
      <c r="N64" s="250">
        <f>INDEX('CFL &amp; Incand Cost Development'!BW$8:BW$290,$B64)</f>
        <v>2.5572000000000012</v>
      </c>
      <c r="O64" s="250">
        <f>INDEX('CFL &amp; Incand Cost Development'!BX$8:BX$290,$B64)</f>
        <v>1.3972000000000013</v>
      </c>
      <c r="P64" s="250">
        <f>INDEX('CFL &amp; Incand Cost Development'!BY$8:BY$290,$B64)</f>
        <v>1.3972000000000013</v>
      </c>
      <c r="Q64" s="103"/>
      <c r="R64" s="103"/>
      <c r="S64" s="103" t="str">
        <f t="shared" si="13"/>
        <v>Std_CFLscw-3way(26w)_60pInc-r0248</v>
      </c>
      <c r="T64" s="111">
        <f t="shared" si="14"/>
        <v>5.3521568059429825</v>
      </c>
      <c r="U64" s="111">
        <f t="shared" si="15"/>
        <v>7.567956805942984</v>
      </c>
      <c r="V64" s="111">
        <f t="shared" si="16"/>
        <v>5.8319168059429831</v>
      </c>
      <c r="W64" s="111">
        <f t="shared" si="17"/>
        <v>5.1359168059429825</v>
      </c>
      <c r="X64" s="111">
        <f t="shared" si="18"/>
        <v>4.684396805942983</v>
      </c>
      <c r="Y64" s="103"/>
      <c r="Z64" s="103"/>
      <c r="AA64" s="103" t="str">
        <f t="shared" si="19"/>
        <v>CFLratio0248</v>
      </c>
      <c r="AB64" s="103" t="str">
        <f t="shared" si="11"/>
        <v>CFLscw-3way(26w)CFLratio0248</v>
      </c>
      <c r="AC64" s="103"/>
      <c r="AD64" s="108">
        <f t="shared" si="12"/>
        <v>5.3519352089144725</v>
      </c>
      <c r="AE64" s="108">
        <f t="shared" si="7"/>
        <v>4.9811352089144716</v>
      </c>
      <c r="AF64" s="108">
        <f t="shared" si="8"/>
        <v>4.9120752089144712</v>
      </c>
      <c r="AG64" s="108">
        <f t="shared" si="9"/>
        <v>5.6080752089144719</v>
      </c>
      <c r="AH64" s="108">
        <f t="shared" si="10"/>
        <v>4.9307952089144731</v>
      </c>
    </row>
    <row r="65" spans="2:34">
      <c r="B65" s="179">
        <f>IFERROR(MATCH(C65,'CFL &amp; Incand Cost Development'!$A$8:$A$290,0),0)</f>
        <v>21</v>
      </c>
      <c r="C65" s="111" t="s">
        <v>202</v>
      </c>
      <c r="D65" s="111">
        <f>INDEX('CFL &amp; Incand Cost Development'!AM$8:AM$290,$B65)</f>
        <v>10.864092014857455</v>
      </c>
      <c r="E65" s="111">
        <f>INDEX('CFL &amp; Incand Cost Development'!AN$8:AN$290,$B65)</f>
        <v>12.709092014857454</v>
      </c>
      <c r="F65" s="111">
        <f>INDEX('CFL &amp; Incand Cost Development'!AO$8:AO$290,$B65)</f>
        <v>10.903992014857455</v>
      </c>
      <c r="G65" s="111">
        <f>INDEX('CFL &amp; Incand Cost Development'!AP$8:AP$290,$B65)</f>
        <v>10.903992014857455</v>
      </c>
      <c r="H65" s="111">
        <f>INDEX('CFL &amp; Incand Cost Development'!AQ$8:AQ$290,$B65)</f>
        <v>9.7751920148574545</v>
      </c>
      <c r="I65" s="103"/>
      <c r="J65" s="183" t="str">
        <f>INDEX('CFL &amp; Incand Cost Development'!BS$8:BS$290,$B65)</f>
        <v>WRR0347_CFLscw-3way(27w)</v>
      </c>
      <c r="K65" s="250">
        <f>INDEX('CFL &amp; Incand Cost Development'!BT$8:BT$290,$B65)</f>
        <v>94</v>
      </c>
      <c r="L65" s="250">
        <f>INDEX('CFL &amp; Incand Cost Development'!BU$8:BU$290,$B65)</f>
        <v>1.7858000000000001</v>
      </c>
      <c r="M65" s="250">
        <f>INDEX('CFL &amp; Incand Cost Development'!BV$8:BV$290,$B65)</f>
        <v>4.2488000000000001</v>
      </c>
      <c r="N65" s="250">
        <f>INDEX('CFL &amp; Incand Cost Development'!BW$8:BW$290,$B65)</f>
        <v>2.5588000000000002</v>
      </c>
      <c r="O65" s="250">
        <f>INDEX('CFL &amp; Incand Cost Development'!BX$8:BX$290,$B65)</f>
        <v>1.3988000000000003</v>
      </c>
      <c r="P65" s="250">
        <f>INDEX('CFL &amp; Incand Cost Development'!BY$8:BY$290,$B65)</f>
        <v>1.3988000000000003</v>
      </c>
      <c r="Q65" s="103"/>
      <c r="R65" s="103"/>
      <c r="S65" s="103" t="str">
        <f t="shared" si="13"/>
        <v>Std_CFLscw-3way(27w)_60pInc-r0248</v>
      </c>
      <c r="T65" s="111">
        <f t="shared" si="14"/>
        <v>5.4171168059429826</v>
      </c>
      <c r="U65" s="111">
        <f t="shared" si="15"/>
        <v>7.6329168059429815</v>
      </c>
      <c r="V65" s="111">
        <f t="shared" si="16"/>
        <v>5.8968768059429824</v>
      </c>
      <c r="W65" s="111">
        <f t="shared" si="17"/>
        <v>5.2008768059429826</v>
      </c>
      <c r="X65" s="111">
        <f t="shared" si="18"/>
        <v>4.7493568059429823</v>
      </c>
      <c r="Y65" s="103"/>
      <c r="Z65" s="103"/>
      <c r="AA65" s="103" t="str">
        <f t="shared" si="19"/>
        <v>CFLratio0248</v>
      </c>
      <c r="AB65" s="103" t="str">
        <f t="shared" si="11"/>
        <v>CFLscw-3way(27w)CFLratio0248</v>
      </c>
      <c r="AC65" s="103"/>
      <c r="AD65" s="108">
        <f t="shared" si="12"/>
        <v>5.4469752089144725</v>
      </c>
      <c r="AE65" s="108">
        <f t="shared" si="7"/>
        <v>5.0761752089144725</v>
      </c>
      <c r="AF65" s="108">
        <f t="shared" si="8"/>
        <v>5.0071152089144721</v>
      </c>
      <c r="AG65" s="108">
        <f t="shared" si="9"/>
        <v>5.7031152089144719</v>
      </c>
      <c r="AH65" s="108">
        <f t="shared" si="10"/>
        <v>5.0258352089144722</v>
      </c>
    </row>
    <row r="66" spans="2:34">
      <c r="B66" s="179">
        <f>IFERROR(MATCH(C66,'CFL &amp; Incand Cost Development'!$A$8:$A$290,0),0)</f>
        <v>22</v>
      </c>
      <c r="C66" s="111" t="s">
        <v>204</v>
      </c>
      <c r="D66" s="111">
        <f>INDEX('CFL &amp; Incand Cost Development'!AM$8:AM$290,$B66)</f>
        <v>11.024092014857453</v>
      </c>
      <c r="E66" s="111">
        <f>INDEX('CFL &amp; Incand Cost Development'!AN$8:AN$290,$B66)</f>
        <v>12.869092014857454</v>
      </c>
      <c r="F66" s="111">
        <f>INDEX('CFL &amp; Incand Cost Development'!AO$8:AO$290,$B66)</f>
        <v>11.063992014857455</v>
      </c>
      <c r="G66" s="111">
        <f>INDEX('CFL &amp; Incand Cost Development'!AP$8:AP$290,$B66)</f>
        <v>11.063992014857455</v>
      </c>
      <c r="H66" s="111">
        <f>INDEX('CFL &amp; Incand Cost Development'!AQ$8:AQ$290,$B66)</f>
        <v>9.9351920148574546</v>
      </c>
      <c r="I66" s="103"/>
      <c r="J66" s="183" t="str">
        <f>INDEX('CFL &amp; Incand Cost Development'!BS$8:BS$290,$B66)</f>
        <v>WRR0347_CFLscw-3way(28w)</v>
      </c>
      <c r="K66" s="250">
        <f>INDEX('CFL &amp; Incand Cost Development'!BT$8:BT$290,$B66)</f>
        <v>97</v>
      </c>
      <c r="L66" s="250">
        <f>INDEX('CFL &amp; Incand Cost Development'!BU$8:BU$290,$B66)</f>
        <v>1.7869999999999999</v>
      </c>
      <c r="M66" s="250">
        <f>INDEX('CFL &amp; Incand Cost Development'!BV$8:BV$290,$B66)</f>
        <v>4.25</v>
      </c>
      <c r="N66" s="250">
        <f>INDEX('CFL &amp; Incand Cost Development'!BW$8:BW$290,$B66)</f>
        <v>2.56</v>
      </c>
      <c r="O66" s="250">
        <f>INDEX('CFL &amp; Incand Cost Development'!BX$8:BX$290,$B66)</f>
        <v>1.4000000000000001</v>
      </c>
      <c r="P66" s="250">
        <f>INDEX('CFL &amp; Incand Cost Development'!BY$8:BY$290,$B66)</f>
        <v>1.4000000000000001</v>
      </c>
      <c r="Q66" s="103"/>
      <c r="R66" s="103"/>
      <c r="S66" s="103" t="str">
        <f t="shared" si="13"/>
        <v>Std_CFLscw-3way(28w)_60pInc-r0248</v>
      </c>
      <c r="T66" s="111">
        <f t="shared" si="14"/>
        <v>5.4818368059429812</v>
      </c>
      <c r="U66" s="111">
        <f t="shared" si="15"/>
        <v>7.6976368059429818</v>
      </c>
      <c r="V66" s="111">
        <f t="shared" si="16"/>
        <v>5.9615968059429818</v>
      </c>
      <c r="W66" s="111">
        <f t="shared" si="17"/>
        <v>5.2655968059429821</v>
      </c>
      <c r="X66" s="111">
        <f t="shared" si="18"/>
        <v>4.8140768059429817</v>
      </c>
      <c r="Y66" s="103"/>
      <c r="Z66" s="103"/>
      <c r="AA66" s="103" t="str">
        <f t="shared" si="19"/>
        <v>CFLratio0248</v>
      </c>
      <c r="AB66" s="103" t="str">
        <f t="shared" si="11"/>
        <v>CFLscw-3way(28w)CFLratio0248</v>
      </c>
      <c r="AC66" s="103"/>
      <c r="AD66" s="108">
        <f t="shared" si="12"/>
        <v>5.5422552089144723</v>
      </c>
      <c r="AE66" s="108">
        <f t="shared" si="7"/>
        <v>5.1714552089144723</v>
      </c>
      <c r="AF66" s="108">
        <f t="shared" si="8"/>
        <v>5.1023952089144728</v>
      </c>
      <c r="AG66" s="108">
        <f t="shared" si="9"/>
        <v>5.7983952089144726</v>
      </c>
      <c r="AH66" s="108">
        <f t="shared" si="10"/>
        <v>5.1211152089144729</v>
      </c>
    </row>
    <row r="67" spans="2:34">
      <c r="B67" s="179">
        <f>IFERROR(MATCH(C67,'CFL &amp; Incand Cost Development'!$A$8:$A$290,0),0)</f>
        <v>23</v>
      </c>
      <c r="C67" s="111" t="s">
        <v>206</v>
      </c>
      <c r="D67" s="111">
        <f>INDEX('CFL &amp; Incand Cost Development'!AM$8:AM$290,$B67)</f>
        <v>11.184092014857454</v>
      </c>
      <c r="E67" s="111">
        <f>INDEX('CFL &amp; Incand Cost Development'!AN$8:AN$290,$B67)</f>
        <v>13.029092014857454</v>
      </c>
      <c r="F67" s="111">
        <f>INDEX('CFL &amp; Incand Cost Development'!AO$8:AO$290,$B67)</f>
        <v>11.223992014857455</v>
      </c>
      <c r="G67" s="111">
        <f>INDEX('CFL &amp; Incand Cost Development'!AP$8:AP$290,$B67)</f>
        <v>11.223992014857455</v>
      </c>
      <c r="H67" s="111">
        <f>INDEX('CFL &amp; Incand Cost Development'!AQ$8:AQ$290,$B67)</f>
        <v>10.095192014857453</v>
      </c>
      <c r="I67" s="103"/>
      <c r="J67" s="183" t="str">
        <f>INDEX('CFL &amp; Incand Cost Development'!BS$8:BS$290,$B67)</f>
        <v>WRR0347_CFLscw-3way(29w)</v>
      </c>
      <c r="K67" s="250">
        <f>INDEX('CFL &amp; Incand Cost Development'!BT$8:BT$290,$B67)</f>
        <v>101</v>
      </c>
      <c r="L67" s="250">
        <f>INDEX('CFL &amp; Incand Cost Development'!BU$8:BU$290,$B67)</f>
        <v>1.7886000000000006</v>
      </c>
      <c r="M67" s="250">
        <f>INDEX('CFL &amp; Incand Cost Development'!BV$8:BV$290,$B67)</f>
        <v>4.2516000000000007</v>
      </c>
      <c r="N67" s="250">
        <f>INDEX('CFL &amp; Incand Cost Development'!BW$8:BW$290,$B67)</f>
        <v>2.5616000000000008</v>
      </c>
      <c r="O67" s="250">
        <f>INDEX('CFL &amp; Incand Cost Development'!BX$8:BX$290,$B67)</f>
        <v>1.4016000000000008</v>
      </c>
      <c r="P67" s="250">
        <f>INDEX('CFL &amp; Incand Cost Development'!BY$8:BY$290,$B67)</f>
        <v>1.4016000000000008</v>
      </c>
      <c r="Q67" s="103"/>
      <c r="R67" s="103"/>
      <c r="S67" s="103" t="str">
        <f t="shared" si="13"/>
        <v>Std_CFLscw-3way(29w)_60pInc-r0248</v>
      </c>
      <c r="T67" s="111">
        <f t="shared" si="14"/>
        <v>5.5467968059429822</v>
      </c>
      <c r="U67" s="111">
        <f t="shared" si="15"/>
        <v>7.762596805942982</v>
      </c>
      <c r="V67" s="111">
        <f t="shared" si="16"/>
        <v>6.0265568059429828</v>
      </c>
      <c r="W67" s="111">
        <f t="shared" si="17"/>
        <v>5.3305568059429831</v>
      </c>
      <c r="X67" s="111">
        <f t="shared" si="18"/>
        <v>4.8790368059429818</v>
      </c>
      <c r="Y67" s="103"/>
      <c r="Z67" s="103"/>
      <c r="AA67" s="103" t="str">
        <f t="shared" si="19"/>
        <v>CFLratio0248</v>
      </c>
      <c r="AB67" s="103" t="str">
        <f t="shared" si="11"/>
        <v>CFLscw-3way(29w)CFLratio0248</v>
      </c>
      <c r="AC67" s="103"/>
      <c r="AD67" s="108">
        <f t="shared" si="12"/>
        <v>5.6372952089144714</v>
      </c>
      <c r="AE67" s="108">
        <f t="shared" si="7"/>
        <v>5.2664952089144723</v>
      </c>
      <c r="AF67" s="108">
        <f t="shared" si="8"/>
        <v>5.197435208914472</v>
      </c>
      <c r="AG67" s="108">
        <f t="shared" si="9"/>
        <v>5.8934352089144717</v>
      </c>
      <c r="AH67" s="108">
        <f t="shared" si="10"/>
        <v>5.2161552089144712</v>
      </c>
    </row>
    <row r="68" spans="2:34">
      <c r="B68" s="179">
        <f>IFERROR(MATCH(C68,'CFL &amp; Incand Cost Development'!$A$8:$A$290,0),0)</f>
        <v>24</v>
      </c>
      <c r="C68" s="111" t="s">
        <v>208</v>
      </c>
      <c r="D68" s="111">
        <f>INDEX('CFL &amp; Incand Cost Development'!AM$8:AM$290,$B68)</f>
        <v>11.344092014857454</v>
      </c>
      <c r="E68" s="111">
        <f>INDEX('CFL &amp; Incand Cost Development'!AN$8:AN$290,$B68)</f>
        <v>13.189092014857453</v>
      </c>
      <c r="F68" s="111">
        <f>INDEX('CFL &amp; Incand Cost Development'!AO$8:AO$290,$B68)</f>
        <v>11.383992014857453</v>
      </c>
      <c r="G68" s="111">
        <f>INDEX('CFL &amp; Incand Cost Development'!AP$8:AP$290,$B68)</f>
        <v>11.383992014857453</v>
      </c>
      <c r="H68" s="111">
        <f>INDEX('CFL &amp; Incand Cost Development'!AQ$8:AQ$290,$B68)</f>
        <v>10.255192014857453</v>
      </c>
      <c r="I68" s="103"/>
      <c r="J68" s="183" t="str">
        <f>INDEX('CFL &amp; Incand Cost Development'!BS$8:BS$290,$B68)</f>
        <v>WRR0347_CFLscw-3way(30w)</v>
      </c>
      <c r="K68" s="250">
        <f>INDEX('CFL &amp; Incand Cost Development'!BT$8:BT$290,$B68)</f>
        <v>104</v>
      </c>
      <c r="L68" s="250">
        <f>INDEX('CFL &amp; Incand Cost Development'!BU$8:BU$290,$B68)</f>
        <v>1.7897999999999996</v>
      </c>
      <c r="M68" s="250">
        <f>INDEX('CFL &amp; Incand Cost Development'!BV$8:BV$290,$B68)</f>
        <v>4.2527999999999997</v>
      </c>
      <c r="N68" s="250">
        <f>INDEX('CFL &amp; Incand Cost Development'!BW$8:BW$290,$B68)</f>
        <v>2.5627999999999997</v>
      </c>
      <c r="O68" s="250">
        <f>INDEX('CFL &amp; Incand Cost Development'!BX$8:BX$290,$B68)</f>
        <v>1.4027999999999998</v>
      </c>
      <c r="P68" s="250">
        <f>INDEX('CFL &amp; Incand Cost Development'!BY$8:BY$290,$B68)</f>
        <v>1.4027999999999998</v>
      </c>
      <c r="Q68" s="103"/>
      <c r="R68" s="103"/>
      <c r="S68" s="103" t="str">
        <f t="shared" si="13"/>
        <v>Std_CFLscw-3way(30w)_60pInc-r0248</v>
      </c>
      <c r="T68" s="111">
        <f t="shared" si="14"/>
        <v>5.6115168059429816</v>
      </c>
      <c r="U68" s="111">
        <f t="shared" si="15"/>
        <v>7.8273168059429814</v>
      </c>
      <c r="V68" s="111">
        <f t="shared" si="16"/>
        <v>6.0912768059429814</v>
      </c>
      <c r="W68" s="111">
        <f t="shared" si="17"/>
        <v>5.3952768059429816</v>
      </c>
      <c r="X68" s="111">
        <f t="shared" si="18"/>
        <v>4.9437568059429813</v>
      </c>
      <c r="Y68" s="103"/>
      <c r="Z68" s="103"/>
      <c r="AA68" s="103" t="str">
        <f t="shared" si="19"/>
        <v>CFLratio0248</v>
      </c>
      <c r="AB68" s="103" t="str">
        <f t="shared" si="11"/>
        <v>CFLscw-3way(30w)CFLratio0248</v>
      </c>
      <c r="AC68" s="103"/>
      <c r="AD68" s="108">
        <f t="shared" si="12"/>
        <v>5.7325752089144721</v>
      </c>
      <c r="AE68" s="108">
        <f t="shared" si="7"/>
        <v>5.3617752089144712</v>
      </c>
      <c r="AF68" s="108">
        <f t="shared" si="8"/>
        <v>5.2927152089144718</v>
      </c>
      <c r="AG68" s="108">
        <f t="shared" si="9"/>
        <v>5.9887152089144715</v>
      </c>
      <c r="AH68" s="108">
        <f t="shared" si="10"/>
        <v>5.3114352089144719</v>
      </c>
    </row>
    <row r="69" spans="2:34">
      <c r="B69" s="179">
        <f>IFERROR(MATCH(C69,'CFL &amp; Incand Cost Development'!$A$8:$A$290,0),0)</f>
        <v>25</v>
      </c>
      <c r="C69" s="111" t="s">
        <v>210</v>
      </c>
      <c r="D69" s="111">
        <f>INDEX('CFL &amp; Incand Cost Development'!AM$8:AM$290,$B69)</f>
        <v>11.504092014857454</v>
      </c>
      <c r="E69" s="111">
        <f>INDEX('CFL &amp; Incand Cost Development'!AN$8:AN$290,$B69)</f>
        <v>13.349092014857455</v>
      </c>
      <c r="F69" s="111">
        <f>INDEX('CFL &amp; Incand Cost Development'!AO$8:AO$290,$B69)</f>
        <v>11.543992014857455</v>
      </c>
      <c r="G69" s="111">
        <f>INDEX('CFL &amp; Incand Cost Development'!AP$8:AP$290,$B69)</f>
        <v>11.543992014857455</v>
      </c>
      <c r="H69" s="111">
        <f>INDEX('CFL &amp; Incand Cost Development'!AQ$8:AQ$290,$B69)</f>
        <v>10.415192014857455</v>
      </c>
      <c r="I69" s="103"/>
      <c r="J69" s="183" t="str">
        <f>INDEX('CFL &amp; Incand Cost Development'!BS$8:BS$290,$B69)</f>
        <v>WRR0347_CFLscw-3way(31w)</v>
      </c>
      <c r="K69" s="250">
        <f>INDEX('CFL &amp; Incand Cost Development'!BT$8:BT$290,$B69)</f>
        <v>108</v>
      </c>
      <c r="L69" s="250">
        <f>INDEX('CFL &amp; Incand Cost Development'!BU$8:BU$290,$B69)</f>
        <v>1.7914000000000003</v>
      </c>
      <c r="M69" s="250">
        <f>INDEX('CFL &amp; Incand Cost Development'!BV$8:BV$290,$B69)</f>
        <v>4.2544000000000004</v>
      </c>
      <c r="N69" s="250">
        <f>INDEX('CFL &amp; Incand Cost Development'!BW$8:BW$290,$B69)</f>
        <v>2.5644000000000005</v>
      </c>
      <c r="O69" s="250">
        <f>INDEX('CFL &amp; Incand Cost Development'!BX$8:BX$290,$B69)</f>
        <v>1.4044000000000005</v>
      </c>
      <c r="P69" s="250">
        <f>INDEX('CFL &amp; Incand Cost Development'!BY$8:BY$290,$B69)</f>
        <v>1.4044000000000005</v>
      </c>
      <c r="Q69" s="103"/>
      <c r="R69" s="103"/>
      <c r="S69" s="103" t="str">
        <f t="shared" ref="S69:S100" si="20">IF(L69&lt;&gt;"OOS","Std_"&amp;MID(J69,9,99)&amp;"_60pInc-"&amp;VLOOKUP(LEFT(J69,7),$AK$4:$AL$6,2,FALSE),"")</f>
        <v>Std_CFLscw-3way(31w)_60pInc-r0248</v>
      </c>
      <c r="T69" s="111">
        <f t="shared" ref="T69:T100" si="21">IFERROR(0.6*L69+0.4*D69,"")</f>
        <v>5.6764768059429818</v>
      </c>
      <c r="U69" s="111">
        <f t="shared" ref="U69:U100" si="22">IFERROR(0.6*M69+0.4*E69,"")</f>
        <v>7.8922768059429824</v>
      </c>
      <c r="V69" s="111">
        <f t="shared" ref="V69:V100" si="23">IFERROR(0.6*N69+0.4*F69,"")</f>
        <v>6.1562368059429824</v>
      </c>
      <c r="W69" s="111">
        <f t="shared" ref="W69:W100" si="24">IFERROR(0.6*O69+0.4*G69,"")</f>
        <v>5.4602368059429827</v>
      </c>
      <c r="X69" s="111">
        <f t="shared" ref="X69:X100" si="25">IFERROR(0.6*P69+0.4*H69,"")</f>
        <v>5.0087168059429823</v>
      </c>
      <c r="Y69" s="103"/>
      <c r="Z69" s="103"/>
      <c r="AA69" s="103" t="str">
        <f t="shared" ref="AA69:AA100" si="26">VLOOKUP(LEFT(J69,7),$AK$4:$AM$6,3,FALSE)</f>
        <v>CFLratio0248</v>
      </c>
      <c r="AB69" s="103" t="str">
        <f t="shared" si="11"/>
        <v>CFLscw-3way(31w)CFLratio0248</v>
      </c>
      <c r="AC69" s="103"/>
      <c r="AD69" s="108">
        <f t="shared" si="12"/>
        <v>5.8276152089144722</v>
      </c>
      <c r="AE69" s="108">
        <f t="shared" ref="AE69:AE132" si="27">IFERROR(E69-U69,"")</f>
        <v>5.4568152089144721</v>
      </c>
      <c r="AF69" s="108">
        <f t="shared" ref="AF69:AF132" si="28">IFERROR(F69-V69,"")</f>
        <v>5.3877552089144727</v>
      </c>
      <c r="AG69" s="108">
        <f t="shared" ref="AG69:AG132" si="29">IFERROR(G69-W69,"")</f>
        <v>6.0837552089144724</v>
      </c>
      <c r="AH69" s="108">
        <f t="shared" ref="AH69:AH132" si="30">IFERROR(H69-X69,"")</f>
        <v>5.4064752089144728</v>
      </c>
    </row>
    <row r="70" spans="2:34">
      <c r="B70" s="179">
        <f>IFERROR(MATCH(C70,'CFL &amp; Incand Cost Development'!$A$8:$A$290,0),0)</f>
        <v>26</v>
      </c>
      <c r="C70" s="111" t="s">
        <v>212</v>
      </c>
      <c r="D70" s="111">
        <f>INDEX('CFL &amp; Incand Cost Development'!AM$8:AM$290,$B70)</f>
        <v>11.664092014857454</v>
      </c>
      <c r="E70" s="111">
        <f>INDEX('CFL &amp; Incand Cost Development'!AN$8:AN$290,$B70)</f>
        <v>13.509092014857455</v>
      </c>
      <c r="F70" s="111">
        <f>INDEX('CFL &amp; Incand Cost Development'!AO$8:AO$290,$B70)</f>
        <v>11.703992014857455</v>
      </c>
      <c r="G70" s="111">
        <f>INDEX('CFL &amp; Incand Cost Development'!AP$8:AP$290,$B70)</f>
        <v>11.703992014857455</v>
      </c>
      <c r="H70" s="111">
        <f>INDEX('CFL &amp; Incand Cost Development'!AQ$8:AQ$290,$B70)</f>
        <v>10.575192014857453</v>
      </c>
      <c r="I70" s="103"/>
      <c r="J70" s="183" t="str">
        <f>INDEX('CFL &amp; Incand Cost Development'!BS$8:BS$290,$B70)</f>
        <v>WRR0347_CFLscw-3way(32w)</v>
      </c>
      <c r="K70" s="250">
        <f>INDEX('CFL &amp; Incand Cost Development'!BT$8:BT$290,$B70)</f>
        <v>111</v>
      </c>
      <c r="L70" s="250">
        <f>INDEX('CFL &amp; Incand Cost Development'!BU$8:BU$290,$B70)</f>
        <v>1.7926000000000002</v>
      </c>
      <c r="M70" s="250">
        <f>INDEX('CFL &amp; Incand Cost Development'!BV$8:BV$290,$B70)</f>
        <v>4.2556000000000003</v>
      </c>
      <c r="N70" s="250">
        <f>INDEX('CFL &amp; Incand Cost Development'!BW$8:BW$290,$B70)</f>
        <v>2.5656000000000003</v>
      </c>
      <c r="O70" s="250">
        <f>INDEX('CFL &amp; Incand Cost Development'!BX$8:BX$290,$B70)</f>
        <v>1.4056000000000004</v>
      </c>
      <c r="P70" s="250">
        <f>INDEX('CFL &amp; Incand Cost Development'!BY$8:BY$290,$B70)</f>
        <v>1.4056000000000004</v>
      </c>
      <c r="Q70" s="103"/>
      <c r="R70" s="103"/>
      <c r="S70" s="103" t="str">
        <f t="shared" si="20"/>
        <v>Std_CFLscw-3way(32w)_60pInc-r0248</v>
      </c>
      <c r="T70" s="111">
        <f t="shared" si="21"/>
        <v>5.7411968059429821</v>
      </c>
      <c r="U70" s="111">
        <f t="shared" si="22"/>
        <v>7.9569968059429819</v>
      </c>
      <c r="V70" s="111">
        <f t="shared" si="23"/>
        <v>6.2209568059429827</v>
      </c>
      <c r="W70" s="111">
        <f t="shared" si="24"/>
        <v>5.524956805942983</v>
      </c>
      <c r="X70" s="111">
        <f t="shared" si="25"/>
        <v>5.0734368059429817</v>
      </c>
      <c r="Y70" s="103"/>
      <c r="Z70" s="103"/>
      <c r="AA70" s="103" t="str">
        <f t="shared" si="26"/>
        <v>CFLratio0248</v>
      </c>
      <c r="AB70" s="103" t="str">
        <f t="shared" ref="AB70:AB133" si="31">C70&amp;AA70</f>
        <v>CFLscw-3way(32w)CFLratio0248</v>
      </c>
      <c r="AC70" s="103"/>
      <c r="AD70" s="108">
        <f t="shared" ref="AD70:AD133" si="32">IFERROR(D70-T70,"")</f>
        <v>5.922895208914472</v>
      </c>
      <c r="AE70" s="108">
        <f t="shared" si="27"/>
        <v>5.5520952089144728</v>
      </c>
      <c r="AF70" s="108">
        <f t="shared" si="28"/>
        <v>5.4830352089144725</v>
      </c>
      <c r="AG70" s="108">
        <f t="shared" si="29"/>
        <v>6.1790352089144722</v>
      </c>
      <c r="AH70" s="108">
        <f t="shared" si="30"/>
        <v>5.5017552089144717</v>
      </c>
    </row>
    <row r="71" spans="2:34">
      <c r="B71" s="179">
        <f>IFERROR(MATCH(C71,'CFL &amp; Incand Cost Development'!$A$8:$A$290,0),0)</f>
        <v>27</v>
      </c>
      <c r="C71" s="111" t="s">
        <v>214</v>
      </c>
      <c r="D71" s="111">
        <f>INDEX('CFL &amp; Incand Cost Development'!AM$8:AM$290,$B71)</f>
        <v>11.824092014857454</v>
      </c>
      <c r="E71" s="111">
        <f>INDEX('CFL &amp; Incand Cost Development'!AN$8:AN$290,$B71)</f>
        <v>13.669092014857453</v>
      </c>
      <c r="F71" s="111">
        <f>INDEX('CFL &amp; Incand Cost Development'!AO$8:AO$290,$B71)</f>
        <v>11.863992014857454</v>
      </c>
      <c r="G71" s="111">
        <f>INDEX('CFL &amp; Incand Cost Development'!AP$8:AP$290,$B71)</f>
        <v>11.863992014857454</v>
      </c>
      <c r="H71" s="111">
        <f>INDEX('CFL &amp; Incand Cost Development'!AQ$8:AQ$290,$B71)</f>
        <v>10.735192014857454</v>
      </c>
      <c r="I71" s="103"/>
      <c r="J71" s="183" t="str">
        <f>INDEX('CFL &amp; Incand Cost Development'!BS$8:BS$290,$B71)</f>
        <v>WRR0347_CFLscw-3way(33w)</v>
      </c>
      <c r="K71" s="250">
        <f>INDEX('CFL &amp; Incand Cost Development'!BT$8:BT$290,$B71)</f>
        <v>115</v>
      </c>
      <c r="L71" s="250">
        <f>INDEX('CFL &amp; Incand Cost Development'!BU$8:BU$290,$B71)</f>
        <v>1.7942</v>
      </c>
      <c r="M71" s="250">
        <f>INDEX('CFL &amp; Incand Cost Development'!BV$8:BV$290,$B71)</f>
        <v>4.2572000000000001</v>
      </c>
      <c r="N71" s="250">
        <f>INDEX('CFL &amp; Incand Cost Development'!BW$8:BW$290,$B71)</f>
        <v>2.5672000000000001</v>
      </c>
      <c r="O71" s="250">
        <f>INDEX('CFL &amp; Incand Cost Development'!BX$8:BX$290,$B71)</f>
        <v>1.4072000000000002</v>
      </c>
      <c r="P71" s="250">
        <f>INDEX('CFL &amp; Incand Cost Development'!BY$8:BY$290,$B71)</f>
        <v>1.4072000000000002</v>
      </c>
      <c r="Q71" s="103"/>
      <c r="R71" s="103"/>
      <c r="S71" s="103" t="str">
        <f t="shared" si="20"/>
        <v>Std_CFLscw-3way(33w)_60pInc-r0248</v>
      </c>
      <c r="T71" s="111">
        <f t="shared" si="21"/>
        <v>5.8061568059429813</v>
      </c>
      <c r="U71" s="111">
        <f t="shared" si="22"/>
        <v>8.0219568059429811</v>
      </c>
      <c r="V71" s="111">
        <f t="shared" si="23"/>
        <v>6.285916805942982</v>
      </c>
      <c r="W71" s="111">
        <f t="shared" si="24"/>
        <v>5.5899168059429813</v>
      </c>
      <c r="X71" s="111">
        <f t="shared" si="25"/>
        <v>5.138396805942981</v>
      </c>
      <c r="Y71" s="103"/>
      <c r="Z71" s="103"/>
      <c r="AA71" s="103" t="str">
        <f t="shared" si="26"/>
        <v>CFLratio0248</v>
      </c>
      <c r="AB71" s="103" t="str">
        <f t="shared" si="31"/>
        <v>CFLscw-3way(33w)CFLratio0248</v>
      </c>
      <c r="AC71" s="103"/>
      <c r="AD71" s="108">
        <f t="shared" si="32"/>
        <v>6.0179352089144729</v>
      </c>
      <c r="AE71" s="108">
        <f t="shared" si="27"/>
        <v>5.647135208914472</v>
      </c>
      <c r="AF71" s="108">
        <f t="shared" si="28"/>
        <v>5.5780752089144716</v>
      </c>
      <c r="AG71" s="108">
        <f t="shared" si="29"/>
        <v>6.2740752089144722</v>
      </c>
      <c r="AH71" s="108">
        <f t="shared" si="30"/>
        <v>5.5967952089144726</v>
      </c>
    </row>
    <row r="72" spans="2:34">
      <c r="B72" s="179">
        <f>IFERROR(MATCH(C72,'CFL &amp; Incand Cost Development'!$A$8:$A$290,0),0)</f>
        <v>28</v>
      </c>
      <c r="C72" s="111" t="s">
        <v>216</v>
      </c>
      <c r="D72" s="111">
        <f>INDEX('CFL &amp; Incand Cost Development'!AM$8:AM$290,$B72)</f>
        <v>12.944092014857453</v>
      </c>
      <c r="E72" s="111">
        <f>INDEX('CFL &amp; Incand Cost Development'!AN$8:AN$290,$B72)</f>
        <v>14.789092014857454</v>
      </c>
      <c r="F72" s="111">
        <f>INDEX('CFL &amp; Incand Cost Development'!AO$8:AO$290,$B72)</f>
        <v>12.983992014857455</v>
      </c>
      <c r="G72" s="111">
        <f>INDEX('CFL &amp; Incand Cost Development'!AP$8:AP$290,$B72)</f>
        <v>12.983992014857455</v>
      </c>
      <c r="H72" s="111">
        <f>INDEX('CFL &amp; Incand Cost Development'!AQ$8:AQ$290,$B72)</f>
        <v>11.855192014857455</v>
      </c>
      <c r="I72" s="103"/>
      <c r="J72" s="183" t="str">
        <f>INDEX('CFL &amp; Incand Cost Development'!BS$8:BS$290,$B72)</f>
        <v>WRR0347_CFLscw-3way(40w)</v>
      </c>
      <c r="K72" s="250">
        <f>INDEX('CFL &amp; Incand Cost Development'!BT$8:BT$290,$B72)</f>
        <v>139</v>
      </c>
      <c r="L72" s="250">
        <f>INDEX('CFL &amp; Incand Cost Development'!BU$8:BU$290,$B72)</f>
        <v>1.8037999999999998</v>
      </c>
      <c r="M72" s="250">
        <f>INDEX('CFL &amp; Incand Cost Development'!BV$8:BV$290,$B72)</f>
        <v>4.2667999999999999</v>
      </c>
      <c r="N72" s="250">
        <f>INDEX('CFL &amp; Incand Cost Development'!BW$8:BW$290,$B72)</f>
        <v>2.5768</v>
      </c>
      <c r="O72" s="250">
        <f>INDEX('CFL &amp; Incand Cost Development'!BX$8:BX$290,$B72)</f>
        <v>1.4168000000000001</v>
      </c>
      <c r="P72" s="250">
        <f>INDEX('CFL &amp; Incand Cost Development'!BY$8:BY$290,$B72)</f>
        <v>1.4168000000000001</v>
      </c>
      <c r="Q72" s="103"/>
      <c r="R72" s="103"/>
      <c r="S72" s="103" t="str">
        <f t="shared" si="20"/>
        <v>Std_CFLscw-3way(40w)_60pInc-r0248</v>
      </c>
      <c r="T72" s="111">
        <f t="shared" si="21"/>
        <v>6.2599168059429813</v>
      </c>
      <c r="U72" s="111">
        <f t="shared" si="22"/>
        <v>8.4757168059429819</v>
      </c>
      <c r="V72" s="111">
        <f t="shared" si="23"/>
        <v>6.7396768059429819</v>
      </c>
      <c r="W72" s="111">
        <f t="shared" si="24"/>
        <v>6.0436768059429822</v>
      </c>
      <c r="X72" s="111">
        <f t="shared" si="25"/>
        <v>5.5921568059429818</v>
      </c>
      <c r="Y72" s="103"/>
      <c r="Z72" s="103"/>
      <c r="AA72" s="103" t="str">
        <f t="shared" si="26"/>
        <v>CFLratio0248</v>
      </c>
      <c r="AB72" s="103" t="str">
        <f t="shared" si="31"/>
        <v>CFLscw-3way(40w)CFLratio0248</v>
      </c>
      <c r="AC72" s="103"/>
      <c r="AD72" s="108">
        <f t="shared" si="32"/>
        <v>6.6841752089144721</v>
      </c>
      <c r="AE72" s="108">
        <f t="shared" si="27"/>
        <v>6.3133752089144721</v>
      </c>
      <c r="AF72" s="108">
        <f t="shared" si="28"/>
        <v>6.2443152089144727</v>
      </c>
      <c r="AG72" s="108">
        <f t="shared" si="29"/>
        <v>6.9403152089144724</v>
      </c>
      <c r="AH72" s="108">
        <f t="shared" si="30"/>
        <v>6.2630352089144727</v>
      </c>
    </row>
    <row r="73" spans="2:34">
      <c r="B73" s="179">
        <f>IFERROR(MATCH(C73,'CFL &amp; Incand Cost Development'!$A$8:$A$290,0),0)</f>
        <v>29</v>
      </c>
      <c r="C73" s="111" t="s">
        <v>218</v>
      </c>
      <c r="D73" s="111">
        <f>INDEX('CFL &amp; Incand Cost Development'!AM$8:AM$290,$B73)</f>
        <v>13.264092014857455</v>
      </c>
      <c r="E73" s="111">
        <f>INDEX('CFL &amp; Incand Cost Development'!AN$8:AN$290,$B73)</f>
        <v>15.109092014857454</v>
      </c>
      <c r="F73" s="111">
        <f>INDEX('CFL &amp; Incand Cost Development'!AO$8:AO$290,$B73)</f>
        <v>13.303992014857455</v>
      </c>
      <c r="G73" s="111">
        <f>INDEX('CFL &amp; Incand Cost Development'!AP$8:AP$290,$B73)</f>
        <v>13.303992014857455</v>
      </c>
      <c r="H73" s="111">
        <f>INDEX('CFL &amp; Incand Cost Development'!AQ$8:AQ$290,$B73)</f>
        <v>12.175192014857455</v>
      </c>
      <c r="I73" s="103"/>
      <c r="J73" s="183" t="str">
        <f>INDEX('CFL &amp; Incand Cost Development'!BS$8:BS$290,$B73)</f>
        <v>WRR0347_CFLscw-3way(42w)</v>
      </c>
      <c r="K73" s="250">
        <f>INDEX('CFL &amp; Incand Cost Development'!BT$8:BT$290,$B73)</f>
        <v>146</v>
      </c>
      <c r="L73" s="250">
        <f>INDEX('CFL &amp; Incand Cost Development'!BU$8:BU$290,$B73)</f>
        <v>1.8066000000000004</v>
      </c>
      <c r="M73" s="250">
        <f>INDEX('CFL &amp; Incand Cost Development'!BV$8:BV$290,$B73)</f>
        <v>4.2696000000000005</v>
      </c>
      <c r="N73" s="250">
        <f>INDEX('CFL &amp; Incand Cost Development'!BW$8:BW$290,$B73)</f>
        <v>2.5796000000000006</v>
      </c>
      <c r="O73" s="250">
        <f>INDEX('CFL &amp; Incand Cost Development'!BX$8:BX$290,$B73)</f>
        <v>1.4196000000000006</v>
      </c>
      <c r="P73" s="250">
        <f>INDEX('CFL &amp; Incand Cost Development'!BY$8:BY$290,$B73)</f>
        <v>1.4196000000000006</v>
      </c>
      <c r="Q73" s="103"/>
      <c r="R73" s="103"/>
      <c r="S73" s="103" t="str">
        <f t="shared" si="20"/>
        <v>Std_CFLscw-3way(42w)_60pInc-r0248</v>
      </c>
      <c r="T73" s="111">
        <f t="shared" si="21"/>
        <v>6.3895968059429826</v>
      </c>
      <c r="U73" s="111">
        <f t="shared" si="22"/>
        <v>8.6053968059429824</v>
      </c>
      <c r="V73" s="111">
        <f t="shared" si="23"/>
        <v>6.8693568059429824</v>
      </c>
      <c r="W73" s="111">
        <f t="shared" si="24"/>
        <v>6.1733568059429826</v>
      </c>
      <c r="X73" s="111">
        <f t="shared" si="25"/>
        <v>5.7218368059429832</v>
      </c>
      <c r="Y73" s="103"/>
      <c r="Z73" s="103"/>
      <c r="AA73" s="103" t="str">
        <f t="shared" si="26"/>
        <v>CFLratio0248</v>
      </c>
      <c r="AB73" s="103" t="str">
        <f t="shared" si="31"/>
        <v>CFLscw-3way(42w)CFLratio0248</v>
      </c>
      <c r="AC73" s="103"/>
      <c r="AD73" s="108">
        <f t="shared" si="32"/>
        <v>6.8744952089144729</v>
      </c>
      <c r="AE73" s="108">
        <f t="shared" si="27"/>
        <v>6.5036952089144719</v>
      </c>
      <c r="AF73" s="108">
        <f t="shared" si="28"/>
        <v>6.4346352089144725</v>
      </c>
      <c r="AG73" s="108">
        <f t="shared" si="29"/>
        <v>7.1306352089144722</v>
      </c>
      <c r="AH73" s="108">
        <f t="shared" si="30"/>
        <v>6.4533552089144717</v>
      </c>
    </row>
    <row r="74" spans="2:34">
      <c r="B74" s="179">
        <f>IFERROR(MATCH(C74,'CFL &amp; Incand Cost Development'!$A$8:$A$290,0),0)</f>
        <v>30</v>
      </c>
      <c r="C74" s="111" t="s">
        <v>220</v>
      </c>
      <c r="D74" s="111">
        <f>INDEX('CFL &amp; Incand Cost Development'!AM$8:AM$290,$B74)</f>
        <v>4.6369920148574542</v>
      </c>
      <c r="E74" s="111">
        <f>INDEX('CFL &amp; Incand Cost Development'!AN$8:AN$290,$B74)</f>
        <v>6.4819920148574539</v>
      </c>
      <c r="F74" s="111">
        <f>INDEX('CFL &amp; Incand Cost Development'!AO$8:AO$290,$B74)</f>
        <v>4.6768920148574544</v>
      </c>
      <c r="G74" s="111">
        <f>INDEX('CFL &amp; Incand Cost Development'!AP$8:AP$290,$B74)</f>
        <v>4.6768920148574544</v>
      </c>
      <c r="H74" s="111">
        <f>INDEX('CFL &amp; Incand Cost Development'!AQ$8:AQ$290,$B74)</f>
        <v>3.548092014857454</v>
      </c>
      <c r="I74" s="103"/>
      <c r="J74" s="183" t="str">
        <f>INDEX('CFL &amp; Incand Cost Development'!BS$8:BS$290,$B74)</f>
        <v>WRR0347_CFLscw-A(10w)</v>
      </c>
      <c r="K74" s="250">
        <f>INDEX('CFL &amp; Incand Cost Development'!BT$8:BT$290,$B74)</f>
        <v>35</v>
      </c>
      <c r="L74" s="250">
        <f>INDEX('CFL &amp; Incand Cost Development'!BU$8:BU$290,$B74)</f>
        <v>0.94839999999999991</v>
      </c>
      <c r="M74" s="250">
        <f>INDEX('CFL &amp; Incand Cost Development'!BV$8:BV$290,$B74)</f>
        <v>3.4114</v>
      </c>
      <c r="N74" s="250">
        <f>INDEX('CFL &amp; Incand Cost Development'!BW$8:BW$290,$B74)</f>
        <v>1.7214</v>
      </c>
      <c r="O74" s="250">
        <f>INDEX('CFL &amp; Incand Cost Development'!BX$8:BX$290,$B74)</f>
        <v>0.56140000000000012</v>
      </c>
      <c r="P74" s="250">
        <f>INDEX('CFL &amp; Incand Cost Development'!BY$8:BY$290,$B74)</f>
        <v>0.56140000000000012</v>
      </c>
      <c r="Q74" s="103"/>
      <c r="R74" s="103"/>
      <c r="S74" s="103" t="str">
        <f t="shared" si="20"/>
        <v>Std_CFLscw-A(10w)_60pInc-r0248</v>
      </c>
      <c r="T74" s="111">
        <f t="shared" si="21"/>
        <v>2.4238368059429818</v>
      </c>
      <c r="U74" s="111">
        <f t="shared" si="22"/>
        <v>4.6396368059429811</v>
      </c>
      <c r="V74" s="111">
        <f t="shared" si="23"/>
        <v>2.903596805942982</v>
      </c>
      <c r="W74" s="111">
        <f t="shared" si="24"/>
        <v>2.2075968059429818</v>
      </c>
      <c r="X74" s="111">
        <f t="shared" si="25"/>
        <v>1.7560768059429817</v>
      </c>
      <c r="Y74" s="103"/>
      <c r="Z74" s="103"/>
      <c r="AA74" s="103" t="str">
        <f t="shared" si="26"/>
        <v>CFLratio0248</v>
      </c>
      <c r="AB74" s="103" t="str">
        <f t="shared" si="31"/>
        <v>CFLscw-A(10w)CFLratio0248</v>
      </c>
      <c r="AC74" s="103"/>
      <c r="AD74" s="108">
        <f t="shared" si="32"/>
        <v>2.2131552089144724</v>
      </c>
      <c r="AE74" s="108">
        <f t="shared" si="27"/>
        <v>1.8423552089144728</v>
      </c>
      <c r="AF74" s="108">
        <f t="shared" si="28"/>
        <v>1.7732952089144725</v>
      </c>
      <c r="AG74" s="108">
        <f t="shared" si="29"/>
        <v>2.4692952089144726</v>
      </c>
      <c r="AH74" s="108">
        <f t="shared" si="30"/>
        <v>1.7920152089144723</v>
      </c>
    </row>
    <row r="75" spans="2:34">
      <c r="B75" s="179">
        <f>IFERROR(MATCH(C75,'CFL &amp; Incand Cost Development'!$A$8:$A$290,0),0)</f>
        <v>31</v>
      </c>
      <c r="C75" s="111" t="s">
        <v>223</v>
      </c>
      <c r="D75" s="111">
        <f>INDEX('CFL &amp; Incand Cost Development'!AM$8:AM$290,$B75)</f>
        <v>4.7034920148574537</v>
      </c>
      <c r="E75" s="111">
        <f>INDEX('CFL &amp; Incand Cost Development'!AN$8:AN$290,$B75)</f>
        <v>6.5484920148574535</v>
      </c>
      <c r="F75" s="111">
        <f>INDEX('CFL &amp; Incand Cost Development'!AO$8:AO$290,$B75)</f>
        <v>4.743392014857454</v>
      </c>
      <c r="G75" s="111">
        <f>INDEX('CFL &amp; Incand Cost Development'!AP$8:AP$290,$B75)</f>
        <v>4.743392014857454</v>
      </c>
      <c r="H75" s="111">
        <f>INDEX('CFL &amp; Incand Cost Development'!AQ$8:AQ$290,$B75)</f>
        <v>3.6145920148574535</v>
      </c>
      <c r="I75" s="103"/>
      <c r="J75" s="183" t="str">
        <f>INDEX('CFL &amp; Incand Cost Development'!BS$8:BS$290,$B75)</f>
        <v>WRR0347_CFLscw-A(11w)</v>
      </c>
      <c r="K75" s="250">
        <f>INDEX('CFL &amp; Incand Cost Development'!BT$8:BT$290,$B75)</f>
        <v>38</v>
      </c>
      <c r="L75" s="250">
        <f>INDEX('CFL &amp; Incand Cost Development'!BU$8:BU$290,$B75)</f>
        <v>0.97599999999999998</v>
      </c>
      <c r="M75" s="250">
        <f>INDEX('CFL &amp; Incand Cost Development'!BV$8:BV$290,$B75)</f>
        <v>3.4390000000000001</v>
      </c>
      <c r="N75" s="250">
        <f>INDEX('CFL &amp; Incand Cost Development'!BW$8:BW$290,$B75)</f>
        <v>1.7490000000000001</v>
      </c>
      <c r="O75" s="250">
        <f>INDEX('CFL &amp; Incand Cost Development'!BX$8:BX$290,$B75)</f>
        <v>0.58900000000000019</v>
      </c>
      <c r="P75" s="250">
        <f>INDEX('CFL &amp; Incand Cost Development'!BY$8:BY$290,$B75)</f>
        <v>0.58900000000000019</v>
      </c>
      <c r="Q75" s="103"/>
      <c r="R75" s="103"/>
      <c r="S75" s="103" t="str">
        <f t="shared" si="20"/>
        <v>Std_CFLscw-A(11w)_60pInc-r0248</v>
      </c>
      <c r="T75" s="111">
        <f t="shared" si="21"/>
        <v>2.4669968059429817</v>
      </c>
      <c r="U75" s="111">
        <f t="shared" si="22"/>
        <v>4.6827968059429814</v>
      </c>
      <c r="V75" s="111">
        <f t="shared" si="23"/>
        <v>2.9467568059429818</v>
      </c>
      <c r="W75" s="111">
        <f t="shared" si="24"/>
        <v>2.2507568059429817</v>
      </c>
      <c r="X75" s="111">
        <f t="shared" si="25"/>
        <v>1.7992368059429817</v>
      </c>
      <c r="Y75" s="103"/>
      <c r="Z75" s="103"/>
      <c r="AA75" s="103" t="str">
        <f t="shared" si="26"/>
        <v>CFLratio0248</v>
      </c>
      <c r="AB75" s="103" t="str">
        <f t="shared" si="31"/>
        <v>CFLscw-A(11w)CFLratio0248</v>
      </c>
      <c r="AC75" s="103"/>
      <c r="AD75" s="108">
        <f t="shared" si="32"/>
        <v>2.2364952089144721</v>
      </c>
      <c r="AE75" s="108">
        <f t="shared" si="27"/>
        <v>1.865695208914472</v>
      </c>
      <c r="AF75" s="108">
        <f t="shared" si="28"/>
        <v>1.7966352089144721</v>
      </c>
      <c r="AG75" s="108">
        <f t="shared" si="29"/>
        <v>2.4926352089144723</v>
      </c>
      <c r="AH75" s="108">
        <f t="shared" si="30"/>
        <v>1.8153552089144718</v>
      </c>
    </row>
    <row r="76" spans="2:34">
      <c r="B76" s="179">
        <f>IFERROR(MATCH(C76,'CFL &amp; Incand Cost Development'!$A$8:$A$290,0),0)</f>
        <v>32</v>
      </c>
      <c r="C76" s="111" t="s">
        <v>225</v>
      </c>
      <c r="D76" s="111">
        <f>INDEX('CFL &amp; Incand Cost Development'!AM$8:AM$290,$B76)</f>
        <v>4.7699920148574542</v>
      </c>
      <c r="E76" s="111">
        <f>INDEX('CFL &amp; Incand Cost Development'!AN$8:AN$290,$B76)</f>
        <v>6.6149920148574539</v>
      </c>
      <c r="F76" s="111">
        <f>INDEX('CFL &amp; Incand Cost Development'!AO$8:AO$290,$B76)</f>
        <v>4.8098920148574535</v>
      </c>
      <c r="G76" s="111">
        <f>INDEX('CFL &amp; Incand Cost Development'!AP$8:AP$290,$B76)</f>
        <v>4.8098920148574535</v>
      </c>
      <c r="H76" s="111">
        <f>INDEX('CFL &amp; Incand Cost Development'!AQ$8:AQ$290,$B76)</f>
        <v>3.681092014857454</v>
      </c>
      <c r="I76" s="103"/>
      <c r="J76" s="183" t="str">
        <f>INDEX('CFL &amp; Incand Cost Development'!BS$8:BS$290,$B76)</f>
        <v>WRR0347_CFLscw-A(12w)</v>
      </c>
      <c r="K76" s="250">
        <f>INDEX('CFL &amp; Incand Cost Development'!BT$8:BT$290,$B76)</f>
        <v>42</v>
      </c>
      <c r="L76" s="250">
        <f>INDEX('CFL &amp; Incand Cost Development'!BU$8:BU$290,$B76)</f>
        <v>1.0127999999999999</v>
      </c>
      <c r="M76" s="250">
        <f>INDEX('CFL &amp; Incand Cost Development'!BV$8:BV$290,$B76)</f>
        <v>3.4758</v>
      </c>
      <c r="N76" s="250">
        <f>INDEX('CFL &amp; Incand Cost Development'!BW$8:BW$290,$B76)</f>
        <v>1.7858000000000001</v>
      </c>
      <c r="O76" s="250">
        <f>INDEX('CFL &amp; Incand Cost Development'!BX$8:BX$290,$B76)</f>
        <v>0.62580000000000013</v>
      </c>
      <c r="P76" s="250">
        <f>INDEX('CFL &amp; Incand Cost Development'!BY$8:BY$290,$B76)</f>
        <v>0.62580000000000013</v>
      </c>
      <c r="Q76" s="103"/>
      <c r="R76" s="103"/>
      <c r="S76" s="103" t="str">
        <f t="shared" si="20"/>
        <v>Std_CFLscw-A(12w)_60pInc-r0248</v>
      </c>
      <c r="T76" s="111">
        <f t="shared" si="21"/>
        <v>2.5156768059429817</v>
      </c>
      <c r="U76" s="111">
        <f t="shared" si="22"/>
        <v>4.7314768059429824</v>
      </c>
      <c r="V76" s="111">
        <f t="shared" si="23"/>
        <v>2.9954368059429815</v>
      </c>
      <c r="W76" s="111">
        <f t="shared" si="24"/>
        <v>2.2994368059429817</v>
      </c>
      <c r="X76" s="111">
        <f t="shared" si="25"/>
        <v>1.8479168059429818</v>
      </c>
      <c r="Y76" s="103"/>
      <c r="Z76" s="103"/>
      <c r="AA76" s="103" t="str">
        <f t="shared" si="26"/>
        <v>CFLratio0248</v>
      </c>
      <c r="AB76" s="103" t="str">
        <f t="shared" si="31"/>
        <v>CFLscw-A(12w)CFLratio0248</v>
      </c>
      <c r="AC76" s="103"/>
      <c r="AD76" s="108">
        <f t="shared" si="32"/>
        <v>2.2543152089144725</v>
      </c>
      <c r="AE76" s="108">
        <f t="shared" si="27"/>
        <v>1.8835152089144716</v>
      </c>
      <c r="AF76" s="108">
        <f t="shared" si="28"/>
        <v>1.8144552089144721</v>
      </c>
      <c r="AG76" s="108">
        <f t="shared" si="29"/>
        <v>2.5104552089144718</v>
      </c>
      <c r="AH76" s="108">
        <f t="shared" si="30"/>
        <v>1.8331752089144722</v>
      </c>
    </row>
    <row r="77" spans="2:34">
      <c r="B77" s="179">
        <f>IFERROR(MATCH(C77,'CFL &amp; Incand Cost Development'!$A$8:$A$290,0),0)</f>
        <v>33</v>
      </c>
      <c r="C77" s="111" t="s">
        <v>227</v>
      </c>
      <c r="D77" s="111">
        <f>INDEX('CFL &amp; Incand Cost Development'!AM$8:AM$290,$B77)</f>
        <v>4.8364920148574546</v>
      </c>
      <c r="E77" s="111">
        <f>INDEX('CFL &amp; Incand Cost Development'!AN$8:AN$290,$B77)</f>
        <v>6.6814920148574544</v>
      </c>
      <c r="F77" s="111">
        <f>INDEX('CFL &amp; Incand Cost Development'!AO$8:AO$290,$B77)</f>
        <v>4.8763920148574549</v>
      </c>
      <c r="G77" s="111">
        <f>INDEX('CFL &amp; Incand Cost Development'!AP$8:AP$290,$B77)</f>
        <v>4.8763920148574549</v>
      </c>
      <c r="H77" s="111">
        <f>INDEX('CFL &amp; Incand Cost Development'!AQ$8:AQ$290,$B77)</f>
        <v>3.7475920148574544</v>
      </c>
      <c r="I77" s="103"/>
      <c r="J77" s="183" t="str">
        <f>INDEX('CFL &amp; Incand Cost Development'!BS$8:BS$290,$B77)</f>
        <v>WRR0347_CFLscw-A(13w)</v>
      </c>
      <c r="K77" s="250">
        <f>INDEX('CFL &amp; Incand Cost Development'!BT$8:BT$290,$B77)</f>
        <v>45</v>
      </c>
      <c r="L77" s="250">
        <f>INDEX('CFL &amp; Incand Cost Development'!BU$8:BU$290,$B77)</f>
        <v>1.0404</v>
      </c>
      <c r="M77" s="250">
        <f>INDEX('CFL &amp; Incand Cost Development'!BV$8:BV$290,$B77)</f>
        <v>3.5034000000000001</v>
      </c>
      <c r="N77" s="250">
        <f>INDEX('CFL &amp; Incand Cost Development'!BW$8:BW$290,$B77)</f>
        <v>1.8134000000000001</v>
      </c>
      <c r="O77" s="250">
        <f>INDEX('CFL &amp; Incand Cost Development'!BX$8:BX$290,$B77)</f>
        <v>0.6534000000000002</v>
      </c>
      <c r="P77" s="250">
        <f>INDEX('CFL &amp; Incand Cost Development'!BY$8:BY$290,$B77)</f>
        <v>0.6534000000000002</v>
      </c>
      <c r="Q77" s="103"/>
      <c r="R77" s="103"/>
      <c r="S77" s="103" t="str">
        <f t="shared" si="20"/>
        <v>Std_CFLscw-A(13w)_60pInc-r0248</v>
      </c>
      <c r="T77" s="111">
        <f t="shared" si="21"/>
        <v>2.558836805942982</v>
      </c>
      <c r="U77" s="111">
        <f t="shared" si="22"/>
        <v>4.7746368059429827</v>
      </c>
      <c r="V77" s="111">
        <f t="shared" si="23"/>
        <v>3.0385968059429822</v>
      </c>
      <c r="W77" s="111">
        <f t="shared" si="24"/>
        <v>2.342596805942982</v>
      </c>
      <c r="X77" s="111">
        <f t="shared" si="25"/>
        <v>1.8910768059429821</v>
      </c>
      <c r="Y77" s="103"/>
      <c r="Z77" s="103"/>
      <c r="AA77" s="103" t="str">
        <f t="shared" si="26"/>
        <v>CFLratio0248</v>
      </c>
      <c r="AB77" s="103" t="str">
        <f t="shared" si="31"/>
        <v>CFLscw-A(13w)CFLratio0248</v>
      </c>
      <c r="AC77" s="103"/>
      <c r="AD77" s="108">
        <f t="shared" si="32"/>
        <v>2.2776552089144726</v>
      </c>
      <c r="AE77" s="108">
        <f t="shared" si="27"/>
        <v>1.9068552089144717</v>
      </c>
      <c r="AF77" s="108">
        <f t="shared" si="28"/>
        <v>1.8377952089144727</v>
      </c>
      <c r="AG77" s="108">
        <f t="shared" si="29"/>
        <v>2.5337952089144729</v>
      </c>
      <c r="AH77" s="108">
        <f t="shared" si="30"/>
        <v>1.8565152089144723</v>
      </c>
    </row>
    <row r="78" spans="2:34">
      <c r="B78" s="179">
        <f>IFERROR(MATCH(C78,'CFL &amp; Incand Cost Development'!$A$8:$A$290,0),0)</f>
        <v>34</v>
      </c>
      <c r="C78" s="111" t="s">
        <v>229</v>
      </c>
      <c r="D78" s="111">
        <f>INDEX('CFL &amp; Incand Cost Development'!AM$8:AM$290,$B78)</f>
        <v>4.9029920148574542</v>
      </c>
      <c r="E78" s="111">
        <f>INDEX('CFL &amp; Incand Cost Development'!AN$8:AN$290,$B78)</f>
        <v>6.7479920148574539</v>
      </c>
      <c r="F78" s="111">
        <f>INDEX('CFL &amp; Incand Cost Development'!AO$8:AO$290,$B78)</f>
        <v>4.9428920148574544</v>
      </c>
      <c r="G78" s="111">
        <f>INDEX('CFL &amp; Incand Cost Development'!AP$8:AP$290,$B78)</f>
        <v>4.9428920148574544</v>
      </c>
      <c r="H78" s="111">
        <f>INDEX('CFL &amp; Incand Cost Development'!AQ$8:AQ$290,$B78)</f>
        <v>3.814092014857454</v>
      </c>
      <c r="I78" s="103"/>
      <c r="J78" s="183" t="str">
        <f>INDEX('CFL &amp; Incand Cost Development'!BS$8:BS$290,$B78)</f>
        <v>WRR0347_CFLscw-A(14w)</v>
      </c>
      <c r="K78" s="250">
        <f>INDEX('CFL &amp; Incand Cost Development'!BT$8:BT$290,$B78)</f>
        <v>49</v>
      </c>
      <c r="L78" s="250">
        <f>INDEX('CFL &amp; Incand Cost Development'!BU$8:BU$290,$B78)</f>
        <v>1.0771999999999999</v>
      </c>
      <c r="M78" s="250">
        <f>INDEX('CFL &amp; Incand Cost Development'!BV$8:BV$290,$B78)</f>
        <v>3.5402</v>
      </c>
      <c r="N78" s="250">
        <f>INDEX('CFL &amp; Incand Cost Development'!BW$8:BW$290,$B78)</f>
        <v>1.8502000000000001</v>
      </c>
      <c r="O78" s="250">
        <f>INDEX('CFL &amp; Incand Cost Development'!BX$8:BX$290,$B78)</f>
        <v>0.69020000000000015</v>
      </c>
      <c r="P78" s="250">
        <f>INDEX('CFL &amp; Incand Cost Development'!BY$8:BY$290,$B78)</f>
        <v>0.69020000000000015</v>
      </c>
      <c r="Q78" s="103"/>
      <c r="R78" s="103"/>
      <c r="S78" s="103" t="str">
        <f t="shared" si="20"/>
        <v>Std_CFLscw-A(14w)_60pInc-r0248</v>
      </c>
      <c r="T78" s="111">
        <f t="shared" si="21"/>
        <v>2.6075168059429816</v>
      </c>
      <c r="U78" s="111">
        <f t="shared" si="22"/>
        <v>4.8233168059429818</v>
      </c>
      <c r="V78" s="111">
        <f t="shared" si="23"/>
        <v>3.0872768059429818</v>
      </c>
      <c r="W78" s="111">
        <f t="shared" si="24"/>
        <v>2.3912768059429821</v>
      </c>
      <c r="X78" s="111">
        <f t="shared" si="25"/>
        <v>1.9397568059429817</v>
      </c>
      <c r="Y78" s="103"/>
      <c r="Z78" s="103"/>
      <c r="AA78" s="103" t="str">
        <f t="shared" si="26"/>
        <v>CFLratio0248</v>
      </c>
      <c r="AB78" s="103" t="str">
        <f t="shared" si="31"/>
        <v>CFLscw-A(14w)CFLratio0248</v>
      </c>
      <c r="AC78" s="103"/>
      <c r="AD78" s="108">
        <f t="shared" si="32"/>
        <v>2.2954752089144725</v>
      </c>
      <c r="AE78" s="108">
        <f t="shared" si="27"/>
        <v>1.9246752089144721</v>
      </c>
      <c r="AF78" s="108">
        <f t="shared" si="28"/>
        <v>1.8556152089144726</v>
      </c>
      <c r="AG78" s="108">
        <f t="shared" si="29"/>
        <v>2.5516152089144724</v>
      </c>
      <c r="AH78" s="108">
        <f t="shared" si="30"/>
        <v>1.8743352089144723</v>
      </c>
    </row>
    <row r="79" spans="2:34">
      <c r="B79" s="179">
        <f>IFERROR(MATCH(C79,'CFL &amp; Incand Cost Development'!$A$8:$A$290,0),0)</f>
        <v>35</v>
      </c>
      <c r="C79" s="111" t="s">
        <v>231</v>
      </c>
      <c r="D79" s="111">
        <f>INDEX('CFL &amp; Incand Cost Development'!AM$8:AM$290,$B79)</f>
        <v>4.9694920148574537</v>
      </c>
      <c r="E79" s="111">
        <f>INDEX('CFL &amp; Incand Cost Development'!AN$8:AN$290,$B79)</f>
        <v>6.8144920148574535</v>
      </c>
      <c r="F79" s="111">
        <f>INDEX('CFL &amp; Incand Cost Development'!AO$8:AO$290,$B79)</f>
        <v>5.009392014857454</v>
      </c>
      <c r="G79" s="111">
        <f>INDEX('CFL &amp; Incand Cost Development'!AP$8:AP$290,$B79)</f>
        <v>5.009392014857454</v>
      </c>
      <c r="H79" s="111">
        <f>INDEX('CFL &amp; Incand Cost Development'!AQ$8:AQ$290,$B79)</f>
        <v>3.8805920148574535</v>
      </c>
      <c r="I79" s="103"/>
      <c r="J79" s="183" t="str">
        <f>INDEX('CFL &amp; Incand Cost Development'!BS$8:BS$290,$B79)</f>
        <v>WRR0347_CFLscw-A(15w)</v>
      </c>
      <c r="K79" s="250">
        <f>INDEX('CFL &amp; Incand Cost Development'!BT$8:BT$290,$B79)</f>
        <v>52</v>
      </c>
      <c r="L79" s="250">
        <f>INDEX('CFL &amp; Incand Cost Development'!BU$8:BU$290,$B79)</f>
        <v>1.1048</v>
      </c>
      <c r="M79" s="250">
        <f>INDEX('CFL &amp; Incand Cost Development'!BV$8:BV$290,$B79)</f>
        <v>3.5678000000000001</v>
      </c>
      <c r="N79" s="250">
        <f>INDEX('CFL &amp; Incand Cost Development'!BW$8:BW$290,$B79)</f>
        <v>1.8778000000000001</v>
      </c>
      <c r="O79" s="250">
        <f>INDEX('CFL &amp; Incand Cost Development'!BX$8:BX$290,$B79)</f>
        <v>0.71780000000000022</v>
      </c>
      <c r="P79" s="250">
        <f>INDEX('CFL &amp; Incand Cost Development'!BY$8:BY$290,$B79)</f>
        <v>0.71780000000000022</v>
      </c>
      <c r="Q79" s="103"/>
      <c r="R79" s="103"/>
      <c r="S79" s="103" t="str">
        <f t="shared" si="20"/>
        <v>Std_CFLscw-A(15w)_60pInc-r0248</v>
      </c>
      <c r="T79" s="111">
        <f t="shared" si="21"/>
        <v>2.6506768059429815</v>
      </c>
      <c r="U79" s="111">
        <f t="shared" si="22"/>
        <v>4.8664768059429822</v>
      </c>
      <c r="V79" s="111">
        <f t="shared" si="23"/>
        <v>3.1304368059429821</v>
      </c>
      <c r="W79" s="111">
        <f t="shared" si="24"/>
        <v>2.434436805942982</v>
      </c>
      <c r="X79" s="111">
        <f t="shared" si="25"/>
        <v>1.9829168059429816</v>
      </c>
      <c r="Y79" s="103"/>
      <c r="Z79" s="103"/>
      <c r="AA79" s="103" t="str">
        <f t="shared" si="26"/>
        <v>CFLratio0248</v>
      </c>
      <c r="AB79" s="103" t="str">
        <f t="shared" si="31"/>
        <v>CFLscw-A(15w)CFLratio0248</v>
      </c>
      <c r="AC79" s="103"/>
      <c r="AD79" s="108">
        <f t="shared" si="32"/>
        <v>2.3188152089144722</v>
      </c>
      <c r="AE79" s="108">
        <f t="shared" si="27"/>
        <v>1.9480152089144713</v>
      </c>
      <c r="AF79" s="108">
        <f t="shared" si="28"/>
        <v>1.8789552089144719</v>
      </c>
      <c r="AG79" s="108">
        <f t="shared" si="29"/>
        <v>2.574955208914472</v>
      </c>
      <c r="AH79" s="108">
        <f t="shared" si="30"/>
        <v>1.8976752089144719</v>
      </c>
    </row>
    <row r="80" spans="2:34">
      <c r="B80" s="179">
        <f>IFERROR(MATCH(C80,'CFL &amp; Incand Cost Development'!$A$8:$A$290,0),0)</f>
        <v>36</v>
      </c>
      <c r="C80" s="111" t="s">
        <v>233</v>
      </c>
      <c r="D80" s="111">
        <f>INDEX('CFL &amp; Incand Cost Development'!AM$8:AM$290,$B80)</f>
        <v>5.0359920148574542</v>
      </c>
      <c r="E80" s="111">
        <f>INDEX('CFL &amp; Incand Cost Development'!AN$8:AN$290,$B80)</f>
        <v>6.8809920148574539</v>
      </c>
      <c r="F80" s="111">
        <f>INDEX('CFL &amp; Incand Cost Development'!AO$8:AO$290,$B80)</f>
        <v>5.0758920148574536</v>
      </c>
      <c r="G80" s="111">
        <f>INDEX('CFL &amp; Incand Cost Development'!AP$8:AP$290,$B80)</f>
        <v>5.0758920148574536</v>
      </c>
      <c r="H80" s="111">
        <f>INDEX('CFL &amp; Incand Cost Development'!AQ$8:AQ$290,$B80)</f>
        <v>3.947092014857454</v>
      </c>
      <c r="I80" s="103"/>
      <c r="J80" s="183" t="str">
        <f>INDEX('CFL &amp; Incand Cost Development'!BS$8:BS$290,$B80)</f>
        <v>WRR0347_CFLscw-A(16w)</v>
      </c>
      <c r="K80" s="250">
        <f>INDEX('CFL &amp; Incand Cost Development'!BT$8:BT$290,$B80)</f>
        <v>56</v>
      </c>
      <c r="L80" s="250">
        <f>INDEX('CFL &amp; Incand Cost Development'!BU$8:BU$290,$B80)</f>
        <v>1.1415999999999999</v>
      </c>
      <c r="M80" s="250">
        <f>INDEX('CFL &amp; Incand Cost Development'!BV$8:BV$290,$B80)</f>
        <v>3.6046</v>
      </c>
      <c r="N80" s="250">
        <f>INDEX('CFL &amp; Incand Cost Development'!BW$8:BW$290,$B80)</f>
        <v>1.9146000000000001</v>
      </c>
      <c r="O80" s="250">
        <f>INDEX('CFL &amp; Incand Cost Development'!BX$8:BX$290,$B80)</f>
        <v>0.75460000000000016</v>
      </c>
      <c r="P80" s="250">
        <f>INDEX('CFL &amp; Incand Cost Development'!BY$8:BY$290,$B80)</f>
        <v>0.75460000000000016</v>
      </c>
      <c r="Q80" s="103"/>
      <c r="R80" s="103"/>
      <c r="S80" s="103" t="str">
        <f t="shared" si="20"/>
        <v>Std_CFLscw-A(16w)_60pInc-r0248</v>
      </c>
      <c r="T80" s="111">
        <f t="shared" si="21"/>
        <v>2.6993568059429816</v>
      </c>
      <c r="U80" s="111">
        <f t="shared" si="22"/>
        <v>4.9151568059429813</v>
      </c>
      <c r="V80" s="111">
        <f t="shared" si="23"/>
        <v>3.1791168059429813</v>
      </c>
      <c r="W80" s="111">
        <f t="shared" si="24"/>
        <v>2.4831168059429816</v>
      </c>
      <c r="X80" s="111">
        <f t="shared" si="25"/>
        <v>2.0315968059429816</v>
      </c>
      <c r="Y80" s="103"/>
      <c r="Z80" s="103"/>
      <c r="AA80" s="103" t="str">
        <f t="shared" si="26"/>
        <v>CFLratio0248</v>
      </c>
      <c r="AB80" s="103" t="str">
        <f t="shared" si="31"/>
        <v>CFLscw-A(16w)CFLratio0248</v>
      </c>
      <c r="AC80" s="103"/>
      <c r="AD80" s="108">
        <f t="shared" si="32"/>
        <v>2.3366352089144726</v>
      </c>
      <c r="AE80" s="108">
        <f t="shared" si="27"/>
        <v>1.9658352089144726</v>
      </c>
      <c r="AF80" s="108">
        <f t="shared" si="28"/>
        <v>1.8967752089144723</v>
      </c>
      <c r="AG80" s="108">
        <f t="shared" si="29"/>
        <v>2.592775208914472</v>
      </c>
      <c r="AH80" s="108">
        <f t="shared" si="30"/>
        <v>1.9154952089144723</v>
      </c>
    </row>
    <row r="81" spans="2:34">
      <c r="B81" s="179">
        <f>IFERROR(MATCH(C81,'CFL &amp; Incand Cost Development'!$A$8:$A$290,0),0)</f>
        <v>37</v>
      </c>
      <c r="C81" s="111" t="s">
        <v>235</v>
      </c>
      <c r="D81" s="111">
        <f>INDEX('CFL &amp; Incand Cost Development'!AM$8:AM$290,$B81)</f>
        <v>5.1689920148574542</v>
      </c>
      <c r="E81" s="111">
        <f>INDEX('CFL &amp; Incand Cost Development'!AN$8:AN$290,$B81)</f>
        <v>7.0139920148574539</v>
      </c>
      <c r="F81" s="111">
        <f>INDEX('CFL &amp; Incand Cost Development'!AO$8:AO$290,$B81)</f>
        <v>5.2088920148574545</v>
      </c>
      <c r="G81" s="111">
        <f>INDEX('CFL &amp; Incand Cost Development'!AP$8:AP$290,$B81)</f>
        <v>5.2088920148574545</v>
      </c>
      <c r="H81" s="111">
        <f>INDEX('CFL &amp; Incand Cost Development'!AQ$8:AQ$290,$B81)</f>
        <v>4.0800920148574544</v>
      </c>
      <c r="I81" s="103"/>
      <c r="J81" s="183" t="str">
        <f>INDEX('CFL &amp; Incand Cost Development'!BS$8:BS$290,$B81)</f>
        <v>WRR0347_CFLscw-A(18w)</v>
      </c>
      <c r="K81" s="250">
        <f>INDEX('CFL &amp; Incand Cost Development'!BT$8:BT$290,$B81)</f>
        <v>62</v>
      </c>
      <c r="L81" s="250">
        <f>INDEX('CFL &amp; Incand Cost Development'!BU$8:BU$290,$B81)</f>
        <v>1.1968000000000001</v>
      </c>
      <c r="M81" s="250">
        <f>INDEX('CFL &amp; Incand Cost Development'!BV$8:BV$290,$B81)</f>
        <v>3.6598000000000002</v>
      </c>
      <c r="N81" s="250">
        <f>INDEX('CFL &amp; Incand Cost Development'!BW$8:BW$290,$B81)</f>
        <v>1.9698000000000002</v>
      </c>
      <c r="O81" s="250">
        <f>INDEX('CFL &amp; Incand Cost Development'!BX$8:BX$290,$B81)</f>
        <v>0.8098000000000003</v>
      </c>
      <c r="P81" s="250">
        <f>INDEX('CFL &amp; Incand Cost Development'!BY$8:BY$290,$B81)</f>
        <v>0.8098000000000003</v>
      </c>
      <c r="Q81" s="103"/>
      <c r="R81" s="103"/>
      <c r="S81" s="103" t="str">
        <f t="shared" si="20"/>
        <v>Std_CFLscw-A(18w)_60pInc-r0248</v>
      </c>
      <c r="T81" s="111">
        <f t="shared" si="21"/>
        <v>2.7856768059429817</v>
      </c>
      <c r="U81" s="111">
        <f t="shared" si="22"/>
        <v>5.0014768059429819</v>
      </c>
      <c r="V81" s="111">
        <f t="shared" si="23"/>
        <v>3.2654368059429819</v>
      </c>
      <c r="W81" s="111">
        <f t="shared" si="24"/>
        <v>2.5694368059429822</v>
      </c>
      <c r="X81" s="111">
        <f t="shared" si="25"/>
        <v>2.1179168059429823</v>
      </c>
      <c r="Y81" s="103"/>
      <c r="Z81" s="103"/>
      <c r="AA81" s="103" t="str">
        <f t="shared" si="26"/>
        <v>CFLratio0248</v>
      </c>
      <c r="AB81" s="103" t="str">
        <f t="shared" si="31"/>
        <v>CFLscw-A(18w)CFLratio0248</v>
      </c>
      <c r="AC81" s="103"/>
      <c r="AD81" s="108">
        <f t="shared" si="32"/>
        <v>2.3833152089144725</v>
      </c>
      <c r="AE81" s="108">
        <f t="shared" si="27"/>
        <v>2.012515208914472</v>
      </c>
      <c r="AF81" s="108">
        <f t="shared" si="28"/>
        <v>1.9434552089144725</v>
      </c>
      <c r="AG81" s="108">
        <f t="shared" si="29"/>
        <v>2.6394552089144723</v>
      </c>
      <c r="AH81" s="108">
        <f t="shared" si="30"/>
        <v>1.9621752089144722</v>
      </c>
    </row>
    <row r="82" spans="2:34">
      <c r="B82" s="179">
        <f>IFERROR(MATCH(C82,'CFL &amp; Incand Cost Development'!$A$8:$A$290,0),0)</f>
        <v>38</v>
      </c>
      <c r="C82" s="111" t="s">
        <v>237</v>
      </c>
      <c r="D82" s="111">
        <f>INDEX('CFL &amp; Incand Cost Development'!AM$8:AM$290,$B82)</f>
        <v>5.2354920148574537</v>
      </c>
      <c r="E82" s="111">
        <f>INDEX('CFL &amp; Incand Cost Development'!AN$8:AN$290,$B82)</f>
        <v>7.0804920148574535</v>
      </c>
      <c r="F82" s="111">
        <f>INDEX('CFL &amp; Incand Cost Development'!AO$8:AO$290,$B82)</f>
        <v>5.275392014857454</v>
      </c>
      <c r="G82" s="111">
        <f>INDEX('CFL &amp; Incand Cost Development'!AP$8:AP$290,$B82)</f>
        <v>5.275392014857454</v>
      </c>
      <c r="H82" s="111">
        <f>INDEX('CFL &amp; Incand Cost Development'!AQ$8:AQ$290,$B82)</f>
        <v>4.146592014857454</v>
      </c>
      <c r="I82" s="103"/>
      <c r="J82" s="183" t="str">
        <f>INDEX('CFL &amp; Incand Cost Development'!BS$8:BS$290,$B82)</f>
        <v>WRR0347_CFLscw-A(19w)</v>
      </c>
      <c r="K82" s="250">
        <f>INDEX('CFL &amp; Incand Cost Development'!BT$8:BT$290,$B82)</f>
        <v>66</v>
      </c>
      <c r="L82" s="250">
        <f>INDEX('CFL &amp; Incand Cost Development'!BU$8:BU$290,$B82)</f>
        <v>1.2336</v>
      </c>
      <c r="M82" s="250">
        <f>INDEX('CFL &amp; Incand Cost Development'!BV$8:BV$290,$B82)</f>
        <v>3.6966000000000001</v>
      </c>
      <c r="N82" s="250">
        <f>INDEX('CFL &amp; Incand Cost Development'!BW$8:BW$290,$B82)</f>
        <v>2.0066000000000002</v>
      </c>
      <c r="O82" s="250">
        <f>INDEX('CFL &amp; Incand Cost Development'!BX$8:BX$290,$B82)</f>
        <v>0.84660000000000024</v>
      </c>
      <c r="P82" s="250">
        <f>INDEX('CFL &amp; Incand Cost Development'!BY$8:BY$290,$B82)</f>
        <v>0.84660000000000024</v>
      </c>
      <c r="Q82" s="103"/>
      <c r="R82" s="103"/>
      <c r="S82" s="103" t="str">
        <f t="shared" si="20"/>
        <v>Std_CFLscw-A(19w)_60pInc-r0248</v>
      </c>
      <c r="T82" s="111">
        <f t="shared" si="21"/>
        <v>2.8343568059429813</v>
      </c>
      <c r="U82" s="111">
        <f t="shared" si="22"/>
        <v>5.0501568059429811</v>
      </c>
      <c r="V82" s="111">
        <f t="shared" si="23"/>
        <v>3.314116805942982</v>
      </c>
      <c r="W82" s="111">
        <f t="shared" si="24"/>
        <v>2.6181168059429818</v>
      </c>
      <c r="X82" s="111">
        <f t="shared" si="25"/>
        <v>2.1665968059429819</v>
      </c>
      <c r="Y82" s="103"/>
      <c r="Z82" s="103"/>
      <c r="AA82" s="103" t="str">
        <f t="shared" si="26"/>
        <v>CFLratio0248</v>
      </c>
      <c r="AB82" s="103" t="str">
        <f t="shared" si="31"/>
        <v>CFLscw-A(19w)CFLratio0248</v>
      </c>
      <c r="AC82" s="103"/>
      <c r="AD82" s="108">
        <f t="shared" si="32"/>
        <v>2.4011352089144724</v>
      </c>
      <c r="AE82" s="108">
        <f t="shared" si="27"/>
        <v>2.0303352089144724</v>
      </c>
      <c r="AF82" s="108">
        <f t="shared" si="28"/>
        <v>1.961275208914472</v>
      </c>
      <c r="AG82" s="108">
        <f t="shared" si="29"/>
        <v>2.6572752089144722</v>
      </c>
      <c r="AH82" s="108">
        <f t="shared" si="30"/>
        <v>1.9799952089144721</v>
      </c>
    </row>
    <row r="83" spans="2:34">
      <c r="B83" s="179">
        <f>IFERROR(MATCH(C83,'CFL &amp; Incand Cost Development'!$A$8:$A$290,0),0)</f>
        <v>39</v>
      </c>
      <c r="C83" s="111" t="s">
        <v>239</v>
      </c>
      <c r="D83" s="111">
        <f>INDEX('CFL &amp; Incand Cost Development'!AM$8:AM$290,$B83)</f>
        <v>5.3019920148574542</v>
      </c>
      <c r="E83" s="111">
        <f>INDEX('CFL &amp; Incand Cost Development'!AN$8:AN$290,$B83)</f>
        <v>7.1469920148574539</v>
      </c>
      <c r="F83" s="111">
        <f>INDEX('CFL &amp; Incand Cost Development'!AO$8:AO$290,$B83)</f>
        <v>5.3418920148574536</v>
      </c>
      <c r="G83" s="111">
        <f>INDEX('CFL &amp; Incand Cost Development'!AP$8:AP$290,$B83)</f>
        <v>5.3418920148574536</v>
      </c>
      <c r="H83" s="111">
        <f>INDEX('CFL &amp; Incand Cost Development'!AQ$8:AQ$290,$B83)</f>
        <v>4.2130920148574535</v>
      </c>
      <c r="I83" s="103"/>
      <c r="J83" s="183" t="str">
        <f>INDEX('CFL &amp; Incand Cost Development'!BS$8:BS$290,$B83)</f>
        <v>WRR0347_CFLscw-A(20w)</v>
      </c>
      <c r="K83" s="250">
        <f>INDEX('CFL &amp; Incand Cost Development'!BT$8:BT$290,$B83)</f>
        <v>69</v>
      </c>
      <c r="L83" s="250">
        <f>INDEX('CFL &amp; Incand Cost Development'!BU$8:BU$290,$B83)</f>
        <v>1.2612000000000001</v>
      </c>
      <c r="M83" s="250">
        <f>INDEX('CFL &amp; Incand Cost Development'!BV$8:BV$290,$B83)</f>
        <v>3.7242000000000002</v>
      </c>
      <c r="N83" s="250">
        <f>INDEX('CFL &amp; Incand Cost Development'!BW$8:BW$290,$B83)</f>
        <v>2.0342000000000002</v>
      </c>
      <c r="O83" s="250">
        <f>INDEX('CFL &amp; Incand Cost Development'!BX$8:BX$290,$B83)</f>
        <v>0.87420000000000031</v>
      </c>
      <c r="P83" s="250">
        <f>INDEX('CFL &amp; Incand Cost Development'!BY$8:BY$290,$B83)</f>
        <v>0.87420000000000031</v>
      </c>
      <c r="Q83" s="103"/>
      <c r="R83" s="103"/>
      <c r="S83" s="103" t="str">
        <f t="shared" si="20"/>
        <v>Std_CFLscw-A(20w)_60pInc-r0248</v>
      </c>
      <c r="T83" s="111">
        <f t="shared" si="21"/>
        <v>2.8775168059429816</v>
      </c>
      <c r="U83" s="111">
        <f t="shared" si="22"/>
        <v>5.0933168059429814</v>
      </c>
      <c r="V83" s="111">
        <f t="shared" si="23"/>
        <v>3.3572768059429814</v>
      </c>
      <c r="W83" s="111">
        <f t="shared" si="24"/>
        <v>2.6612768059429817</v>
      </c>
      <c r="X83" s="111">
        <f t="shared" si="25"/>
        <v>2.2097568059429817</v>
      </c>
      <c r="Y83" s="103"/>
      <c r="Z83" s="103"/>
      <c r="AA83" s="103" t="str">
        <f t="shared" si="26"/>
        <v>CFLratio0248</v>
      </c>
      <c r="AB83" s="103" t="str">
        <f t="shared" si="31"/>
        <v>CFLscw-A(20w)CFLratio0248</v>
      </c>
      <c r="AC83" s="103"/>
      <c r="AD83" s="108">
        <f t="shared" si="32"/>
        <v>2.4244752089144725</v>
      </c>
      <c r="AE83" s="108">
        <f t="shared" si="27"/>
        <v>2.0536752089144725</v>
      </c>
      <c r="AF83" s="108">
        <f t="shared" si="28"/>
        <v>1.9846152089144722</v>
      </c>
      <c r="AG83" s="108">
        <f t="shared" si="29"/>
        <v>2.6806152089144719</v>
      </c>
      <c r="AH83" s="108">
        <f t="shared" si="30"/>
        <v>2.0033352089144718</v>
      </c>
    </row>
    <row r="84" spans="2:34">
      <c r="B84" s="179">
        <f>IFERROR(MATCH(C84,'CFL &amp; Incand Cost Development'!$A$8:$A$290,0),0)</f>
        <v>40</v>
      </c>
      <c r="C84" s="111" t="s">
        <v>241</v>
      </c>
      <c r="D84" s="111">
        <f>INDEX('CFL &amp; Incand Cost Development'!AM$8:AM$290,$B84)</f>
        <v>5.4349920148574542</v>
      </c>
      <c r="E84" s="111">
        <f>INDEX('CFL &amp; Incand Cost Development'!AN$8:AN$290,$B84)</f>
        <v>7.279992014857454</v>
      </c>
      <c r="F84" s="111">
        <f>INDEX('CFL &amp; Incand Cost Development'!AO$8:AO$290,$B84)</f>
        <v>5.4748920148574545</v>
      </c>
      <c r="G84" s="111">
        <f>INDEX('CFL &amp; Incand Cost Development'!AP$8:AP$290,$B84)</f>
        <v>5.4748920148574545</v>
      </c>
      <c r="H84" s="111">
        <f>INDEX('CFL &amp; Incand Cost Development'!AQ$8:AQ$290,$B84)</f>
        <v>4.3460920148574544</v>
      </c>
      <c r="I84" s="103"/>
      <c r="J84" s="183" t="str">
        <f>INDEX('CFL &amp; Incand Cost Development'!BS$8:BS$290,$B84)</f>
        <v>WRR0347_CFLscw-A(22w)</v>
      </c>
      <c r="K84" s="250">
        <f>INDEX('CFL &amp; Incand Cost Development'!BT$8:BT$290,$B84)</f>
        <v>76</v>
      </c>
      <c r="L84" s="250">
        <f>INDEX('CFL &amp; Incand Cost Development'!BU$8:BU$290,$B84)</f>
        <v>1.3168000000000002</v>
      </c>
      <c r="M84" s="250">
        <f>INDEX('CFL &amp; Incand Cost Development'!BV$8:BV$290,$B84)</f>
        <v>3.7798000000000003</v>
      </c>
      <c r="N84" s="250">
        <f>INDEX('CFL &amp; Incand Cost Development'!BW$8:BW$290,$B84)</f>
        <v>2.0898000000000003</v>
      </c>
      <c r="O84" s="250">
        <f>INDEX('CFL &amp; Incand Cost Development'!BX$8:BX$290,$B84)</f>
        <v>0.9298000000000004</v>
      </c>
      <c r="P84" s="250">
        <f>INDEX('CFL &amp; Incand Cost Development'!BY$8:BY$290,$B84)</f>
        <v>0.9298000000000004</v>
      </c>
      <c r="Q84" s="103"/>
      <c r="R84" s="103"/>
      <c r="S84" s="103" t="str">
        <f t="shared" si="20"/>
        <v>Std_CFLscw-A(22w)_60pInc-r0248</v>
      </c>
      <c r="T84" s="111">
        <f t="shared" si="21"/>
        <v>2.9640768059429821</v>
      </c>
      <c r="U84" s="111">
        <f t="shared" si="22"/>
        <v>5.1798768059429818</v>
      </c>
      <c r="V84" s="111">
        <f t="shared" si="23"/>
        <v>3.4438368059429818</v>
      </c>
      <c r="W84" s="111">
        <f t="shared" si="24"/>
        <v>2.7478368059429821</v>
      </c>
      <c r="X84" s="111">
        <f t="shared" si="25"/>
        <v>2.2963168059429822</v>
      </c>
      <c r="Y84" s="103"/>
      <c r="Z84" s="103"/>
      <c r="AA84" s="103" t="str">
        <f t="shared" si="26"/>
        <v>CFLratio0248</v>
      </c>
      <c r="AB84" s="103" t="str">
        <f t="shared" si="31"/>
        <v>CFLscw-A(22w)CFLratio0248</v>
      </c>
      <c r="AC84" s="103"/>
      <c r="AD84" s="108">
        <f t="shared" si="32"/>
        <v>2.4709152089144721</v>
      </c>
      <c r="AE84" s="108">
        <f t="shared" si="27"/>
        <v>2.1001152089144721</v>
      </c>
      <c r="AF84" s="108">
        <f t="shared" si="28"/>
        <v>2.0310552089144727</v>
      </c>
      <c r="AG84" s="108">
        <f t="shared" si="29"/>
        <v>2.7270552089144724</v>
      </c>
      <c r="AH84" s="108">
        <f t="shared" si="30"/>
        <v>2.0497752089144723</v>
      </c>
    </row>
    <row r="85" spans="2:34">
      <c r="B85" s="179">
        <f>IFERROR(MATCH(C85,'CFL &amp; Incand Cost Development'!$A$8:$A$290,0),0)</f>
        <v>41</v>
      </c>
      <c r="C85" s="111" t="s">
        <v>243</v>
      </c>
      <c r="D85" s="111">
        <f>INDEX('CFL &amp; Incand Cost Development'!AM$8:AM$290,$B85)</f>
        <v>5.5014920148574538</v>
      </c>
      <c r="E85" s="111">
        <f>INDEX('CFL &amp; Incand Cost Development'!AN$8:AN$290,$B85)</f>
        <v>7.3464920148574535</v>
      </c>
      <c r="F85" s="111">
        <f>INDEX('CFL &amp; Incand Cost Development'!AO$8:AO$290,$B85)</f>
        <v>5.541392014857454</v>
      </c>
      <c r="G85" s="111">
        <f>INDEX('CFL &amp; Incand Cost Development'!AP$8:AP$290,$B85)</f>
        <v>5.541392014857454</v>
      </c>
      <c r="H85" s="111">
        <f>INDEX('CFL &amp; Incand Cost Development'!AQ$8:AQ$290,$B85)</f>
        <v>4.412592014857454</v>
      </c>
      <c r="I85" s="103"/>
      <c r="J85" s="183" t="str">
        <f>INDEX('CFL &amp; Incand Cost Development'!BS$8:BS$290,$B85)</f>
        <v>WRR0347_CFLscw-A(23w)</v>
      </c>
      <c r="K85" s="250">
        <f>INDEX('CFL &amp; Incand Cost Development'!BT$8:BT$290,$B85)</f>
        <v>80</v>
      </c>
      <c r="L85" s="250">
        <f>INDEX('CFL &amp; Incand Cost Development'!BU$8:BU$290,$B85)</f>
        <v>1.3184</v>
      </c>
      <c r="M85" s="250">
        <f>INDEX('CFL &amp; Incand Cost Development'!BV$8:BV$290,$B85)</f>
        <v>3.7814000000000001</v>
      </c>
      <c r="N85" s="250">
        <f>INDEX('CFL &amp; Incand Cost Development'!BW$8:BW$290,$B85)</f>
        <v>2.0914000000000001</v>
      </c>
      <c r="O85" s="250">
        <f>INDEX('CFL &amp; Incand Cost Development'!BX$8:BX$290,$B85)</f>
        <v>0.93140000000000023</v>
      </c>
      <c r="P85" s="250">
        <f>INDEX('CFL &amp; Incand Cost Development'!BY$8:BY$290,$B85)</f>
        <v>0.93140000000000023</v>
      </c>
      <c r="Q85" s="103"/>
      <c r="R85" s="103"/>
      <c r="S85" s="103" t="str">
        <f t="shared" si="20"/>
        <v>Std_CFLscw-A(23w)_60pInc-r0248</v>
      </c>
      <c r="T85" s="111">
        <f t="shared" si="21"/>
        <v>2.9916368059429814</v>
      </c>
      <c r="U85" s="111">
        <f t="shared" si="22"/>
        <v>5.2074368059429812</v>
      </c>
      <c r="V85" s="111">
        <f t="shared" si="23"/>
        <v>3.4713968059429821</v>
      </c>
      <c r="W85" s="111">
        <f t="shared" si="24"/>
        <v>2.7753968059429819</v>
      </c>
      <c r="X85" s="111">
        <f t="shared" si="25"/>
        <v>2.323876805942982</v>
      </c>
      <c r="Y85" s="103"/>
      <c r="Z85" s="103"/>
      <c r="AA85" s="103" t="str">
        <f t="shared" si="26"/>
        <v>CFLratio0248</v>
      </c>
      <c r="AB85" s="103" t="str">
        <f t="shared" si="31"/>
        <v>CFLscw-A(23w)CFLratio0248</v>
      </c>
      <c r="AC85" s="103"/>
      <c r="AD85" s="108">
        <f t="shared" si="32"/>
        <v>2.5098552089144723</v>
      </c>
      <c r="AE85" s="108">
        <f t="shared" si="27"/>
        <v>2.1390552089144723</v>
      </c>
      <c r="AF85" s="108">
        <f t="shared" si="28"/>
        <v>2.069995208914472</v>
      </c>
      <c r="AG85" s="108">
        <f t="shared" si="29"/>
        <v>2.7659952089144721</v>
      </c>
      <c r="AH85" s="108">
        <f t="shared" si="30"/>
        <v>2.088715208914472</v>
      </c>
    </row>
    <row r="86" spans="2:34">
      <c r="B86" s="179">
        <f>IFERROR(MATCH(C86,'CFL &amp; Incand Cost Development'!$A$8:$A$290,0),0)</f>
        <v>42</v>
      </c>
      <c r="C86" s="111" t="s">
        <v>245</v>
      </c>
      <c r="D86" s="111">
        <f>INDEX('CFL &amp; Incand Cost Development'!AM$8:AM$290,$B86)</f>
        <v>5.5679920148574542</v>
      </c>
      <c r="E86" s="111">
        <f>INDEX('CFL &amp; Incand Cost Development'!AN$8:AN$290,$B86)</f>
        <v>7.412992014857454</v>
      </c>
      <c r="F86" s="111">
        <f>INDEX('CFL &amp; Incand Cost Development'!AO$8:AO$290,$B86)</f>
        <v>5.6078920148574536</v>
      </c>
      <c r="G86" s="111">
        <f>INDEX('CFL &amp; Incand Cost Development'!AP$8:AP$290,$B86)</f>
        <v>5.6078920148574536</v>
      </c>
      <c r="H86" s="111">
        <f>INDEX('CFL &amp; Incand Cost Development'!AQ$8:AQ$290,$B86)</f>
        <v>4.4790920148574536</v>
      </c>
      <c r="I86" s="103"/>
      <c r="J86" s="183" t="str">
        <f>INDEX('CFL &amp; Incand Cost Development'!BS$8:BS$290,$B86)</f>
        <v>WRR0347_CFLscw-A(24w)</v>
      </c>
      <c r="K86" s="250">
        <f>INDEX('CFL &amp; Incand Cost Development'!BT$8:BT$290,$B86)</f>
        <v>83</v>
      </c>
      <c r="L86" s="250">
        <f>INDEX('CFL &amp; Incand Cost Development'!BU$8:BU$290,$B86)</f>
        <v>1.3196000000000003</v>
      </c>
      <c r="M86" s="250">
        <f>INDEX('CFL &amp; Incand Cost Development'!BV$8:BV$290,$B86)</f>
        <v>3.7826000000000004</v>
      </c>
      <c r="N86" s="250">
        <f>INDEX('CFL &amp; Incand Cost Development'!BW$8:BW$290,$B86)</f>
        <v>2.0926000000000005</v>
      </c>
      <c r="O86" s="250">
        <f>INDEX('CFL &amp; Incand Cost Development'!BX$8:BX$290,$B86)</f>
        <v>0.93260000000000054</v>
      </c>
      <c r="P86" s="250">
        <f>INDEX('CFL &amp; Incand Cost Development'!BY$8:BY$290,$B86)</f>
        <v>0.93260000000000054</v>
      </c>
      <c r="Q86" s="103"/>
      <c r="R86" s="103"/>
      <c r="S86" s="103" t="str">
        <f t="shared" si="20"/>
        <v>Std_CFLscw-A(24w)_60pInc-r0248</v>
      </c>
      <c r="T86" s="111">
        <f t="shared" si="21"/>
        <v>3.0189568059429819</v>
      </c>
      <c r="U86" s="111">
        <f t="shared" si="22"/>
        <v>5.2347568059429825</v>
      </c>
      <c r="V86" s="111">
        <f t="shared" si="23"/>
        <v>3.4987168059429816</v>
      </c>
      <c r="W86" s="111">
        <f t="shared" si="24"/>
        <v>2.8027168059429819</v>
      </c>
      <c r="X86" s="111">
        <f t="shared" si="25"/>
        <v>2.3511968059429815</v>
      </c>
      <c r="Y86" s="103"/>
      <c r="Z86" s="103"/>
      <c r="AA86" s="103" t="str">
        <f t="shared" si="26"/>
        <v>CFLratio0248</v>
      </c>
      <c r="AB86" s="103" t="str">
        <f t="shared" si="31"/>
        <v>CFLscw-A(24w)CFLratio0248</v>
      </c>
      <c r="AC86" s="103"/>
      <c r="AD86" s="108">
        <f t="shared" si="32"/>
        <v>2.5490352089144723</v>
      </c>
      <c r="AE86" s="108">
        <f t="shared" si="27"/>
        <v>2.1782352089144714</v>
      </c>
      <c r="AF86" s="108">
        <f t="shared" si="28"/>
        <v>2.109175208914472</v>
      </c>
      <c r="AG86" s="108">
        <f t="shared" si="29"/>
        <v>2.8051752089144717</v>
      </c>
      <c r="AH86" s="108">
        <f t="shared" si="30"/>
        <v>2.127895208914472</v>
      </c>
    </row>
    <row r="87" spans="2:34">
      <c r="B87" s="179">
        <f>IFERROR(MATCH(C87,'CFL &amp; Incand Cost Development'!$A$8:$A$290,0),0)</f>
        <v>43</v>
      </c>
      <c r="C87" s="111" t="s">
        <v>247</v>
      </c>
      <c r="D87" s="111">
        <f>INDEX('CFL &amp; Incand Cost Development'!AM$8:AM$290,$B87)</f>
        <v>5.6344920148574547</v>
      </c>
      <c r="E87" s="111">
        <f>INDEX('CFL &amp; Incand Cost Development'!AN$8:AN$290,$B87)</f>
        <v>7.4794920148574544</v>
      </c>
      <c r="F87" s="111">
        <f>INDEX('CFL &amp; Incand Cost Development'!AO$8:AO$290,$B87)</f>
        <v>5.6743920148574549</v>
      </c>
      <c r="G87" s="111">
        <f>INDEX('CFL &amp; Incand Cost Development'!AP$8:AP$290,$B87)</f>
        <v>5.6743920148574549</v>
      </c>
      <c r="H87" s="111">
        <f>INDEX('CFL &amp; Incand Cost Development'!AQ$8:AQ$290,$B87)</f>
        <v>4.5455920148574549</v>
      </c>
      <c r="I87" s="103"/>
      <c r="J87" s="183" t="str">
        <f>INDEX('CFL &amp; Incand Cost Development'!BS$8:BS$290,$B87)</f>
        <v>WRR0347_CFLscw-A(25w)</v>
      </c>
      <c r="K87" s="250">
        <f>INDEX('CFL &amp; Incand Cost Development'!BT$8:BT$290,$B87)</f>
        <v>87</v>
      </c>
      <c r="L87" s="250">
        <f>INDEX('CFL &amp; Incand Cost Development'!BU$8:BU$290,$B87)</f>
        <v>1.3212000000000002</v>
      </c>
      <c r="M87" s="250">
        <f>INDEX('CFL &amp; Incand Cost Development'!BV$8:BV$290,$B87)</f>
        <v>3.7842000000000002</v>
      </c>
      <c r="N87" s="250">
        <f>INDEX('CFL &amp; Incand Cost Development'!BW$8:BW$290,$B87)</f>
        <v>2.0942000000000003</v>
      </c>
      <c r="O87" s="250">
        <f>INDEX('CFL &amp; Incand Cost Development'!BX$8:BX$290,$B87)</f>
        <v>0.93420000000000036</v>
      </c>
      <c r="P87" s="250">
        <f>INDEX('CFL &amp; Incand Cost Development'!BY$8:BY$290,$B87)</f>
        <v>0.93420000000000036</v>
      </c>
      <c r="Q87" s="103"/>
      <c r="R87" s="103"/>
      <c r="S87" s="103" t="str">
        <f t="shared" si="20"/>
        <v>Std_CFLscw-A(25w)_60pInc-r0248</v>
      </c>
      <c r="T87" s="111">
        <f t="shared" si="21"/>
        <v>3.0465168059429821</v>
      </c>
      <c r="U87" s="111">
        <f t="shared" si="22"/>
        <v>5.2623168059429819</v>
      </c>
      <c r="V87" s="111">
        <f t="shared" si="23"/>
        <v>3.5262768059429823</v>
      </c>
      <c r="W87" s="111">
        <f t="shared" si="24"/>
        <v>2.8302768059429826</v>
      </c>
      <c r="X87" s="111">
        <f t="shared" si="25"/>
        <v>2.3787568059429822</v>
      </c>
      <c r="Y87" s="103"/>
      <c r="Z87" s="103"/>
      <c r="AA87" s="103" t="str">
        <f t="shared" si="26"/>
        <v>CFLratio0248</v>
      </c>
      <c r="AB87" s="103" t="str">
        <f t="shared" si="31"/>
        <v>CFLscw-A(25w)CFLratio0248</v>
      </c>
      <c r="AC87" s="103"/>
      <c r="AD87" s="108">
        <f t="shared" si="32"/>
        <v>2.5879752089144725</v>
      </c>
      <c r="AE87" s="108">
        <f t="shared" si="27"/>
        <v>2.2171752089144725</v>
      </c>
      <c r="AF87" s="108">
        <f t="shared" si="28"/>
        <v>2.1481152089144726</v>
      </c>
      <c r="AG87" s="108">
        <f t="shared" si="29"/>
        <v>2.8441152089144723</v>
      </c>
      <c r="AH87" s="108">
        <f t="shared" si="30"/>
        <v>2.1668352089144727</v>
      </c>
    </row>
    <row r="88" spans="2:34">
      <c r="B88" s="179">
        <f>IFERROR(MATCH(C88,'CFL &amp; Incand Cost Development'!$A$8:$A$290,0),0)</f>
        <v>44</v>
      </c>
      <c r="C88" s="111" t="s">
        <v>249</v>
      </c>
      <c r="D88" s="111">
        <f>INDEX('CFL &amp; Incand Cost Development'!AM$8:AM$290,$B88)</f>
        <v>5.7944920148574539</v>
      </c>
      <c r="E88" s="111">
        <f>INDEX('CFL &amp; Incand Cost Development'!AN$8:AN$290,$B88)</f>
        <v>7.6394920148574537</v>
      </c>
      <c r="F88" s="111">
        <f>INDEX('CFL &amp; Incand Cost Development'!AO$8:AO$290,$B88)</f>
        <v>5.8343920148574542</v>
      </c>
      <c r="G88" s="111">
        <f>INDEX('CFL &amp; Incand Cost Development'!AP$8:AP$290,$B88)</f>
        <v>5.8343920148574542</v>
      </c>
      <c r="H88" s="111">
        <f>INDEX('CFL &amp; Incand Cost Development'!AQ$8:AQ$290,$B88)</f>
        <v>4.7055920148574542</v>
      </c>
      <c r="I88" s="103"/>
      <c r="J88" s="183" t="str">
        <f>INDEX('CFL &amp; Incand Cost Development'!BS$8:BS$290,$B88)</f>
        <v>WRR0347_CFLscw-A(26w)</v>
      </c>
      <c r="K88" s="250">
        <f>INDEX('CFL &amp; Incand Cost Development'!BT$8:BT$290,$B88)</f>
        <v>90</v>
      </c>
      <c r="L88" s="250">
        <f>INDEX('CFL &amp; Incand Cost Development'!BU$8:BU$290,$B88)</f>
        <v>1.3224</v>
      </c>
      <c r="M88" s="250">
        <f>INDEX('CFL &amp; Incand Cost Development'!BV$8:BV$290,$B88)</f>
        <v>3.7854000000000001</v>
      </c>
      <c r="N88" s="250">
        <f>INDEX('CFL &amp; Incand Cost Development'!BW$8:BW$290,$B88)</f>
        <v>2.0954000000000002</v>
      </c>
      <c r="O88" s="250">
        <f>INDEX('CFL &amp; Incand Cost Development'!BX$8:BX$290,$B88)</f>
        <v>0.93540000000000023</v>
      </c>
      <c r="P88" s="250">
        <f>INDEX('CFL &amp; Incand Cost Development'!BY$8:BY$290,$B88)</f>
        <v>0.93540000000000023</v>
      </c>
      <c r="Q88" s="103"/>
      <c r="R88" s="103"/>
      <c r="S88" s="103" t="str">
        <f t="shared" si="20"/>
        <v>Std_CFLscw-A(26w)_60pInc-r0248</v>
      </c>
      <c r="T88" s="111">
        <f t="shared" si="21"/>
        <v>3.1112368059429816</v>
      </c>
      <c r="U88" s="111">
        <f t="shared" si="22"/>
        <v>5.3270368059429813</v>
      </c>
      <c r="V88" s="111">
        <f t="shared" si="23"/>
        <v>3.5909968059429822</v>
      </c>
      <c r="W88" s="111">
        <f t="shared" si="24"/>
        <v>2.894996805942982</v>
      </c>
      <c r="X88" s="111">
        <f t="shared" si="25"/>
        <v>2.4434768059429817</v>
      </c>
      <c r="Y88" s="103"/>
      <c r="Z88" s="103"/>
      <c r="AA88" s="103" t="str">
        <f t="shared" si="26"/>
        <v>CFLratio0248</v>
      </c>
      <c r="AB88" s="103" t="str">
        <f t="shared" si="31"/>
        <v>CFLscw-A(26w)CFLratio0248</v>
      </c>
      <c r="AC88" s="103"/>
      <c r="AD88" s="108">
        <f t="shared" si="32"/>
        <v>2.6832552089144723</v>
      </c>
      <c r="AE88" s="108">
        <f t="shared" si="27"/>
        <v>2.3124552089144723</v>
      </c>
      <c r="AF88" s="108">
        <f t="shared" si="28"/>
        <v>2.243395208914472</v>
      </c>
      <c r="AG88" s="108">
        <f t="shared" si="29"/>
        <v>2.9393952089144721</v>
      </c>
      <c r="AH88" s="108">
        <f t="shared" si="30"/>
        <v>2.2621152089144725</v>
      </c>
    </row>
    <row r="89" spans="2:34">
      <c r="B89" s="179">
        <f>IFERROR(MATCH(C89,'CFL &amp; Incand Cost Development'!$A$8:$A$290,0),0)</f>
        <v>45</v>
      </c>
      <c r="C89" s="111" t="s">
        <v>251</v>
      </c>
      <c r="D89" s="111">
        <f>INDEX('CFL &amp; Incand Cost Development'!AM$8:AM$290,$B89)</f>
        <v>5.9544920148574541</v>
      </c>
      <c r="E89" s="111">
        <f>INDEX('CFL &amp; Incand Cost Development'!AN$8:AN$290,$B89)</f>
        <v>7.7994920148574538</v>
      </c>
      <c r="F89" s="111">
        <f>INDEX('CFL &amp; Incand Cost Development'!AO$8:AO$290,$B89)</f>
        <v>5.9943920148574534</v>
      </c>
      <c r="G89" s="111">
        <f>INDEX('CFL &amp; Incand Cost Development'!AP$8:AP$290,$B89)</f>
        <v>5.9943920148574534</v>
      </c>
      <c r="H89" s="111">
        <f>INDEX('CFL &amp; Incand Cost Development'!AQ$8:AQ$290,$B89)</f>
        <v>4.8655920148574534</v>
      </c>
      <c r="I89" s="103"/>
      <c r="J89" s="183" t="str">
        <f>INDEX('CFL &amp; Incand Cost Development'!BS$8:BS$290,$B89)</f>
        <v>WRR0347_CFLscw-A(27w)</v>
      </c>
      <c r="K89" s="250">
        <f>INDEX('CFL &amp; Incand Cost Development'!BT$8:BT$290,$B89)</f>
        <v>94</v>
      </c>
      <c r="L89" s="250">
        <f>INDEX('CFL &amp; Incand Cost Development'!BU$8:BU$290,$B89)</f>
        <v>1.3239999999999998</v>
      </c>
      <c r="M89" s="250">
        <f>INDEX('CFL &amp; Incand Cost Development'!BV$8:BV$290,$B89)</f>
        <v>3.7869999999999999</v>
      </c>
      <c r="N89" s="250">
        <f>INDEX('CFL &amp; Incand Cost Development'!BW$8:BW$290,$B89)</f>
        <v>2.097</v>
      </c>
      <c r="O89" s="250">
        <f>INDEX('CFL &amp; Incand Cost Development'!BX$8:BX$290,$B89)</f>
        <v>0.93700000000000006</v>
      </c>
      <c r="P89" s="250">
        <f>INDEX('CFL &amp; Incand Cost Development'!BY$8:BY$290,$B89)</f>
        <v>0.93700000000000006</v>
      </c>
      <c r="Q89" s="103"/>
      <c r="R89" s="103"/>
      <c r="S89" s="103" t="str">
        <f t="shared" si="20"/>
        <v>Std_CFLscw-A(27w)_60pInc-r0248</v>
      </c>
      <c r="T89" s="111">
        <f t="shared" si="21"/>
        <v>3.1761968059429817</v>
      </c>
      <c r="U89" s="111">
        <f t="shared" si="22"/>
        <v>5.3919968059429815</v>
      </c>
      <c r="V89" s="111">
        <f t="shared" si="23"/>
        <v>3.6559568059429814</v>
      </c>
      <c r="W89" s="111">
        <f t="shared" si="24"/>
        <v>2.9599568059429817</v>
      </c>
      <c r="X89" s="111">
        <f t="shared" si="25"/>
        <v>2.5084368059429814</v>
      </c>
      <c r="Y89" s="103"/>
      <c r="Z89" s="103"/>
      <c r="AA89" s="103" t="str">
        <f t="shared" si="26"/>
        <v>CFLratio0248</v>
      </c>
      <c r="AB89" s="103" t="str">
        <f t="shared" si="31"/>
        <v>CFLscw-A(27w)CFLratio0248</v>
      </c>
      <c r="AC89" s="103"/>
      <c r="AD89" s="108">
        <f t="shared" si="32"/>
        <v>2.7782952089144723</v>
      </c>
      <c r="AE89" s="108">
        <f t="shared" si="27"/>
        <v>2.4074952089144723</v>
      </c>
      <c r="AF89" s="108">
        <f t="shared" si="28"/>
        <v>2.338435208914472</v>
      </c>
      <c r="AG89" s="108">
        <f t="shared" si="29"/>
        <v>3.0344352089144717</v>
      </c>
      <c r="AH89" s="108">
        <f t="shared" si="30"/>
        <v>2.3571552089144721</v>
      </c>
    </row>
    <row r="90" spans="2:34">
      <c r="B90" s="179">
        <f>IFERROR(MATCH(C90,'CFL &amp; Incand Cost Development'!$A$8:$A$290,0),0)</f>
        <v>46</v>
      </c>
      <c r="C90" s="111" t="s">
        <v>253</v>
      </c>
      <c r="D90" s="111">
        <f>INDEX('CFL &amp; Incand Cost Development'!AM$8:AM$290,$B90)</f>
        <v>6.1144920148574542</v>
      </c>
      <c r="E90" s="111">
        <f>INDEX('CFL &amp; Incand Cost Development'!AN$8:AN$290,$B90)</f>
        <v>7.9594920148574539</v>
      </c>
      <c r="F90" s="111">
        <f>INDEX('CFL &amp; Incand Cost Development'!AO$8:AO$290,$B90)</f>
        <v>6.1543920148574536</v>
      </c>
      <c r="G90" s="111">
        <f>INDEX('CFL &amp; Incand Cost Development'!AP$8:AP$290,$B90)</f>
        <v>6.1543920148574536</v>
      </c>
      <c r="H90" s="111">
        <f>INDEX('CFL &amp; Incand Cost Development'!AQ$8:AQ$290,$B90)</f>
        <v>5.0255920148574535</v>
      </c>
      <c r="I90" s="103"/>
      <c r="J90" s="183" t="str">
        <f>INDEX('CFL &amp; Incand Cost Development'!BS$8:BS$290,$B90)</f>
        <v>WRR0347_CFLscw-A(28w)</v>
      </c>
      <c r="K90" s="250">
        <f>INDEX('CFL &amp; Incand Cost Development'!BT$8:BT$290,$B90)</f>
        <v>97</v>
      </c>
      <c r="L90" s="250">
        <f>INDEX('CFL &amp; Incand Cost Development'!BU$8:BU$290,$B90)</f>
        <v>1.3252000000000002</v>
      </c>
      <c r="M90" s="250">
        <f>INDEX('CFL &amp; Incand Cost Development'!BV$8:BV$290,$B90)</f>
        <v>3.7882000000000002</v>
      </c>
      <c r="N90" s="250">
        <f>INDEX('CFL &amp; Incand Cost Development'!BW$8:BW$290,$B90)</f>
        <v>2.0982000000000003</v>
      </c>
      <c r="O90" s="250">
        <f>INDEX('CFL &amp; Incand Cost Development'!BX$8:BX$290,$B90)</f>
        <v>0.93820000000000037</v>
      </c>
      <c r="P90" s="250">
        <f>INDEX('CFL &amp; Incand Cost Development'!BY$8:BY$290,$B90)</f>
        <v>0.93820000000000037</v>
      </c>
      <c r="Q90" s="103"/>
      <c r="R90" s="103"/>
      <c r="S90" s="103" t="str">
        <f t="shared" si="20"/>
        <v>Std_CFLscw-A(28w)_60pInc-r0248</v>
      </c>
      <c r="T90" s="111">
        <f t="shared" si="21"/>
        <v>3.240916805942982</v>
      </c>
      <c r="U90" s="111">
        <f t="shared" si="22"/>
        <v>5.4567168059429818</v>
      </c>
      <c r="V90" s="111">
        <f t="shared" si="23"/>
        <v>3.7206768059429818</v>
      </c>
      <c r="W90" s="111">
        <f t="shared" si="24"/>
        <v>3.0246768059429816</v>
      </c>
      <c r="X90" s="111">
        <f t="shared" si="25"/>
        <v>2.5731568059429817</v>
      </c>
      <c r="Y90" s="103"/>
      <c r="Z90" s="103"/>
      <c r="AA90" s="103" t="str">
        <f t="shared" si="26"/>
        <v>CFLratio0248</v>
      </c>
      <c r="AB90" s="103" t="str">
        <f t="shared" si="31"/>
        <v>CFLscw-A(28w)CFLratio0248</v>
      </c>
      <c r="AC90" s="103"/>
      <c r="AD90" s="108">
        <f t="shared" si="32"/>
        <v>2.8735752089144722</v>
      </c>
      <c r="AE90" s="108">
        <f t="shared" si="27"/>
        <v>2.5027752089144721</v>
      </c>
      <c r="AF90" s="108">
        <f t="shared" si="28"/>
        <v>2.4337152089144718</v>
      </c>
      <c r="AG90" s="108">
        <f t="shared" si="29"/>
        <v>3.129715208914472</v>
      </c>
      <c r="AH90" s="108">
        <f t="shared" si="30"/>
        <v>2.4524352089144719</v>
      </c>
    </row>
    <row r="91" spans="2:34">
      <c r="B91" s="179">
        <f>IFERROR(MATCH(C91,'CFL &amp; Incand Cost Development'!$A$8:$A$290,0),0)</f>
        <v>47</v>
      </c>
      <c r="C91" s="111" t="s">
        <v>255</v>
      </c>
      <c r="D91" s="111">
        <f>INDEX('CFL &amp; Incand Cost Development'!AM$8:AM$290,$B91)</f>
        <v>6.4344920148574545</v>
      </c>
      <c r="E91" s="111">
        <f>INDEX('CFL &amp; Incand Cost Development'!AN$8:AN$290,$B91)</f>
        <v>8.2794920148574533</v>
      </c>
      <c r="F91" s="111">
        <f>INDEX('CFL &amp; Incand Cost Development'!AO$8:AO$290,$B91)</f>
        <v>6.4743920148574539</v>
      </c>
      <c r="G91" s="111">
        <f>INDEX('CFL &amp; Incand Cost Development'!AP$8:AP$290,$B91)</f>
        <v>6.4743920148574539</v>
      </c>
      <c r="H91" s="111">
        <f>INDEX('CFL &amp; Incand Cost Development'!AQ$8:AQ$290,$B91)</f>
        <v>5.3455920148574538</v>
      </c>
      <c r="I91" s="103"/>
      <c r="J91" s="183" t="str">
        <f>INDEX('CFL &amp; Incand Cost Development'!BS$8:BS$290,$B91)</f>
        <v>WRR0347_CFLscw-A(30w)</v>
      </c>
      <c r="K91" s="250">
        <f>INDEX('CFL &amp; Incand Cost Development'!BT$8:BT$290,$B91)</f>
        <v>104</v>
      </c>
      <c r="L91" s="250">
        <f>INDEX('CFL &amp; Incand Cost Development'!BU$8:BU$290,$B91)</f>
        <v>1.3279999999999998</v>
      </c>
      <c r="M91" s="250">
        <f>INDEX('CFL &amp; Incand Cost Development'!BV$8:BV$290,$B91)</f>
        <v>3.7909999999999999</v>
      </c>
      <c r="N91" s="250">
        <f>INDEX('CFL &amp; Incand Cost Development'!BW$8:BW$290,$B91)</f>
        <v>2.101</v>
      </c>
      <c r="O91" s="250">
        <f>INDEX('CFL &amp; Incand Cost Development'!BX$8:BX$290,$B91)</f>
        <v>0.94100000000000006</v>
      </c>
      <c r="P91" s="250">
        <f>INDEX('CFL &amp; Incand Cost Development'!BY$8:BY$290,$B91)</f>
        <v>0.94100000000000006</v>
      </c>
      <c r="Q91" s="103"/>
      <c r="R91" s="103"/>
      <c r="S91" s="103" t="str">
        <f t="shared" si="20"/>
        <v>Std_CFLscw-A(30w)_60pInc-r0248</v>
      </c>
      <c r="T91" s="111">
        <f t="shared" si="21"/>
        <v>3.3705968059429816</v>
      </c>
      <c r="U91" s="111">
        <f t="shared" si="22"/>
        <v>5.5863968059429814</v>
      </c>
      <c r="V91" s="111">
        <f t="shared" si="23"/>
        <v>3.8503568059429814</v>
      </c>
      <c r="W91" s="111">
        <f t="shared" si="24"/>
        <v>3.1543568059429816</v>
      </c>
      <c r="X91" s="111">
        <f t="shared" si="25"/>
        <v>2.7028368059429817</v>
      </c>
      <c r="Y91" s="103"/>
      <c r="Z91" s="103"/>
      <c r="AA91" s="103" t="str">
        <f t="shared" si="26"/>
        <v>CFLratio0248</v>
      </c>
      <c r="AB91" s="103" t="str">
        <f t="shared" si="31"/>
        <v>CFLscw-A(30w)CFLratio0248</v>
      </c>
      <c r="AC91" s="103"/>
      <c r="AD91" s="108">
        <f t="shared" si="32"/>
        <v>3.0638952089144729</v>
      </c>
      <c r="AE91" s="108">
        <f t="shared" si="27"/>
        <v>2.693095208914472</v>
      </c>
      <c r="AF91" s="108">
        <f t="shared" si="28"/>
        <v>2.6240352089144725</v>
      </c>
      <c r="AG91" s="108">
        <f t="shared" si="29"/>
        <v>3.3200352089144722</v>
      </c>
      <c r="AH91" s="108">
        <f t="shared" si="30"/>
        <v>2.6427552089144721</v>
      </c>
    </row>
    <row r="92" spans="2:34">
      <c r="B92" s="179">
        <f>IFERROR(MATCH(C92,'CFL &amp; Incand Cost Development'!$A$8:$A$290,0),0)</f>
        <v>48</v>
      </c>
      <c r="C92" s="111" t="s">
        <v>257</v>
      </c>
      <c r="D92" s="111">
        <f>INDEX('CFL &amp; Incand Cost Development'!AM$8:AM$290,$B92)</f>
        <v>6.7544920148574539</v>
      </c>
      <c r="E92" s="111">
        <f>INDEX('CFL &amp; Incand Cost Development'!AN$8:AN$290,$B92)</f>
        <v>8.5994920148574536</v>
      </c>
      <c r="F92" s="111">
        <f>INDEX('CFL &amp; Incand Cost Development'!AO$8:AO$290,$B92)</f>
        <v>6.7943920148574541</v>
      </c>
      <c r="G92" s="111">
        <f>INDEX('CFL &amp; Incand Cost Development'!AP$8:AP$290,$B92)</f>
        <v>6.7943920148574541</v>
      </c>
      <c r="H92" s="111">
        <f>INDEX('CFL &amp; Incand Cost Development'!AQ$8:AQ$290,$B92)</f>
        <v>5.6655920148574541</v>
      </c>
      <c r="I92" s="103"/>
      <c r="J92" s="183" t="str">
        <f>INDEX('CFL &amp; Incand Cost Development'!BS$8:BS$290,$B92)</f>
        <v>WRR0347_CFLscw-A(32w)</v>
      </c>
      <c r="K92" s="250">
        <f>INDEX('CFL &amp; Incand Cost Development'!BT$8:BT$290,$B92)</f>
        <v>111</v>
      </c>
      <c r="L92" s="250">
        <f>INDEX('CFL &amp; Incand Cost Development'!BU$8:BU$290,$B92)</f>
        <v>1.3307999999999995</v>
      </c>
      <c r="M92" s="250">
        <f>INDEX('CFL &amp; Incand Cost Development'!BV$8:BV$290,$B92)</f>
        <v>3.7937999999999996</v>
      </c>
      <c r="N92" s="250">
        <f>INDEX('CFL &amp; Incand Cost Development'!BW$8:BW$290,$B92)</f>
        <v>2.1037999999999997</v>
      </c>
      <c r="O92" s="250">
        <f>INDEX('CFL &amp; Incand Cost Development'!BX$8:BX$290,$B92)</f>
        <v>0.94379999999999975</v>
      </c>
      <c r="P92" s="250">
        <f>INDEX('CFL &amp; Incand Cost Development'!BY$8:BY$290,$B92)</f>
        <v>0.94379999999999975</v>
      </c>
      <c r="Q92" s="103"/>
      <c r="R92" s="103"/>
      <c r="S92" s="103" t="str">
        <f t="shared" si="20"/>
        <v>Std_CFLscw-A(32w)_60pInc-r0248</v>
      </c>
      <c r="T92" s="111">
        <f t="shared" si="21"/>
        <v>3.5002768059429812</v>
      </c>
      <c r="U92" s="111">
        <f t="shared" si="22"/>
        <v>5.716076805942981</v>
      </c>
      <c r="V92" s="111">
        <f t="shared" si="23"/>
        <v>3.9800368059429818</v>
      </c>
      <c r="W92" s="111">
        <f t="shared" si="24"/>
        <v>3.2840368059429816</v>
      </c>
      <c r="X92" s="111">
        <f t="shared" si="25"/>
        <v>2.8325168059429817</v>
      </c>
      <c r="Y92" s="103"/>
      <c r="Z92" s="103"/>
      <c r="AA92" s="103" t="str">
        <f t="shared" si="26"/>
        <v>CFLratio0248</v>
      </c>
      <c r="AB92" s="103" t="str">
        <f t="shared" si="31"/>
        <v>CFLscw-A(32w)CFLratio0248</v>
      </c>
      <c r="AC92" s="103"/>
      <c r="AD92" s="108">
        <f t="shared" si="32"/>
        <v>3.2542152089144727</v>
      </c>
      <c r="AE92" s="108">
        <f t="shared" si="27"/>
        <v>2.8834152089144727</v>
      </c>
      <c r="AF92" s="108">
        <f t="shared" si="28"/>
        <v>2.8143552089144723</v>
      </c>
      <c r="AG92" s="108">
        <f t="shared" si="29"/>
        <v>3.5103552089144725</v>
      </c>
      <c r="AH92" s="108">
        <f t="shared" si="30"/>
        <v>2.8330752089144724</v>
      </c>
    </row>
    <row r="93" spans="2:34">
      <c r="B93" s="179">
        <f>IFERROR(MATCH(C93,'CFL &amp; Incand Cost Development'!$A$8:$A$290,0),0)</f>
        <v>49</v>
      </c>
      <c r="C93" s="111" t="s">
        <v>259</v>
      </c>
      <c r="D93" s="111">
        <f>INDEX('CFL &amp; Incand Cost Development'!AM$8:AM$290,$B93)</f>
        <v>8.0344920148574559</v>
      </c>
      <c r="E93" s="111">
        <f>INDEX('CFL &amp; Incand Cost Development'!AN$8:AN$290,$B93)</f>
        <v>9.8794920148574548</v>
      </c>
      <c r="F93" s="111">
        <f>INDEX('CFL &amp; Incand Cost Development'!AO$8:AO$290,$B93)</f>
        <v>8.0743920148574553</v>
      </c>
      <c r="G93" s="111">
        <f>INDEX('CFL &amp; Incand Cost Development'!AP$8:AP$290,$B93)</f>
        <v>8.0743920148574553</v>
      </c>
      <c r="H93" s="111">
        <f>INDEX('CFL &amp; Incand Cost Development'!AQ$8:AQ$290,$B93)</f>
        <v>6.9455920148574553</v>
      </c>
      <c r="I93" s="103"/>
      <c r="J93" s="183" t="str">
        <f>INDEX('CFL &amp; Incand Cost Development'!BS$8:BS$290,$B93)</f>
        <v>WRR0347_CFLscw-A(40w)</v>
      </c>
      <c r="K93" s="250">
        <f>INDEX('CFL &amp; Incand Cost Development'!BT$8:BT$290,$B93)</f>
        <v>139</v>
      </c>
      <c r="L93" s="250">
        <f>INDEX('CFL &amp; Incand Cost Development'!BU$8:BU$290,$B93)</f>
        <v>1.3419999999999996</v>
      </c>
      <c r="M93" s="250">
        <f>INDEX('CFL &amp; Incand Cost Development'!BV$8:BV$290,$B93)</f>
        <v>3.8049999999999997</v>
      </c>
      <c r="N93" s="250">
        <f>INDEX('CFL &amp; Incand Cost Development'!BW$8:BW$290,$B93)</f>
        <v>2.1149999999999998</v>
      </c>
      <c r="O93" s="250">
        <f>INDEX('CFL &amp; Incand Cost Development'!BX$8:BX$290,$B93)</f>
        <v>0.95499999999999985</v>
      </c>
      <c r="P93" s="250">
        <f>INDEX('CFL &amp; Incand Cost Development'!BY$8:BY$290,$B93)</f>
        <v>0.95499999999999985</v>
      </c>
      <c r="Q93" s="103"/>
      <c r="R93" s="103"/>
      <c r="S93" s="103" t="str">
        <f t="shared" si="20"/>
        <v>Std_CFLscw-A(40w)_60pInc-r0248</v>
      </c>
      <c r="T93" s="111">
        <f t="shared" si="21"/>
        <v>4.0189968059429821</v>
      </c>
      <c r="U93" s="111">
        <f t="shared" si="22"/>
        <v>6.2347968059429819</v>
      </c>
      <c r="V93" s="111">
        <f t="shared" si="23"/>
        <v>4.4987568059429819</v>
      </c>
      <c r="W93" s="111">
        <f t="shared" si="24"/>
        <v>3.8027568059429822</v>
      </c>
      <c r="X93" s="111">
        <f t="shared" si="25"/>
        <v>3.3512368059429822</v>
      </c>
      <c r="Y93" s="103"/>
      <c r="Z93" s="103"/>
      <c r="AA93" s="103" t="str">
        <f t="shared" si="26"/>
        <v>CFLratio0248</v>
      </c>
      <c r="AB93" s="103" t="str">
        <f t="shared" si="31"/>
        <v>CFLscw-A(40w)CFLratio0248</v>
      </c>
      <c r="AC93" s="103"/>
      <c r="AD93" s="108">
        <f t="shared" si="32"/>
        <v>4.0154952089144738</v>
      </c>
      <c r="AE93" s="108">
        <f t="shared" si="27"/>
        <v>3.6446952089144729</v>
      </c>
      <c r="AF93" s="108">
        <f t="shared" si="28"/>
        <v>3.5756352089144734</v>
      </c>
      <c r="AG93" s="108">
        <f t="shared" si="29"/>
        <v>4.2716352089144731</v>
      </c>
      <c r="AH93" s="108">
        <f t="shared" si="30"/>
        <v>3.594355208914473</v>
      </c>
    </row>
    <row r="94" spans="2:34">
      <c r="B94" s="179">
        <f>IFERROR(MATCH(C94,'CFL &amp; Incand Cost Development'!$A$8:$A$290,0),0)</f>
        <v>50</v>
      </c>
      <c r="C94" s="111" t="s">
        <v>261</v>
      </c>
      <c r="D94" s="111">
        <f>INDEX('CFL &amp; Incand Cost Development'!AM$8:AM$290,$B94)</f>
        <v>8.3544920148574544</v>
      </c>
      <c r="E94" s="111">
        <f>INDEX('CFL &amp; Incand Cost Development'!AN$8:AN$290,$B94)</f>
        <v>10.199492014857453</v>
      </c>
      <c r="F94" s="111">
        <f>INDEX('CFL &amp; Incand Cost Development'!AO$8:AO$290,$B94)</f>
        <v>8.3943920148574538</v>
      </c>
      <c r="G94" s="111">
        <f>INDEX('CFL &amp; Incand Cost Development'!AP$8:AP$290,$B94)</f>
        <v>8.3943920148574538</v>
      </c>
      <c r="H94" s="111">
        <f>INDEX('CFL &amp; Incand Cost Development'!AQ$8:AQ$290,$B94)</f>
        <v>7.2655920148574538</v>
      </c>
      <c r="I94" s="103"/>
      <c r="J94" s="183" t="str">
        <f>INDEX('CFL &amp; Incand Cost Development'!BS$8:BS$290,$B94)</f>
        <v>WRR0347_CFLscw-A(42w)</v>
      </c>
      <c r="K94" s="250">
        <f>INDEX('CFL &amp; Incand Cost Development'!BT$8:BT$290,$B94)</f>
        <v>146</v>
      </c>
      <c r="L94" s="250">
        <f>INDEX('CFL &amp; Incand Cost Development'!BU$8:BU$290,$B94)</f>
        <v>1.3447999999999998</v>
      </c>
      <c r="M94" s="250">
        <f>INDEX('CFL &amp; Incand Cost Development'!BV$8:BV$290,$B94)</f>
        <v>3.8077999999999999</v>
      </c>
      <c r="N94" s="250">
        <f>INDEX('CFL &amp; Incand Cost Development'!BW$8:BW$290,$B94)</f>
        <v>2.1177999999999999</v>
      </c>
      <c r="O94" s="250">
        <f>INDEX('CFL &amp; Incand Cost Development'!BX$8:BX$290,$B94)</f>
        <v>0.95779999999999998</v>
      </c>
      <c r="P94" s="250">
        <f>INDEX('CFL &amp; Incand Cost Development'!BY$8:BY$290,$B94)</f>
        <v>0.95779999999999998</v>
      </c>
      <c r="Q94" s="103"/>
      <c r="R94" s="103"/>
      <c r="S94" s="103" t="str">
        <f t="shared" si="20"/>
        <v>Std_CFLscw-A(42w)_60pInc-r0248</v>
      </c>
      <c r="T94" s="111">
        <f t="shared" si="21"/>
        <v>4.1486768059429817</v>
      </c>
      <c r="U94" s="111">
        <f t="shared" si="22"/>
        <v>6.3644768059429815</v>
      </c>
      <c r="V94" s="111">
        <f t="shared" si="23"/>
        <v>4.6284368059429815</v>
      </c>
      <c r="W94" s="111">
        <f t="shared" si="24"/>
        <v>3.9324368059429817</v>
      </c>
      <c r="X94" s="111">
        <f t="shared" si="25"/>
        <v>3.4809168059429814</v>
      </c>
      <c r="Y94" s="103"/>
      <c r="Z94" s="103"/>
      <c r="AA94" s="103" t="str">
        <f t="shared" si="26"/>
        <v>CFLratio0248</v>
      </c>
      <c r="AB94" s="103" t="str">
        <f t="shared" si="31"/>
        <v>CFLscw-A(42w)CFLratio0248</v>
      </c>
      <c r="AC94" s="103"/>
      <c r="AD94" s="108">
        <f t="shared" si="32"/>
        <v>4.2058152089144727</v>
      </c>
      <c r="AE94" s="108">
        <f t="shared" si="27"/>
        <v>3.8350152089144718</v>
      </c>
      <c r="AF94" s="108">
        <f t="shared" si="28"/>
        <v>3.7659552089144723</v>
      </c>
      <c r="AG94" s="108">
        <f t="shared" si="29"/>
        <v>4.4619552089144721</v>
      </c>
      <c r="AH94" s="108">
        <f t="shared" si="30"/>
        <v>3.7846752089144724</v>
      </c>
    </row>
    <row r="95" spans="2:34">
      <c r="B95" s="179">
        <f>IFERROR(MATCH(C95,'CFL &amp; Incand Cost Development'!$A$8:$A$290,0),0)</f>
        <v>51</v>
      </c>
      <c r="C95" s="111" t="s">
        <v>263</v>
      </c>
      <c r="D95" s="111">
        <f>INDEX('CFL &amp; Incand Cost Development'!AM$8:AM$290,$B95)</f>
        <v>8.8344920148574548</v>
      </c>
      <c r="E95" s="111">
        <f>INDEX('CFL &amp; Incand Cost Development'!AN$8:AN$290,$B95)</f>
        <v>10.679492014857455</v>
      </c>
      <c r="F95" s="111">
        <f>INDEX('CFL &amp; Incand Cost Development'!AO$8:AO$290,$B95)</f>
        <v>8.8743920148574542</v>
      </c>
      <c r="G95" s="111">
        <f>INDEX('CFL &amp; Incand Cost Development'!AP$8:AP$290,$B95)</f>
        <v>8.8743920148574542</v>
      </c>
      <c r="H95" s="111">
        <f>INDEX('CFL &amp; Incand Cost Development'!AQ$8:AQ$290,$B95)</f>
        <v>7.7455920148574542</v>
      </c>
      <c r="I95" s="103"/>
      <c r="J95" s="183" t="str">
        <f>INDEX('CFL &amp; Incand Cost Development'!BS$8:BS$290,$B95)</f>
        <v>WRR0347_CFLscw-A(45w)</v>
      </c>
      <c r="K95" s="250">
        <f>INDEX('CFL &amp; Incand Cost Development'!BT$8:BT$290,$B95)</f>
        <v>156</v>
      </c>
      <c r="L95" s="250" t="str">
        <f>INDEX('CFL &amp; Incand Cost Development'!BU$8:BU$290,$B95)</f>
        <v>OOS</v>
      </c>
      <c r="M95" s="250" t="str">
        <f>INDEX('CFL &amp; Incand Cost Development'!BV$8:BV$290,$B95)</f>
        <v>OOS</v>
      </c>
      <c r="N95" s="250" t="str">
        <f>INDEX('CFL &amp; Incand Cost Development'!BW$8:BW$290,$B95)</f>
        <v>OOS</v>
      </c>
      <c r="O95" s="250" t="str">
        <f>INDEX('CFL &amp; Incand Cost Development'!BX$8:BX$290,$B95)</f>
        <v>OOS</v>
      </c>
      <c r="P95" s="250" t="str">
        <f>INDEX('CFL &amp; Incand Cost Development'!BY$8:BY$290,$B95)</f>
        <v>OOS</v>
      </c>
      <c r="Q95" s="103"/>
      <c r="R95" s="103"/>
      <c r="S95" s="103" t="str">
        <f t="shared" si="20"/>
        <v/>
      </c>
      <c r="T95" s="111" t="str">
        <f t="shared" si="21"/>
        <v/>
      </c>
      <c r="U95" s="111" t="str">
        <f t="shared" si="22"/>
        <v/>
      </c>
      <c r="V95" s="111" t="str">
        <f t="shared" si="23"/>
        <v/>
      </c>
      <c r="W95" s="111" t="str">
        <f t="shared" si="24"/>
        <v/>
      </c>
      <c r="X95" s="111" t="str">
        <f t="shared" si="25"/>
        <v/>
      </c>
      <c r="Y95" s="103"/>
      <c r="Z95" s="103"/>
      <c r="AA95" s="103" t="str">
        <f t="shared" si="26"/>
        <v>CFLratio0248</v>
      </c>
      <c r="AB95" s="103" t="str">
        <f t="shared" si="31"/>
        <v>CFLscw-A(45w)CFLratio0248</v>
      </c>
      <c r="AC95" s="103"/>
      <c r="AD95" s="108" t="str">
        <f t="shared" si="32"/>
        <v/>
      </c>
      <c r="AE95" s="108" t="str">
        <f t="shared" si="27"/>
        <v/>
      </c>
      <c r="AF95" s="108" t="str">
        <f t="shared" si="28"/>
        <v/>
      </c>
      <c r="AG95" s="108" t="str">
        <f t="shared" si="29"/>
        <v/>
      </c>
      <c r="AH95" s="108" t="str">
        <f t="shared" si="30"/>
        <v/>
      </c>
    </row>
    <row r="96" spans="2:34">
      <c r="B96" s="179">
        <f>IFERROR(MATCH(C96,'CFL &amp; Incand Cost Development'!$A$8:$A$290,0),0)</f>
        <v>52</v>
      </c>
      <c r="C96" s="111" t="s">
        <v>265</v>
      </c>
      <c r="D96" s="111">
        <f>INDEX('CFL &amp; Incand Cost Development'!AM$8:AM$290,$B96)</f>
        <v>10.434492014857454</v>
      </c>
      <c r="E96" s="111">
        <f>INDEX('CFL &amp; Incand Cost Development'!AN$8:AN$290,$B96)</f>
        <v>12.279492014857453</v>
      </c>
      <c r="F96" s="111">
        <f>INDEX('CFL &amp; Incand Cost Development'!AO$8:AO$290,$B96)</f>
        <v>10.474392014857454</v>
      </c>
      <c r="G96" s="111">
        <f>INDEX('CFL &amp; Incand Cost Development'!AP$8:AP$290,$B96)</f>
        <v>10.474392014857454</v>
      </c>
      <c r="H96" s="111">
        <f>INDEX('CFL &amp; Incand Cost Development'!AQ$8:AQ$290,$B96)</f>
        <v>9.3455920148574538</v>
      </c>
      <c r="I96" s="103"/>
      <c r="J96" s="183" t="str">
        <f>INDEX('CFL &amp; Incand Cost Development'!BS$8:BS$290,$B96)</f>
        <v>WRR0347_CFLscw-A(55w)</v>
      </c>
      <c r="K96" s="250">
        <f>INDEX('CFL &amp; Incand Cost Development'!BT$8:BT$290,$B96)</f>
        <v>191</v>
      </c>
      <c r="L96" s="250" t="str">
        <f>INDEX('CFL &amp; Incand Cost Development'!BU$8:BU$290,$B96)</f>
        <v>OOS</v>
      </c>
      <c r="M96" s="250" t="str">
        <f>INDEX('CFL &amp; Incand Cost Development'!BV$8:BV$290,$B96)</f>
        <v>OOS</v>
      </c>
      <c r="N96" s="250" t="str">
        <f>INDEX('CFL &amp; Incand Cost Development'!BW$8:BW$290,$B96)</f>
        <v>OOS</v>
      </c>
      <c r="O96" s="250" t="str">
        <f>INDEX('CFL &amp; Incand Cost Development'!BX$8:BX$290,$B96)</f>
        <v>OOS</v>
      </c>
      <c r="P96" s="250" t="str">
        <f>INDEX('CFL &amp; Incand Cost Development'!BY$8:BY$290,$B96)</f>
        <v>OOS</v>
      </c>
      <c r="Q96" s="103"/>
      <c r="R96" s="103"/>
      <c r="S96" s="103" t="str">
        <f t="shared" si="20"/>
        <v/>
      </c>
      <c r="T96" s="111" t="str">
        <f t="shared" si="21"/>
        <v/>
      </c>
      <c r="U96" s="111" t="str">
        <f t="shared" si="22"/>
        <v/>
      </c>
      <c r="V96" s="111" t="str">
        <f t="shared" si="23"/>
        <v/>
      </c>
      <c r="W96" s="111" t="str">
        <f t="shared" si="24"/>
        <v/>
      </c>
      <c r="X96" s="111" t="str">
        <f t="shared" si="25"/>
        <v/>
      </c>
      <c r="Y96" s="103"/>
      <c r="Z96" s="103"/>
      <c r="AA96" s="103" t="str">
        <f t="shared" si="26"/>
        <v>CFLratio0248</v>
      </c>
      <c r="AB96" s="103" t="str">
        <f t="shared" si="31"/>
        <v>CFLscw-A(55w)CFLratio0248</v>
      </c>
      <c r="AC96" s="103"/>
      <c r="AD96" s="108" t="str">
        <f t="shared" si="32"/>
        <v/>
      </c>
      <c r="AE96" s="108" t="str">
        <f t="shared" si="27"/>
        <v/>
      </c>
      <c r="AF96" s="108" t="str">
        <f t="shared" si="28"/>
        <v/>
      </c>
      <c r="AG96" s="108" t="str">
        <f t="shared" si="29"/>
        <v/>
      </c>
      <c r="AH96" s="108" t="str">
        <f t="shared" si="30"/>
        <v/>
      </c>
    </row>
    <row r="97" spans="2:34">
      <c r="B97" s="179">
        <f>IFERROR(MATCH(C97,'CFL &amp; Incand Cost Development'!$A$8:$A$290,0),0)</f>
        <v>53</v>
      </c>
      <c r="C97" s="111" t="s">
        <v>267</v>
      </c>
      <c r="D97" s="111">
        <f>INDEX('CFL &amp; Incand Cost Development'!AM$8:AM$290,$B97)</f>
        <v>4.4374920148574537</v>
      </c>
      <c r="E97" s="111">
        <f>INDEX('CFL &amp; Incand Cost Development'!AN$8:AN$290,$B97)</f>
        <v>6.2824920148574535</v>
      </c>
      <c r="F97" s="111">
        <f>INDEX('CFL &amp; Incand Cost Development'!AO$8:AO$290,$B97)</f>
        <v>4.477392014857454</v>
      </c>
      <c r="G97" s="111">
        <f>INDEX('CFL &amp; Incand Cost Development'!AP$8:AP$290,$B97)</f>
        <v>4.477392014857454</v>
      </c>
      <c r="H97" s="111">
        <f>INDEX('CFL &amp; Incand Cost Development'!AQ$8:AQ$290,$B97)</f>
        <v>3.3485920148574535</v>
      </c>
      <c r="I97" s="103"/>
      <c r="J97" s="183" t="str">
        <f>INDEX('CFL &amp; Incand Cost Development'!BS$8:BS$290,$B97)</f>
        <v>WRR0347_CFLscw-A(7w)</v>
      </c>
      <c r="K97" s="250">
        <f>INDEX('CFL &amp; Incand Cost Development'!BT$8:BT$290,$B97)</f>
        <v>24</v>
      </c>
      <c r="L97" s="250">
        <f>INDEX('CFL &amp; Incand Cost Development'!BU$8:BU$290,$B97)</f>
        <v>0.90240000000000009</v>
      </c>
      <c r="M97" s="250">
        <f>INDEX('CFL &amp; Incand Cost Development'!BV$8:BV$290,$B97)</f>
        <v>3.3654000000000002</v>
      </c>
      <c r="N97" s="250">
        <f>INDEX('CFL &amp; Incand Cost Development'!BW$8:BW$290,$B97)</f>
        <v>1.6754000000000002</v>
      </c>
      <c r="O97" s="250">
        <f>INDEX('CFL &amp; Incand Cost Development'!BX$8:BX$290,$B97)</f>
        <v>0.5154000000000003</v>
      </c>
      <c r="P97" s="250">
        <f>INDEX('CFL &amp; Incand Cost Development'!BY$8:BY$290,$B97)</f>
        <v>0.5154000000000003</v>
      </c>
      <c r="Q97" s="103"/>
      <c r="R97" s="103"/>
      <c r="S97" s="103" t="str">
        <f t="shared" si="20"/>
        <v>Std_CFLscw-A(7w)_60pInc-r0248</v>
      </c>
      <c r="T97" s="111">
        <f t="shared" si="21"/>
        <v>2.3164368059429816</v>
      </c>
      <c r="U97" s="111">
        <f t="shared" si="22"/>
        <v>4.532236805942981</v>
      </c>
      <c r="V97" s="111">
        <f t="shared" si="23"/>
        <v>2.7961968059429818</v>
      </c>
      <c r="W97" s="111">
        <f t="shared" si="24"/>
        <v>2.1001968059429821</v>
      </c>
      <c r="X97" s="111">
        <f t="shared" si="25"/>
        <v>1.6486768059429817</v>
      </c>
      <c r="Y97" s="103"/>
      <c r="Z97" s="103"/>
      <c r="AA97" s="103" t="str">
        <f t="shared" si="26"/>
        <v>CFLratio0248</v>
      </c>
      <c r="AB97" s="103" t="str">
        <f t="shared" si="31"/>
        <v>CFLscw-A(7w)CFLratio0248</v>
      </c>
      <c r="AC97" s="103"/>
      <c r="AD97" s="108">
        <f t="shared" si="32"/>
        <v>2.1210552089144721</v>
      </c>
      <c r="AE97" s="108">
        <f t="shared" si="27"/>
        <v>1.7502552089144725</v>
      </c>
      <c r="AF97" s="108">
        <f t="shared" si="28"/>
        <v>1.6811952089144722</v>
      </c>
      <c r="AG97" s="108">
        <f t="shared" si="29"/>
        <v>2.3771952089144719</v>
      </c>
      <c r="AH97" s="108">
        <f t="shared" si="30"/>
        <v>1.6999152089144718</v>
      </c>
    </row>
    <row r="98" spans="2:34">
      <c r="B98" s="179">
        <f>IFERROR(MATCH(C98,'CFL &amp; Incand Cost Development'!$A$8:$A$290,0),0)</f>
        <v>54</v>
      </c>
      <c r="C98" s="111" t="s">
        <v>269</v>
      </c>
      <c r="D98" s="111">
        <f>INDEX('CFL &amp; Incand Cost Development'!AM$8:AM$290,$B98)</f>
        <v>4.5039920148574542</v>
      </c>
      <c r="E98" s="111">
        <f>INDEX('CFL &amp; Incand Cost Development'!AN$8:AN$290,$B98)</f>
        <v>6.3489920148574539</v>
      </c>
      <c r="F98" s="111">
        <f>INDEX('CFL &amp; Incand Cost Development'!AO$8:AO$290,$B98)</f>
        <v>4.5438920148574535</v>
      </c>
      <c r="G98" s="111">
        <f>INDEX('CFL &amp; Incand Cost Development'!AP$8:AP$290,$B98)</f>
        <v>4.5438920148574535</v>
      </c>
      <c r="H98" s="111">
        <f>INDEX('CFL &amp; Incand Cost Development'!AQ$8:AQ$290,$B98)</f>
        <v>3.415092014857454</v>
      </c>
      <c r="I98" s="103"/>
      <c r="J98" s="183" t="str">
        <f>INDEX('CFL &amp; Incand Cost Development'!BS$8:BS$290,$B98)</f>
        <v>WRR0347_CFLscw-A(8w)</v>
      </c>
      <c r="K98" s="250">
        <f>INDEX('CFL &amp; Incand Cost Development'!BT$8:BT$290,$B98)</f>
        <v>28</v>
      </c>
      <c r="L98" s="250">
        <f>INDEX('CFL &amp; Incand Cost Development'!BU$8:BU$290,$B98)</f>
        <v>0.90240000000000009</v>
      </c>
      <c r="M98" s="250">
        <f>INDEX('CFL &amp; Incand Cost Development'!BV$8:BV$290,$B98)</f>
        <v>3.3654000000000002</v>
      </c>
      <c r="N98" s="250">
        <f>INDEX('CFL &amp; Incand Cost Development'!BW$8:BW$290,$B98)</f>
        <v>1.6754000000000002</v>
      </c>
      <c r="O98" s="250">
        <f>INDEX('CFL &amp; Incand Cost Development'!BX$8:BX$290,$B98)</f>
        <v>0.5154000000000003</v>
      </c>
      <c r="P98" s="250">
        <f>INDEX('CFL &amp; Incand Cost Development'!BY$8:BY$290,$B98)</f>
        <v>0.5154000000000003</v>
      </c>
      <c r="Q98" s="103"/>
      <c r="R98" s="103"/>
      <c r="S98" s="103" t="str">
        <f t="shared" si="20"/>
        <v>Std_CFLscw-A(8w)_60pInc-r0248</v>
      </c>
      <c r="T98" s="111">
        <f t="shared" si="21"/>
        <v>2.3430368059429818</v>
      </c>
      <c r="U98" s="111">
        <f t="shared" si="22"/>
        <v>4.5588368059429811</v>
      </c>
      <c r="V98" s="111">
        <f t="shared" si="23"/>
        <v>2.8227968059429815</v>
      </c>
      <c r="W98" s="111">
        <f t="shared" si="24"/>
        <v>2.1267968059429814</v>
      </c>
      <c r="X98" s="111">
        <f t="shared" si="25"/>
        <v>1.6752768059429819</v>
      </c>
      <c r="Y98" s="103"/>
      <c r="Z98" s="103"/>
      <c r="AA98" s="103" t="str">
        <f t="shared" si="26"/>
        <v>CFLratio0248</v>
      </c>
      <c r="AB98" s="103" t="str">
        <f t="shared" si="31"/>
        <v>CFLscw-A(8w)CFLratio0248</v>
      </c>
      <c r="AC98" s="103"/>
      <c r="AD98" s="108">
        <f t="shared" si="32"/>
        <v>2.1609552089144723</v>
      </c>
      <c r="AE98" s="108">
        <f t="shared" si="27"/>
        <v>1.7901552089144728</v>
      </c>
      <c r="AF98" s="108">
        <f t="shared" si="28"/>
        <v>1.721095208914472</v>
      </c>
      <c r="AG98" s="108">
        <f t="shared" si="29"/>
        <v>2.4170952089144722</v>
      </c>
      <c r="AH98" s="108">
        <f t="shared" si="30"/>
        <v>1.7398152089144721</v>
      </c>
    </row>
    <row r="99" spans="2:34">
      <c r="B99" s="179">
        <f>IFERROR(MATCH(C99,'CFL &amp; Incand Cost Development'!$A$8:$A$290,0),0)</f>
        <v>55</v>
      </c>
      <c r="C99" s="111" t="s">
        <v>271</v>
      </c>
      <c r="D99" s="111">
        <f>INDEX('CFL &amp; Incand Cost Development'!AM$8:AM$290,$B99)</f>
        <v>4.5704920148574546</v>
      </c>
      <c r="E99" s="111">
        <f>INDEX('CFL &amp; Incand Cost Development'!AN$8:AN$290,$B99)</f>
        <v>6.4154920148574544</v>
      </c>
      <c r="F99" s="111">
        <f>INDEX('CFL &amp; Incand Cost Development'!AO$8:AO$290,$B99)</f>
        <v>4.6103920148574549</v>
      </c>
      <c r="G99" s="111">
        <f>INDEX('CFL &amp; Incand Cost Development'!AP$8:AP$290,$B99)</f>
        <v>4.6103920148574549</v>
      </c>
      <c r="H99" s="111">
        <f>INDEX('CFL &amp; Incand Cost Development'!AQ$8:AQ$290,$B99)</f>
        <v>3.4815920148574544</v>
      </c>
      <c r="I99" s="103"/>
      <c r="J99" s="183" t="str">
        <f>INDEX('CFL &amp; Incand Cost Development'!BS$8:BS$290,$B99)</f>
        <v>WRR0347_CFLscw-A(9w)</v>
      </c>
      <c r="K99" s="250">
        <f>INDEX('CFL &amp; Incand Cost Development'!BT$8:BT$290,$B99)</f>
        <v>31</v>
      </c>
      <c r="L99" s="250">
        <f>INDEX('CFL &amp; Incand Cost Development'!BU$8:BU$290,$B99)</f>
        <v>0.91159999999999997</v>
      </c>
      <c r="M99" s="250">
        <f>INDEX('CFL &amp; Incand Cost Development'!BV$8:BV$290,$B99)</f>
        <v>3.3746</v>
      </c>
      <c r="N99" s="250">
        <f>INDEX('CFL &amp; Incand Cost Development'!BW$8:BW$290,$B99)</f>
        <v>1.6846000000000001</v>
      </c>
      <c r="O99" s="250">
        <f>INDEX('CFL &amp; Incand Cost Development'!BX$8:BX$290,$B99)</f>
        <v>0.52460000000000018</v>
      </c>
      <c r="P99" s="250">
        <f>INDEX('CFL &amp; Incand Cost Development'!BY$8:BY$290,$B99)</f>
        <v>0.52460000000000018</v>
      </c>
      <c r="Q99" s="103"/>
      <c r="R99" s="103"/>
      <c r="S99" s="103" t="str">
        <f t="shared" si="20"/>
        <v>Std_CFLscw-A(9w)_60pInc-r0248</v>
      </c>
      <c r="T99" s="111">
        <f t="shared" si="21"/>
        <v>2.3751568059429817</v>
      </c>
      <c r="U99" s="111">
        <f t="shared" si="22"/>
        <v>4.5909568059429819</v>
      </c>
      <c r="V99" s="111">
        <f t="shared" si="23"/>
        <v>2.8549168059429819</v>
      </c>
      <c r="W99" s="111">
        <f t="shared" si="24"/>
        <v>2.1589168059429822</v>
      </c>
      <c r="X99" s="111">
        <f t="shared" si="25"/>
        <v>1.707396805942982</v>
      </c>
      <c r="Y99" s="103"/>
      <c r="Z99" s="103"/>
      <c r="AA99" s="103" t="str">
        <f t="shared" si="26"/>
        <v>CFLratio0248</v>
      </c>
      <c r="AB99" s="103" t="str">
        <f t="shared" si="31"/>
        <v>CFLscw-A(9w)CFLratio0248</v>
      </c>
      <c r="AC99" s="103"/>
      <c r="AD99" s="108">
        <f t="shared" si="32"/>
        <v>2.1953352089144729</v>
      </c>
      <c r="AE99" s="108">
        <f t="shared" si="27"/>
        <v>1.8245352089144724</v>
      </c>
      <c r="AF99" s="108">
        <f t="shared" si="28"/>
        <v>1.755475208914473</v>
      </c>
      <c r="AG99" s="108">
        <f t="shared" si="29"/>
        <v>2.4514752089144727</v>
      </c>
      <c r="AH99" s="108">
        <f t="shared" si="30"/>
        <v>1.7741952089144724</v>
      </c>
    </row>
    <row r="100" spans="2:34">
      <c r="B100" s="179">
        <f>IFERROR(MATCH(C100,'CFL &amp; Incand Cost Development'!$A$8:$A$290,0),0)</f>
        <v>56</v>
      </c>
      <c r="C100" s="111" t="s">
        <v>273</v>
      </c>
      <c r="D100" s="111">
        <f>INDEX('CFL &amp; Incand Cost Development'!AM$8:AM$290,$B100)</f>
        <v>7.9189246001151528</v>
      </c>
      <c r="E100" s="111">
        <f>INDEX('CFL &amp; Incand Cost Development'!AN$8:AN$290,$B100)</f>
        <v>8.0379246001151525</v>
      </c>
      <c r="F100" s="111">
        <f>INDEX('CFL &amp; Incand Cost Development'!AO$8:AO$290,$B100)</f>
        <v>6.0297246001151521</v>
      </c>
      <c r="G100" s="111">
        <f>INDEX('CFL &amp; Incand Cost Development'!AP$8:AP$290,$B100)</f>
        <v>6.0297246001151521</v>
      </c>
      <c r="H100" s="111">
        <f>INDEX('CFL &amp; Incand Cost Development'!AQ$8:AQ$290,$B100)</f>
        <v>5.1690246001151525</v>
      </c>
      <c r="I100" s="103"/>
      <c r="J100" s="183" t="str">
        <f>INDEX('CFL &amp; Incand Cost Development'!BS$8:BS$290,$B100)</f>
        <v>WRR0347_CFLscw-Candle(10w)</v>
      </c>
      <c r="K100" s="250">
        <f>INDEX('CFL &amp; Incand Cost Development'!BT$8:BT$290,$B100)</f>
        <v>35</v>
      </c>
      <c r="L100" s="250">
        <f>INDEX('CFL &amp; Incand Cost Development'!BU$8:BU$290,$B100)</f>
        <v>2.0364214999999999</v>
      </c>
      <c r="M100" s="250">
        <f>INDEX('CFL &amp; Incand Cost Development'!BV$8:BV$290,$B100)</f>
        <v>4.4904215000000001</v>
      </c>
      <c r="N100" s="250">
        <f>INDEX('CFL &amp; Incand Cost Development'!BW$8:BW$290,$B100)</f>
        <v>1.9304215</v>
      </c>
      <c r="O100" s="250">
        <f>INDEX('CFL &amp; Incand Cost Development'!BX$8:BX$290,$B100)</f>
        <v>1.9304215</v>
      </c>
      <c r="P100" s="250">
        <f>INDEX('CFL &amp; Incand Cost Development'!BY$8:BY$290,$B100)</f>
        <v>1.9304215</v>
      </c>
      <c r="Q100" s="103"/>
      <c r="R100" s="103"/>
      <c r="S100" s="103" t="str">
        <f t="shared" si="20"/>
        <v>Std_CFLscw-Candle(10w)_60pInc-r0248</v>
      </c>
      <c r="T100" s="111">
        <f t="shared" si="21"/>
        <v>4.3894227400460615</v>
      </c>
      <c r="U100" s="111">
        <f t="shared" si="22"/>
        <v>5.9094227400460611</v>
      </c>
      <c r="V100" s="111">
        <f t="shared" si="23"/>
        <v>3.570142740046061</v>
      </c>
      <c r="W100" s="111">
        <f t="shared" si="24"/>
        <v>3.570142740046061</v>
      </c>
      <c r="X100" s="111">
        <f t="shared" si="25"/>
        <v>3.2258627400460611</v>
      </c>
      <c r="Y100" s="103"/>
      <c r="Z100" s="103"/>
      <c r="AA100" s="103" t="str">
        <f t="shared" si="26"/>
        <v>CFLratio0248</v>
      </c>
      <c r="AB100" s="103" t="str">
        <f t="shared" si="31"/>
        <v>CFLscw-Candle(10w)CFLratio0248</v>
      </c>
      <c r="AC100" s="103"/>
      <c r="AD100" s="108">
        <f t="shared" si="32"/>
        <v>3.5295018600690913</v>
      </c>
      <c r="AE100" s="108">
        <f t="shared" si="27"/>
        <v>2.1285018600690915</v>
      </c>
      <c r="AF100" s="108">
        <f t="shared" si="28"/>
        <v>2.4595818600690911</v>
      </c>
      <c r="AG100" s="108">
        <f t="shared" si="29"/>
        <v>2.4595818600690911</v>
      </c>
      <c r="AH100" s="108">
        <f t="shared" si="30"/>
        <v>1.9431618600690914</v>
      </c>
    </row>
    <row r="101" spans="2:34">
      <c r="B101" s="179">
        <f>IFERROR(MATCH(C101,'CFL &amp; Incand Cost Development'!$A$8:$A$290,0),0)</f>
        <v>57</v>
      </c>
      <c r="C101" s="111" t="s">
        <v>276</v>
      </c>
      <c r="D101" s="111">
        <f>INDEX('CFL &amp; Incand Cost Development'!AM$8:AM$290,$B101)</f>
        <v>8.124924600115154</v>
      </c>
      <c r="E101" s="111">
        <f>INDEX('CFL &amp; Incand Cost Development'!AN$8:AN$290,$B101)</f>
        <v>8.2439246001151538</v>
      </c>
      <c r="F101" s="111">
        <f>INDEX('CFL &amp; Incand Cost Development'!AO$8:AO$290,$B101)</f>
        <v>6.2357246001151534</v>
      </c>
      <c r="G101" s="111">
        <f>INDEX('CFL &amp; Incand Cost Development'!AP$8:AP$290,$B101)</f>
        <v>6.2357246001151534</v>
      </c>
      <c r="H101" s="111">
        <f>INDEX('CFL &amp; Incand Cost Development'!AQ$8:AQ$290,$B101)</f>
        <v>5.3750246001151538</v>
      </c>
      <c r="I101" s="103"/>
      <c r="J101" s="183" t="str">
        <f>INDEX('CFL &amp; Incand Cost Development'!BS$8:BS$290,$B101)</f>
        <v>WRR0347_CFLscw-Candle(11w)</v>
      </c>
      <c r="K101" s="250">
        <f>INDEX('CFL &amp; Incand Cost Development'!BT$8:BT$290,$B101)</f>
        <v>38</v>
      </c>
      <c r="L101" s="250">
        <f>INDEX('CFL &amp; Incand Cost Development'!BU$8:BU$290,$B101)</f>
        <v>2.0349241999999994</v>
      </c>
      <c r="M101" s="250">
        <f>INDEX('CFL &amp; Incand Cost Development'!BV$8:BV$290,$B101)</f>
        <v>4.4889241999999996</v>
      </c>
      <c r="N101" s="250">
        <f>INDEX('CFL &amp; Incand Cost Development'!BW$8:BW$290,$B101)</f>
        <v>1.9289241999999995</v>
      </c>
      <c r="O101" s="250">
        <f>INDEX('CFL &amp; Incand Cost Development'!BX$8:BX$290,$B101)</f>
        <v>1.9289241999999995</v>
      </c>
      <c r="P101" s="250">
        <f>INDEX('CFL &amp; Incand Cost Development'!BY$8:BY$290,$B101)</f>
        <v>1.9289241999999995</v>
      </c>
      <c r="Q101" s="103"/>
      <c r="R101" s="103"/>
      <c r="S101" s="103" t="str">
        <f t="shared" ref="S101:S132" si="33">IF(L101&lt;&gt;"OOS","Std_"&amp;MID(J101,9,99)&amp;"_60pInc-"&amp;VLOOKUP(LEFT(J101,7),$AK$4:$AL$6,2,FALSE),"")</f>
        <v>Std_CFLscw-Candle(11w)_60pInc-r0248</v>
      </c>
      <c r="T101" s="111">
        <f t="shared" ref="T101:T132" si="34">IFERROR(0.6*L101+0.4*D101,"")</f>
        <v>4.4709243600460615</v>
      </c>
      <c r="U101" s="111">
        <f t="shared" ref="U101:U132" si="35">IFERROR(0.6*M101+0.4*E101,"")</f>
        <v>5.990924360046062</v>
      </c>
      <c r="V101" s="111">
        <f t="shared" ref="V101:V132" si="36">IFERROR(0.6*N101+0.4*F101,"")</f>
        <v>3.6516443600460611</v>
      </c>
      <c r="W101" s="111">
        <f t="shared" ref="W101:W132" si="37">IFERROR(0.6*O101+0.4*G101,"")</f>
        <v>3.6516443600460611</v>
      </c>
      <c r="X101" s="111">
        <f t="shared" ref="X101:X132" si="38">IFERROR(0.6*P101+0.4*H101,"")</f>
        <v>3.3073643600460612</v>
      </c>
      <c r="Y101" s="103"/>
      <c r="Z101" s="103"/>
      <c r="AA101" s="103" t="str">
        <f t="shared" ref="AA101:AA132" si="39">VLOOKUP(LEFT(J101,7),$AK$4:$AM$6,3,FALSE)</f>
        <v>CFLratio0248</v>
      </c>
      <c r="AB101" s="103" t="str">
        <f t="shared" si="31"/>
        <v>CFLscw-Candle(11w)CFLratio0248</v>
      </c>
      <c r="AC101" s="103"/>
      <c r="AD101" s="108">
        <f t="shared" si="32"/>
        <v>3.6540002400690925</v>
      </c>
      <c r="AE101" s="108">
        <f t="shared" si="27"/>
        <v>2.2530002400690918</v>
      </c>
      <c r="AF101" s="108">
        <f t="shared" si="28"/>
        <v>2.5840802400690923</v>
      </c>
      <c r="AG101" s="108">
        <f t="shared" si="29"/>
        <v>2.5840802400690923</v>
      </c>
      <c r="AH101" s="108">
        <f t="shared" si="30"/>
        <v>2.0676602400690927</v>
      </c>
    </row>
    <row r="102" spans="2:34">
      <c r="B102" s="179">
        <f>IFERROR(MATCH(C102,'CFL &amp; Incand Cost Development'!$A$8:$A$290,0),0)</f>
        <v>58</v>
      </c>
      <c r="C102" s="111" t="s">
        <v>278</v>
      </c>
      <c r="D102" s="111">
        <f>INDEX('CFL &amp; Incand Cost Development'!AM$8:AM$290,$B102)</f>
        <v>8.3309246001151536</v>
      </c>
      <c r="E102" s="111">
        <f>INDEX('CFL &amp; Incand Cost Development'!AN$8:AN$290,$B102)</f>
        <v>8.4499246001151533</v>
      </c>
      <c r="F102" s="111">
        <f>INDEX('CFL &amp; Incand Cost Development'!AO$8:AO$290,$B102)</f>
        <v>6.4417246001151529</v>
      </c>
      <c r="G102" s="111">
        <f>INDEX('CFL &amp; Incand Cost Development'!AP$8:AP$290,$B102)</f>
        <v>6.4417246001151529</v>
      </c>
      <c r="H102" s="111">
        <f>INDEX('CFL &amp; Incand Cost Development'!AQ$8:AQ$290,$B102)</f>
        <v>5.5810246001151533</v>
      </c>
      <c r="I102" s="103"/>
      <c r="J102" s="183" t="str">
        <f>INDEX('CFL &amp; Incand Cost Development'!BS$8:BS$290,$B102)</f>
        <v>WRR0347_CFLscw-Candle(12w)</v>
      </c>
      <c r="K102" s="250">
        <f>INDEX('CFL &amp; Incand Cost Development'!BT$8:BT$290,$B102)</f>
        <v>42</v>
      </c>
      <c r="L102" s="250">
        <f>INDEX('CFL &amp; Incand Cost Development'!BU$8:BU$290,$B102)</f>
        <v>2.0329278</v>
      </c>
      <c r="M102" s="250">
        <f>INDEX('CFL &amp; Incand Cost Development'!BV$8:BV$290,$B102)</f>
        <v>4.4869278000000001</v>
      </c>
      <c r="N102" s="250">
        <f>INDEX('CFL &amp; Incand Cost Development'!BW$8:BW$290,$B102)</f>
        <v>1.9269278000000001</v>
      </c>
      <c r="O102" s="250">
        <f>INDEX('CFL &amp; Incand Cost Development'!BX$8:BX$290,$B102)</f>
        <v>1.9269278000000001</v>
      </c>
      <c r="P102" s="250">
        <f>INDEX('CFL &amp; Incand Cost Development'!BY$8:BY$290,$B102)</f>
        <v>1.9269278000000001</v>
      </c>
      <c r="Q102" s="103"/>
      <c r="R102" s="103"/>
      <c r="S102" s="103" t="str">
        <f t="shared" si="33"/>
        <v>Std_CFLscw-Candle(12w)_60pInc-r0248</v>
      </c>
      <c r="T102" s="111">
        <f t="shared" si="34"/>
        <v>4.5521265200460617</v>
      </c>
      <c r="U102" s="111">
        <f t="shared" si="35"/>
        <v>6.0721265200460621</v>
      </c>
      <c r="V102" s="111">
        <f t="shared" si="36"/>
        <v>3.7328465200460612</v>
      </c>
      <c r="W102" s="111">
        <f t="shared" si="37"/>
        <v>3.7328465200460612</v>
      </c>
      <c r="X102" s="111">
        <f t="shared" si="38"/>
        <v>3.3885665200460613</v>
      </c>
      <c r="Y102" s="103"/>
      <c r="Z102" s="103"/>
      <c r="AA102" s="103" t="str">
        <f t="shared" si="39"/>
        <v>CFLratio0248</v>
      </c>
      <c r="AB102" s="103" t="str">
        <f t="shared" si="31"/>
        <v>CFLscw-Candle(12w)CFLratio0248</v>
      </c>
      <c r="AC102" s="103"/>
      <c r="AD102" s="108">
        <f t="shared" si="32"/>
        <v>3.7787980800690919</v>
      </c>
      <c r="AE102" s="108">
        <f t="shared" si="27"/>
        <v>2.3777980800690912</v>
      </c>
      <c r="AF102" s="108">
        <f t="shared" si="28"/>
        <v>2.7088780800690917</v>
      </c>
      <c r="AG102" s="108">
        <f t="shared" si="29"/>
        <v>2.7088780800690917</v>
      </c>
      <c r="AH102" s="108">
        <f t="shared" si="30"/>
        <v>2.192458080069092</v>
      </c>
    </row>
    <row r="103" spans="2:34">
      <c r="B103" s="179">
        <f>IFERROR(MATCH(C103,'CFL &amp; Incand Cost Development'!$A$8:$A$290,0),0)</f>
        <v>59</v>
      </c>
      <c r="C103" s="111" t="s">
        <v>280</v>
      </c>
      <c r="D103" s="111">
        <f>INDEX('CFL &amp; Incand Cost Development'!AM$8:AM$290,$B103)</f>
        <v>8.5369246001151531</v>
      </c>
      <c r="E103" s="111">
        <f>INDEX('CFL &amp; Incand Cost Development'!AN$8:AN$290,$B103)</f>
        <v>8.6559246001151529</v>
      </c>
      <c r="F103" s="111">
        <f>INDEX('CFL &amp; Incand Cost Development'!AO$8:AO$290,$B103)</f>
        <v>6.6477246001151524</v>
      </c>
      <c r="G103" s="111">
        <f>INDEX('CFL &amp; Incand Cost Development'!AP$8:AP$290,$B103)</f>
        <v>6.6477246001151524</v>
      </c>
      <c r="H103" s="111">
        <f>INDEX('CFL &amp; Incand Cost Development'!AQ$8:AQ$290,$B103)</f>
        <v>5.7870246001151529</v>
      </c>
      <c r="I103" s="103"/>
      <c r="J103" s="183" t="str">
        <f>INDEX('CFL &amp; Incand Cost Development'!BS$8:BS$290,$B103)</f>
        <v>WRR0347_CFLscw-Candle(13w)</v>
      </c>
      <c r="K103" s="250">
        <f>INDEX('CFL &amp; Incand Cost Development'!BT$8:BT$290,$B103)</f>
        <v>45</v>
      </c>
      <c r="L103" s="250">
        <f>INDEX('CFL &amp; Incand Cost Development'!BU$8:BU$290,$B103)</f>
        <v>2.0314304999999995</v>
      </c>
      <c r="M103" s="250">
        <f>INDEX('CFL &amp; Incand Cost Development'!BV$8:BV$290,$B103)</f>
        <v>4.4854304999999997</v>
      </c>
      <c r="N103" s="250">
        <f>INDEX('CFL &amp; Incand Cost Development'!BW$8:BW$290,$B103)</f>
        <v>1.9254304999999996</v>
      </c>
      <c r="O103" s="250">
        <f>INDEX('CFL &amp; Incand Cost Development'!BX$8:BX$290,$B103)</f>
        <v>1.9254304999999996</v>
      </c>
      <c r="P103" s="250">
        <f>INDEX('CFL &amp; Incand Cost Development'!BY$8:BY$290,$B103)</f>
        <v>1.9254304999999996</v>
      </c>
      <c r="Q103" s="103"/>
      <c r="R103" s="103"/>
      <c r="S103" s="103" t="str">
        <f t="shared" si="33"/>
        <v>Std_CFLscw-Candle(13w)_60pInc-r0248</v>
      </c>
      <c r="T103" s="111">
        <f t="shared" si="34"/>
        <v>4.6336281400460608</v>
      </c>
      <c r="U103" s="111">
        <f t="shared" si="35"/>
        <v>6.1536281400460613</v>
      </c>
      <c r="V103" s="111">
        <f t="shared" si="36"/>
        <v>3.8143481400460608</v>
      </c>
      <c r="W103" s="111">
        <f t="shared" si="37"/>
        <v>3.8143481400460608</v>
      </c>
      <c r="X103" s="111">
        <f t="shared" si="38"/>
        <v>3.4700681400460605</v>
      </c>
      <c r="Y103" s="103"/>
      <c r="Z103" s="103"/>
      <c r="AA103" s="103" t="str">
        <f t="shared" si="39"/>
        <v>CFLratio0248</v>
      </c>
      <c r="AB103" s="103" t="str">
        <f t="shared" si="31"/>
        <v>CFLscw-Candle(13w)CFLratio0248</v>
      </c>
      <c r="AC103" s="103"/>
      <c r="AD103" s="108">
        <f t="shared" si="32"/>
        <v>3.9032964600690923</v>
      </c>
      <c r="AE103" s="108">
        <f t="shared" si="27"/>
        <v>2.5022964600690916</v>
      </c>
      <c r="AF103" s="108">
        <f t="shared" si="28"/>
        <v>2.8333764600690916</v>
      </c>
      <c r="AG103" s="108">
        <f t="shared" si="29"/>
        <v>2.8333764600690916</v>
      </c>
      <c r="AH103" s="108">
        <f t="shared" si="30"/>
        <v>2.3169564600690924</v>
      </c>
    </row>
    <row r="104" spans="2:34">
      <c r="B104" s="179">
        <f>IFERROR(MATCH(C104,'CFL &amp; Incand Cost Development'!$A$8:$A$290,0),0)</f>
        <v>60</v>
      </c>
      <c r="C104" s="111" t="s">
        <v>282</v>
      </c>
      <c r="D104" s="111">
        <f>INDEX('CFL &amp; Incand Cost Development'!AM$8:AM$290,$B104)</f>
        <v>8.7429246001151526</v>
      </c>
      <c r="E104" s="111">
        <f>INDEX('CFL &amp; Incand Cost Development'!AN$8:AN$290,$B104)</f>
        <v>8.8619246001151524</v>
      </c>
      <c r="F104" s="111">
        <f>INDEX('CFL &amp; Incand Cost Development'!AO$8:AO$290,$B104)</f>
        <v>6.8537246001151519</v>
      </c>
      <c r="G104" s="111">
        <f>INDEX('CFL &amp; Incand Cost Development'!AP$8:AP$290,$B104)</f>
        <v>6.8537246001151519</v>
      </c>
      <c r="H104" s="111">
        <f>INDEX('CFL &amp; Incand Cost Development'!AQ$8:AQ$290,$B104)</f>
        <v>5.9930246001151524</v>
      </c>
      <c r="I104" s="103"/>
      <c r="J104" s="183" t="str">
        <f>INDEX('CFL &amp; Incand Cost Development'!BS$8:BS$290,$B104)</f>
        <v>WRR0347_CFLscw-Candle(14w)</v>
      </c>
      <c r="K104" s="250">
        <f>INDEX('CFL &amp; Incand Cost Development'!BT$8:BT$290,$B104)</f>
        <v>49</v>
      </c>
      <c r="L104" s="250">
        <f>INDEX('CFL &amp; Incand Cost Development'!BU$8:BU$290,$B104)</f>
        <v>2.0294340999999991</v>
      </c>
      <c r="M104" s="250">
        <f>INDEX('CFL &amp; Incand Cost Development'!BV$8:BV$290,$B104)</f>
        <v>4.4834340999999993</v>
      </c>
      <c r="N104" s="250">
        <f>INDEX('CFL &amp; Incand Cost Development'!BW$8:BW$290,$B104)</f>
        <v>1.9234340999999993</v>
      </c>
      <c r="O104" s="250">
        <f>INDEX('CFL &amp; Incand Cost Development'!BX$8:BX$290,$B104)</f>
        <v>1.9234340999999993</v>
      </c>
      <c r="P104" s="250">
        <f>INDEX('CFL &amp; Incand Cost Development'!BY$8:BY$290,$B104)</f>
        <v>1.9234340999999993</v>
      </c>
      <c r="Q104" s="103"/>
      <c r="R104" s="103"/>
      <c r="S104" s="103" t="str">
        <f t="shared" si="33"/>
        <v>Std_CFLscw-Candle(14w)_60pInc-r0248</v>
      </c>
      <c r="T104" s="111">
        <f t="shared" si="34"/>
        <v>4.7148303000460601</v>
      </c>
      <c r="U104" s="111">
        <f t="shared" si="35"/>
        <v>6.2348303000460605</v>
      </c>
      <c r="V104" s="111">
        <f t="shared" si="36"/>
        <v>3.8955503000460601</v>
      </c>
      <c r="W104" s="111">
        <f t="shared" si="37"/>
        <v>3.8955503000460601</v>
      </c>
      <c r="X104" s="111">
        <f t="shared" si="38"/>
        <v>3.5512703000460606</v>
      </c>
      <c r="Y104" s="103"/>
      <c r="Z104" s="103"/>
      <c r="AA104" s="103" t="str">
        <f t="shared" si="39"/>
        <v>CFLratio0248</v>
      </c>
      <c r="AB104" s="103" t="str">
        <f t="shared" si="31"/>
        <v>CFLscw-Candle(14w)CFLratio0248</v>
      </c>
      <c r="AC104" s="103"/>
      <c r="AD104" s="108">
        <f t="shared" si="32"/>
        <v>4.0280943000690925</v>
      </c>
      <c r="AE104" s="108">
        <f t="shared" si="27"/>
        <v>2.6270943000690918</v>
      </c>
      <c r="AF104" s="108">
        <f t="shared" si="28"/>
        <v>2.9581743000690919</v>
      </c>
      <c r="AG104" s="108">
        <f t="shared" si="29"/>
        <v>2.9581743000690919</v>
      </c>
      <c r="AH104" s="108">
        <f t="shared" si="30"/>
        <v>2.4417543000690918</v>
      </c>
    </row>
    <row r="105" spans="2:34">
      <c r="B105" s="179">
        <f>IFERROR(MATCH(C105,'CFL &amp; Incand Cost Development'!$A$8:$A$290,0),0)</f>
        <v>61</v>
      </c>
      <c r="C105" s="111" t="s">
        <v>284</v>
      </c>
      <c r="D105" s="111">
        <f>INDEX('CFL &amp; Incand Cost Development'!AM$8:AM$290,$B105)</f>
        <v>8.9489246001151521</v>
      </c>
      <c r="E105" s="111">
        <f>INDEX('CFL &amp; Incand Cost Development'!AN$8:AN$290,$B105)</f>
        <v>9.0679246001151519</v>
      </c>
      <c r="F105" s="111">
        <f>INDEX('CFL &amp; Incand Cost Development'!AO$8:AO$290,$B105)</f>
        <v>7.0597246001151515</v>
      </c>
      <c r="G105" s="111">
        <f>INDEX('CFL &amp; Incand Cost Development'!AP$8:AP$290,$B105)</f>
        <v>7.0597246001151515</v>
      </c>
      <c r="H105" s="111">
        <f>INDEX('CFL &amp; Incand Cost Development'!AQ$8:AQ$290,$B105)</f>
        <v>6.1990246001151519</v>
      </c>
      <c r="I105" s="103"/>
      <c r="J105" s="183" t="str">
        <f>INDEX('CFL &amp; Incand Cost Development'!BS$8:BS$290,$B105)</f>
        <v>WRR0347_CFLscw-Candle(15w)</v>
      </c>
      <c r="K105" s="250">
        <f>INDEX('CFL &amp; Incand Cost Development'!BT$8:BT$290,$B105)</f>
        <v>52</v>
      </c>
      <c r="L105" s="250">
        <f>INDEX('CFL &amp; Incand Cost Development'!BU$8:BU$290,$B105)</f>
        <v>2.0279367999999995</v>
      </c>
      <c r="M105" s="250">
        <f>INDEX('CFL &amp; Incand Cost Development'!BV$8:BV$290,$B105)</f>
        <v>4.4819367999999997</v>
      </c>
      <c r="N105" s="250">
        <f>INDEX('CFL &amp; Incand Cost Development'!BW$8:BW$290,$B105)</f>
        <v>1.9219367999999997</v>
      </c>
      <c r="O105" s="250">
        <f>INDEX('CFL &amp; Incand Cost Development'!BX$8:BX$290,$B105)</f>
        <v>1.9219367999999997</v>
      </c>
      <c r="P105" s="250">
        <f>INDEX('CFL &amp; Incand Cost Development'!BY$8:BY$290,$B105)</f>
        <v>1.9219367999999997</v>
      </c>
      <c r="Q105" s="103"/>
      <c r="R105" s="103"/>
      <c r="S105" s="103" t="str">
        <f t="shared" si="33"/>
        <v>Std_CFLscw-Candle(15w)_60pInc-r0248</v>
      </c>
      <c r="T105" s="111">
        <f t="shared" si="34"/>
        <v>4.796331920046061</v>
      </c>
      <c r="U105" s="111">
        <f t="shared" si="35"/>
        <v>6.3163319200460606</v>
      </c>
      <c r="V105" s="111">
        <f t="shared" si="36"/>
        <v>3.9770519200460601</v>
      </c>
      <c r="W105" s="111">
        <f t="shared" si="37"/>
        <v>3.9770519200460601</v>
      </c>
      <c r="X105" s="111">
        <f t="shared" si="38"/>
        <v>3.6327719200460606</v>
      </c>
      <c r="Y105" s="103"/>
      <c r="Z105" s="103"/>
      <c r="AA105" s="103" t="str">
        <f t="shared" si="39"/>
        <v>CFLratio0248</v>
      </c>
      <c r="AB105" s="103" t="str">
        <f t="shared" si="31"/>
        <v>CFLscw-Candle(15w)CFLratio0248</v>
      </c>
      <c r="AC105" s="103"/>
      <c r="AD105" s="108">
        <f t="shared" si="32"/>
        <v>4.1525926800690911</v>
      </c>
      <c r="AE105" s="108">
        <f t="shared" si="27"/>
        <v>2.7515926800690913</v>
      </c>
      <c r="AF105" s="108">
        <f t="shared" si="28"/>
        <v>3.0826726800690913</v>
      </c>
      <c r="AG105" s="108">
        <f t="shared" si="29"/>
        <v>3.0826726800690913</v>
      </c>
      <c r="AH105" s="108">
        <f t="shared" si="30"/>
        <v>2.5662526800690912</v>
      </c>
    </row>
    <row r="106" spans="2:34">
      <c r="B106" s="179">
        <f>IFERROR(MATCH(C106,'CFL &amp; Incand Cost Development'!$A$8:$A$290,0),0)</f>
        <v>79</v>
      </c>
      <c r="C106" s="111" t="s">
        <v>320</v>
      </c>
      <c r="D106" s="111">
        <f>INDEX('CFL &amp; Incand Cost Development'!AM$8:AM$290,$B106)</f>
        <v>7.3009246001151533</v>
      </c>
      <c r="E106" s="111">
        <f>INDEX('CFL &amp; Incand Cost Development'!AN$8:AN$290,$B106)</f>
        <v>7.4199246001151531</v>
      </c>
      <c r="F106" s="111">
        <f>INDEX('CFL &amp; Incand Cost Development'!AO$8:AO$290,$B106)</f>
        <v>5.4117246001151535</v>
      </c>
      <c r="G106" s="111">
        <f>INDEX('CFL &amp; Incand Cost Development'!AP$8:AP$290,$B106)</f>
        <v>5.4117246001151535</v>
      </c>
      <c r="H106" s="111">
        <f>INDEX('CFL &amp; Incand Cost Development'!AQ$8:AQ$290,$B106)</f>
        <v>4.5510246001151531</v>
      </c>
      <c r="I106" s="103"/>
      <c r="J106" s="183" t="str">
        <f>INDEX('CFL &amp; Incand Cost Development'!BS$8:BS$290,$B106)</f>
        <v>WRR0347_CFLscw-Candle(7w)</v>
      </c>
      <c r="K106" s="250">
        <f>INDEX('CFL &amp; Incand Cost Development'!BT$8:BT$290,$B106)</f>
        <v>24</v>
      </c>
      <c r="L106" s="250">
        <f>INDEX('CFL &amp; Incand Cost Development'!BU$8:BU$290,$B106)</f>
        <v>2.0419115999999993</v>
      </c>
      <c r="M106" s="250">
        <f>INDEX('CFL &amp; Incand Cost Development'!BV$8:BV$290,$B106)</f>
        <v>4.4959115999999995</v>
      </c>
      <c r="N106" s="250">
        <f>INDEX('CFL &amp; Incand Cost Development'!BW$8:BW$290,$B106)</f>
        <v>1.9359115999999994</v>
      </c>
      <c r="O106" s="250">
        <f>INDEX('CFL &amp; Incand Cost Development'!BX$8:BX$290,$B106)</f>
        <v>1.9359115999999994</v>
      </c>
      <c r="P106" s="250">
        <f>INDEX('CFL &amp; Incand Cost Development'!BY$8:BY$290,$B106)</f>
        <v>1.9359115999999994</v>
      </c>
      <c r="Q106" s="103"/>
      <c r="R106" s="103"/>
      <c r="S106" s="103" t="str">
        <f t="shared" si="33"/>
        <v>Std_CFLscw-Candle(7w)_60pInc-r0248</v>
      </c>
      <c r="T106" s="111">
        <f t="shared" si="34"/>
        <v>4.1455168000460612</v>
      </c>
      <c r="U106" s="111">
        <f t="shared" si="35"/>
        <v>5.6655168000460607</v>
      </c>
      <c r="V106" s="111">
        <f t="shared" si="36"/>
        <v>3.3262368000460611</v>
      </c>
      <c r="W106" s="111">
        <f t="shared" si="37"/>
        <v>3.3262368000460611</v>
      </c>
      <c r="X106" s="111">
        <f t="shared" si="38"/>
        <v>2.9819568000460608</v>
      </c>
      <c r="Y106" s="103"/>
      <c r="Z106" s="103"/>
      <c r="AA106" s="103" t="str">
        <f t="shared" si="39"/>
        <v>CFLratio0248</v>
      </c>
      <c r="AB106" s="103" t="str">
        <f t="shared" si="31"/>
        <v>CFLscw-Candle(7w)CFLratio0248</v>
      </c>
      <c r="AC106" s="103"/>
      <c r="AD106" s="108">
        <f t="shared" si="32"/>
        <v>3.1554078000690922</v>
      </c>
      <c r="AE106" s="108">
        <f t="shared" si="27"/>
        <v>1.7544078000690924</v>
      </c>
      <c r="AF106" s="108">
        <f t="shared" si="28"/>
        <v>2.0854878000690924</v>
      </c>
      <c r="AG106" s="108">
        <f t="shared" si="29"/>
        <v>2.0854878000690924</v>
      </c>
      <c r="AH106" s="108">
        <f t="shared" si="30"/>
        <v>1.5690678000690923</v>
      </c>
    </row>
    <row r="107" spans="2:34">
      <c r="B107" s="179">
        <f>IFERROR(MATCH(C107,'CFL &amp; Incand Cost Development'!$A$8:$A$290,0),0)</f>
        <v>80</v>
      </c>
      <c r="C107" s="111" t="s">
        <v>322</v>
      </c>
      <c r="D107" s="111">
        <f>INDEX('CFL &amp; Incand Cost Development'!AM$8:AM$290,$B107)</f>
        <v>7.5069246001151528</v>
      </c>
      <c r="E107" s="111">
        <f>INDEX('CFL &amp; Incand Cost Development'!AN$8:AN$290,$B107)</f>
        <v>7.6259246001151526</v>
      </c>
      <c r="F107" s="111">
        <f>INDEX('CFL &amp; Incand Cost Development'!AO$8:AO$290,$B107)</f>
        <v>5.6177246001151531</v>
      </c>
      <c r="G107" s="111">
        <f>INDEX('CFL &amp; Incand Cost Development'!AP$8:AP$290,$B107)</f>
        <v>5.6177246001151531</v>
      </c>
      <c r="H107" s="111">
        <f>INDEX('CFL &amp; Incand Cost Development'!AQ$8:AQ$290,$B107)</f>
        <v>4.7570246001151526</v>
      </c>
      <c r="I107" s="103"/>
      <c r="J107" s="183" t="str">
        <f>INDEX('CFL &amp; Incand Cost Development'!BS$8:BS$290,$B107)</f>
        <v>WRR0347_CFLscw-Candle(8w)</v>
      </c>
      <c r="K107" s="250">
        <f>INDEX('CFL &amp; Incand Cost Development'!BT$8:BT$290,$B107)</f>
        <v>28</v>
      </c>
      <c r="L107" s="250">
        <f>INDEX('CFL &amp; Incand Cost Development'!BU$8:BU$290,$B107)</f>
        <v>2.0399151999999998</v>
      </c>
      <c r="M107" s="250">
        <f>INDEX('CFL &amp; Incand Cost Development'!BV$8:BV$290,$B107)</f>
        <v>4.4939152</v>
      </c>
      <c r="N107" s="250">
        <f>INDEX('CFL &amp; Incand Cost Development'!BW$8:BW$290,$B107)</f>
        <v>1.9339151999999999</v>
      </c>
      <c r="O107" s="250">
        <f>INDEX('CFL &amp; Incand Cost Development'!BX$8:BX$290,$B107)</f>
        <v>1.9339151999999999</v>
      </c>
      <c r="P107" s="250">
        <f>INDEX('CFL &amp; Incand Cost Development'!BY$8:BY$290,$B107)</f>
        <v>1.9339151999999999</v>
      </c>
      <c r="Q107" s="103"/>
      <c r="R107" s="103"/>
      <c r="S107" s="103" t="str">
        <f t="shared" si="33"/>
        <v>Std_CFLscw-Candle(8w)_60pInc-r0248</v>
      </c>
      <c r="T107" s="111">
        <f t="shared" si="34"/>
        <v>4.2267189600460613</v>
      </c>
      <c r="U107" s="111">
        <f t="shared" si="35"/>
        <v>5.7467189600460609</v>
      </c>
      <c r="V107" s="111">
        <f t="shared" si="36"/>
        <v>3.4074389600460613</v>
      </c>
      <c r="W107" s="111">
        <f t="shared" si="37"/>
        <v>3.4074389600460613</v>
      </c>
      <c r="X107" s="111">
        <f t="shared" si="38"/>
        <v>3.0631589600460609</v>
      </c>
      <c r="Y107" s="103"/>
      <c r="Z107" s="103"/>
      <c r="AA107" s="103" t="str">
        <f t="shared" si="39"/>
        <v>CFLratio0248</v>
      </c>
      <c r="AB107" s="103" t="str">
        <f t="shared" si="31"/>
        <v>CFLscw-Candle(8w)CFLratio0248</v>
      </c>
      <c r="AC107" s="103"/>
      <c r="AD107" s="108">
        <f t="shared" si="32"/>
        <v>3.2802056400690915</v>
      </c>
      <c r="AE107" s="108">
        <f t="shared" si="27"/>
        <v>1.8792056400690917</v>
      </c>
      <c r="AF107" s="108">
        <f t="shared" si="28"/>
        <v>2.2102856400690918</v>
      </c>
      <c r="AG107" s="108">
        <f t="shared" si="29"/>
        <v>2.2102856400690918</v>
      </c>
      <c r="AH107" s="108">
        <f t="shared" si="30"/>
        <v>1.6938656400690917</v>
      </c>
    </row>
    <row r="108" spans="2:34">
      <c r="B108" s="179">
        <f>IFERROR(MATCH(C108,'CFL &amp; Incand Cost Development'!$A$8:$A$290,0),0)</f>
        <v>81</v>
      </c>
      <c r="C108" s="111" t="s">
        <v>324</v>
      </c>
      <c r="D108" s="111">
        <f>INDEX('CFL &amp; Incand Cost Development'!AM$8:AM$290,$B108)</f>
        <v>7.7129246001151532</v>
      </c>
      <c r="E108" s="111">
        <f>INDEX('CFL &amp; Incand Cost Development'!AN$8:AN$290,$B108)</f>
        <v>7.831924600115153</v>
      </c>
      <c r="F108" s="111">
        <f>INDEX('CFL &amp; Incand Cost Development'!AO$8:AO$290,$B108)</f>
        <v>5.8237246001151526</v>
      </c>
      <c r="G108" s="111">
        <f>INDEX('CFL &amp; Incand Cost Development'!AP$8:AP$290,$B108)</f>
        <v>5.8237246001151526</v>
      </c>
      <c r="H108" s="111">
        <f>INDEX('CFL &amp; Incand Cost Development'!AQ$8:AQ$290,$B108)</f>
        <v>4.963024600115153</v>
      </c>
      <c r="I108" s="103"/>
      <c r="J108" s="183" t="str">
        <f>INDEX('CFL &amp; Incand Cost Development'!BS$8:BS$290,$B108)</f>
        <v>WRR0347_CFLscw-Candle(9w)</v>
      </c>
      <c r="K108" s="250">
        <f>INDEX('CFL &amp; Incand Cost Development'!BT$8:BT$290,$B108)</f>
        <v>31</v>
      </c>
      <c r="L108" s="250">
        <f>INDEX('CFL &amp; Incand Cost Development'!BU$8:BU$290,$B108)</f>
        <v>2.0384178999999993</v>
      </c>
      <c r="M108" s="250">
        <f>INDEX('CFL &amp; Incand Cost Development'!BV$8:BV$290,$B108)</f>
        <v>4.4924178999999995</v>
      </c>
      <c r="N108" s="250">
        <f>INDEX('CFL &amp; Incand Cost Development'!BW$8:BW$290,$B108)</f>
        <v>1.9324178999999995</v>
      </c>
      <c r="O108" s="250">
        <f>INDEX('CFL &amp; Incand Cost Development'!BX$8:BX$290,$B108)</f>
        <v>1.9324178999999995</v>
      </c>
      <c r="P108" s="250">
        <f>INDEX('CFL &amp; Incand Cost Development'!BY$8:BY$290,$B108)</f>
        <v>1.9324178999999995</v>
      </c>
      <c r="Q108" s="103"/>
      <c r="R108" s="103"/>
      <c r="S108" s="103" t="str">
        <f t="shared" si="33"/>
        <v>Std_CFLscw-Candle(9w)_60pInc-r0248</v>
      </c>
      <c r="T108" s="111">
        <f t="shared" si="34"/>
        <v>4.3082205800460613</v>
      </c>
      <c r="U108" s="111">
        <f t="shared" si="35"/>
        <v>5.8282205800460609</v>
      </c>
      <c r="V108" s="111">
        <f t="shared" si="36"/>
        <v>3.4889405800460609</v>
      </c>
      <c r="W108" s="111">
        <f t="shared" si="37"/>
        <v>3.4889405800460609</v>
      </c>
      <c r="X108" s="111">
        <f t="shared" si="38"/>
        <v>3.144660580046061</v>
      </c>
      <c r="Y108" s="103"/>
      <c r="Z108" s="103"/>
      <c r="AA108" s="103" t="str">
        <f t="shared" si="39"/>
        <v>CFLratio0248</v>
      </c>
      <c r="AB108" s="103" t="str">
        <f t="shared" si="31"/>
        <v>CFLscw-Candle(9w)CFLratio0248</v>
      </c>
      <c r="AC108" s="103"/>
      <c r="AD108" s="108">
        <f t="shared" si="32"/>
        <v>3.4047040200690919</v>
      </c>
      <c r="AE108" s="108">
        <f t="shared" si="27"/>
        <v>2.0037040200690921</v>
      </c>
      <c r="AF108" s="108">
        <f t="shared" si="28"/>
        <v>2.3347840200690917</v>
      </c>
      <c r="AG108" s="108">
        <f t="shared" si="29"/>
        <v>2.3347840200690917</v>
      </c>
      <c r="AH108" s="108">
        <f t="shared" si="30"/>
        <v>1.818364020069092</v>
      </c>
    </row>
    <row r="109" spans="2:34">
      <c r="B109" s="179">
        <f>IFERROR(MATCH(C109,'CFL &amp; Incand Cost Development'!$A$8:$A$290,0),0)</f>
        <v>92</v>
      </c>
      <c r="C109" s="111" t="s">
        <v>349</v>
      </c>
      <c r="D109" s="111">
        <f>INDEX('CFL &amp; Incand Cost Development'!AM$8:AM$290,$B109)</f>
        <v>8.6009920148574519</v>
      </c>
      <c r="E109" s="111">
        <f>INDEX('CFL &amp; Incand Cost Development'!AN$8:AN$290,$B109)</f>
        <v>10.445992014857453</v>
      </c>
      <c r="F109" s="111">
        <f>INDEX('CFL &amp; Incand Cost Development'!AO$8:AO$290,$B109)</f>
        <v>8.6408920148574531</v>
      </c>
      <c r="G109" s="111">
        <f>INDEX('CFL &amp; Incand Cost Development'!AP$8:AP$290,$B109)</f>
        <v>8.6408920148574531</v>
      </c>
      <c r="H109" s="111">
        <f>INDEX('CFL &amp; Incand Cost Development'!AQ$8:AQ$290,$B109)</f>
        <v>7.512092014857453</v>
      </c>
      <c r="I109" s="103"/>
      <c r="J109" s="183" t="str">
        <f>INDEX('CFL &amp; Incand Cost Development'!BS$8:BS$290,$B109)</f>
        <v>WRR0347_CFLscw-Dim(10w)</v>
      </c>
      <c r="K109" s="250">
        <f>INDEX('CFL &amp; Incand Cost Development'!BT$8:BT$290,$B109)</f>
        <v>35</v>
      </c>
      <c r="L109" s="250">
        <f>INDEX('CFL &amp; Incand Cost Development'!BU$8:BU$290,$B109)</f>
        <v>0.94839999999999991</v>
      </c>
      <c r="M109" s="250">
        <f>INDEX('CFL &amp; Incand Cost Development'!BV$8:BV$290,$B109)</f>
        <v>3.4114</v>
      </c>
      <c r="N109" s="250">
        <f>INDEX('CFL &amp; Incand Cost Development'!BW$8:BW$290,$B109)</f>
        <v>1.7214</v>
      </c>
      <c r="O109" s="250">
        <f>INDEX('CFL &amp; Incand Cost Development'!BX$8:BX$290,$B109)</f>
        <v>0.56140000000000012</v>
      </c>
      <c r="P109" s="250">
        <f>INDEX('CFL &amp; Incand Cost Development'!BY$8:BY$290,$B109)</f>
        <v>0.56140000000000012</v>
      </c>
      <c r="Q109" s="103"/>
      <c r="R109" s="103"/>
      <c r="S109" s="103" t="str">
        <f t="shared" si="33"/>
        <v>Std_CFLscw-Dim(10w)_60pInc-r0248</v>
      </c>
      <c r="T109" s="111">
        <f t="shared" si="34"/>
        <v>4.0094368059429808</v>
      </c>
      <c r="U109" s="111">
        <f t="shared" si="35"/>
        <v>6.2252368059429806</v>
      </c>
      <c r="V109" s="111">
        <f t="shared" si="36"/>
        <v>4.4891968059429814</v>
      </c>
      <c r="W109" s="111">
        <f t="shared" si="37"/>
        <v>3.7931968059429813</v>
      </c>
      <c r="X109" s="111">
        <f t="shared" si="38"/>
        <v>3.3416768059429813</v>
      </c>
      <c r="Y109" s="103"/>
      <c r="Z109" s="103"/>
      <c r="AA109" s="103" t="str">
        <f t="shared" si="39"/>
        <v>CFLratio0248</v>
      </c>
      <c r="AB109" s="103" t="str">
        <f t="shared" si="31"/>
        <v>CFLscw-Dim(10w)CFLratio0248</v>
      </c>
      <c r="AC109" s="103"/>
      <c r="AD109" s="108">
        <f t="shared" si="32"/>
        <v>4.5915552089144711</v>
      </c>
      <c r="AE109" s="108">
        <f t="shared" si="27"/>
        <v>4.220755208914472</v>
      </c>
      <c r="AF109" s="108">
        <f t="shared" si="28"/>
        <v>4.1516952089144716</v>
      </c>
      <c r="AG109" s="108">
        <f t="shared" si="29"/>
        <v>4.8476952089144714</v>
      </c>
      <c r="AH109" s="108">
        <f t="shared" si="30"/>
        <v>4.1704152089144717</v>
      </c>
    </row>
    <row r="110" spans="2:34">
      <c r="B110" s="179">
        <f>IFERROR(MATCH(C110,'CFL &amp; Incand Cost Development'!$A$8:$A$290,0),0)</f>
        <v>93</v>
      </c>
      <c r="C110" s="111" t="s">
        <v>351</v>
      </c>
      <c r="D110" s="111">
        <f>INDEX('CFL &amp; Incand Cost Development'!AM$8:AM$290,$B110)</f>
        <v>8.6674920148574532</v>
      </c>
      <c r="E110" s="111">
        <f>INDEX('CFL &amp; Incand Cost Development'!AN$8:AN$290,$B110)</f>
        <v>10.512492014857454</v>
      </c>
      <c r="F110" s="111">
        <f>INDEX('CFL &amp; Incand Cost Development'!AO$8:AO$290,$B110)</f>
        <v>8.7073920148574544</v>
      </c>
      <c r="G110" s="111">
        <f>INDEX('CFL &amp; Incand Cost Development'!AP$8:AP$290,$B110)</f>
        <v>8.7073920148574544</v>
      </c>
      <c r="H110" s="111">
        <f>INDEX('CFL &amp; Incand Cost Development'!AQ$8:AQ$290,$B110)</f>
        <v>7.5785920148574544</v>
      </c>
      <c r="I110" s="103"/>
      <c r="J110" s="183" t="str">
        <f>INDEX('CFL &amp; Incand Cost Development'!BS$8:BS$290,$B110)</f>
        <v>WRR0347_CFLscw-Dim(11w)</v>
      </c>
      <c r="K110" s="250">
        <f>INDEX('CFL &amp; Incand Cost Development'!BT$8:BT$290,$B110)</f>
        <v>38</v>
      </c>
      <c r="L110" s="250">
        <f>INDEX('CFL &amp; Incand Cost Development'!BU$8:BU$290,$B110)</f>
        <v>0.97599999999999998</v>
      </c>
      <c r="M110" s="250">
        <f>INDEX('CFL &amp; Incand Cost Development'!BV$8:BV$290,$B110)</f>
        <v>3.4390000000000001</v>
      </c>
      <c r="N110" s="250">
        <f>INDEX('CFL &amp; Incand Cost Development'!BW$8:BW$290,$B110)</f>
        <v>1.7490000000000001</v>
      </c>
      <c r="O110" s="250">
        <f>INDEX('CFL &amp; Incand Cost Development'!BX$8:BX$290,$B110)</f>
        <v>0.58900000000000019</v>
      </c>
      <c r="P110" s="250">
        <f>INDEX('CFL &amp; Incand Cost Development'!BY$8:BY$290,$B110)</f>
        <v>0.58900000000000019</v>
      </c>
      <c r="Q110" s="103"/>
      <c r="R110" s="103"/>
      <c r="S110" s="103" t="str">
        <f t="shared" si="33"/>
        <v>Std_CFLscw-Dim(11w)_60pInc-r0248</v>
      </c>
      <c r="T110" s="111">
        <f t="shared" si="34"/>
        <v>4.052596805942982</v>
      </c>
      <c r="U110" s="111">
        <f t="shared" si="35"/>
        <v>6.2683968059429827</v>
      </c>
      <c r="V110" s="111">
        <f t="shared" si="36"/>
        <v>4.5323568059429817</v>
      </c>
      <c r="W110" s="111">
        <f t="shared" si="37"/>
        <v>3.836356805942982</v>
      </c>
      <c r="X110" s="111">
        <f t="shared" si="38"/>
        <v>3.3848368059429821</v>
      </c>
      <c r="Y110" s="103"/>
      <c r="Z110" s="103"/>
      <c r="AA110" s="103" t="str">
        <f t="shared" si="39"/>
        <v>CFLratio0248</v>
      </c>
      <c r="AB110" s="103" t="str">
        <f t="shared" si="31"/>
        <v>CFLscw-Dim(11w)CFLratio0248</v>
      </c>
      <c r="AC110" s="103"/>
      <c r="AD110" s="108">
        <f t="shared" si="32"/>
        <v>4.6148952089144712</v>
      </c>
      <c r="AE110" s="108">
        <f t="shared" si="27"/>
        <v>4.2440952089144712</v>
      </c>
      <c r="AF110" s="108">
        <f t="shared" si="28"/>
        <v>4.1750352089144727</v>
      </c>
      <c r="AG110" s="108">
        <f t="shared" si="29"/>
        <v>4.8710352089144724</v>
      </c>
      <c r="AH110" s="108">
        <f t="shared" si="30"/>
        <v>4.1937552089144727</v>
      </c>
    </row>
    <row r="111" spans="2:34">
      <c r="B111" s="179">
        <f>IFERROR(MATCH(C111,'CFL &amp; Incand Cost Development'!$A$8:$A$290,0),0)</f>
        <v>94</v>
      </c>
      <c r="C111" s="111" t="s">
        <v>353</v>
      </c>
      <c r="D111" s="111">
        <f>INDEX('CFL &amp; Incand Cost Development'!AM$8:AM$290,$B111)</f>
        <v>8.8669920148574537</v>
      </c>
      <c r="E111" s="111">
        <f>INDEX('CFL &amp; Incand Cost Development'!AN$8:AN$290,$B111)</f>
        <v>10.711992014857454</v>
      </c>
      <c r="F111" s="111">
        <f>INDEX('CFL &amp; Incand Cost Development'!AO$8:AO$290,$B111)</f>
        <v>8.9068920148574549</v>
      </c>
      <c r="G111" s="111">
        <f>INDEX('CFL &amp; Incand Cost Development'!AP$8:AP$290,$B111)</f>
        <v>8.9068920148574549</v>
      </c>
      <c r="H111" s="111">
        <f>INDEX('CFL &amp; Incand Cost Development'!AQ$8:AQ$290,$B111)</f>
        <v>7.7780920148574548</v>
      </c>
      <c r="I111" s="103"/>
      <c r="J111" s="183" t="str">
        <f>INDEX('CFL &amp; Incand Cost Development'!BS$8:BS$290,$B111)</f>
        <v>WRR0347_CFLscw-Dim(14w)</v>
      </c>
      <c r="K111" s="250">
        <f>INDEX('CFL &amp; Incand Cost Development'!BT$8:BT$290,$B111)</f>
        <v>49</v>
      </c>
      <c r="L111" s="250">
        <f>INDEX('CFL &amp; Incand Cost Development'!BU$8:BU$290,$B111)</f>
        <v>1.0771999999999999</v>
      </c>
      <c r="M111" s="250">
        <f>INDEX('CFL &amp; Incand Cost Development'!BV$8:BV$290,$B111)</f>
        <v>3.5402</v>
      </c>
      <c r="N111" s="250">
        <f>INDEX('CFL &amp; Incand Cost Development'!BW$8:BW$290,$B111)</f>
        <v>1.8502000000000001</v>
      </c>
      <c r="O111" s="250">
        <f>INDEX('CFL &amp; Incand Cost Development'!BX$8:BX$290,$B111)</f>
        <v>0.69020000000000015</v>
      </c>
      <c r="P111" s="250">
        <f>INDEX('CFL &amp; Incand Cost Development'!BY$8:BY$290,$B111)</f>
        <v>0.69020000000000015</v>
      </c>
      <c r="Q111" s="103"/>
      <c r="R111" s="103"/>
      <c r="S111" s="103" t="str">
        <f t="shared" si="33"/>
        <v>Std_CFLscw-Dim(14w)_60pInc-r0248</v>
      </c>
      <c r="T111" s="111">
        <f t="shared" si="34"/>
        <v>4.1931168059429815</v>
      </c>
      <c r="U111" s="111">
        <f t="shared" si="35"/>
        <v>6.4089168059429813</v>
      </c>
      <c r="V111" s="111">
        <f t="shared" si="36"/>
        <v>4.6728768059429822</v>
      </c>
      <c r="W111" s="111">
        <f t="shared" si="37"/>
        <v>3.976876805942982</v>
      </c>
      <c r="X111" s="111">
        <f t="shared" si="38"/>
        <v>3.5253568059429821</v>
      </c>
      <c r="Y111" s="103"/>
      <c r="Z111" s="103"/>
      <c r="AA111" s="103" t="str">
        <f t="shared" si="39"/>
        <v>CFLratio0248</v>
      </c>
      <c r="AB111" s="103" t="str">
        <f t="shared" si="31"/>
        <v>CFLscw-Dim(14w)CFLratio0248</v>
      </c>
      <c r="AC111" s="103"/>
      <c r="AD111" s="108">
        <f t="shared" si="32"/>
        <v>4.6738752089144722</v>
      </c>
      <c r="AE111" s="108">
        <f t="shared" si="27"/>
        <v>4.303075208914473</v>
      </c>
      <c r="AF111" s="108">
        <f t="shared" si="28"/>
        <v>4.2340152089144727</v>
      </c>
      <c r="AG111" s="108">
        <f t="shared" si="29"/>
        <v>4.9300152089144724</v>
      </c>
      <c r="AH111" s="108">
        <f t="shared" si="30"/>
        <v>4.2527352089144728</v>
      </c>
    </row>
    <row r="112" spans="2:34">
      <c r="B112" s="179">
        <f>IFERROR(MATCH(C112,'CFL &amp; Incand Cost Development'!$A$8:$A$290,0),0)</f>
        <v>95</v>
      </c>
      <c r="C112" s="111" t="s">
        <v>356</v>
      </c>
      <c r="D112" s="111">
        <f>INDEX('CFL &amp; Incand Cost Development'!AM$8:AM$290,$B112)</f>
        <v>8.9334920148574533</v>
      </c>
      <c r="E112" s="111">
        <f>INDEX('CFL &amp; Incand Cost Development'!AN$8:AN$290,$B112)</f>
        <v>10.778492014857454</v>
      </c>
      <c r="F112" s="111">
        <f>INDEX('CFL &amp; Incand Cost Development'!AO$8:AO$290,$B112)</f>
        <v>8.9733920148574544</v>
      </c>
      <c r="G112" s="111">
        <f>INDEX('CFL &amp; Incand Cost Development'!AP$8:AP$290,$B112)</f>
        <v>8.9733920148574544</v>
      </c>
      <c r="H112" s="111">
        <f>INDEX('CFL &amp; Incand Cost Development'!AQ$8:AQ$290,$B112)</f>
        <v>7.8445920148574544</v>
      </c>
      <c r="I112" s="103"/>
      <c r="J112" s="183" t="str">
        <f>INDEX('CFL &amp; Incand Cost Development'!BS$8:BS$290,$B112)</f>
        <v>WRR0347_CFLscw-Dim(15w)</v>
      </c>
      <c r="K112" s="250">
        <f>INDEX('CFL &amp; Incand Cost Development'!BT$8:BT$290,$B112)</f>
        <v>52</v>
      </c>
      <c r="L112" s="250">
        <f>INDEX('CFL &amp; Incand Cost Development'!BU$8:BU$290,$B112)</f>
        <v>1.1048</v>
      </c>
      <c r="M112" s="250">
        <f>INDEX('CFL &amp; Incand Cost Development'!BV$8:BV$290,$B112)</f>
        <v>3.5678000000000001</v>
      </c>
      <c r="N112" s="250">
        <f>INDEX('CFL &amp; Incand Cost Development'!BW$8:BW$290,$B112)</f>
        <v>1.8778000000000001</v>
      </c>
      <c r="O112" s="250">
        <f>INDEX('CFL &amp; Incand Cost Development'!BX$8:BX$290,$B112)</f>
        <v>0.71780000000000022</v>
      </c>
      <c r="P112" s="250">
        <f>INDEX('CFL &amp; Incand Cost Development'!BY$8:BY$290,$B112)</f>
        <v>0.71780000000000022</v>
      </c>
      <c r="Q112" s="103"/>
      <c r="R112" s="103"/>
      <c r="S112" s="103" t="str">
        <f t="shared" si="33"/>
        <v>Std_CFLscw-Dim(15w)_60pInc-r0248</v>
      </c>
      <c r="T112" s="111">
        <f t="shared" si="34"/>
        <v>4.2362768059429818</v>
      </c>
      <c r="U112" s="111">
        <f t="shared" si="35"/>
        <v>6.4520768059429816</v>
      </c>
      <c r="V112" s="111">
        <f t="shared" si="36"/>
        <v>4.7160368059429825</v>
      </c>
      <c r="W112" s="111">
        <f t="shared" si="37"/>
        <v>4.0200368059429819</v>
      </c>
      <c r="X112" s="111">
        <f t="shared" si="38"/>
        <v>3.5685168059429819</v>
      </c>
      <c r="Y112" s="103"/>
      <c r="Z112" s="103"/>
      <c r="AA112" s="103" t="str">
        <f t="shared" si="39"/>
        <v>CFLratio0248</v>
      </c>
      <c r="AB112" s="103" t="str">
        <f t="shared" si="31"/>
        <v>CFLscw-Dim(15w)CFLratio0248</v>
      </c>
      <c r="AC112" s="103"/>
      <c r="AD112" s="108">
        <f t="shared" si="32"/>
        <v>4.6972152089144714</v>
      </c>
      <c r="AE112" s="108">
        <f t="shared" si="27"/>
        <v>4.3264152089144723</v>
      </c>
      <c r="AF112" s="108">
        <f t="shared" si="28"/>
        <v>4.2573552089144719</v>
      </c>
      <c r="AG112" s="108">
        <f t="shared" si="29"/>
        <v>4.9533552089144726</v>
      </c>
      <c r="AH112" s="108">
        <f t="shared" si="30"/>
        <v>4.276075208914472</v>
      </c>
    </row>
    <row r="113" spans="2:34">
      <c r="B113" s="179">
        <f>IFERROR(MATCH(C113,'CFL &amp; Incand Cost Development'!$A$8:$A$290,0),0)</f>
        <v>96</v>
      </c>
      <c r="C113" s="111" t="s">
        <v>358</v>
      </c>
      <c r="D113" s="111">
        <f>INDEX('CFL &amp; Incand Cost Development'!AM$8:AM$290,$B113)</f>
        <v>8.9999920148574528</v>
      </c>
      <c r="E113" s="111">
        <f>INDEX('CFL &amp; Incand Cost Development'!AN$8:AN$290,$B113)</f>
        <v>10.844992014857453</v>
      </c>
      <c r="F113" s="111">
        <f>INDEX('CFL &amp; Incand Cost Development'!AO$8:AO$290,$B113)</f>
        <v>9.039892014857454</v>
      </c>
      <c r="G113" s="111">
        <f>INDEX('CFL &amp; Incand Cost Development'!AP$8:AP$290,$B113)</f>
        <v>9.039892014857454</v>
      </c>
      <c r="H113" s="111">
        <f>INDEX('CFL &amp; Incand Cost Development'!AQ$8:AQ$290,$B113)</f>
        <v>7.9110920148574539</v>
      </c>
      <c r="I113" s="103"/>
      <c r="J113" s="183" t="str">
        <f>INDEX('CFL &amp; Incand Cost Development'!BS$8:BS$290,$B113)</f>
        <v>WRR0347_CFLscw-Dim(16w)</v>
      </c>
      <c r="K113" s="250">
        <f>INDEX('CFL &amp; Incand Cost Development'!BT$8:BT$290,$B113)</f>
        <v>56</v>
      </c>
      <c r="L113" s="250">
        <f>INDEX('CFL &amp; Incand Cost Development'!BU$8:BU$290,$B113)</f>
        <v>1.1415999999999999</v>
      </c>
      <c r="M113" s="250">
        <f>INDEX('CFL &amp; Incand Cost Development'!BV$8:BV$290,$B113)</f>
        <v>3.6046</v>
      </c>
      <c r="N113" s="250">
        <f>INDEX('CFL &amp; Incand Cost Development'!BW$8:BW$290,$B113)</f>
        <v>1.9146000000000001</v>
      </c>
      <c r="O113" s="250">
        <f>INDEX('CFL &amp; Incand Cost Development'!BX$8:BX$290,$B113)</f>
        <v>0.75460000000000016</v>
      </c>
      <c r="P113" s="250">
        <f>INDEX('CFL &amp; Incand Cost Development'!BY$8:BY$290,$B113)</f>
        <v>0.75460000000000016</v>
      </c>
      <c r="Q113" s="103"/>
      <c r="R113" s="103"/>
      <c r="S113" s="103" t="str">
        <f t="shared" si="33"/>
        <v>Std_CFLscw-Dim(16w)_60pInc-r0248</v>
      </c>
      <c r="T113" s="111">
        <f t="shared" si="34"/>
        <v>4.284956805942981</v>
      </c>
      <c r="U113" s="111">
        <f t="shared" si="35"/>
        <v>6.5007568059429808</v>
      </c>
      <c r="V113" s="111">
        <f t="shared" si="36"/>
        <v>4.7647168059429816</v>
      </c>
      <c r="W113" s="111">
        <f t="shared" si="37"/>
        <v>4.0687168059429819</v>
      </c>
      <c r="X113" s="111">
        <f t="shared" si="38"/>
        <v>3.617196805942982</v>
      </c>
      <c r="Y113" s="103"/>
      <c r="Z113" s="103"/>
      <c r="AA113" s="103" t="str">
        <f t="shared" si="39"/>
        <v>CFLratio0248</v>
      </c>
      <c r="AB113" s="103" t="str">
        <f t="shared" si="31"/>
        <v>CFLscw-Dim(16w)CFLratio0248</v>
      </c>
      <c r="AC113" s="103"/>
      <c r="AD113" s="108">
        <f t="shared" si="32"/>
        <v>4.7150352089144718</v>
      </c>
      <c r="AE113" s="108">
        <f t="shared" si="27"/>
        <v>4.3442352089144727</v>
      </c>
      <c r="AF113" s="108">
        <f t="shared" si="28"/>
        <v>4.2751752089144723</v>
      </c>
      <c r="AG113" s="108">
        <f t="shared" si="29"/>
        <v>4.9711752089144721</v>
      </c>
      <c r="AH113" s="108">
        <f t="shared" si="30"/>
        <v>4.2938952089144724</v>
      </c>
    </row>
    <row r="114" spans="2:34">
      <c r="B114" s="179">
        <f>IFERROR(MATCH(C114,'CFL &amp; Incand Cost Development'!$A$8:$A$290,0),0)</f>
        <v>97</v>
      </c>
      <c r="C114" s="111" t="s">
        <v>360</v>
      </c>
      <c r="D114" s="111">
        <f>INDEX('CFL &amp; Incand Cost Development'!AM$8:AM$290,$B114)</f>
        <v>9.1329920148574519</v>
      </c>
      <c r="E114" s="111">
        <f>INDEX('CFL &amp; Incand Cost Development'!AN$8:AN$290,$B114)</f>
        <v>10.977992014857453</v>
      </c>
      <c r="F114" s="111">
        <f>INDEX('CFL &amp; Incand Cost Development'!AO$8:AO$290,$B114)</f>
        <v>9.1728920148574531</v>
      </c>
      <c r="G114" s="111">
        <f>INDEX('CFL &amp; Incand Cost Development'!AP$8:AP$290,$B114)</f>
        <v>9.1728920148574531</v>
      </c>
      <c r="H114" s="111">
        <f>INDEX('CFL &amp; Incand Cost Development'!AQ$8:AQ$290,$B114)</f>
        <v>8.0440920148574531</v>
      </c>
      <c r="I114" s="103"/>
      <c r="J114" s="183" t="str">
        <f>INDEX('CFL &amp; Incand Cost Development'!BS$8:BS$290,$B114)</f>
        <v>WRR0347_CFLscw-Dim(18w)</v>
      </c>
      <c r="K114" s="250">
        <f>INDEX('CFL &amp; Incand Cost Development'!BT$8:BT$290,$B114)</f>
        <v>62</v>
      </c>
      <c r="L114" s="250">
        <f>INDEX('CFL &amp; Incand Cost Development'!BU$8:BU$290,$B114)</f>
        <v>1.1968000000000001</v>
      </c>
      <c r="M114" s="250">
        <f>INDEX('CFL &amp; Incand Cost Development'!BV$8:BV$290,$B114)</f>
        <v>3.6598000000000002</v>
      </c>
      <c r="N114" s="250">
        <f>INDEX('CFL &amp; Incand Cost Development'!BW$8:BW$290,$B114)</f>
        <v>1.9698000000000002</v>
      </c>
      <c r="O114" s="250">
        <f>INDEX('CFL &amp; Incand Cost Development'!BX$8:BX$290,$B114)</f>
        <v>0.8098000000000003</v>
      </c>
      <c r="P114" s="250">
        <f>INDEX('CFL &amp; Incand Cost Development'!BY$8:BY$290,$B114)</f>
        <v>0.8098000000000003</v>
      </c>
      <c r="Q114" s="103"/>
      <c r="R114" s="103"/>
      <c r="S114" s="103" t="str">
        <f t="shared" si="33"/>
        <v>Std_CFLscw-Dim(18w)_60pInc-r0248</v>
      </c>
      <c r="T114" s="111">
        <f t="shared" si="34"/>
        <v>4.3712768059429816</v>
      </c>
      <c r="U114" s="111">
        <f t="shared" si="35"/>
        <v>6.5870768059429814</v>
      </c>
      <c r="V114" s="111">
        <f t="shared" si="36"/>
        <v>4.8510368059429814</v>
      </c>
      <c r="W114" s="111">
        <f t="shared" si="37"/>
        <v>4.1550368059429816</v>
      </c>
      <c r="X114" s="111">
        <f t="shared" si="38"/>
        <v>3.7035168059429817</v>
      </c>
      <c r="Y114" s="103"/>
      <c r="Z114" s="103"/>
      <c r="AA114" s="103" t="str">
        <f t="shared" si="39"/>
        <v>CFLratio0248</v>
      </c>
      <c r="AB114" s="103" t="str">
        <f t="shared" si="31"/>
        <v>CFLscw-Dim(18w)CFLratio0248</v>
      </c>
      <c r="AC114" s="103"/>
      <c r="AD114" s="108">
        <f t="shared" si="32"/>
        <v>4.7617152089144703</v>
      </c>
      <c r="AE114" s="108">
        <f t="shared" si="27"/>
        <v>4.3909152089144712</v>
      </c>
      <c r="AF114" s="108">
        <f t="shared" si="28"/>
        <v>4.3218552089144717</v>
      </c>
      <c r="AG114" s="108">
        <f t="shared" si="29"/>
        <v>5.0178552089144715</v>
      </c>
      <c r="AH114" s="108">
        <f t="shared" si="30"/>
        <v>4.3405752089144709</v>
      </c>
    </row>
    <row r="115" spans="2:34">
      <c r="B115" s="179">
        <f>IFERROR(MATCH(C115,'CFL &amp; Incand Cost Development'!$A$8:$A$290,0),0)</f>
        <v>98</v>
      </c>
      <c r="C115" s="111" t="s">
        <v>362</v>
      </c>
      <c r="D115" s="111">
        <f>INDEX('CFL &amp; Incand Cost Development'!AM$8:AM$290,$B115)</f>
        <v>9.1994920148574533</v>
      </c>
      <c r="E115" s="111">
        <f>INDEX('CFL &amp; Incand Cost Development'!AN$8:AN$290,$B115)</f>
        <v>11.044492014857454</v>
      </c>
      <c r="F115" s="111">
        <f>INDEX('CFL &amp; Incand Cost Development'!AO$8:AO$290,$B115)</f>
        <v>9.2393920148574544</v>
      </c>
      <c r="G115" s="111">
        <f>INDEX('CFL &amp; Incand Cost Development'!AP$8:AP$290,$B115)</f>
        <v>9.2393920148574544</v>
      </c>
      <c r="H115" s="111">
        <f>INDEX('CFL &amp; Incand Cost Development'!AQ$8:AQ$290,$B115)</f>
        <v>8.1105920148574544</v>
      </c>
      <c r="I115" s="103"/>
      <c r="J115" s="183" t="str">
        <f>INDEX('CFL &amp; Incand Cost Development'!BS$8:BS$290,$B115)</f>
        <v>WRR0347_CFLscw-Dim(19w)</v>
      </c>
      <c r="K115" s="250">
        <f>INDEX('CFL &amp; Incand Cost Development'!BT$8:BT$290,$B115)</f>
        <v>66</v>
      </c>
      <c r="L115" s="250">
        <f>INDEX('CFL &amp; Incand Cost Development'!BU$8:BU$290,$B115)</f>
        <v>1.2336</v>
      </c>
      <c r="M115" s="250">
        <f>INDEX('CFL &amp; Incand Cost Development'!BV$8:BV$290,$B115)</f>
        <v>3.6966000000000001</v>
      </c>
      <c r="N115" s="250">
        <f>INDEX('CFL &amp; Incand Cost Development'!BW$8:BW$290,$B115)</f>
        <v>2.0066000000000002</v>
      </c>
      <c r="O115" s="250">
        <f>INDEX('CFL &amp; Incand Cost Development'!BX$8:BX$290,$B115)</f>
        <v>0.84660000000000024</v>
      </c>
      <c r="P115" s="250">
        <f>INDEX('CFL &amp; Incand Cost Development'!BY$8:BY$290,$B115)</f>
        <v>0.84660000000000024</v>
      </c>
      <c r="Q115" s="103"/>
      <c r="R115" s="103"/>
      <c r="S115" s="103" t="str">
        <f t="shared" si="33"/>
        <v>Std_CFLscw-Dim(19w)_60pInc-r0248</v>
      </c>
      <c r="T115" s="111">
        <f t="shared" si="34"/>
        <v>4.4199568059429817</v>
      </c>
      <c r="U115" s="111">
        <f t="shared" si="35"/>
        <v>6.6357568059429823</v>
      </c>
      <c r="V115" s="111">
        <f t="shared" si="36"/>
        <v>4.8997168059429823</v>
      </c>
      <c r="W115" s="111">
        <f t="shared" si="37"/>
        <v>4.2037168059429817</v>
      </c>
      <c r="X115" s="111">
        <f t="shared" si="38"/>
        <v>3.7521968059429822</v>
      </c>
      <c r="Y115" s="103"/>
      <c r="Z115" s="103"/>
      <c r="AA115" s="103" t="str">
        <f t="shared" si="39"/>
        <v>CFLratio0248</v>
      </c>
      <c r="AB115" s="103" t="str">
        <f t="shared" si="31"/>
        <v>CFLscw-Dim(19w)CFLratio0248</v>
      </c>
      <c r="AC115" s="103"/>
      <c r="AD115" s="108">
        <f t="shared" si="32"/>
        <v>4.7795352089144716</v>
      </c>
      <c r="AE115" s="108">
        <f t="shared" si="27"/>
        <v>4.4087352089144716</v>
      </c>
      <c r="AF115" s="108">
        <f t="shared" si="28"/>
        <v>4.3396752089144721</v>
      </c>
      <c r="AG115" s="108">
        <f t="shared" si="29"/>
        <v>5.0356752089144727</v>
      </c>
      <c r="AH115" s="108">
        <f t="shared" si="30"/>
        <v>4.3583952089144722</v>
      </c>
    </row>
    <row r="116" spans="2:34">
      <c r="B116" s="179">
        <f>IFERROR(MATCH(C116,'CFL &amp; Incand Cost Development'!$A$8:$A$290,0),0)</f>
        <v>99</v>
      </c>
      <c r="C116" s="111" t="s">
        <v>364</v>
      </c>
      <c r="D116" s="111">
        <f>INDEX('CFL &amp; Incand Cost Development'!AM$8:AM$290,$B116)</f>
        <v>9.2659920148574528</v>
      </c>
      <c r="E116" s="111">
        <f>INDEX('CFL &amp; Incand Cost Development'!AN$8:AN$290,$B116)</f>
        <v>11.110992014857453</v>
      </c>
      <c r="F116" s="111">
        <f>INDEX('CFL &amp; Incand Cost Development'!AO$8:AO$290,$B116)</f>
        <v>9.305892014857454</v>
      </c>
      <c r="G116" s="111">
        <f>INDEX('CFL &amp; Incand Cost Development'!AP$8:AP$290,$B116)</f>
        <v>9.305892014857454</v>
      </c>
      <c r="H116" s="111">
        <f>INDEX('CFL &amp; Incand Cost Development'!AQ$8:AQ$290,$B116)</f>
        <v>8.177092014857454</v>
      </c>
      <c r="I116" s="103"/>
      <c r="J116" s="183" t="str">
        <f>INDEX('CFL &amp; Incand Cost Development'!BS$8:BS$290,$B116)</f>
        <v>WRR0347_CFLscw-Dim(20w)</v>
      </c>
      <c r="K116" s="250">
        <f>INDEX('CFL &amp; Incand Cost Development'!BT$8:BT$290,$B116)</f>
        <v>69</v>
      </c>
      <c r="L116" s="250">
        <f>INDEX('CFL &amp; Incand Cost Development'!BU$8:BU$290,$B116)</f>
        <v>1.2612000000000001</v>
      </c>
      <c r="M116" s="250">
        <f>INDEX('CFL &amp; Incand Cost Development'!BV$8:BV$290,$B116)</f>
        <v>3.7242000000000002</v>
      </c>
      <c r="N116" s="250">
        <f>INDEX('CFL &amp; Incand Cost Development'!BW$8:BW$290,$B116)</f>
        <v>2.0342000000000002</v>
      </c>
      <c r="O116" s="250">
        <f>INDEX('CFL &amp; Incand Cost Development'!BX$8:BX$290,$B116)</f>
        <v>0.87420000000000031</v>
      </c>
      <c r="P116" s="250">
        <f>INDEX('CFL &amp; Incand Cost Development'!BY$8:BY$290,$B116)</f>
        <v>0.87420000000000031</v>
      </c>
      <c r="Q116" s="103"/>
      <c r="R116" s="103"/>
      <c r="S116" s="103" t="str">
        <f t="shared" si="33"/>
        <v>Std_CFLscw-Dim(20w)_60pInc-r0248</v>
      </c>
      <c r="T116" s="111">
        <f t="shared" si="34"/>
        <v>4.4631168059429811</v>
      </c>
      <c r="U116" s="111">
        <f t="shared" si="35"/>
        <v>6.6789168059429818</v>
      </c>
      <c r="V116" s="111">
        <f t="shared" si="36"/>
        <v>4.9428768059429817</v>
      </c>
      <c r="W116" s="111">
        <f t="shared" si="37"/>
        <v>4.246876805942982</v>
      </c>
      <c r="X116" s="111">
        <f t="shared" si="38"/>
        <v>3.7953568059429821</v>
      </c>
      <c r="Y116" s="103"/>
      <c r="Z116" s="103"/>
      <c r="AA116" s="103" t="str">
        <f t="shared" si="39"/>
        <v>CFLratio0248</v>
      </c>
      <c r="AB116" s="103" t="str">
        <f t="shared" si="31"/>
        <v>CFLscw-Dim(20w)CFLratio0248</v>
      </c>
      <c r="AC116" s="103"/>
      <c r="AD116" s="108">
        <f t="shared" si="32"/>
        <v>4.8028752089144717</v>
      </c>
      <c r="AE116" s="108">
        <f t="shared" si="27"/>
        <v>4.4320752089144717</v>
      </c>
      <c r="AF116" s="108">
        <f t="shared" si="28"/>
        <v>4.3630152089144723</v>
      </c>
      <c r="AG116" s="108">
        <f t="shared" si="29"/>
        <v>5.059015208914472</v>
      </c>
      <c r="AH116" s="108">
        <f t="shared" si="30"/>
        <v>4.3817352089144723</v>
      </c>
    </row>
    <row r="117" spans="2:34">
      <c r="B117" s="179">
        <f>IFERROR(MATCH(C117,'CFL &amp; Incand Cost Development'!$A$8:$A$290,0),0)</f>
        <v>100</v>
      </c>
      <c r="C117" s="111" t="s">
        <v>366</v>
      </c>
      <c r="D117" s="111">
        <f>INDEX('CFL &amp; Incand Cost Development'!AM$8:AM$290,$B117)</f>
        <v>9.4654920148574533</v>
      </c>
      <c r="E117" s="111">
        <f>INDEX('CFL &amp; Incand Cost Development'!AN$8:AN$290,$B117)</f>
        <v>11.310492014857454</v>
      </c>
      <c r="F117" s="111">
        <f>INDEX('CFL &amp; Incand Cost Development'!AO$8:AO$290,$B117)</f>
        <v>9.5053920148574544</v>
      </c>
      <c r="G117" s="111">
        <f>INDEX('CFL &amp; Incand Cost Development'!AP$8:AP$290,$B117)</f>
        <v>9.5053920148574544</v>
      </c>
      <c r="H117" s="111">
        <f>INDEX('CFL &amp; Incand Cost Development'!AQ$8:AQ$290,$B117)</f>
        <v>8.3765920148574544</v>
      </c>
      <c r="I117" s="103"/>
      <c r="J117" s="183" t="str">
        <f>INDEX('CFL &amp; Incand Cost Development'!BS$8:BS$290,$B117)</f>
        <v>WRR0347_CFLscw-Dim(23w)</v>
      </c>
      <c r="K117" s="250">
        <f>INDEX('CFL &amp; Incand Cost Development'!BT$8:BT$290,$B117)</f>
        <v>80</v>
      </c>
      <c r="L117" s="250">
        <f>INDEX('CFL &amp; Incand Cost Development'!BU$8:BU$290,$B117)</f>
        <v>1.3184</v>
      </c>
      <c r="M117" s="250">
        <f>INDEX('CFL &amp; Incand Cost Development'!BV$8:BV$290,$B117)</f>
        <v>3.7814000000000001</v>
      </c>
      <c r="N117" s="250">
        <f>INDEX('CFL &amp; Incand Cost Development'!BW$8:BW$290,$B117)</f>
        <v>2.0914000000000001</v>
      </c>
      <c r="O117" s="250">
        <f>INDEX('CFL &amp; Incand Cost Development'!BX$8:BX$290,$B117)</f>
        <v>0.93140000000000023</v>
      </c>
      <c r="P117" s="250">
        <f>INDEX('CFL &amp; Incand Cost Development'!BY$8:BY$290,$B117)</f>
        <v>0.93140000000000023</v>
      </c>
      <c r="Q117" s="103"/>
      <c r="R117" s="103"/>
      <c r="S117" s="103" t="str">
        <f t="shared" si="33"/>
        <v>Std_CFLscw-Dim(23w)_60pInc-r0248</v>
      </c>
      <c r="T117" s="111">
        <f t="shared" si="34"/>
        <v>4.5772368059429818</v>
      </c>
      <c r="U117" s="111">
        <f t="shared" si="35"/>
        <v>6.7930368059429815</v>
      </c>
      <c r="V117" s="111">
        <f t="shared" si="36"/>
        <v>5.0569968059429815</v>
      </c>
      <c r="W117" s="111">
        <f t="shared" si="37"/>
        <v>4.3609968059429818</v>
      </c>
      <c r="X117" s="111">
        <f t="shared" si="38"/>
        <v>3.9094768059429819</v>
      </c>
      <c r="Y117" s="103"/>
      <c r="Z117" s="103"/>
      <c r="AA117" s="103" t="str">
        <f t="shared" si="39"/>
        <v>CFLratio0248</v>
      </c>
      <c r="AB117" s="103" t="str">
        <f t="shared" si="31"/>
        <v>CFLscw-Dim(23w)CFLratio0248</v>
      </c>
      <c r="AC117" s="103"/>
      <c r="AD117" s="108">
        <f t="shared" si="32"/>
        <v>4.8882552089144715</v>
      </c>
      <c r="AE117" s="108">
        <f t="shared" si="27"/>
        <v>4.5174552089144724</v>
      </c>
      <c r="AF117" s="108">
        <f t="shared" si="28"/>
        <v>4.4483952089144729</v>
      </c>
      <c r="AG117" s="108">
        <f t="shared" si="29"/>
        <v>5.1443952089144727</v>
      </c>
      <c r="AH117" s="108">
        <f t="shared" si="30"/>
        <v>4.467115208914473</v>
      </c>
    </row>
    <row r="118" spans="2:34">
      <c r="B118" s="179">
        <f>IFERROR(MATCH(C118,'CFL &amp; Incand Cost Development'!$A$8:$A$290,0),0)</f>
        <v>101</v>
      </c>
      <c r="C118" s="111" t="s">
        <v>368</v>
      </c>
      <c r="D118" s="111">
        <f>INDEX('CFL &amp; Incand Cost Development'!AM$8:AM$290,$B118)</f>
        <v>9.5984920148574524</v>
      </c>
      <c r="E118" s="111">
        <f>INDEX('CFL &amp; Incand Cost Development'!AN$8:AN$290,$B118)</f>
        <v>11.443492014857453</v>
      </c>
      <c r="F118" s="111">
        <f>INDEX('CFL &amp; Incand Cost Development'!AO$8:AO$290,$B118)</f>
        <v>9.6383920148574536</v>
      </c>
      <c r="G118" s="111">
        <f>INDEX('CFL &amp; Incand Cost Development'!AP$8:AP$290,$B118)</f>
        <v>9.6383920148574536</v>
      </c>
      <c r="H118" s="111">
        <f>INDEX('CFL &amp; Incand Cost Development'!AQ$8:AQ$290,$B118)</f>
        <v>8.5095920148574535</v>
      </c>
      <c r="I118" s="103"/>
      <c r="J118" s="183" t="str">
        <f>INDEX('CFL &amp; Incand Cost Development'!BS$8:BS$290,$B118)</f>
        <v>WRR0347_CFLscw-Dim(25w)</v>
      </c>
      <c r="K118" s="250">
        <f>INDEX('CFL &amp; Incand Cost Development'!BT$8:BT$290,$B118)</f>
        <v>87</v>
      </c>
      <c r="L118" s="250">
        <f>INDEX('CFL &amp; Incand Cost Development'!BU$8:BU$290,$B118)</f>
        <v>1.3212000000000002</v>
      </c>
      <c r="M118" s="250">
        <f>INDEX('CFL &amp; Incand Cost Development'!BV$8:BV$290,$B118)</f>
        <v>3.7842000000000002</v>
      </c>
      <c r="N118" s="250">
        <f>INDEX('CFL &amp; Incand Cost Development'!BW$8:BW$290,$B118)</f>
        <v>2.0942000000000003</v>
      </c>
      <c r="O118" s="250">
        <f>INDEX('CFL &amp; Incand Cost Development'!BX$8:BX$290,$B118)</f>
        <v>0.93420000000000036</v>
      </c>
      <c r="P118" s="250">
        <f>INDEX('CFL &amp; Incand Cost Development'!BY$8:BY$290,$B118)</f>
        <v>0.93420000000000036</v>
      </c>
      <c r="Q118" s="103"/>
      <c r="R118" s="103"/>
      <c r="S118" s="103" t="str">
        <f t="shared" si="33"/>
        <v>Std_CFLscw-Dim(25w)_60pInc-r0248</v>
      </c>
      <c r="T118" s="111">
        <f t="shared" si="34"/>
        <v>4.6321168059429816</v>
      </c>
      <c r="U118" s="111">
        <f t="shared" si="35"/>
        <v>6.8479168059429814</v>
      </c>
      <c r="V118" s="111">
        <f t="shared" si="36"/>
        <v>5.1118768059429822</v>
      </c>
      <c r="W118" s="111">
        <f t="shared" si="37"/>
        <v>4.4158768059429816</v>
      </c>
      <c r="X118" s="111">
        <f t="shared" si="38"/>
        <v>3.9643568059429821</v>
      </c>
      <c r="Y118" s="103"/>
      <c r="Z118" s="103"/>
      <c r="AA118" s="103" t="str">
        <f t="shared" si="39"/>
        <v>CFLratio0248</v>
      </c>
      <c r="AB118" s="103" t="str">
        <f t="shared" si="31"/>
        <v>CFLscw-Dim(25w)CFLratio0248</v>
      </c>
      <c r="AC118" s="103"/>
      <c r="AD118" s="108">
        <f t="shared" si="32"/>
        <v>4.9663752089144708</v>
      </c>
      <c r="AE118" s="108">
        <f t="shared" si="27"/>
        <v>4.5955752089144717</v>
      </c>
      <c r="AF118" s="108">
        <f t="shared" si="28"/>
        <v>4.5265152089144713</v>
      </c>
      <c r="AG118" s="108">
        <f t="shared" si="29"/>
        <v>5.222515208914472</v>
      </c>
      <c r="AH118" s="108">
        <f t="shared" si="30"/>
        <v>4.5452352089144714</v>
      </c>
    </row>
    <row r="119" spans="2:34">
      <c r="B119" s="179">
        <f>IFERROR(MATCH(C119,'CFL &amp; Incand Cost Development'!$A$8:$A$290,0),0)</f>
        <v>102</v>
      </c>
      <c r="C119" s="111" t="s">
        <v>370</v>
      </c>
      <c r="D119" s="111">
        <f>INDEX('CFL &amp; Incand Cost Development'!AM$8:AM$290,$B119)</f>
        <v>9.7584920148574525</v>
      </c>
      <c r="E119" s="111">
        <f>INDEX('CFL &amp; Incand Cost Development'!AN$8:AN$290,$B119)</f>
        <v>11.603492014857453</v>
      </c>
      <c r="F119" s="111">
        <f>INDEX('CFL &amp; Incand Cost Development'!AO$8:AO$290,$B119)</f>
        <v>9.7983920148574519</v>
      </c>
      <c r="G119" s="111">
        <f>INDEX('CFL &amp; Incand Cost Development'!AP$8:AP$290,$B119)</f>
        <v>9.7983920148574519</v>
      </c>
      <c r="H119" s="111">
        <f>INDEX('CFL &amp; Incand Cost Development'!AQ$8:AQ$290,$B119)</f>
        <v>8.6695920148574537</v>
      </c>
      <c r="I119" s="103"/>
      <c r="J119" s="183" t="str">
        <f>INDEX('CFL &amp; Incand Cost Development'!BS$8:BS$290,$B119)</f>
        <v>WRR0347_CFLscw-Dim(26w)</v>
      </c>
      <c r="K119" s="250">
        <f>INDEX('CFL &amp; Incand Cost Development'!BT$8:BT$290,$B119)</f>
        <v>90</v>
      </c>
      <c r="L119" s="250">
        <f>INDEX('CFL &amp; Incand Cost Development'!BU$8:BU$290,$B119)</f>
        <v>1.3224</v>
      </c>
      <c r="M119" s="250">
        <f>INDEX('CFL &amp; Incand Cost Development'!BV$8:BV$290,$B119)</f>
        <v>3.7854000000000001</v>
      </c>
      <c r="N119" s="250">
        <f>INDEX('CFL &amp; Incand Cost Development'!BW$8:BW$290,$B119)</f>
        <v>2.0954000000000002</v>
      </c>
      <c r="O119" s="250">
        <f>INDEX('CFL &amp; Incand Cost Development'!BX$8:BX$290,$B119)</f>
        <v>0.93540000000000023</v>
      </c>
      <c r="P119" s="250">
        <f>INDEX('CFL &amp; Incand Cost Development'!BY$8:BY$290,$B119)</f>
        <v>0.93540000000000023</v>
      </c>
      <c r="Q119" s="103"/>
      <c r="R119" s="103"/>
      <c r="S119" s="103" t="str">
        <f t="shared" si="33"/>
        <v>Std_CFLscw-Dim(26w)_60pInc-r0248</v>
      </c>
      <c r="T119" s="111">
        <f t="shared" si="34"/>
        <v>4.696836805942981</v>
      </c>
      <c r="U119" s="111">
        <f t="shared" si="35"/>
        <v>6.9126368059429808</v>
      </c>
      <c r="V119" s="111">
        <f t="shared" si="36"/>
        <v>5.1765968059429808</v>
      </c>
      <c r="W119" s="111">
        <f t="shared" si="37"/>
        <v>4.480596805942981</v>
      </c>
      <c r="X119" s="111">
        <f t="shared" si="38"/>
        <v>4.0290768059429816</v>
      </c>
      <c r="Y119" s="103"/>
      <c r="Z119" s="103"/>
      <c r="AA119" s="103" t="str">
        <f t="shared" si="39"/>
        <v>CFLratio0248</v>
      </c>
      <c r="AB119" s="103" t="str">
        <f t="shared" si="31"/>
        <v>CFLscw-Dim(26w)CFLratio0248</v>
      </c>
      <c r="AC119" s="103"/>
      <c r="AD119" s="108">
        <f t="shared" si="32"/>
        <v>5.0616552089144715</v>
      </c>
      <c r="AE119" s="108">
        <f t="shared" si="27"/>
        <v>4.6908552089144724</v>
      </c>
      <c r="AF119" s="108">
        <f t="shared" si="28"/>
        <v>4.6217952089144712</v>
      </c>
      <c r="AG119" s="108">
        <f t="shared" si="29"/>
        <v>5.3177952089144709</v>
      </c>
      <c r="AH119" s="108">
        <f t="shared" si="30"/>
        <v>4.6405152089144721</v>
      </c>
    </row>
    <row r="120" spans="2:34">
      <c r="B120" s="179">
        <f>IFERROR(MATCH(C120,'CFL &amp; Incand Cost Development'!$A$8:$A$290,0),0)</f>
        <v>103</v>
      </c>
      <c r="C120" s="111" t="s">
        <v>372</v>
      </c>
      <c r="D120" s="111">
        <f>INDEX('CFL &amp; Incand Cost Development'!AM$8:AM$290,$B120)</f>
        <v>10.078492014857453</v>
      </c>
      <c r="E120" s="111">
        <f>INDEX('CFL &amp; Incand Cost Development'!AN$8:AN$290,$B120)</f>
        <v>11.923492014857453</v>
      </c>
      <c r="F120" s="111">
        <f>INDEX('CFL &amp; Incand Cost Development'!AO$8:AO$290,$B120)</f>
        <v>10.118392014857454</v>
      </c>
      <c r="G120" s="111">
        <f>INDEX('CFL &amp; Incand Cost Development'!AP$8:AP$290,$B120)</f>
        <v>10.118392014857454</v>
      </c>
      <c r="H120" s="111">
        <f>INDEX('CFL &amp; Incand Cost Development'!AQ$8:AQ$290,$B120)</f>
        <v>8.989592014857454</v>
      </c>
      <c r="I120" s="103"/>
      <c r="J120" s="183" t="str">
        <f>INDEX('CFL &amp; Incand Cost Development'!BS$8:BS$290,$B120)</f>
        <v>WRR0347_CFLscw-Dim(28w)</v>
      </c>
      <c r="K120" s="250">
        <f>INDEX('CFL &amp; Incand Cost Development'!BT$8:BT$290,$B120)</f>
        <v>97</v>
      </c>
      <c r="L120" s="250">
        <f>INDEX('CFL &amp; Incand Cost Development'!BU$8:BU$290,$B120)</f>
        <v>1.3252000000000002</v>
      </c>
      <c r="M120" s="250">
        <f>INDEX('CFL &amp; Incand Cost Development'!BV$8:BV$290,$B120)</f>
        <v>3.7882000000000002</v>
      </c>
      <c r="N120" s="250">
        <f>INDEX('CFL &amp; Incand Cost Development'!BW$8:BW$290,$B120)</f>
        <v>2.0982000000000003</v>
      </c>
      <c r="O120" s="250">
        <f>INDEX('CFL &amp; Incand Cost Development'!BX$8:BX$290,$B120)</f>
        <v>0.93820000000000037</v>
      </c>
      <c r="P120" s="250">
        <f>INDEX('CFL &amp; Incand Cost Development'!BY$8:BY$290,$B120)</f>
        <v>0.93820000000000037</v>
      </c>
      <c r="Q120" s="103"/>
      <c r="R120" s="103"/>
      <c r="S120" s="103" t="str">
        <f t="shared" si="33"/>
        <v>Std_CFLscw-Dim(28w)_60pInc-r0248</v>
      </c>
      <c r="T120" s="111">
        <f t="shared" si="34"/>
        <v>4.8265168059429815</v>
      </c>
      <c r="U120" s="111">
        <f t="shared" si="35"/>
        <v>7.0423168059429813</v>
      </c>
      <c r="V120" s="111">
        <f t="shared" si="36"/>
        <v>5.3062768059429812</v>
      </c>
      <c r="W120" s="111">
        <f t="shared" si="37"/>
        <v>4.6102768059429815</v>
      </c>
      <c r="X120" s="111">
        <f t="shared" si="38"/>
        <v>4.158756805942982</v>
      </c>
      <c r="Y120" s="103"/>
      <c r="Z120" s="103"/>
      <c r="AA120" s="103" t="str">
        <f t="shared" si="39"/>
        <v>CFLratio0248</v>
      </c>
      <c r="AB120" s="103" t="str">
        <f t="shared" si="31"/>
        <v>CFLscw-Dim(28w)CFLratio0248</v>
      </c>
      <c r="AC120" s="103"/>
      <c r="AD120" s="108">
        <f t="shared" si="32"/>
        <v>5.2519752089144713</v>
      </c>
      <c r="AE120" s="108">
        <f t="shared" si="27"/>
        <v>4.8811752089144722</v>
      </c>
      <c r="AF120" s="108">
        <f t="shared" si="28"/>
        <v>4.8121152089144728</v>
      </c>
      <c r="AG120" s="108">
        <f t="shared" si="29"/>
        <v>5.5081152089144725</v>
      </c>
      <c r="AH120" s="108">
        <f t="shared" si="30"/>
        <v>4.8308352089144719</v>
      </c>
    </row>
    <row r="121" spans="2:34">
      <c r="B121" s="179">
        <f>IFERROR(MATCH(C121,'CFL &amp; Incand Cost Development'!$A$8:$A$290,0),0)</f>
        <v>104</v>
      </c>
      <c r="C121" s="111" t="s">
        <v>374</v>
      </c>
      <c r="D121" s="111">
        <f>INDEX('CFL &amp; Incand Cost Development'!AM$8:AM$290,$B121)</f>
        <v>10.398492014857455</v>
      </c>
      <c r="E121" s="111">
        <f>INDEX('CFL &amp; Incand Cost Development'!AN$8:AN$290,$B121)</f>
        <v>12.243492014857454</v>
      </c>
      <c r="F121" s="111">
        <f>INDEX('CFL &amp; Incand Cost Development'!AO$8:AO$290,$B121)</f>
        <v>10.438392014857454</v>
      </c>
      <c r="G121" s="111">
        <f>INDEX('CFL &amp; Incand Cost Development'!AP$8:AP$290,$B121)</f>
        <v>10.438392014857454</v>
      </c>
      <c r="H121" s="111">
        <f>INDEX('CFL &amp; Incand Cost Development'!AQ$8:AQ$290,$B121)</f>
        <v>9.3095920148574542</v>
      </c>
      <c r="I121" s="103"/>
      <c r="J121" s="183" t="str">
        <f>INDEX('CFL &amp; Incand Cost Development'!BS$8:BS$290,$B121)</f>
        <v>WRR0347_CFLscw-Dim(30w)</v>
      </c>
      <c r="K121" s="250">
        <f>INDEX('CFL &amp; Incand Cost Development'!BT$8:BT$290,$B121)</f>
        <v>104</v>
      </c>
      <c r="L121" s="250">
        <f>INDEX('CFL &amp; Incand Cost Development'!BU$8:BU$290,$B121)</f>
        <v>1.3279999999999998</v>
      </c>
      <c r="M121" s="250">
        <f>INDEX('CFL &amp; Incand Cost Development'!BV$8:BV$290,$B121)</f>
        <v>3.7909999999999999</v>
      </c>
      <c r="N121" s="250">
        <f>INDEX('CFL &amp; Incand Cost Development'!BW$8:BW$290,$B121)</f>
        <v>2.101</v>
      </c>
      <c r="O121" s="250">
        <f>INDEX('CFL &amp; Incand Cost Development'!BX$8:BX$290,$B121)</f>
        <v>0.94100000000000006</v>
      </c>
      <c r="P121" s="250">
        <f>INDEX('CFL &amp; Incand Cost Development'!BY$8:BY$290,$B121)</f>
        <v>0.94100000000000006</v>
      </c>
      <c r="Q121" s="103"/>
      <c r="R121" s="103"/>
      <c r="S121" s="103" t="str">
        <f t="shared" si="33"/>
        <v>Std_CFLscw-Dim(30w)_60pInc-r0248</v>
      </c>
      <c r="T121" s="111">
        <f t="shared" si="34"/>
        <v>4.956196805942982</v>
      </c>
      <c r="U121" s="111">
        <f t="shared" si="35"/>
        <v>7.1719968059429817</v>
      </c>
      <c r="V121" s="111">
        <f t="shared" si="36"/>
        <v>5.4359568059429817</v>
      </c>
      <c r="W121" s="111">
        <f t="shared" si="37"/>
        <v>4.7399568059429811</v>
      </c>
      <c r="X121" s="111">
        <f t="shared" si="38"/>
        <v>4.2884368059429825</v>
      </c>
      <c r="Y121" s="103"/>
      <c r="Z121" s="103"/>
      <c r="AA121" s="103" t="str">
        <f t="shared" si="39"/>
        <v>CFLratio0248</v>
      </c>
      <c r="AB121" s="103" t="str">
        <f t="shared" si="31"/>
        <v>CFLscw-Dim(30w)CFLratio0248</v>
      </c>
      <c r="AC121" s="103"/>
      <c r="AD121" s="108">
        <f t="shared" si="32"/>
        <v>5.4422952089144729</v>
      </c>
      <c r="AE121" s="108">
        <f t="shared" si="27"/>
        <v>5.071495208914472</v>
      </c>
      <c r="AF121" s="108">
        <f t="shared" si="28"/>
        <v>5.0024352089144726</v>
      </c>
      <c r="AG121" s="108">
        <f t="shared" si="29"/>
        <v>5.6984352089144732</v>
      </c>
      <c r="AH121" s="108">
        <f t="shared" si="30"/>
        <v>5.0211552089144718</v>
      </c>
    </row>
    <row r="122" spans="2:34">
      <c r="B122" s="179">
        <f>IFERROR(MATCH(C122,'CFL &amp; Incand Cost Development'!$A$8:$A$290,0),0)</f>
        <v>105</v>
      </c>
      <c r="C122" s="111" t="s">
        <v>376</v>
      </c>
      <c r="D122" s="111">
        <f>INDEX('CFL &amp; Incand Cost Development'!AM$8:AM$290,$B122)</f>
        <v>10.878492014857454</v>
      </c>
      <c r="E122" s="111">
        <f>INDEX('CFL &amp; Incand Cost Development'!AN$8:AN$290,$B122)</f>
        <v>12.723492014857452</v>
      </c>
      <c r="F122" s="111">
        <f>INDEX('CFL &amp; Incand Cost Development'!AO$8:AO$290,$B122)</f>
        <v>10.918392014857453</v>
      </c>
      <c r="G122" s="111">
        <f>INDEX('CFL &amp; Incand Cost Development'!AP$8:AP$290,$B122)</f>
        <v>10.918392014857453</v>
      </c>
      <c r="H122" s="111">
        <f>INDEX('CFL &amp; Incand Cost Development'!AQ$8:AQ$290,$B122)</f>
        <v>9.7895920148574529</v>
      </c>
      <c r="I122" s="103"/>
      <c r="J122" s="183" t="str">
        <f>INDEX('CFL &amp; Incand Cost Development'!BS$8:BS$290,$B122)</f>
        <v>WRR0347_CFLscw-Dim(33w)</v>
      </c>
      <c r="K122" s="250">
        <f>INDEX('CFL &amp; Incand Cost Development'!BT$8:BT$290,$B122)</f>
        <v>115</v>
      </c>
      <c r="L122" s="250">
        <f>INDEX('CFL &amp; Incand Cost Development'!BU$8:BU$290,$B122)</f>
        <v>1.3324000000000003</v>
      </c>
      <c r="M122" s="250">
        <f>INDEX('CFL &amp; Incand Cost Development'!BV$8:BV$290,$B122)</f>
        <v>3.7954000000000003</v>
      </c>
      <c r="N122" s="250">
        <f>INDEX('CFL &amp; Incand Cost Development'!BW$8:BW$290,$B122)</f>
        <v>2.1054000000000004</v>
      </c>
      <c r="O122" s="250">
        <f>INDEX('CFL &amp; Incand Cost Development'!BX$8:BX$290,$B122)</f>
        <v>0.94540000000000046</v>
      </c>
      <c r="P122" s="250">
        <f>INDEX('CFL &amp; Incand Cost Development'!BY$8:BY$290,$B122)</f>
        <v>0.94540000000000046</v>
      </c>
      <c r="Q122" s="103"/>
      <c r="R122" s="103"/>
      <c r="S122" s="103" t="str">
        <f t="shared" si="33"/>
        <v>Std_CFLscw-Dim(33w)_60pInc-r0248</v>
      </c>
      <c r="T122" s="111">
        <f t="shared" si="34"/>
        <v>5.1508368059429817</v>
      </c>
      <c r="U122" s="111">
        <f t="shared" si="35"/>
        <v>7.3666368059429814</v>
      </c>
      <c r="V122" s="111">
        <f t="shared" si="36"/>
        <v>5.6305968059429823</v>
      </c>
      <c r="W122" s="111">
        <f t="shared" si="37"/>
        <v>4.9345968059429817</v>
      </c>
      <c r="X122" s="111">
        <f t="shared" si="38"/>
        <v>4.4830768059429813</v>
      </c>
      <c r="Y122" s="103"/>
      <c r="Z122" s="103"/>
      <c r="AA122" s="103" t="str">
        <f t="shared" si="39"/>
        <v>CFLratio0248</v>
      </c>
      <c r="AB122" s="103" t="str">
        <f t="shared" si="31"/>
        <v>CFLscw-Dim(33w)CFLratio0248</v>
      </c>
      <c r="AC122" s="103"/>
      <c r="AD122" s="108">
        <f t="shared" si="32"/>
        <v>5.7276552089144719</v>
      </c>
      <c r="AE122" s="108">
        <f t="shared" si="27"/>
        <v>5.356855208914471</v>
      </c>
      <c r="AF122" s="108">
        <f t="shared" si="28"/>
        <v>5.2877952089144706</v>
      </c>
      <c r="AG122" s="108">
        <f t="shared" si="29"/>
        <v>5.9837952089144713</v>
      </c>
      <c r="AH122" s="108">
        <f t="shared" si="30"/>
        <v>5.3065152089144716</v>
      </c>
    </row>
    <row r="123" spans="2:34">
      <c r="B123" s="179">
        <f>IFERROR(MATCH(C123,'CFL &amp; Incand Cost Development'!$A$8:$A$290,0),0)</f>
        <v>106</v>
      </c>
      <c r="C123" s="111" t="s">
        <v>378</v>
      </c>
      <c r="D123" s="111">
        <f>INDEX('CFL &amp; Incand Cost Development'!AM$8:AM$290,$B123)</f>
        <v>11.198492014857454</v>
      </c>
      <c r="E123" s="111">
        <f>INDEX('CFL &amp; Incand Cost Development'!AN$8:AN$290,$B123)</f>
        <v>13.043492014857454</v>
      </c>
      <c r="F123" s="111">
        <f>INDEX('CFL &amp; Incand Cost Development'!AO$8:AO$290,$B123)</f>
        <v>11.238392014857453</v>
      </c>
      <c r="G123" s="111">
        <f>INDEX('CFL &amp; Incand Cost Development'!AP$8:AP$290,$B123)</f>
        <v>11.238392014857453</v>
      </c>
      <c r="H123" s="111">
        <f>INDEX('CFL &amp; Incand Cost Development'!AQ$8:AQ$290,$B123)</f>
        <v>10.109592014857455</v>
      </c>
      <c r="I123" s="103"/>
      <c r="J123" s="183" t="str">
        <f>INDEX('CFL &amp; Incand Cost Development'!BS$8:BS$290,$B123)</f>
        <v>WRR0347_CFLscw-Dim(35w)</v>
      </c>
      <c r="K123" s="250">
        <f>INDEX('CFL &amp; Incand Cost Development'!BT$8:BT$290,$B123)</f>
        <v>121</v>
      </c>
      <c r="L123" s="250">
        <f>INDEX('CFL &amp; Incand Cost Development'!BU$8:BU$290,$B123)</f>
        <v>1.3348000000000004</v>
      </c>
      <c r="M123" s="250">
        <f>INDEX('CFL &amp; Incand Cost Development'!BV$8:BV$290,$B123)</f>
        <v>3.7978000000000005</v>
      </c>
      <c r="N123" s="250">
        <f>INDEX('CFL &amp; Incand Cost Development'!BW$8:BW$290,$B123)</f>
        <v>2.1078000000000006</v>
      </c>
      <c r="O123" s="250">
        <f>INDEX('CFL &amp; Incand Cost Development'!BX$8:BX$290,$B123)</f>
        <v>0.94780000000000064</v>
      </c>
      <c r="P123" s="250">
        <f>INDEX('CFL &amp; Incand Cost Development'!BY$8:BY$290,$B123)</f>
        <v>0.94780000000000064</v>
      </c>
      <c r="Q123" s="103"/>
      <c r="R123" s="103"/>
      <c r="S123" s="103" t="str">
        <f t="shared" si="33"/>
        <v>Std_CFLscw-Dim(35w)_60pInc-r0248</v>
      </c>
      <c r="T123" s="111">
        <f t="shared" si="34"/>
        <v>5.2802768059429823</v>
      </c>
      <c r="U123" s="111">
        <f t="shared" si="35"/>
        <v>7.4960768059429821</v>
      </c>
      <c r="V123" s="111">
        <f t="shared" si="36"/>
        <v>5.7600368059429821</v>
      </c>
      <c r="W123" s="111">
        <f t="shared" si="37"/>
        <v>5.0640368059429823</v>
      </c>
      <c r="X123" s="111">
        <f t="shared" si="38"/>
        <v>4.6125168059429829</v>
      </c>
      <c r="Y123" s="103"/>
      <c r="Z123" s="103"/>
      <c r="AA123" s="103" t="str">
        <f t="shared" si="39"/>
        <v>CFLratio0248</v>
      </c>
      <c r="AB123" s="103" t="str">
        <f t="shared" si="31"/>
        <v>CFLscw-Dim(35w)CFLratio0248</v>
      </c>
      <c r="AC123" s="103"/>
      <c r="AD123" s="108">
        <f t="shared" si="32"/>
        <v>5.9182152089144715</v>
      </c>
      <c r="AE123" s="108">
        <f t="shared" si="27"/>
        <v>5.5474152089144724</v>
      </c>
      <c r="AF123" s="108">
        <f t="shared" si="28"/>
        <v>5.4783552089144711</v>
      </c>
      <c r="AG123" s="108">
        <f t="shared" si="29"/>
        <v>6.1743552089144709</v>
      </c>
      <c r="AH123" s="108">
        <f t="shared" si="30"/>
        <v>5.4970752089144721</v>
      </c>
    </row>
    <row r="124" spans="2:34">
      <c r="B124" s="179">
        <f>IFERROR(MATCH(C124,'CFL &amp; Incand Cost Development'!$A$8:$A$290,0),0)</f>
        <v>107</v>
      </c>
      <c r="C124" s="111" t="s">
        <v>380</v>
      </c>
      <c r="D124" s="111">
        <f>INDEX('CFL &amp; Incand Cost Development'!AM$8:AM$290,$B124)</f>
        <v>11.678492014857454</v>
      </c>
      <c r="E124" s="111">
        <f>INDEX('CFL &amp; Incand Cost Development'!AN$8:AN$290,$B124)</f>
        <v>13.523492014857455</v>
      </c>
      <c r="F124" s="111">
        <f>INDEX('CFL &amp; Incand Cost Development'!AO$8:AO$290,$B124)</f>
        <v>11.718392014857454</v>
      </c>
      <c r="G124" s="111">
        <f>INDEX('CFL &amp; Incand Cost Development'!AP$8:AP$290,$B124)</f>
        <v>11.718392014857454</v>
      </c>
      <c r="H124" s="111">
        <f>INDEX('CFL &amp; Incand Cost Development'!AQ$8:AQ$290,$B124)</f>
        <v>10.589592014857455</v>
      </c>
      <c r="I124" s="103"/>
      <c r="J124" s="183" t="str">
        <f>INDEX('CFL &amp; Incand Cost Development'!BS$8:BS$290,$B124)</f>
        <v>WRR0347_CFLscw-Dim(38w)</v>
      </c>
      <c r="K124" s="250">
        <f>INDEX('CFL &amp; Incand Cost Development'!BT$8:BT$290,$B124)</f>
        <v>132</v>
      </c>
      <c r="L124" s="250">
        <f>INDEX('CFL &amp; Incand Cost Development'!BU$8:BU$290,$B124)</f>
        <v>1.3391999999999999</v>
      </c>
      <c r="M124" s="250">
        <f>INDEX('CFL &amp; Incand Cost Development'!BV$8:BV$290,$B124)</f>
        <v>3.8022</v>
      </c>
      <c r="N124" s="250">
        <f>INDEX('CFL &amp; Incand Cost Development'!BW$8:BW$290,$B124)</f>
        <v>2.1122000000000001</v>
      </c>
      <c r="O124" s="250">
        <f>INDEX('CFL &amp; Incand Cost Development'!BX$8:BX$290,$B124)</f>
        <v>0.95220000000000016</v>
      </c>
      <c r="P124" s="250">
        <f>INDEX('CFL &amp; Incand Cost Development'!BY$8:BY$290,$B124)</f>
        <v>0.95220000000000016</v>
      </c>
      <c r="Q124" s="103"/>
      <c r="R124" s="103"/>
      <c r="S124" s="103" t="str">
        <f t="shared" si="33"/>
        <v>Std_CFLscw-Dim(38w)_60pInc-r0248</v>
      </c>
      <c r="T124" s="111">
        <f t="shared" si="34"/>
        <v>5.474916805942982</v>
      </c>
      <c r="U124" s="111">
        <f t="shared" si="35"/>
        <v>7.6907168059429827</v>
      </c>
      <c r="V124" s="111">
        <f t="shared" si="36"/>
        <v>5.9546768059429818</v>
      </c>
      <c r="W124" s="111">
        <f t="shared" si="37"/>
        <v>5.258676805942982</v>
      </c>
      <c r="X124" s="111">
        <f t="shared" si="38"/>
        <v>4.8071568059429826</v>
      </c>
      <c r="Y124" s="103"/>
      <c r="Z124" s="103"/>
      <c r="AA124" s="103" t="str">
        <f t="shared" si="39"/>
        <v>CFLratio0248</v>
      </c>
      <c r="AB124" s="103" t="str">
        <f t="shared" si="31"/>
        <v>CFLscw-Dim(38w)CFLratio0248</v>
      </c>
      <c r="AC124" s="103"/>
      <c r="AD124" s="108">
        <f t="shared" si="32"/>
        <v>6.2035752089144722</v>
      </c>
      <c r="AE124" s="108">
        <f t="shared" si="27"/>
        <v>5.8327752089144722</v>
      </c>
      <c r="AF124" s="108">
        <f t="shared" si="28"/>
        <v>5.7637152089144719</v>
      </c>
      <c r="AG124" s="108">
        <f t="shared" si="29"/>
        <v>6.4597152089144716</v>
      </c>
      <c r="AH124" s="108">
        <f t="shared" si="30"/>
        <v>5.7824352089144728</v>
      </c>
    </row>
    <row r="125" spans="2:34">
      <c r="B125" s="179">
        <f>IFERROR(MATCH(C125,'CFL &amp; Incand Cost Development'!$A$8:$A$290,0),0)</f>
        <v>108</v>
      </c>
      <c r="C125" s="111" t="s">
        <v>382</v>
      </c>
      <c r="D125" s="111">
        <f>INDEX('CFL &amp; Incand Cost Development'!AM$8:AM$290,$B125)</f>
        <v>11.998492014857455</v>
      </c>
      <c r="E125" s="111">
        <f>INDEX('CFL &amp; Incand Cost Development'!AN$8:AN$290,$B125)</f>
        <v>13.843492014857453</v>
      </c>
      <c r="F125" s="111">
        <f>INDEX('CFL &amp; Incand Cost Development'!AO$8:AO$290,$B125)</f>
        <v>12.038392014857454</v>
      </c>
      <c r="G125" s="111">
        <f>INDEX('CFL &amp; Incand Cost Development'!AP$8:AP$290,$B125)</f>
        <v>12.038392014857454</v>
      </c>
      <c r="H125" s="111">
        <f>INDEX('CFL &amp; Incand Cost Development'!AQ$8:AQ$290,$B125)</f>
        <v>10.909592014857454</v>
      </c>
      <c r="I125" s="103"/>
      <c r="J125" s="183" t="str">
        <f>INDEX('CFL &amp; Incand Cost Development'!BS$8:BS$290,$B125)</f>
        <v>WRR0347_CFLscw-Dim(40w)</v>
      </c>
      <c r="K125" s="250">
        <f>INDEX('CFL &amp; Incand Cost Development'!BT$8:BT$290,$B125)</f>
        <v>139</v>
      </c>
      <c r="L125" s="250">
        <f>INDEX('CFL &amp; Incand Cost Development'!BU$8:BU$290,$B125)</f>
        <v>1.3419999999999996</v>
      </c>
      <c r="M125" s="250">
        <f>INDEX('CFL &amp; Incand Cost Development'!BV$8:BV$290,$B125)</f>
        <v>3.8049999999999997</v>
      </c>
      <c r="N125" s="250">
        <f>INDEX('CFL &amp; Incand Cost Development'!BW$8:BW$290,$B125)</f>
        <v>2.1149999999999998</v>
      </c>
      <c r="O125" s="250">
        <f>INDEX('CFL &amp; Incand Cost Development'!BX$8:BX$290,$B125)</f>
        <v>0.95499999999999985</v>
      </c>
      <c r="P125" s="250">
        <f>INDEX('CFL &amp; Incand Cost Development'!BY$8:BY$290,$B125)</f>
        <v>0.95499999999999985</v>
      </c>
      <c r="Q125" s="103"/>
      <c r="R125" s="103"/>
      <c r="S125" s="103" t="str">
        <f t="shared" si="33"/>
        <v>Std_CFLscw-Dim(40w)_60pInc-r0248</v>
      </c>
      <c r="T125" s="111">
        <f t="shared" si="34"/>
        <v>5.6045968059429825</v>
      </c>
      <c r="U125" s="111">
        <f t="shared" si="35"/>
        <v>7.8203968059429823</v>
      </c>
      <c r="V125" s="111">
        <f t="shared" si="36"/>
        <v>6.0843568059429822</v>
      </c>
      <c r="W125" s="111">
        <f t="shared" si="37"/>
        <v>5.3883568059429816</v>
      </c>
      <c r="X125" s="111">
        <f t="shared" si="38"/>
        <v>4.9368368059429812</v>
      </c>
      <c r="Y125" s="103"/>
      <c r="Z125" s="103"/>
      <c r="AA125" s="103" t="str">
        <f t="shared" si="39"/>
        <v>CFLratio0248</v>
      </c>
      <c r="AB125" s="103" t="str">
        <f t="shared" si="31"/>
        <v>CFLscw-Dim(40w)CFLratio0248</v>
      </c>
      <c r="AC125" s="103"/>
      <c r="AD125" s="108">
        <f t="shared" si="32"/>
        <v>6.3938952089144721</v>
      </c>
      <c r="AE125" s="108">
        <f t="shared" si="27"/>
        <v>6.0230952089144711</v>
      </c>
      <c r="AF125" s="108">
        <f t="shared" si="28"/>
        <v>5.9540352089144717</v>
      </c>
      <c r="AG125" s="108">
        <f t="shared" si="29"/>
        <v>6.6500352089144723</v>
      </c>
      <c r="AH125" s="108">
        <f t="shared" si="30"/>
        <v>5.9727552089144726</v>
      </c>
    </row>
    <row r="126" spans="2:34">
      <c r="B126" s="179">
        <f>IFERROR(MATCH(C126,'CFL &amp; Incand Cost Development'!$A$8:$A$290,0),0)</f>
        <v>109</v>
      </c>
      <c r="C126" s="111" t="s">
        <v>384</v>
      </c>
      <c r="D126" s="111">
        <f>INDEX('CFL &amp; Incand Cost Development'!AM$8:AM$290,$B126)</f>
        <v>12.798492014857453</v>
      </c>
      <c r="E126" s="111">
        <f>INDEX('CFL &amp; Incand Cost Development'!AN$8:AN$290,$B126)</f>
        <v>14.643492014857454</v>
      </c>
      <c r="F126" s="111">
        <f>INDEX('CFL &amp; Incand Cost Development'!AO$8:AO$290,$B126)</f>
        <v>12.838392014857453</v>
      </c>
      <c r="G126" s="111">
        <f>INDEX('CFL &amp; Incand Cost Development'!AP$8:AP$290,$B126)</f>
        <v>12.838392014857453</v>
      </c>
      <c r="H126" s="111">
        <f>INDEX('CFL &amp; Incand Cost Development'!AQ$8:AQ$290,$B126)</f>
        <v>11.709592014857453</v>
      </c>
      <c r="I126" s="103"/>
      <c r="J126" s="183" t="str">
        <f>INDEX('CFL &amp; Incand Cost Development'!BS$8:BS$290,$B126)</f>
        <v>WRR0347_CFLscw-Dim(45w)</v>
      </c>
      <c r="K126" s="250">
        <f>INDEX('CFL &amp; Incand Cost Development'!BT$8:BT$290,$B126)</f>
        <v>156</v>
      </c>
      <c r="L126" s="250" t="str">
        <f>INDEX('CFL &amp; Incand Cost Development'!BU$8:BU$290,$B126)</f>
        <v>OOS</v>
      </c>
      <c r="M126" s="250" t="str">
        <f>INDEX('CFL &amp; Incand Cost Development'!BV$8:BV$290,$B126)</f>
        <v>OOS</v>
      </c>
      <c r="N126" s="250" t="str">
        <f>INDEX('CFL &amp; Incand Cost Development'!BW$8:BW$290,$B126)</f>
        <v>OOS</v>
      </c>
      <c r="O126" s="250" t="str">
        <f>INDEX('CFL &amp; Incand Cost Development'!BX$8:BX$290,$B126)</f>
        <v>OOS</v>
      </c>
      <c r="P126" s="250" t="str">
        <f>INDEX('CFL &amp; Incand Cost Development'!BY$8:BY$290,$B126)</f>
        <v>OOS</v>
      </c>
      <c r="Q126" s="103"/>
      <c r="R126" s="103"/>
      <c r="S126" s="103" t="str">
        <f t="shared" si="33"/>
        <v/>
      </c>
      <c r="T126" s="111" t="str">
        <f t="shared" si="34"/>
        <v/>
      </c>
      <c r="U126" s="111" t="str">
        <f t="shared" si="35"/>
        <v/>
      </c>
      <c r="V126" s="111" t="str">
        <f t="shared" si="36"/>
        <v/>
      </c>
      <c r="W126" s="111" t="str">
        <f t="shared" si="37"/>
        <v/>
      </c>
      <c r="X126" s="111" t="str">
        <f t="shared" si="38"/>
        <v/>
      </c>
      <c r="Y126" s="103"/>
      <c r="Z126" s="103"/>
      <c r="AA126" s="103" t="str">
        <f t="shared" si="39"/>
        <v>CFLratio0248</v>
      </c>
      <c r="AB126" s="103" t="str">
        <f t="shared" si="31"/>
        <v>CFLscw-Dim(45w)CFLratio0248</v>
      </c>
      <c r="AC126" s="103"/>
      <c r="AD126" s="108" t="str">
        <f t="shared" si="32"/>
        <v/>
      </c>
      <c r="AE126" s="108" t="str">
        <f t="shared" si="27"/>
        <v/>
      </c>
      <c r="AF126" s="108" t="str">
        <f t="shared" si="28"/>
        <v/>
      </c>
      <c r="AG126" s="108" t="str">
        <f t="shared" si="29"/>
        <v/>
      </c>
      <c r="AH126" s="108" t="str">
        <f t="shared" si="30"/>
        <v/>
      </c>
    </row>
    <row r="127" spans="2:34">
      <c r="B127" s="179">
        <f>IFERROR(MATCH(C127,'CFL &amp; Incand Cost Development'!$A$8:$A$290,0),0)</f>
        <v>110</v>
      </c>
      <c r="C127" s="111" t="s">
        <v>386</v>
      </c>
      <c r="D127" s="111">
        <f>INDEX('CFL &amp; Incand Cost Development'!AM$8:AM$290,$B127)</f>
        <v>13.118492014857454</v>
      </c>
      <c r="E127" s="111">
        <f>INDEX('CFL &amp; Incand Cost Development'!AN$8:AN$290,$B127)</f>
        <v>14.963492014857454</v>
      </c>
      <c r="F127" s="111">
        <f>INDEX('CFL &amp; Incand Cost Development'!AO$8:AO$290,$B127)</f>
        <v>13.158392014857455</v>
      </c>
      <c r="G127" s="111">
        <f>INDEX('CFL &amp; Incand Cost Development'!AP$8:AP$290,$B127)</f>
        <v>13.158392014857455</v>
      </c>
      <c r="H127" s="111">
        <f>INDEX('CFL &amp; Incand Cost Development'!AQ$8:AQ$290,$B127)</f>
        <v>12.029592014857453</v>
      </c>
      <c r="I127" s="103"/>
      <c r="J127" s="183" t="str">
        <f>INDEX('CFL &amp; Incand Cost Development'!BS$8:BS$290,$B127)</f>
        <v>WRR0347_CFLscw-Dim(47w)</v>
      </c>
      <c r="K127" s="250">
        <f>INDEX('CFL &amp; Incand Cost Development'!BT$8:BT$290,$B127)</f>
        <v>163</v>
      </c>
      <c r="L127" s="250" t="str">
        <f>INDEX('CFL &amp; Incand Cost Development'!BU$8:BU$290,$B127)</f>
        <v>OOS</v>
      </c>
      <c r="M127" s="250" t="str">
        <f>INDEX('CFL &amp; Incand Cost Development'!BV$8:BV$290,$B127)</f>
        <v>OOS</v>
      </c>
      <c r="N127" s="250" t="str">
        <f>INDEX('CFL &amp; Incand Cost Development'!BW$8:BW$290,$B127)</f>
        <v>OOS</v>
      </c>
      <c r="O127" s="250" t="str">
        <f>INDEX('CFL &amp; Incand Cost Development'!BX$8:BX$290,$B127)</f>
        <v>OOS</v>
      </c>
      <c r="P127" s="250" t="str">
        <f>INDEX('CFL &amp; Incand Cost Development'!BY$8:BY$290,$B127)</f>
        <v>OOS</v>
      </c>
      <c r="Q127" s="103"/>
      <c r="R127" s="103"/>
      <c r="S127" s="103" t="str">
        <f t="shared" si="33"/>
        <v/>
      </c>
      <c r="T127" s="111" t="str">
        <f t="shared" si="34"/>
        <v/>
      </c>
      <c r="U127" s="111" t="str">
        <f t="shared" si="35"/>
        <v/>
      </c>
      <c r="V127" s="111" t="str">
        <f t="shared" si="36"/>
        <v/>
      </c>
      <c r="W127" s="111" t="str">
        <f t="shared" si="37"/>
        <v/>
      </c>
      <c r="X127" s="111" t="str">
        <f t="shared" si="38"/>
        <v/>
      </c>
      <c r="Y127" s="103"/>
      <c r="Z127" s="103"/>
      <c r="AA127" s="103" t="str">
        <f t="shared" si="39"/>
        <v>CFLratio0248</v>
      </c>
      <c r="AB127" s="103" t="str">
        <f t="shared" si="31"/>
        <v>CFLscw-Dim(47w)CFLratio0248</v>
      </c>
      <c r="AC127" s="103"/>
      <c r="AD127" s="108" t="str">
        <f t="shared" si="32"/>
        <v/>
      </c>
      <c r="AE127" s="108" t="str">
        <f t="shared" si="27"/>
        <v/>
      </c>
      <c r="AF127" s="108" t="str">
        <f t="shared" si="28"/>
        <v/>
      </c>
      <c r="AG127" s="108" t="str">
        <f t="shared" si="29"/>
        <v/>
      </c>
      <c r="AH127" s="108" t="str">
        <f t="shared" si="30"/>
        <v/>
      </c>
    </row>
    <row r="128" spans="2:34">
      <c r="B128" s="179">
        <f>IFERROR(MATCH(C128,'CFL &amp; Incand Cost Development'!$A$8:$A$290,0),0)</f>
        <v>111</v>
      </c>
      <c r="C128" s="111" t="s">
        <v>388</v>
      </c>
      <c r="D128" s="111">
        <f>INDEX('CFL &amp; Incand Cost Development'!AM$8:AM$290,$B128)</f>
        <v>13.598492014857452</v>
      </c>
      <c r="E128" s="111">
        <f>INDEX('CFL &amp; Incand Cost Development'!AN$8:AN$290,$B128)</f>
        <v>15.443492014857453</v>
      </c>
      <c r="F128" s="111">
        <f>INDEX('CFL &amp; Incand Cost Development'!AO$8:AO$290,$B128)</f>
        <v>13.638392014857452</v>
      </c>
      <c r="G128" s="111">
        <f>INDEX('CFL &amp; Incand Cost Development'!AP$8:AP$290,$B128)</f>
        <v>13.638392014857452</v>
      </c>
      <c r="H128" s="111">
        <f>INDEX('CFL &amp; Incand Cost Development'!AQ$8:AQ$290,$B128)</f>
        <v>12.509592014857454</v>
      </c>
      <c r="I128" s="103"/>
      <c r="J128" s="183" t="str">
        <f>INDEX('CFL &amp; Incand Cost Development'!BS$8:BS$290,$B128)</f>
        <v>WRR0347_CFLscw-Dim(50w)</v>
      </c>
      <c r="K128" s="250">
        <f>INDEX('CFL &amp; Incand Cost Development'!BT$8:BT$290,$B128)</f>
        <v>174</v>
      </c>
      <c r="L128" s="250" t="str">
        <f>INDEX('CFL &amp; Incand Cost Development'!BU$8:BU$290,$B128)</f>
        <v>OOS</v>
      </c>
      <c r="M128" s="250" t="str">
        <f>INDEX('CFL &amp; Incand Cost Development'!BV$8:BV$290,$B128)</f>
        <v>OOS</v>
      </c>
      <c r="N128" s="250" t="str">
        <f>INDEX('CFL &amp; Incand Cost Development'!BW$8:BW$290,$B128)</f>
        <v>OOS</v>
      </c>
      <c r="O128" s="250" t="str">
        <f>INDEX('CFL &amp; Incand Cost Development'!BX$8:BX$290,$B128)</f>
        <v>OOS</v>
      </c>
      <c r="P128" s="250" t="str">
        <f>INDEX('CFL &amp; Incand Cost Development'!BY$8:BY$290,$B128)</f>
        <v>OOS</v>
      </c>
      <c r="Q128" s="103"/>
      <c r="R128" s="103"/>
      <c r="S128" s="103" t="str">
        <f t="shared" si="33"/>
        <v/>
      </c>
      <c r="T128" s="111" t="str">
        <f t="shared" si="34"/>
        <v/>
      </c>
      <c r="U128" s="111" t="str">
        <f t="shared" si="35"/>
        <v/>
      </c>
      <c r="V128" s="111" t="str">
        <f t="shared" si="36"/>
        <v/>
      </c>
      <c r="W128" s="111" t="str">
        <f t="shared" si="37"/>
        <v/>
      </c>
      <c r="X128" s="111" t="str">
        <f t="shared" si="38"/>
        <v/>
      </c>
      <c r="Y128" s="103"/>
      <c r="Z128" s="103"/>
      <c r="AA128" s="103" t="str">
        <f t="shared" si="39"/>
        <v>CFLratio0248</v>
      </c>
      <c r="AB128" s="103" t="str">
        <f t="shared" si="31"/>
        <v>CFLscw-Dim(50w)CFLratio0248</v>
      </c>
      <c r="AC128" s="103"/>
      <c r="AD128" s="108" t="str">
        <f t="shared" si="32"/>
        <v/>
      </c>
      <c r="AE128" s="108" t="str">
        <f t="shared" si="27"/>
        <v/>
      </c>
      <c r="AF128" s="108" t="str">
        <f t="shared" si="28"/>
        <v/>
      </c>
      <c r="AG128" s="108" t="str">
        <f t="shared" si="29"/>
        <v/>
      </c>
      <c r="AH128" s="108" t="str">
        <f t="shared" si="30"/>
        <v/>
      </c>
    </row>
    <row r="129" spans="2:34">
      <c r="B129" s="179">
        <f>IFERROR(MATCH(C129,'CFL &amp; Incand Cost Development'!$A$8:$A$290,0),0)</f>
        <v>141</v>
      </c>
      <c r="C129" s="111" t="s">
        <v>448</v>
      </c>
      <c r="D129" s="111">
        <f>INDEX('CFL &amp; Incand Cost Development'!AM$8:AM$290,$B129)</f>
        <v>7.3561879353912607</v>
      </c>
      <c r="E129" s="111">
        <f>INDEX('CFL &amp; Incand Cost Development'!AN$8:AN$290,$B129)</f>
        <v>7.6561879353912605</v>
      </c>
      <c r="F129" s="111">
        <f>INDEX('CFL &amp; Incand Cost Development'!AO$8:AO$290,$B129)</f>
        <v>5.9368079353912604</v>
      </c>
      <c r="G129" s="111">
        <f>INDEX('CFL &amp; Incand Cost Development'!AP$8:AP$290,$B129)</f>
        <v>5.9368079353912604</v>
      </c>
      <c r="H129" s="111">
        <f>INDEX('CFL &amp; Incand Cost Development'!AQ$8:AQ$290,$B129)</f>
        <v>5.3240979353912605</v>
      </c>
      <c r="I129" s="103"/>
      <c r="J129" s="183" t="str">
        <f>INDEX('CFL &amp; Incand Cost Development'!BS$8:BS$290,$B129)</f>
        <v>WRR0347_CFLscw-Glb(10w)</v>
      </c>
      <c r="K129" s="250">
        <f>INDEX('CFL &amp; Incand Cost Development'!BT$8:BT$290,$B129)</f>
        <v>35</v>
      </c>
      <c r="L129" s="250">
        <f>INDEX('CFL &amp; Incand Cost Development'!BU$8:BU$290,$B129)</f>
        <v>4.7075000000000005</v>
      </c>
      <c r="M129" s="250">
        <f>INDEX('CFL &amp; Incand Cost Development'!BV$8:BV$290,$B129)</f>
        <v>5.4485000000000001</v>
      </c>
      <c r="N129" s="250">
        <f>INDEX('CFL &amp; Incand Cost Development'!BW$8:BW$290,$B129)</f>
        <v>2.9485000000000001</v>
      </c>
      <c r="O129" s="250">
        <f>INDEX('CFL &amp; Incand Cost Development'!BX$8:BX$290,$B129)</f>
        <v>1.4885000000000002</v>
      </c>
      <c r="P129" s="250">
        <f>INDEX('CFL &amp; Incand Cost Development'!BY$8:BY$290,$B129)</f>
        <v>1.4885000000000002</v>
      </c>
      <c r="Q129" s="103"/>
      <c r="R129" s="103"/>
      <c r="S129" s="103" t="str">
        <f t="shared" si="33"/>
        <v>Std_CFLscw-Glb(10w)_60pInc-r0248</v>
      </c>
      <c r="T129" s="111">
        <f t="shared" si="34"/>
        <v>5.7669751741565047</v>
      </c>
      <c r="U129" s="111">
        <f t="shared" si="35"/>
        <v>6.3315751741565043</v>
      </c>
      <c r="V129" s="111">
        <f t="shared" si="36"/>
        <v>4.1438231741565046</v>
      </c>
      <c r="W129" s="111">
        <f t="shared" si="37"/>
        <v>3.2678231741565043</v>
      </c>
      <c r="X129" s="111">
        <f t="shared" si="38"/>
        <v>3.0227391741565044</v>
      </c>
      <c r="Y129" s="103"/>
      <c r="Z129" s="103"/>
      <c r="AA129" s="103" t="str">
        <f t="shared" si="39"/>
        <v>CFLratio0248</v>
      </c>
      <c r="AB129" s="103" t="str">
        <f t="shared" si="31"/>
        <v>CFLscw-Glb(10w)CFLratio0248</v>
      </c>
      <c r="AC129" s="103"/>
      <c r="AD129" s="108">
        <f t="shared" si="32"/>
        <v>1.589212761234756</v>
      </c>
      <c r="AE129" s="108">
        <f t="shared" si="27"/>
        <v>1.3246127612347562</v>
      </c>
      <c r="AF129" s="108">
        <f t="shared" si="28"/>
        <v>1.7929847612347558</v>
      </c>
      <c r="AG129" s="108">
        <f t="shared" si="29"/>
        <v>2.6689847612347561</v>
      </c>
      <c r="AH129" s="108">
        <f t="shared" si="30"/>
        <v>2.3013587612347561</v>
      </c>
    </row>
    <row r="130" spans="2:34">
      <c r="B130" s="179">
        <f>IFERROR(MATCH(C130,'CFL &amp; Incand Cost Development'!$A$8:$A$290,0),0)</f>
        <v>142</v>
      </c>
      <c r="C130" s="111" t="s">
        <v>451</v>
      </c>
      <c r="D130" s="111">
        <f>INDEX('CFL &amp; Incand Cost Development'!AM$8:AM$290,$B130)</f>
        <v>7.3299879353912605</v>
      </c>
      <c r="E130" s="111">
        <f>INDEX('CFL &amp; Incand Cost Development'!AN$8:AN$290,$B130)</f>
        <v>7.6299879353912603</v>
      </c>
      <c r="F130" s="111">
        <f>INDEX('CFL &amp; Incand Cost Development'!AO$8:AO$290,$B130)</f>
        <v>5.9106079353912602</v>
      </c>
      <c r="G130" s="111">
        <f>INDEX('CFL &amp; Incand Cost Development'!AP$8:AP$290,$B130)</f>
        <v>5.9106079353912602</v>
      </c>
      <c r="H130" s="111">
        <f>INDEX('CFL &amp; Incand Cost Development'!AQ$8:AQ$290,$B130)</f>
        <v>5.2978979353912603</v>
      </c>
      <c r="I130" s="103"/>
      <c r="J130" s="183" t="str">
        <f>INDEX('CFL &amp; Incand Cost Development'!BS$8:BS$290,$B130)</f>
        <v>WRR0347_CFLscw-Glb(11w)</v>
      </c>
      <c r="K130" s="250">
        <f>INDEX('CFL &amp; Incand Cost Development'!BT$8:BT$290,$B130)</f>
        <v>38</v>
      </c>
      <c r="L130" s="250">
        <f>INDEX('CFL &amp; Incand Cost Development'!BU$8:BU$290,$B130)</f>
        <v>4.7354000000000003</v>
      </c>
      <c r="M130" s="250">
        <f>INDEX('CFL &amp; Incand Cost Development'!BV$8:BV$290,$B130)</f>
        <v>5.4763999999999999</v>
      </c>
      <c r="N130" s="250">
        <f>INDEX('CFL &amp; Incand Cost Development'!BW$8:BW$290,$B130)</f>
        <v>2.9763999999999999</v>
      </c>
      <c r="O130" s="250">
        <f>INDEX('CFL &amp; Incand Cost Development'!BX$8:BX$290,$B130)</f>
        <v>1.5164</v>
      </c>
      <c r="P130" s="250">
        <f>INDEX('CFL &amp; Incand Cost Development'!BY$8:BY$290,$B130)</f>
        <v>1.5164</v>
      </c>
      <c r="Q130" s="103"/>
      <c r="R130" s="103"/>
      <c r="S130" s="103" t="str">
        <f t="shared" si="33"/>
        <v>Std_CFLscw-Glb(11w)_60pInc-r0248</v>
      </c>
      <c r="T130" s="111">
        <f t="shared" si="34"/>
        <v>5.773235174156504</v>
      </c>
      <c r="U130" s="111">
        <f t="shared" si="35"/>
        <v>6.3378351741565044</v>
      </c>
      <c r="V130" s="111">
        <f t="shared" si="36"/>
        <v>4.1500831741565039</v>
      </c>
      <c r="W130" s="111">
        <f t="shared" si="37"/>
        <v>3.274083174156504</v>
      </c>
      <c r="X130" s="111">
        <f t="shared" si="38"/>
        <v>3.0289991741565041</v>
      </c>
      <c r="Y130" s="103"/>
      <c r="Z130" s="103"/>
      <c r="AA130" s="103" t="str">
        <f t="shared" si="39"/>
        <v>CFLratio0248</v>
      </c>
      <c r="AB130" s="103" t="str">
        <f t="shared" si="31"/>
        <v>CFLscw-Glb(11w)CFLratio0248</v>
      </c>
      <c r="AC130" s="103"/>
      <c r="AD130" s="108">
        <f t="shared" si="32"/>
        <v>1.5567527612347565</v>
      </c>
      <c r="AE130" s="108">
        <f t="shared" si="27"/>
        <v>1.2921527612347559</v>
      </c>
      <c r="AF130" s="108">
        <f t="shared" si="28"/>
        <v>1.7605247612347563</v>
      </c>
      <c r="AG130" s="108">
        <f t="shared" si="29"/>
        <v>2.6365247612347562</v>
      </c>
      <c r="AH130" s="108">
        <f t="shared" si="30"/>
        <v>2.2688987612347562</v>
      </c>
    </row>
    <row r="131" spans="2:34">
      <c r="B131" s="179">
        <f>IFERROR(MATCH(C131,'CFL &amp; Incand Cost Development'!$A$8:$A$290,0),0)</f>
        <v>143</v>
      </c>
      <c r="C131" s="111" t="s">
        <v>453</v>
      </c>
      <c r="D131" s="111">
        <f>INDEX('CFL &amp; Incand Cost Development'!AM$8:AM$290,$B131)</f>
        <v>7.3037879353912603</v>
      </c>
      <c r="E131" s="111">
        <f>INDEX('CFL &amp; Incand Cost Development'!AN$8:AN$290,$B131)</f>
        <v>7.6037879353912601</v>
      </c>
      <c r="F131" s="111">
        <f>INDEX('CFL &amp; Incand Cost Development'!AO$8:AO$290,$B131)</f>
        <v>5.8844079353912599</v>
      </c>
      <c r="G131" s="111">
        <f>INDEX('CFL &amp; Incand Cost Development'!AP$8:AP$290,$B131)</f>
        <v>5.8844079353912599</v>
      </c>
      <c r="H131" s="111">
        <f>INDEX('CFL &amp; Incand Cost Development'!AQ$8:AQ$290,$B131)</f>
        <v>5.2716979353912601</v>
      </c>
      <c r="I131" s="103"/>
      <c r="J131" s="183" t="str">
        <f>INDEX('CFL &amp; Incand Cost Development'!BS$8:BS$290,$B131)</f>
        <v>WRR0347_CFLscw-Glb(12w)</v>
      </c>
      <c r="K131" s="250">
        <f>INDEX('CFL &amp; Incand Cost Development'!BT$8:BT$290,$B131)</f>
        <v>42</v>
      </c>
      <c r="L131" s="250">
        <f>INDEX('CFL &amp; Incand Cost Development'!BU$8:BU$290,$B131)</f>
        <v>4.7726000000000006</v>
      </c>
      <c r="M131" s="250">
        <f>INDEX('CFL &amp; Incand Cost Development'!BV$8:BV$290,$B131)</f>
        <v>5.5136000000000003</v>
      </c>
      <c r="N131" s="250">
        <f>INDEX('CFL &amp; Incand Cost Development'!BW$8:BW$290,$B131)</f>
        <v>3.0136000000000003</v>
      </c>
      <c r="O131" s="250">
        <f>INDEX('CFL &amp; Incand Cost Development'!BX$8:BX$290,$B131)</f>
        <v>1.5536000000000003</v>
      </c>
      <c r="P131" s="250">
        <f>INDEX('CFL &amp; Incand Cost Development'!BY$8:BY$290,$B131)</f>
        <v>1.5536000000000003</v>
      </c>
      <c r="Q131" s="103"/>
      <c r="R131" s="103"/>
      <c r="S131" s="103" t="str">
        <f t="shared" si="33"/>
        <v>Std_CFLscw-Glb(12w)_60pInc-r0248</v>
      </c>
      <c r="T131" s="111">
        <f t="shared" si="34"/>
        <v>5.7850751741565043</v>
      </c>
      <c r="U131" s="111">
        <f t="shared" si="35"/>
        <v>6.3496751741565038</v>
      </c>
      <c r="V131" s="111">
        <f t="shared" si="36"/>
        <v>4.1619231741565041</v>
      </c>
      <c r="W131" s="111">
        <f t="shared" si="37"/>
        <v>3.2859231741565043</v>
      </c>
      <c r="X131" s="111">
        <f t="shared" si="38"/>
        <v>3.0408391741565044</v>
      </c>
      <c r="Y131" s="103"/>
      <c r="Z131" s="103"/>
      <c r="AA131" s="103" t="str">
        <f t="shared" si="39"/>
        <v>CFLratio0248</v>
      </c>
      <c r="AB131" s="103" t="str">
        <f t="shared" si="31"/>
        <v>CFLscw-Glb(12w)CFLratio0248</v>
      </c>
      <c r="AC131" s="103"/>
      <c r="AD131" s="108">
        <f t="shared" si="32"/>
        <v>1.518712761234756</v>
      </c>
      <c r="AE131" s="108">
        <f t="shared" si="27"/>
        <v>1.2541127612347562</v>
      </c>
      <c r="AF131" s="108">
        <f t="shared" si="28"/>
        <v>1.7224847612347558</v>
      </c>
      <c r="AG131" s="108">
        <f t="shared" si="29"/>
        <v>2.5984847612347557</v>
      </c>
      <c r="AH131" s="108">
        <f t="shared" si="30"/>
        <v>2.2308587612347557</v>
      </c>
    </row>
    <row r="132" spans="2:34">
      <c r="B132" s="179">
        <f>IFERROR(MATCH(C132,'CFL &amp; Incand Cost Development'!$A$8:$A$290,0),0)</f>
        <v>144</v>
      </c>
      <c r="C132" s="111" t="s">
        <v>455</v>
      </c>
      <c r="D132" s="111">
        <f>INDEX('CFL &amp; Incand Cost Development'!AM$8:AM$290,$B132)</f>
        <v>7.27758793539126</v>
      </c>
      <c r="E132" s="111">
        <f>INDEX('CFL &amp; Incand Cost Development'!AN$8:AN$290,$B132)</f>
        <v>7.5775879353912599</v>
      </c>
      <c r="F132" s="111">
        <f>INDEX('CFL &amp; Incand Cost Development'!AO$8:AO$290,$B132)</f>
        <v>5.8582079353912597</v>
      </c>
      <c r="G132" s="111">
        <f>INDEX('CFL &amp; Incand Cost Development'!AP$8:AP$290,$B132)</f>
        <v>5.8582079353912597</v>
      </c>
      <c r="H132" s="111">
        <f>INDEX('CFL &amp; Incand Cost Development'!AQ$8:AQ$290,$B132)</f>
        <v>5.2454979353912599</v>
      </c>
      <c r="I132" s="103"/>
      <c r="J132" s="183" t="str">
        <f>INDEX('CFL &amp; Incand Cost Development'!BS$8:BS$290,$B132)</f>
        <v>WRR0347_CFLscw-Glb(13w)</v>
      </c>
      <c r="K132" s="250">
        <f>INDEX('CFL &amp; Incand Cost Development'!BT$8:BT$290,$B132)</f>
        <v>45</v>
      </c>
      <c r="L132" s="250">
        <f>INDEX('CFL &amp; Incand Cost Development'!BU$8:BU$290,$B132)</f>
        <v>4.8005000000000004</v>
      </c>
      <c r="M132" s="250">
        <f>INDEX('CFL &amp; Incand Cost Development'!BV$8:BV$290,$B132)</f>
        <v>5.5415000000000001</v>
      </c>
      <c r="N132" s="250">
        <f>INDEX('CFL &amp; Incand Cost Development'!BW$8:BW$290,$B132)</f>
        <v>3.0415000000000001</v>
      </c>
      <c r="O132" s="250">
        <f>INDEX('CFL &amp; Incand Cost Development'!BX$8:BX$290,$B132)</f>
        <v>1.5815000000000001</v>
      </c>
      <c r="P132" s="250">
        <f>INDEX('CFL &amp; Incand Cost Development'!BY$8:BY$290,$B132)</f>
        <v>1.5815000000000001</v>
      </c>
      <c r="Q132" s="103"/>
      <c r="R132" s="103"/>
      <c r="S132" s="103" t="str">
        <f t="shared" si="33"/>
        <v>Std_CFLscw-Glb(13w)_60pInc-r0248</v>
      </c>
      <c r="T132" s="111">
        <f t="shared" si="34"/>
        <v>5.7913351741565045</v>
      </c>
      <c r="U132" s="111">
        <f t="shared" si="35"/>
        <v>6.355935174156504</v>
      </c>
      <c r="V132" s="111">
        <f t="shared" si="36"/>
        <v>4.1681831741565034</v>
      </c>
      <c r="W132" s="111">
        <f t="shared" si="37"/>
        <v>3.292183174156504</v>
      </c>
      <c r="X132" s="111">
        <f t="shared" si="38"/>
        <v>3.0470991741565041</v>
      </c>
      <c r="Y132" s="103"/>
      <c r="Z132" s="103"/>
      <c r="AA132" s="103" t="str">
        <f t="shared" si="39"/>
        <v>CFLratio0248</v>
      </c>
      <c r="AB132" s="103" t="str">
        <f t="shared" si="31"/>
        <v>CFLscw-Glb(13w)CFLratio0248</v>
      </c>
      <c r="AC132" s="103"/>
      <c r="AD132" s="108">
        <f t="shared" si="32"/>
        <v>1.4862527612347556</v>
      </c>
      <c r="AE132" s="108">
        <f t="shared" si="27"/>
        <v>1.2216527612347559</v>
      </c>
      <c r="AF132" s="108">
        <f t="shared" si="28"/>
        <v>1.6900247612347563</v>
      </c>
      <c r="AG132" s="108">
        <f t="shared" si="29"/>
        <v>2.5660247612347558</v>
      </c>
      <c r="AH132" s="108">
        <f t="shared" si="30"/>
        <v>2.1983987612347557</v>
      </c>
    </row>
    <row r="133" spans="2:34">
      <c r="B133" s="179">
        <f>IFERROR(MATCH(C133,'CFL &amp; Incand Cost Development'!$A$8:$A$290,0),0)</f>
        <v>145</v>
      </c>
      <c r="C133" s="111" t="s">
        <v>457</v>
      </c>
      <c r="D133" s="111">
        <f>INDEX('CFL &amp; Incand Cost Development'!AM$8:AM$290,$B133)</f>
        <v>7.2513879353912598</v>
      </c>
      <c r="E133" s="111">
        <f>INDEX('CFL &amp; Incand Cost Development'!AN$8:AN$290,$B133)</f>
        <v>7.5513879353912596</v>
      </c>
      <c r="F133" s="111">
        <f>INDEX('CFL &amp; Incand Cost Development'!AO$8:AO$290,$B133)</f>
        <v>5.8320079353912595</v>
      </c>
      <c r="G133" s="111">
        <f>INDEX('CFL &amp; Incand Cost Development'!AP$8:AP$290,$B133)</f>
        <v>5.8320079353912595</v>
      </c>
      <c r="H133" s="111">
        <f>INDEX('CFL &amp; Incand Cost Development'!AQ$8:AQ$290,$B133)</f>
        <v>5.2192979353912596</v>
      </c>
      <c r="I133" s="103"/>
      <c r="J133" s="183" t="str">
        <f>INDEX('CFL &amp; Incand Cost Development'!BS$8:BS$290,$B133)</f>
        <v>WRR0347_CFLscw-Glb(14w)</v>
      </c>
      <c r="K133" s="250">
        <f>INDEX('CFL &amp; Incand Cost Development'!BT$8:BT$290,$B133)</f>
        <v>49</v>
      </c>
      <c r="L133" s="250">
        <f>INDEX('CFL &amp; Incand Cost Development'!BU$8:BU$290,$B133)</f>
        <v>4.8377000000000008</v>
      </c>
      <c r="M133" s="250">
        <f>INDEX('CFL &amp; Incand Cost Development'!BV$8:BV$290,$B133)</f>
        <v>5.5787000000000004</v>
      </c>
      <c r="N133" s="250">
        <f>INDEX('CFL &amp; Incand Cost Development'!BW$8:BW$290,$B133)</f>
        <v>3.0787000000000004</v>
      </c>
      <c r="O133" s="250">
        <f>INDEX('CFL &amp; Incand Cost Development'!BX$8:BX$290,$B133)</f>
        <v>1.6187000000000005</v>
      </c>
      <c r="P133" s="250">
        <f>INDEX('CFL &amp; Incand Cost Development'!BY$8:BY$290,$B133)</f>
        <v>1.6187000000000005</v>
      </c>
      <c r="Q133" s="103"/>
      <c r="R133" s="103"/>
      <c r="S133" s="103" t="str">
        <f t="shared" ref="S133:S164" si="40">IF(L133&lt;&gt;"OOS","Std_"&amp;MID(J133,9,99)&amp;"_60pInc-"&amp;VLOOKUP(LEFT(J133,7),$AK$4:$AL$6,2,FALSE),"")</f>
        <v>Std_CFLscw-Glb(14w)_60pInc-r0248</v>
      </c>
      <c r="T133" s="111">
        <f t="shared" ref="T133:T164" si="41">IFERROR(0.6*L133+0.4*D133,"")</f>
        <v>5.8031751741565039</v>
      </c>
      <c r="U133" s="111">
        <f t="shared" ref="U133:U164" si="42">IFERROR(0.6*M133+0.4*E133,"")</f>
        <v>6.3677751741565043</v>
      </c>
      <c r="V133" s="111">
        <f t="shared" ref="V133:V164" si="43">IFERROR(0.6*N133+0.4*F133,"")</f>
        <v>4.1800231741565046</v>
      </c>
      <c r="W133" s="111">
        <f t="shared" ref="W133:W164" si="44">IFERROR(0.6*O133+0.4*G133,"")</f>
        <v>3.3040231741565043</v>
      </c>
      <c r="X133" s="111">
        <f t="shared" ref="X133:X164" si="45">IFERROR(0.6*P133+0.4*H133,"")</f>
        <v>3.058939174156504</v>
      </c>
      <c r="Y133" s="103"/>
      <c r="Z133" s="103"/>
      <c r="AA133" s="103" t="str">
        <f t="shared" ref="AA133:AA164" si="46">VLOOKUP(LEFT(J133,7),$AK$4:$AM$6,3,FALSE)</f>
        <v>CFLratio0248</v>
      </c>
      <c r="AB133" s="103" t="str">
        <f t="shared" si="31"/>
        <v>CFLscw-Glb(14w)CFLratio0248</v>
      </c>
      <c r="AC133" s="103"/>
      <c r="AD133" s="108">
        <f t="shared" si="32"/>
        <v>1.448212761234756</v>
      </c>
      <c r="AE133" s="108">
        <f t="shared" ref="AE133:AE177" si="47">IFERROR(E133-U133,"")</f>
        <v>1.1836127612347553</v>
      </c>
      <c r="AF133" s="108">
        <f t="shared" ref="AF133:AF177" si="48">IFERROR(F133-V133,"")</f>
        <v>1.6519847612347549</v>
      </c>
      <c r="AG133" s="108">
        <f t="shared" ref="AG133:AG177" si="49">IFERROR(G133-W133,"")</f>
        <v>2.5279847612347552</v>
      </c>
      <c r="AH133" s="108">
        <f t="shared" ref="AH133:AH177" si="50">IFERROR(H133-X133,"")</f>
        <v>2.1603587612347557</v>
      </c>
    </row>
    <row r="134" spans="2:34">
      <c r="B134" s="179">
        <f>IFERROR(MATCH(C134,'CFL &amp; Incand Cost Development'!$A$8:$A$290,0),0)</f>
        <v>146</v>
      </c>
      <c r="C134" s="111" t="s">
        <v>459</v>
      </c>
      <c r="D134" s="111">
        <f>INDEX('CFL &amp; Incand Cost Development'!AM$8:AM$290,$B134)</f>
        <v>7.2251879353912605</v>
      </c>
      <c r="E134" s="111">
        <f>INDEX('CFL &amp; Incand Cost Development'!AN$8:AN$290,$B134)</f>
        <v>7.5251879353912603</v>
      </c>
      <c r="F134" s="111">
        <f>INDEX('CFL &amp; Incand Cost Development'!AO$8:AO$290,$B134)</f>
        <v>5.8058079353912602</v>
      </c>
      <c r="G134" s="111">
        <f>INDEX('CFL &amp; Incand Cost Development'!AP$8:AP$290,$B134)</f>
        <v>5.8058079353912602</v>
      </c>
      <c r="H134" s="111">
        <f>INDEX('CFL &amp; Incand Cost Development'!AQ$8:AQ$290,$B134)</f>
        <v>5.1930979353912603</v>
      </c>
      <c r="I134" s="103"/>
      <c r="J134" s="183" t="str">
        <f>INDEX('CFL &amp; Incand Cost Development'!BS$8:BS$290,$B134)</f>
        <v>WRR0347_CFLscw-Glb(15w)</v>
      </c>
      <c r="K134" s="250">
        <f>INDEX('CFL &amp; Incand Cost Development'!BT$8:BT$290,$B134)</f>
        <v>52</v>
      </c>
      <c r="L134" s="250">
        <f>INDEX('CFL &amp; Incand Cost Development'!BU$8:BU$290,$B134)</f>
        <v>4.8656000000000006</v>
      </c>
      <c r="M134" s="250">
        <f>INDEX('CFL &amp; Incand Cost Development'!BV$8:BV$290,$B134)</f>
        <v>5.6066000000000003</v>
      </c>
      <c r="N134" s="250">
        <f>INDEX('CFL &amp; Incand Cost Development'!BW$8:BW$290,$B134)</f>
        <v>3.1066000000000003</v>
      </c>
      <c r="O134" s="250">
        <f>INDEX('CFL &amp; Incand Cost Development'!BX$8:BX$290,$B134)</f>
        <v>1.6466000000000003</v>
      </c>
      <c r="P134" s="250">
        <f>INDEX('CFL &amp; Incand Cost Development'!BY$8:BY$290,$B134)</f>
        <v>1.6466000000000003</v>
      </c>
      <c r="Q134" s="103"/>
      <c r="R134" s="103"/>
      <c r="S134" s="103" t="str">
        <f t="shared" si="40"/>
        <v>Std_CFLscw-Glb(15w)_60pInc-r0248</v>
      </c>
      <c r="T134" s="111">
        <f t="shared" si="41"/>
        <v>5.8094351741565049</v>
      </c>
      <c r="U134" s="111">
        <f t="shared" si="42"/>
        <v>6.3740351741565044</v>
      </c>
      <c r="V134" s="111">
        <f t="shared" si="43"/>
        <v>4.1862831741565039</v>
      </c>
      <c r="W134" s="111">
        <f t="shared" si="44"/>
        <v>3.3102831741565044</v>
      </c>
      <c r="X134" s="111">
        <f t="shared" si="45"/>
        <v>3.0651991741565046</v>
      </c>
      <c r="Y134" s="103"/>
      <c r="Z134" s="103"/>
      <c r="AA134" s="103" t="str">
        <f t="shared" si="46"/>
        <v>CFLratio0248</v>
      </c>
      <c r="AB134" s="103" t="str">
        <f t="shared" ref="AB134:AB177" si="51">C134&amp;AA134</f>
        <v>CFLscw-Glb(15w)CFLratio0248</v>
      </c>
      <c r="AC134" s="103"/>
      <c r="AD134" s="108">
        <f t="shared" ref="AD134:AD177" si="52">IFERROR(D134-T134,"")</f>
        <v>1.4157527612347556</v>
      </c>
      <c r="AE134" s="108">
        <f t="shared" si="47"/>
        <v>1.1511527612347559</v>
      </c>
      <c r="AF134" s="108">
        <f t="shared" si="48"/>
        <v>1.6195247612347563</v>
      </c>
      <c r="AG134" s="108">
        <f t="shared" si="49"/>
        <v>2.4955247612347558</v>
      </c>
      <c r="AH134" s="108">
        <f t="shared" si="50"/>
        <v>2.1278987612347557</v>
      </c>
    </row>
    <row r="135" spans="2:34">
      <c r="B135" s="179">
        <f>IFERROR(MATCH(C135,'CFL &amp; Incand Cost Development'!$A$8:$A$290,0),0)</f>
        <v>147</v>
      </c>
      <c r="C135" s="111" t="s">
        <v>461</v>
      </c>
      <c r="D135" s="111">
        <f>INDEX('CFL &amp; Incand Cost Development'!AM$8:AM$290,$B135)</f>
        <v>7.1989879353912603</v>
      </c>
      <c r="E135" s="111">
        <f>INDEX('CFL &amp; Incand Cost Development'!AN$8:AN$290,$B135)</f>
        <v>7.4989879353912601</v>
      </c>
      <c r="F135" s="111">
        <f>INDEX('CFL &amp; Incand Cost Development'!AO$8:AO$290,$B135)</f>
        <v>5.7796079353912599</v>
      </c>
      <c r="G135" s="111">
        <f>INDEX('CFL &amp; Incand Cost Development'!AP$8:AP$290,$B135)</f>
        <v>5.7796079353912599</v>
      </c>
      <c r="H135" s="111">
        <f>INDEX('CFL &amp; Incand Cost Development'!AQ$8:AQ$290,$B135)</f>
        <v>5.1668979353912601</v>
      </c>
      <c r="I135" s="103"/>
      <c r="J135" s="183" t="str">
        <f>INDEX('CFL &amp; Incand Cost Development'!BS$8:BS$290,$B135)</f>
        <v>WRR0347_CFLscw-Glb(16w)</v>
      </c>
      <c r="K135" s="250">
        <f>INDEX('CFL &amp; Incand Cost Development'!BT$8:BT$290,$B135)</f>
        <v>56</v>
      </c>
      <c r="L135" s="250">
        <f>INDEX('CFL &amp; Incand Cost Development'!BU$8:BU$290,$B135)</f>
        <v>4.9028000000000009</v>
      </c>
      <c r="M135" s="250">
        <f>INDEX('CFL &amp; Incand Cost Development'!BV$8:BV$290,$B135)</f>
        <v>5.6438000000000006</v>
      </c>
      <c r="N135" s="250">
        <f>INDEX('CFL &amp; Incand Cost Development'!BW$8:BW$290,$B135)</f>
        <v>3.1438000000000006</v>
      </c>
      <c r="O135" s="250">
        <f>INDEX('CFL &amp; Incand Cost Development'!BX$8:BX$290,$B135)</f>
        <v>1.6838000000000006</v>
      </c>
      <c r="P135" s="250">
        <f>INDEX('CFL &amp; Incand Cost Development'!BY$8:BY$290,$B135)</f>
        <v>1.6838000000000006</v>
      </c>
      <c r="Q135" s="103"/>
      <c r="R135" s="103"/>
      <c r="S135" s="103" t="str">
        <f t="shared" si="40"/>
        <v>Std_CFLscw-Glb(16w)_60pInc-r0248</v>
      </c>
      <c r="T135" s="111">
        <f t="shared" si="41"/>
        <v>5.8212751741565043</v>
      </c>
      <c r="U135" s="111">
        <f t="shared" si="42"/>
        <v>6.3858751741565047</v>
      </c>
      <c r="V135" s="111">
        <f t="shared" si="43"/>
        <v>4.1981231741565042</v>
      </c>
      <c r="W135" s="111">
        <f t="shared" si="44"/>
        <v>3.3221231741565043</v>
      </c>
      <c r="X135" s="111">
        <f t="shared" si="45"/>
        <v>3.0770391741565044</v>
      </c>
      <c r="Y135" s="103"/>
      <c r="Z135" s="103"/>
      <c r="AA135" s="103" t="str">
        <f t="shared" si="46"/>
        <v>CFLratio0248</v>
      </c>
      <c r="AB135" s="103" t="str">
        <f t="shared" si="51"/>
        <v>CFLscw-Glb(16w)CFLratio0248</v>
      </c>
      <c r="AC135" s="103"/>
      <c r="AD135" s="108">
        <f t="shared" si="52"/>
        <v>1.3777127612347559</v>
      </c>
      <c r="AE135" s="108">
        <f t="shared" si="47"/>
        <v>1.1131127612347553</v>
      </c>
      <c r="AF135" s="108">
        <f t="shared" si="48"/>
        <v>1.5814847612347558</v>
      </c>
      <c r="AG135" s="108">
        <f t="shared" si="49"/>
        <v>2.4574847612347557</v>
      </c>
      <c r="AH135" s="108">
        <f t="shared" si="50"/>
        <v>2.0898587612347557</v>
      </c>
    </row>
    <row r="136" spans="2:34">
      <c r="B136" s="179">
        <f>IFERROR(MATCH(C136,'CFL &amp; Incand Cost Development'!$A$8:$A$290,0),0)</f>
        <v>148</v>
      </c>
      <c r="C136" s="111" t="s">
        <v>463</v>
      </c>
      <c r="D136" s="111">
        <f>INDEX('CFL &amp; Incand Cost Development'!AM$8:AM$290,$B136)</f>
        <v>7.1465879353912607</v>
      </c>
      <c r="E136" s="111">
        <f>INDEX('CFL &amp; Incand Cost Development'!AN$8:AN$290,$B136)</f>
        <v>7.4465879353912605</v>
      </c>
      <c r="F136" s="111">
        <f>INDEX('CFL &amp; Incand Cost Development'!AO$8:AO$290,$B136)</f>
        <v>5.7272079353912604</v>
      </c>
      <c r="G136" s="111">
        <f>INDEX('CFL &amp; Incand Cost Development'!AP$8:AP$290,$B136)</f>
        <v>5.7272079353912604</v>
      </c>
      <c r="H136" s="111">
        <f>INDEX('CFL &amp; Incand Cost Development'!AQ$8:AQ$290,$B136)</f>
        <v>5.1144979353912605</v>
      </c>
      <c r="I136" s="103"/>
      <c r="J136" s="183" t="str">
        <f>INDEX('CFL &amp; Incand Cost Development'!BS$8:BS$290,$B136)</f>
        <v>WRR0347_CFLscw-Glb(18w)</v>
      </c>
      <c r="K136" s="250">
        <f>INDEX('CFL &amp; Incand Cost Development'!BT$8:BT$290,$B136)</f>
        <v>62</v>
      </c>
      <c r="L136" s="250">
        <f>INDEX('CFL &amp; Incand Cost Development'!BU$8:BU$290,$B136)</f>
        <v>4.9586000000000006</v>
      </c>
      <c r="M136" s="250">
        <f>INDEX('CFL &amp; Incand Cost Development'!BV$8:BV$290,$B136)</f>
        <v>5.6996000000000002</v>
      </c>
      <c r="N136" s="250">
        <f>INDEX('CFL &amp; Incand Cost Development'!BW$8:BW$290,$B136)</f>
        <v>3.1996000000000002</v>
      </c>
      <c r="O136" s="250">
        <f>INDEX('CFL &amp; Incand Cost Development'!BX$8:BX$290,$B136)</f>
        <v>1.7396000000000003</v>
      </c>
      <c r="P136" s="250">
        <f>INDEX('CFL &amp; Incand Cost Development'!BY$8:BY$290,$B136)</f>
        <v>1.7396000000000003</v>
      </c>
      <c r="Q136" s="103"/>
      <c r="R136" s="103"/>
      <c r="S136" s="103" t="str">
        <f t="shared" si="40"/>
        <v>Std_CFLscw-Glb(18w)_60pInc-r0248</v>
      </c>
      <c r="T136" s="111">
        <f t="shared" si="41"/>
        <v>5.8337951741565046</v>
      </c>
      <c r="U136" s="111">
        <f t="shared" si="42"/>
        <v>6.398395174156505</v>
      </c>
      <c r="V136" s="111">
        <f t="shared" si="43"/>
        <v>4.2106431741565045</v>
      </c>
      <c r="W136" s="111">
        <f t="shared" si="44"/>
        <v>3.3346431741565041</v>
      </c>
      <c r="X136" s="111">
        <f t="shared" si="45"/>
        <v>3.0895591741565047</v>
      </c>
      <c r="Y136" s="103"/>
      <c r="Z136" s="103"/>
      <c r="AA136" s="103" t="str">
        <f t="shared" si="46"/>
        <v>CFLratio0248</v>
      </c>
      <c r="AB136" s="103" t="str">
        <f t="shared" si="51"/>
        <v>CFLscw-Glb(18w)CFLratio0248</v>
      </c>
      <c r="AC136" s="103"/>
      <c r="AD136" s="108">
        <f t="shared" si="52"/>
        <v>1.3127927612347561</v>
      </c>
      <c r="AE136" s="108">
        <f t="shared" si="47"/>
        <v>1.0481927612347555</v>
      </c>
      <c r="AF136" s="108">
        <f t="shared" si="48"/>
        <v>1.5165647612347559</v>
      </c>
      <c r="AG136" s="108">
        <f t="shared" si="49"/>
        <v>2.3925647612347563</v>
      </c>
      <c r="AH136" s="108">
        <f t="shared" si="50"/>
        <v>2.0249387612347558</v>
      </c>
    </row>
    <row r="137" spans="2:34">
      <c r="B137" s="179">
        <f>IFERROR(MATCH(C137,'CFL &amp; Incand Cost Development'!$A$8:$A$290,0),0)</f>
        <v>149</v>
      </c>
      <c r="C137" s="111" t="s">
        <v>465</v>
      </c>
      <c r="D137" s="111">
        <f>INDEX('CFL &amp; Incand Cost Development'!AM$8:AM$290,$B137)</f>
        <v>7.1203879353912605</v>
      </c>
      <c r="E137" s="111">
        <f>INDEX('CFL &amp; Incand Cost Development'!AN$8:AN$290,$B137)</f>
        <v>7.4203879353912603</v>
      </c>
      <c r="F137" s="111">
        <f>INDEX('CFL &amp; Incand Cost Development'!AO$8:AO$290,$B137)</f>
        <v>5.7010079353912602</v>
      </c>
      <c r="G137" s="111">
        <f>INDEX('CFL &amp; Incand Cost Development'!AP$8:AP$290,$B137)</f>
        <v>5.7010079353912602</v>
      </c>
      <c r="H137" s="111">
        <f>INDEX('CFL &amp; Incand Cost Development'!AQ$8:AQ$290,$B137)</f>
        <v>5.0882979353912603</v>
      </c>
      <c r="I137" s="103"/>
      <c r="J137" s="183" t="str">
        <f>INDEX('CFL &amp; Incand Cost Development'!BS$8:BS$290,$B137)</f>
        <v>WRR0347_CFLscw-Glb(19w)</v>
      </c>
      <c r="K137" s="250">
        <f>INDEX('CFL &amp; Incand Cost Development'!BT$8:BT$290,$B137)</f>
        <v>66</v>
      </c>
      <c r="L137" s="250">
        <f>INDEX('CFL &amp; Incand Cost Development'!BU$8:BU$290,$B137)</f>
        <v>4.9958000000000009</v>
      </c>
      <c r="M137" s="250">
        <f>INDEX('CFL &amp; Incand Cost Development'!BV$8:BV$290,$B137)</f>
        <v>5.7368000000000006</v>
      </c>
      <c r="N137" s="250">
        <f>INDEX('CFL &amp; Incand Cost Development'!BW$8:BW$290,$B137)</f>
        <v>3.2368000000000006</v>
      </c>
      <c r="O137" s="250">
        <f>INDEX('CFL &amp; Incand Cost Development'!BX$8:BX$290,$B137)</f>
        <v>1.7768000000000006</v>
      </c>
      <c r="P137" s="250">
        <f>INDEX('CFL &amp; Incand Cost Development'!BY$8:BY$290,$B137)</f>
        <v>1.7768000000000006</v>
      </c>
      <c r="Q137" s="103"/>
      <c r="R137" s="103"/>
      <c r="S137" s="103" t="str">
        <f t="shared" si="40"/>
        <v>Std_CFLscw-Glb(19w)_60pInc-r0248</v>
      </c>
      <c r="T137" s="111">
        <f t="shared" si="41"/>
        <v>5.8456351741565049</v>
      </c>
      <c r="U137" s="111">
        <f t="shared" si="42"/>
        <v>6.4102351741565045</v>
      </c>
      <c r="V137" s="111">
        <f t="shared" si="43"/>
        <v>4.2224831741565048</v>
      </c>
      <c r="W137" s="111">
        <f t="shared" si="44"/>
        <v>3.3464831741565044</v>
      </c>
      <c r="X137" s="111">
        <f t="shared" si="45"/>
        <v>3.1013991741565046</v>
      </c>
      <c r="Y137" s="103"/>
      <c r="Z137" s="103"/>
      <c r="AA137" s="103" t="str">
        <f t="shared" si="46"/>
        <v>CFLratio0248</v>
      </c>
      <c r="AB137" s="103" t="str">
        <f t="shared" si="51"/>
        <v>CFLscw-Glb(19w)CFLratio0248</v>
      </c>
      <c r="AC137" s="103"/>
      <c r="AD137" s="108">
        <f t="shared" si="52"/>
        <v>1.2747527612347556</v>
      </c>
      <c r="AE137" s="108">
        <f t="shared" si="47"/>
        <v>1.0101527612347558</v>
      </c>
      <c r="AF137" s="108">
        <f t="shared" si="48"/>
        <v>1.4785247612347554</v>
      </c>
      <c r="AG137" s="108">
        <f t="shared" si="49"/>
        <v>2.3545247612347557</v>
      </c>
      <c r="AH137" s="108">
        <f t="shared" si="50"/>
        <v>1.9868987612347557</v>
      </c>
    </row>
    <row r="138" spans="2:34">
      <c r="B138" s="179">
        <f>IFERROR(MATCH(C138,'CFL &amp; Incand Cost Development'!$A$8:$A$290,0),0)</f>
        <v>150</v>
      </c>
      <c r="C138" s="111" t="s">
        <v>467</v>
      </c>
      <c r="D138" s="111">
        <f>INDEX('CFL &amp; Incand Cost Development'!AM$8:AM$290,$B138)</f>
        <v>7.0941879353912602</v>
      </c>
      <c r="E138" s="111">
        <f>INDEX('CFL &amp; Incand Cost Development'!AN$8:AN$290,$B138)</f>
        <v>7.3941879353912601</v>
      </c>
      <c r="F138" s="111">
        <f>INDEX('CFL &amp; Incand Cost Development'!AO$8:AO$290,$B138)</f>
        <v>5.6748079353912599</v>
      </c>
      <c r="G138" s="111">
        <f>INDEX('CFL &amp; Incand Cost Development'!AP$8:AP$290,$B138)</f>
        <v>5.6748079353912599</v>
      </c>
      <c r="H138" s="111">
        <f>INDEX('CFL &amp; Incand Cost Development'!AQ$8:AQ$290,$B138)</f>
        <v>5.0620979353912601</v>
      </c>
      <c r="I138" s="103"/>
      <c r="J138" s="183" t="str">
        <f>INDEX('CFL &amp; Incand Cost Development'!BS$8:BS$290,$B138)</f>
        <v>WRR0347_CFLscw-Glb(20w)</v>
      </c>
      <c r="K138" s="250">
        <f>INDEX('CFL &amp; Incand Cost Development'!BT$8:BT$290,$B138)</f>
        <v>69</v>
      </c>
      <c r="L138" s="250">
        <f>INDEX('CFL &amp; Incand Cost Development'!BU$8:BU$290,$B138)</f>
        <v>5.0237000000000007</v>
      </c>
      <c r="M138" s="250">
        <f>INDEX('CFL &amp; Incand Cost Development'!BV$8:BV$290,$B138)</f>
        <v>5.7647000000000004</v>
      </c>
      <c r="N138" s="250">
        <f>INDEX('CFL &amp; Incand Cost Development'!BW$8:BW$290,$B138)</f>
        <v>3.2647000000000004</v>
      </c>
      <c r="O138" s="250">
        <f>INDEX('CFL &amp; Incand Cost Development'!BX$8:BX$290,$B138)</f>
        <v>1.8047000000000004</v>
      </c>
      <c r="P138" s="250">
        <f>INDEX('CFL &amp; Incand Cost Development'!BY$8:BY$290,$B138)</f>
        <v>1.8047000000000004</v>
      </c>
      <c r="Q138" s="103"/>
      <c r="R138" s="103"/>
      <c r="S138" s="103" t="str">
        <f t="shared" si="40"/>
        <v>Std_CFLscw-Glb(20w)_60pInc-r0248</v>
      </c>
      <c r="T138" s="111">
        <f t="shared" si="41"/>
        <v>5.8518951741565051</v>
      </c>
      <c r="U138" s="111">
        <f t="shared" si="42"/>
        <v>6.4164951741565046</v>
      </c>
      <c r="V138" s="111">
        <f t="shared" si="43"/>
        <v>4.228743174156504</v>
      </c>
      <c r="W138" s="111">
        <f t="shared" si="44"/>
        <v>3.3527431741565046</v>
      </c>
      <c r="X138" s="111">
        <f t="shared" si="45"/>
        <v>3.1076591741565043</v>
      </c>
      <c r="Y138" s="103"/>
      <c r="Z138" s="103"/>
      <c r="AA138" s="103" t="str">
        <f t="shared" si="46"/>
        <v>CFLratio0248</v>
      </c>
      <c r="AB138" s="103" t="str">
        <f t="shared" si="51"/>
        <v>CFLscw-Glb(20w)CFLratio0248</v>
      </c>
      <c r="AC138" s="103"/>
      <c r="AD138" s="108">
        <f t="shared" si="52"/>
        <v>1.2422927612347552</v>
      </c>
      <c r="AE138" s="108">
        <f t="shared" si="47"/>
        <v>0.97769276123475546</v>
      </c>
      <c r="AF138" s="108">
        <f t="shared" si="48"/>
        <v>1.4460647612347559</v>
      </c>
      <c r="AG138" s="108">
        <f t="shared" si="49"/>
        <v>2.3220647612347554</v>
      </c>
      <c r="AH138" s="108">
        <f t="shared" si="50"/>
        <v>1.9544387612347558</v>
      </c>
    </row>
    <row r="139" spans="2:34">
      <c r="B139" s="179">
        <f>IFERROR(MATCH(C139,'CFL &amp; Incand Cost Development'!$A$8:$A$290,0),0)</f>
        <v>151</v>
      </c>
      <c r="C139" s="111" t="s">
        <v>469</v>
      </c>
      <c r="D139" s="111">
        <f>INDEX('CFL &amp; Incand Cost Development'!AM$8:AM$290,$B139)</f>
        <v>7.0417879353912598</v>
      </c>
      <c r="E139" s="111">
        <f>INDEX('CFL &amp; Incand Cost Development'!AN$8:AN$290,$B139)</f>
        <v>7.3417879353912596</v>
      </c>
      <c r="F139" s="111">
        <f>INDEX('CFL &amp; Incand Cost Development'!AO$8:AO$290,$B139)</f>
        <v>5.6224079353912595</v>
      </c>
      <c r="G139" s="111">
        <f>INDEX('CFL &amp; Incand Cost Development'!AP$8:AP$290,$B139)</f>
        <v>5.6224079353912595</v>
      </c>
      <c r="H139" s="111">
        <f>INDEX('CFL &amp; Incand Cost Development'!AQ$8:AQ$290,$B139)</f>
        <v>5.0096979353912596</v>
      </c>
      <c r="I139" s="103"/>
      <c r="J139" s="183" t="str">
        <f>INDEX('CFL &amp; Incand Cost Development'!BS$8:BS$290,$B139)</f>
        <v>WRR0347_CFLscw-Glb(22w)</v>
      </c>
      <c r="K139" s="250">
        <f>INDEX('CFL &amp; Incand Cost Development'!BT$8:BT$290,$B139)</f>
        <v>76</v>
      </c>
      <c r="L139" s="250">
        <f>INDEX('CFL &amp; Incand Cost Development'!BU$8:BU$290,$B139)</f>
        <v>5.0888000000000009</v>
      </c>
      <c r="M139" s="250">
        <f>INDEX('CFL &amp; Incand Cost Development'!BV$8:BV$290,$B139)</f>
        <v>5.8298000000000005</v>
      </c>
      <c r="N139" s="250">
        <f>INDEX('CFL &amp; Incand Cost Development'!BW$8:BW$290,$B139)</f>
        <v>3.3298000000000005</v>
      </c>
      <c r="O139" s="250">
        <f>INDEX('CFL &amp; Incand Cost Development'!BX$8:BX$290,$B139)</f>
        <v>1.8698000000000006</v>
      </c>
      <c r="P139" s="250">
        <f>INDEX('CFL &amp; Incand Cost Development'!BY$8:BY$290,$B139)</f>
        <v>1.8698000000000006</v>
      </c>
      <c r="Q139" s="103"/>
      <c r="R139" s="103"/>
      <c r="S139" s="103" t="str">
        <f t="shared" si="40"/>
        <v>Std_CFLscw-Glb(22w)_60pInc-r0248</v>
      </c>
      <c r="T139" s="111">
        <f t="shared" si="41"/>
        <v>5.8699951741565046</v>
      </c>
      <c r="U139" s="111">
        <f t="shared" si="42"/>
        <v>6.4345951741565042</v>
      </c>
      <c r="V139" s="111">
        <f t="shared" si="43"/>
        <v>4.2468431741565045</v>
      </c>
      <c r="W139" s="111">
        <f t="shared" si="44"/>
        <v>3.3708431741565041</v>
      </c>
      <c r="X139" s="111">
        <f t="shared" si="45"/>
        <v>3.1257591741565038</v>
      </c>
      <c r="Y139" s="103"/>
      <c r="Z139" s="103"/>
      <c r="AA139" s="103" t="str">
        <f t="shared" si="46"/>
        <v>CFLratio0248</v>
      </c>
      <c r="AB139" s="103" t="str">
        <f t="shared" si="51"/>
        <v>CFLscw-Glb(22w)CFLratio0248</v>
      </c>
      <c r="AC139" s="103"/>
      <c r="AD139" s="108">
        <f t="shared" si="52"/>
        <v>1.1717927612347552</v>
      </c>
      <c r="AE139" s="108">
        <f t="shared" si="47"/>
        <v>0.90719276123475545</v>
      </c>
      <c r="AF139" s="108">
        <f t="shared" si="48"/>
        <v>1.375564761234755</v>
      </c>
      <c r="AG139" s="108">
        <f t="shared" si="49"/>
        <v>2.2515647612347554</v>
      </c>
      <c r="AH139" s="108">
        <f t="shared" si="50"/>
        <v>1.8839387612347558</v>
      </c>
    </row>
    <row r="140" spans="2:34">
      <c r="B140" s="179">
        <f>IFERROR(MATCH(C140,'CFL &amp; Incand Cost Development'!$A$8:$A$290,0),0)</f>
        <v>152</v>
      </c>
      <c r="C140" s="111" t="s">
        <v>471</v>
      </c>
      <c r="D140" s="111">
        <f>INDEX('CFL &amp; Incand Cost Development'!AM$8:AM$290,$B140)</f>
        <v>7.0155879353912605</v>
      </c>
      <c r="E140" s="111">
        <f>INDEX('CFL &amp; Incand Cost Development'!AN$8:AN$290,$B140)</f>
        <v>7.3155879353912603</v>
      </c>
      <c r="F140" s="111">
        <f>INDEX('CFL &amp; Incand Cost Development'!AO$8:AO$290,$B140)</f>
        <v>5.5962079353912602</v>
      </c>
      <c r="G140" s="111">
        <f>INDEX('CFL &amp; Incand Cost Development'!AP$8:AP$290,$B140)</f>
        <v>5.5962079353912602</v>
      </c>
      <c r="H140" s="111">
        <f>INDEX('CFL &amp; Incand Cost Development'!AQ$8:AQ$290,$B140)</f>
        <v>4.9834979353912603</v>
      </c>
      <c r="I140" s="103"/>
      <c r="J140" s="183" t="str">
        <f>INDEX('CFL &amp; Incand Cost Development'!BS$8:BS$290,$B140)</f>
        <v>WRR0347_CFLscw-Glb(23w)</v>
      </c>
      <c r="K140" s="250">
        <f>INDEX('CFL &amp; Incand Cost Development'!BT$8:BT$290,$B140)</f>
        <v>80</v>
      </c>
      <c r="L140" s="250">
        <f>INDEX('CFL &amp; Incand Cost Development'!BU$8:BU$290,$B140)</f>
        <v>5.1260000000000003</v>
      </c>
      <c r="M140" s="250">
        <f>INDEX('CFL &amp; Incand Cost Development'!BV$8:BV$290,$B140)</f>
        <v>5.867</v>
      </c>
      <c r="N140" s="250">
        <f>INDEX('CFL &amp; Incand Cost Development'!BW$8:BW$290,$B140)</f>
        <v>3.367</v>
      </c>
      <c r="O140" s="250">
        <f>INDEX('CFL &amp; Incand Cost Development'!BX$8:BX$290,$B140)</f>
        <v>1.907</v>
      </c>
      <c r="P140" s="250">
        <f>INDEX('CFL &amp; Incand Cost Development'!BY$8:BY$290,$B140)</f>
        <v>1.907</v>
      </c>
      <c r="Q140" s="103"/>
      <c r="R140" s="103"/>
      <c r="S140" s="103" t="str">
        <f t="shared" si="40"/>
        <v>Std_CFLscw-Glb(23w)_60pInc-r0248</v>
      </c>
      <c r="T140" s="111">
        <f t="shared" si="41"/>
        <v>5.8818351741565049</v>
      </c>
      <c r="U140" s="111">
        <f t="shared" si="42"/>
        <v>6.4464351741565045</v>
      </c>
      <c r="V140" s="111">
        <f t="shared" si="43"/>
        <v>4.2586831741565039</v>
      </c>
      <c r="W140" s="111">
        <f t="shared" si="44"/>
        <v>3.3826831741565044</v>
      </c>
      <c r="X140" s="111">
        <f t="shared" si="45"/>
        <v>3.1375991741565041</v>
      </c>
      <c r="Y140" s="103"/>
      <c r="Z140" s="103"/>
      <c r="AA140" s="103" t="str">
        <f t="shared" si="46"/>
        <v>CFLratio0248</v>
      </c>
      <c r="AB140" s="103" t="str">
        <f t="shared" si="51"/>
        <v>CFLscw-Glb(23w)CFLratio0248</v>
      </c>
      <c r="AC140" s="103"/>
      <c r="AD140" s="108">
        <f t="shared" si="52"/>
        <v>1.1337527612347555</v>
      </c>
      <c r="AE140" s="108">
        <f t="shared" si="47"/>
        <v>0.86915276123475582</v>
      </c>
      <c r="AF140" s="108">
        <f t="shared" si="48"/>
        <v>1.3375247612347563</v>
      </c>
      <c r="AG140" s="108">
        <f t="shared" si="49"/>
        <v>2.2135247612347557</v>
      </c>
      <c r="AH140" s="108">
        <f t="shared" si="50"/>
        <v>1.8458987612347562</v>
      </c>
    </row>
    <row r="141" spans="2:34">
      <c r="B141" s="179">
        <f>IFERROR(MATCH(C141,'CFL &amp; Incand Cost Development'!$A$8:$A$290,0),0)</f>
        <v>166</v>
      </c>
      <c r="C141" s="111" t="s">
        <v>499</v>
      </c>
      <c r="D141" s="111">
        <f>INDEX('CFL &amp; Incand Cost Development'!AM$8:AM$290,$B141)</f>
        <v>7.38238793539126</v>
      </c>
      <c r="E141" s="111">
        <f>INDEX('CFL &amp; Incand Cost Development'!AN$8:AN$290,$B141)</f>
        <v>7.6823879353912599</v>
      </c>
      <c r="F141" s="111">
        <f>INDEX('CFL &amp; Incand Cost Development'!AO$8:AO$290,$B141)</f>
        <v>5.9630079353912597</v>
      </c>
      <c r="G141" s="111">
        <f>INDEX('CFL &amp; Incand Cost Development'!AP$8:AP$290,$B141)</f>
        <v>5.9630079353912597</v>
      </c>
      <c r="H141" s="111">
        <f>INDEX('CFL &amp; Incand Cost Development'!AQ$8:AQ$290,$B141)</f>
        <v>5.3502979353912599</v>
      </c>
      <c r="I141" s="103"/>
      <c r="J141" s="183" t="str">
        <f>INDEX('CFL &amp; Incand Cost Development'!BS$8:BS$290,$B141)</f>
        <v>WRR0347_CFLscw-Glb(9w)</v>
      </c>
      <c r="K141" s="250">
        <f>INDEX('CFL &amp; Incand Cost Development'!BT$8:BT$290,$B141)</f>
        <v>31</v>
      </c>
      <c r="L141" s="250">
        <f>INDEX('CFL &amp; Incand Cost Development'!BU$8:BU$290,$B141)</f>
        <v>3.3956000000000004</v>
      </c>
      <c r="M141" s="250">
        <f>INDEX('CFL &amp; Incand Cost Development'!BV$8:BV$290,$B141)</f>
        <v>4.1366000000000005</v>
      </c>
      <c r="N141" s="250">
        <f>INDEX('CFL &amp; Incand Cost Development'!BW$8:BW$290,$B141)</f>
        <v>1.6366000000000005</v>
      </c>
      <c r="O141" s="250">
        <f>INDEX('CFL &amp; Incand Cost Development'!BX$8:BX$290,$B141)</f>
        <v>0.17660000000000053</v>
      </c>
      <c r="P141" s="250">
        <f>INDEX('CFL &amp; Incand Cost Development'!BY$8:BY$290,$B141)</f>
        <v>0.17660000000000053</v>
      </c>
      <c r="Q141" s="103"/>
      <c r="R141" s="103"/>
      <c r="S141" s="103" t="str">
        <f t="shared" si="40"/>
        <v>Std_CFLscw-Glb(9w)_60pInc-r0248</v>
      </c>
      <c r="T141" s="111">
        <f t="shared" si="41"/>
        <v>4.9903151741565042</v>
      </c>
      <c r="U141" s="111">
        <f t="shared" si="42"/>
        <v>5.5549151741565046</v>
      </c>
      <c r="V141" s="111">
        <f t="shared" si="43"/>
        <v>3.3671631741565045</v>
      </c>
      <c r="W141" s="111">
        <f t="shared" si="44"/>
        <v>2.4911631741565046</v>
      </c>
      <c r="X141" s="111">
        <f t="shared" si="45"/>
        <v>2.2460791741565047</v>
      </c>
      <c r="Y141" s="103"/>
      <c r="Z141" s="103"/>
      <c r="AA141" s="103" t="str">
        <f t="shared" si="46"/>
        <v>CFLratio0248</v>
      </c>
      <c r="AB141" s="103" t="str">
        <f t="shared" si="51"/>
        <v>CFLscw-Glb(9w)CFLratio0248</v>
      </c>
      <c r="AC141" s="103"/>
      <c r="AD141" s="108">
        <f t="shared" si="52"/>
        <v>2.3920727612347559</v>
      </c>
      <c r="AE141" s="108">
        <f t="shared" si="47"/>
        <v>2.1274727612347553</v>
      </c>
      <c r="AF141" s="108">
        <f t="shared" si="48"/>
        <v>2.5958447612347553</v>
      </c>
      <c r="AG141" s="108">
        <f t="shared" si="49"/>
        <v>3.4718447612347552</v>
      </c>
      <c r="AH141" s="108">
        <f t="shared" si="50"/>
        <v>3.1042187612347552</v>
      </c>
    </row>
    <row r="142" spans="2:34">
      <c r="B142" s="179">
        <f>IFERROR(MATCH(C142,'CFL &amp; Incand Cost Development'!$A$8:$A$290,0),0)</f>
        <v>167</v>
      </c>
      <c r="C142" s="111" t="s">
        <v>42</v>
      </c>
      <c r="D142" s="111">
        <f>INDEX('CFL &amp; Incand Cost Development'!AM$8:AM$290,$B142)</f>
        <v>9.0137320484073786</v>
      </c>
      <c r="E142" s="111">
        <f>INDEX('CFL &amp; Incand Cost Development'!AN$8:AN$290,$B142)</f>
        <v>9.5897320484073791</v>
      </c>
      <c r="F142" s="111">
        <f>INDEX('CFL &amp; Incand Cost Development'!AO$8:AO$290,$B142)</f>
        <v>6.7956320484073789</v>
      </c>
      <c r="G142" s="111">
        <f>INDEX('CFL &amp; Incand Cost Development'!AP$8:AP$290,$B142)</f>
        <v>6.7956320484073789</v>
      </c>
      <c r="H142" s="111">
        <f>INDEX('CFL &amp; Incand Cost Development'!AQ$8:AQ$290,$B142)</f>
        <v>6.7956320484073789</v>
      </c>
      <c r="I142" s="103"/>
      <c r="J142" s="183" t="str">
        <f>INDEX('CFL &amp; Incand Cost Development'!BS$8:BS$290,$B142)</f>
        <v>WRR0409_CFLscw-PAR38(23w)</v>
      </c>
      <c r="K142" s="250">
        <f>INDEX('CFL &amp; Incand Cost Development'!BT$8:BT$290,$B142)</f>
        <v>94</v>
      </c>
      <c r="L142" s="250">
        <f>INDEX('CFL &amp; Incand Cost Development'!BU$8:BU$290,$B142)</f>
        <v>6.5119999999999987</v>
      </c>
      <c r="M142" s="250">
        <f>INDEX('CFL &amp; Incand Cost Development'!BV$8:BV$290,$B142)</f>
        <v>7.5189999999999992</v>
      </c>
      <c r="N142" s="250">
        <f>INDEX('CFL &amp; Incand Cost Development'!BW$8:BW$290,$B142)</f>
        <v>5.1989999999999998</v>
      </c>
      <c r="O142" s="250">
        <f>INDEX('CFL &amp; Incand Cost Development'!BX$8:BX$290,$B142)</f>
        <v>3.3489999999999998</v>
      </c>
      <c r="P142" s="250">
        <f>INDEX('CFL &amp; Incand Cost Development'!BY$8:BY$290,$B142)</f>
        <v>3.3489999999999998</v>
      </c>
      <c r="Q142" s="103"/>
      <c r="R142" s="103"/>
      <c r="S142" s="103" t="str">
        <f t="shared" si="40"/>
        <v>Std_CFLscw-PAR38(23w)_60pInc-r0286</v>
      </c>
      <c r="T142" s="111">
        <f t="shared" si="41"/>
        <v>7.5126928193629503</v>
      </c>
      <c r="U142" s="111">
        <f t="shared" si="42"/>
        <v>8.3472928193629521</v>
      </c>
      <c r="V142" s="111">
        <f t="shared" si="43"/>
        <v>5.8376528193629511</v>
      </c>
      <c r="W142" s="111">
        <f t="shared" si="44"/>
        <v>4.7276528193629517</v>
      </c>
      <c r="X142" s="111">
        <f t="shared" si="45"/>
        <v>4.7276528193629517</v>
      </c>
      <c r="Y142" s="103"/>
      <c r="Z142" s="103"/>
      <c r="AA142" s="103" t="str">
        <f t="shared" si="46"/>
        <v>CFLratio0286</v>
      </c>
      <c r="AB142" s="103" t="str">
        <f t="shared" si="51"/>
        <v>CFLscw-PAR38(23w)CFLratio0286</v>
      </c>
      <c r="AC142" s="103"/>
      <c r="AD142" s="108">
        <f t="shared" si="52"/>
        <v>1.5010392290444283</v>
      </c>
      <c r="AE142" s="108">
        <f t="shared" si="47"/>
        <v>1.2424392290444271</v>
      </c>
      <c r="AF142" s="108">
        <f t="shared" si="48"/>
        <v>0.95797922904442778</v>
      </c>
      <c r="AG142" s="108">
        <f t="shared" si="49"/>
        <v>2.0679792290444272</v>
      </c>
      <c r="AH142" s="108">
        <f t="shared" si="50"/>
        <v>2.0679792290444272</v>
      </c>
    </row>
    <row r="143" spans="2:34">
      <c r="B143" s="179">
        <f>IFERROR(MATCH(C143,'CFL &amp; Incand Cost Development'!$A$8:$A$290,0),0)</f>
        <v>186</v>
      </c>
      <c r="C143" s="111" t="s">
        <v>537</v>
      </c>
      <c r="D143" s="111">
        <f>INDEX('CFL &amp; Incand Cost Development'!AM$8:AM$290,$B143)</f>
        <v>7.0988320484073792</v>
      </c>
      <c r="E143" s="111">
        <f>INDEX('CFL &amp; Incand Cost Development'!AN$8:AN$290,$B143)</f>
        <v>7.6748320484073789</v>
      </c>
      <c r="F143" s="111">
        <f>INDEX('CFL &amp; Incand Cost Development'!AO$8:AO$290,$B143)</f>
        <v>4.8807320484073795</v>
      </c>
      <c r="G143" s="111">
        <f>INDEX('CFL &amp; Incand Cost Development'!AP$8:AP$290,$B143)</f>
        <v>4.8807320484073795</v>
      </c>
      <c r="H143" s="111">
        <f>INDEX('CFL &amp; Incand Cost Development'!AQ$8:AQ$290,$B143)</f>
        <v>4.8807320484073795</v>
      </c>
      <c r="I143" s="103"/>
      <c r="J143" s="183" t="str">
        <f>INDEX('CFL &amp; Incand Cost Development'!BS$8:BS$290,$B143)</f>
        <v>WRR0409_CFLscw-Refl(10w)</v>
      </c>
      <c r="K143" s="250">
        <f>INDEX('CFL &amp; Incand Cost Development'!BT$8:BT$290,$B143)</f>
        <v>41</v>
      </c>
      <c r="L143" s="250">
        <f>INDEX('CFL &amp; Incand Cost Development'!BU$8:BU$290,$B143)</f>
        <v>5.960799999999999</v>
      </c>
      <c r="M143" s="250">
        <f>INDEX('CFL &amp; Incand Cost Development'!BV$8:BV$290,$B143)</f>
        <v>6.9677999999999995</v>
      </c>
      <c r="N143" s="250">
        <f>INDEX('CFL &amp; Incand Cost Development'!BW$8:BW$290,$B143)</f>
        <v>4.6478000000000002</v>
      </c>
      <c r="O143" s="250">
        <f>INDEX('CFL &amp; Incand Cost Development'!BX$8:BX$290,$B143)</f>
        <v>2.7978000000000001</v>
      </c>
      <c r="P143" s="250">
        <f>INDEX('CFL &amp; Incand Cost Development'!BY$8:BY$290,$B143)</f>
        <v>2.7978000000000001</v>
      </c>
      <c r="Q143" s="103"/>
      <c r="R143" s="103"/>
      <c r="S143" s="103" t="str">
        <f t="shared" si="40"/>
        <v>Std_CFLscw-Refl(10w)_60pInc-r0286</v>
      </c>
      <c r="T143" s="111">
        <f t="shared" si="41"/>
        <v>6.4160128193629511</v>
      </c>
      <c r="U143" s="111">
        <f t="shared" si="42"/>
        <v>7.2506128193629511</v>
      </c>
      <c r="V143" s="111">
        <f t="shared" si="43"/>
        <v>4.7409728193629519</v>
      </c>
      <c r="W143" s="111">
        <f t="shared" si="44"/>
        <v>3.6309728193629516</v>
      </c>
      <c r="X143" s="111">
        <f t="shared" si="45"/>
        <v>3.6309728193629516</v>
      </c>
      <c r="Y143" s="103"/>
      <c r="Z143" s="103"/>
      <c r="AA143" s="103" t="str">
        <f t="shared" si="46"/>
        <v>CFLratio0286</v>
      </c>
      <c r="AB143" s="103" t="str">
        <f t="shared" si="51"/>
        <v>CFLscw-Refl(10w)CFLratio0286</v>
      </c>
      <c r="AC143" s="103"/>
      <c r="AD143" s="108">
        <f t="shared" si="52"/>
        <v>0.68281922904442816</v>
      </c>
      <c r="AE143" s="108">
        <f t="shared" si="47"/>
        <v>0.42421922904442777</v>
      </c>
      <c r="AF143" s="108">
        <f t="shared" si="48"/>
        <v>0.13975922904442761</v>
      </c>
      <c r="AG143" s="108">
        <f t="shared" si="49"/>
        <v>1.2497592290444279</v>
      </c>
      <c r="AH143" s="108">
        <f t="shared" si="50"/>
        <v>1.2497592290444279</v>
      </c>
    </row>
    <row r="144" spans="2:34">
      <c r="B144" s="179">
        <f>IFERROR(MATCH(C144,'CFL &amp; Incand Cost Development'!$A$8:$A$290,0),0)</f>
        <v>187</v>
      </c>
      <c r="C144" s="111" t="s">
        <v>540</v>
      </c>
      <c r="D144" s="111">
        <f>INDEX('CFL &amp; Incand Cost Development'!AM$8:AM$290,$B144)</f>
        <v>7.2461320484073797</v>
      </c>
      <c r="E144" s="111">
        <f>INDEX('CFL &amp; Incand Cost Development'!AN$8:AN$290,$B144)</f>
        <v>7.8221320484073793</v>
      </c>
      <c r="F144" s="111">
        <f>INDEX('CFL &amp; Incand Cost Development'!AO$8:AO$290,$B144)</f>
        <v>5.0280320484073791</v>
      </c>
      <c r="G144" s="111">
        <f>INDEX('CFL &amp; Incand Cost Development'!AP$8:AP$290,$B144)</f>
        <v>5.0280320484073791</v>
      </c>
      <c r="H144" s="111">
        <f>INDEX('CFL &amp; Incand Cost Development'!AQ$8:AQ$290,$B144)</f>
        <v>5.0280320484073791</v>
      </c>
      <c r="I144" s="103"/>
      <c r="J144" s="183" t="str">
        <f>INDEX('CFL &amp; Incand Cost Development'!BS$8:BS$290,$B144)</f>
        <v>WRR0409_CFLscw-Refl(11w)</v>
      </c>
      <c r="K144" s="250">
        <f>INDEX('CFL &amp; Incand Cost Development'!BT$8:BT$290,$B144)</f>
        <v>45</v>
      </c>
      <c r="L144" s="250">
        <f>INDEX('CFL &amp; Incand Cost Development'!BU$8:BU$290,$B144)</f>
        <v>6.0023999999999997</v>
      </c>
      <c r="M144" s="250">
        <f>INDEX('CFL &amp; Incand Cost Development'!BV$8:BV$290,$B144)</f>
        <v>7.0093999999999994</v>
      </c>
      <c r="N144" s="250">
        <f>INDEX('CFL &amp; Incand Cost Development'!BW$8:BW$290,$B144)</f>
        <v>4.6893999999999991</v>
      </c>
      <c r="O144" s="250">
        <f>INDEX('CFL &amp; Incand Cost Development'!BX$8:BX$290,$B144)</f>
        <v>2.839399999999999</v>
      </c>
      <c r="P144" s="250">
        <f>INDEX('CFL &amp; Incand Cost Development'!BY$8:BY$290,$B144)</f>
        <v>2.839399999999999</v>
      </c>
      <c r="Q144" s="103"/>
      <c r="R144" s="103"/>
      <c r="S144" s="103" t="str">
        <f t="shared" si="40"/>
        <v>Std_CFLscw-Refl(11w)_60pInc-r0286</v>
      </c>
      <c r="T144" s="111">
        <f t="shared" si="41"/>
        <v>6.4998928193629517</v>
      </c>
      <c r="U144" s="111">
        <f t="shared" si="42"/>
        <v>7.3344928193629517</v>
      </c>
      <c r="V144" s="111">
        <f t="shared" si="43"/>
        <v>4.8248528193629507</v>
      </c>
      <c r="W144" s="111">
        <f t="shared" si="44"/>
        <v>3.7148528193629513</v>
      </c>
      <c r="X144" s="111">
        <f t="shared" si="45"/>
        <v>3.7148528193629513</v>
      </c>
      <c r="Y144" s="103"/>
      <c r="Z144" s="103"/>
      <c r="AA144" s="103" t="str">
        <f t="shared" si="46"/>
        <v>CFLratio0286</v>
      </c>
      <c r="AB144" s="103" t="str">
        <f t="shared" si="51"/>
        <v>CFLscw-Refl(11w)CFLratio0286</v>
      </c>
      <c r="AC144" s="103"/>
      <c r="AD144" s="108">
        <f t="shared" si="52"/>
        <v>0.74623922904442797</v>
      </c>
      <c r="AE144" s="108">
        <f t="shared" si="47"/>
        <v>0.48763922904442758</v>
      </c>
      <c r="AF144" s="108">
        <f t="shared" si="48"/>
        <v>0.20317922904442831</v>
      </c>
      <c r="AG144" s="108">
        <f t="shared" si="49"/>
        <v>1.3131792290444277</v>
      </c>
      <c r="AH144" s="108">
        <f t="shared" si="50"/>
        <v>1.3131792290444277</v>
      </c>
    </row>
    <row r="145" spans="2:34">
      <c r="B145" s="179">
        <f>IFERROR(MATCH(C145,'CFL &amp; Incand Cost Development'!$A$8:$A$290,0),0)</f>
        <v>188</v>
      </c>
      <c r="C145" s="111" t="s">
        <v>543</v>
      </c>
      <c r="D145" s="111">
        <f>INDEX('CFL &amp; Incand Cost Development'!AM$8:AM$290,$B145)</f>
        <v>7.3934320484073792</v>
      </c>
      <c r="E145" s="111">
        <f>INDEX('CFL &amp; Incand Cost Development'!AN$8:AN$290,$B145)</f>
        <v>7.9694320484073788</v>
      </c>
      <c r="F145" s="111">
        <f>INDEX('CFL &amp; Incand Cost Development'!AO$8:AO$290,$B145)</f>
        <v>5.1753320484073786</v>
      </c>
      <c r="G145" s="111">
        <f>INDEX('CFL &amp; Incand Cost Development'!AP$8:AP$290,$B145)</f>
        <v>5.1753320484073786</v>
      </c>
      <c r="H145" s="111">
        <f>INDEX('CFL &amp; Incand Cost Development'!AQ$8:AQ$290,$B145)</f>
        <v>5.1753320484073786</v>
      </c>
      <c r="I145" s="103"/>
      <c r="J145" s="183" t="str">
        <f>INDEX('CFL &amp; Incand Cost Development'!BS$8:BS$290,$B145)</f>
        <v>WRR0409_CFLscw-Refl(12w)</v>
      </c>
      <c r="K145" s="250">
        <f>INDEX('CFL &amp; Incand Cost Development'!BT$8:BT$290,$B145)</f>
        <v>49</v>
      </c>
      <c r="L145" s="250">
        <f>INDEX('CFL &amp; Incand Cost Development'!BU$8:BU$290,$B145)</f>
        <v>6.0439999999999987</v>
      </c>
      <c r="M145" s="250">
        <f>INDEX('CFL &amp; Incand Cost Development'!BV$8:BV$290,$B145)</f>
        <v>7.0509999999999993</v>
      </c>
      <c r="N145" s="250">
        <f>INDEX('CFL &amp; Incand Cost Development'!BW$8:BW$290,$B145)</f>
        <v>4.7309999999999999</v>
      </c>
      <c r="O145" s="250">
        <f>INDEX('CFL &amp; Incand Cost Development'!BX$8:BX$290,$B145)</f>
        <v>2.8809999999999998</v>
      </c>
      <c r="P145" s="250">
        <f>INDEX('CFL &amp; Incand Cost Development'!BY$8:BY$290,$B145)</f>
        <v>2.8809999999999998</v>
      </c>
      <c r="Q145" s="103"/>
      <c r="R145" s="103"/>
      <c r="S145" s="103" t="str">
        <f t="shared" si="40"/>
        <v>Std_CFLscw-Refl(12w)_60pInc-r0286</v>
      </c>
      <c r="T145" s="111">
        <f t="shared" si="41"/>
        <v>6.5837728193629506</v>
      </c>
      <c r="U145" s="111">
        <f t="shared" si="42"/>
        <v>7.4183728193629506</v>
      </c>
      <c r="V145" s="111">
        <f t="shared" si="43"/>
        <v>4.9087328193629514</v>
      </c>
      <c r="W145" s="111">
        <f t="shared" si="44"/>
        <v>3.798732819362951</v>
      </c>
      <c r="X145" s="111">
        <f t="shared" si="45"/>
        <v>3.798732819362951</v>
      </c>
      <c r="Y145" s="103"/>
      <c r="Z145" s="103"/>
      <c r="AA145" s="103" t="str">
        <f t="shared" si="46"/>
        <v>CFLratio0286</v>
      </c>
      <c r="AB145" s="103" t="str">
        <f t="shared" si="51"/>
        <v>CFLscw-Refl(12w)CFLratio0286</v>
      </c>
      <c r="AC145" s="103"/>
      <c r="AD145" s="108">
        <f t="shared" si="52"/>
        <v>0.80965922904442866</v>
      </c>
      <c r="AE145" s="108">
        <f t="shared" si="47"/>
        <v>0.55105922904442828</v>
      </c>
      <c r="AF145" s="108">
        <f t="shared" si="48"/>
        <v>0.26659922904442723</v>
      </c>
      <c r="AG145" s="108">
        <f t="shared" si="49"/>
        <v>1.3765992290444276</v>
      </c>
      <c r="AH145" s="108">
        <f t="shared" si="50"/>
        <v>1.3765992290444276</v>
      </c>
    </row>
    <row r="146" spans="2:34">
      <c r="B146" s="179">
        <f>IFERROR(MATCH(C146,'CFL &amp; Incand Cost Development'!$A$8:$A$290,0),0)</f>
        <v>189</v>
      </c>
      <c r="C146" s="111" t="s">
        <v>546</v>
      </c>
      <c r="D146" s="111">
        <f>INDEX('CFL &amp; Incand Cost Development'!AM$8:AM$290,$B146)</f>
        <v>7.5407320484073788</v>
      </c>
      <c r="E146" s="111">
        <f>INDEX('CFL &amp; Incand Cost Development'!AN$8:AN$290,$B146)</f>
        <v>8.1167320484073784</v>
      </c>
      <c r="F146" s="111">
        <f>INDEX('CFL &amp; Incand Cost Development'!AO$8:AO$290,$B146)</f>
        <v>5.3226320484073781</v>
      </c>
      <c r="G146" s="111">
        <f>INDEX('CFL &amp; Incand Cost Development'!AP$8:AP$290,$B146)</f>
        <v>5.3226320484073781</v>
      </c>
      <c r="H146" s="111">
        <f>INDEX('CFL &amp; Incand Cost Development'!AQ$8:AQ$290,$B146)</f>
        <v>5.3226320484073781</v>
      </c>
      <c r="I146" s="103"/>
      <c r="J146" s="183" t="str">
        <f>INDEX('CFL &amp; Incand Cost Development'!BS$8:BS$290,$B146)</f>
        <v>WRR0409_CFLscw-Refl(13w)</v>
      </c>
      <c r="K146" s="250">
        <f>INDEX('CFL &amp; Incand Cost Development'!BT$8:BT$290,$B146)</f>
        <v>53</v>
      </c>
      <c r="L146" s="250">
        <f>INDEX('CFL &amp; Incand Cost Development'!BU$8:BU$290,$B146)</f>
        <v>6.0855999999999995</v>
      </c>
      <c r="M146" s="250">
        <f>INDEX('CFL &amp; Incand Cost Development'!BV$8:BV$290,$B146)</f>
        <v>7.0925999999999991</v>
      </c>
      <c r="N146" s="250">
        <f>INDEX('CFL &amp; Incand Cost Development'!BW$8:BW$290,$B146)</f>
        <v>4.7725999999999988</v>
      </c>
      <c r="O146" s="250">
        <f>INDEX('CFL &amp; Incand Cost Development'!BX$8:BX$290,$B146)</f>
        <v>2.9225999999999988</v>
      </c>
      <c r="P146" s="250">
        <f>INDEX('CFL &amp; Incand Cost Development'!BY$8:BY$290,$B146)</f>
        <v>2.9225999999999988</v>
      </c>
      <c r="Q146" s="103"/>
      <c r="R146" s="103"/>
      <c r="S146" s="103" t="str">
        <f t="shared" si="40"/>
        <v>Std_CFLscw-Refl(13w)_60pInc-r0286</v>
      </c>
      <c r="T146" s="111">
        <f t="shared" si="41"/>
        <v>6.6676528193629512</v>
      </c>
      <c r="U146" s="111">
        <f t="shared" si="42"/>
        <v>7.5022528193629512</v>
      </c>
      <c r="V146" s="111">
        <f t="shared" si="43"/>
        <v>4.9926128193629502</v>
      </c>
      <c r="W146" s="111">
        <f t="shared" si="44"/>
        <v>3.8826128193629508</v>
      </c>
      <c r="X146" s="111">
        <f t="shared" si="45"/>
        <v>3.8826128193629508</v>
      </c>
      <c r="Y146" s="103"/>
      <c r="Z146" s="103"/>
      <c r="AA146" s="103" t="str">
        <f t="shared" si="46"/>
        <v>CFLratio0286</v>
      </c>
      <c r="AB146" s="103" t="str">
        <f t="shared" si="51"/>
        <v>CFLscw-Refl(13w)CFLratio0286</v>
      </c>
      <c r="AC146" s="103"/>
      <c r="AD146" s="108">
        <f t="shared" si="52"/>
        <v>0.87307922904442758</v>
      </c>
      <c r="AE146" s="108">
        <f t="shared" si="47"/>
        <v>0.6144792290444272</v>
      </c>
      <c r="AF146" s="108">
        <f t="shared" si="48"/>
        <v>0.33001922904442793</v>
      </c>
      <c r="AG146" s="108">
        <f t="shared" si="49"/>
        <v>1.4400192290444274</v>
      </c>
      <c r="AH146" s="108">
        <f t="shared" si="50"/>
        <v>1.4400192290444274</v>
      </c>
    </row>
    <row r="147" spans="2:34">
      <c r="B147" s="179">
        <f>IFERROR(MATCH(C147,'CFL &amp; Incand Cost Development'!$A$8:$A$290,0),0)</f>
        <v>190</v>
      </c>
      <c r="C147" s="111" t="s">
        <v>549</v>
      </c>
      <c r="D147" s="111">
        <f>INDEX('CFL &amp; Incand Cost Development'!AM$8:AM$290,$B147)</f>
        <v>7.6880320484073801</v>
      </c>
      <c r="E147" s="111">
        <f>INDEX('CFL &amp; Incand Cost Development'!AN$8:AN$290,$B147)</f>
        <v>8.2640320484073797</v>
      </c>
      <c r="F147" s="111">
        <f>INDEX('CFL &amp; Incand Cost Development'!AO$8:AO$290,$B147)</f>
        <v>5.4699320484073795</v>
      </c>
      <c r="G147" s="111">
        <f>INDEX('CFL &amp; Incand Cost Development'!AP$8:AP$290,$B147)</f>
        <v>5.4699320484073795</v>
      </c>
      <c r="H147" s="111">
        <f>INDEX('CFL &amp; Incand Cost Development'!AQ$8:AQ$290,$B147)</f>
        <v>5.4699320484073795</v>
      </c>
      <c r="I147" s="103"/>
      <c r="J147" s="183" t="str">
        <f>INDEX('CFL &amp; Incand Cost Development'!BS$8:BS$290,$B147)</f>
        <v>WRR0409_CFLscw-Refl(14w)</v>
      </c>
      <c r="K147" s="250">
        <f>INDEX('CFL &amp; Incand Cost Development'!BT$8:BT$290,$B147)</f>
        <v>57</v>
      </c>
      <c r="L147" s="250">
        <f>INDEX('CFL &amp; Incand Cost Development'!BU$8:BU$290,$B147)</f>
        <v>6.1272000000000002</v>
      </c>
      <c r="M147" s="250">
        <f>INDEX('CFL &amp; Incand Cost Development'!BV$8:BV$290,$B147)</f>
        <v>7.1341999999999999</v>
      </c>
      <c r="N147" s="250">
        <f>INDEX('CFL &amp; Incand Cost Development'!BW$8:BW$290,$B147)</f>
        <v>4.8141999999999996</v>
      </c>
      <c r="O147" s="250">
        <f>INDEX('CFL &amp; Incand Cost Development'!BX$8:BX$290,$B147)</f>
        <v>2.9641999999999995</v>
      </c>
      <c r="P147" s="250">
        <f>INDEX('CFL &amp; Incand Cost Development'!BY$8:BY$290,$B147)</f>
        <v>2.9641999999999995</v>
      </c>
      <c r="Q147" s="103"/>
      <c r="R147" s="103"/>
      <c r="S147" s="103" t="str">
        <f t="shared" si="40"/>
        <v>Std_CFLscw-Refl(14w)_60pInc-r0286</v>
      </c>
      <c r="T147" s="111">
        <f t="shared" si="41"/>
        <v>6.7515328193629518</v>
      </c>
      <c r="U147" s="111">
        <f t="shared" si="42"/>
        <v>7.5861328193629518</v>
      </c>
      <c r="V147" s="111">
        <f t="shared" si="43"/>
        <v>5.0764928193629517</v>
      </c>
      <c r="W147" s="111">
        <f t="shared" si="44"/>
        <v>3.9664928193629514</v>
      </c>
      <c r="X147" s="111">
        <f t="shared" si="45"/>
        <v>3.9664928193629514</v>
      </c>
      <c r="Y147" s="103"/>
      <c r="Z147" s="103"/>
      <c r="AA147" s="103" t="str">
        <f t="shared" si="46"/>
        <v>CFLratio0286</v>
      </c>
      <c r="AB147" s="103" t="str">
        <f t="shared" si="51"/>
        <v>CFLscw-Refl(14w)CFLratio0286</v>
      </c>
      <c r="AC147" s="103"/>
      <c r="AD147" s="108">
        <f t="shared" si="52"/>
        <v>0.93649922904442828</v>
      </c>
      <c r="AE147" s="108">
        <f t="shared" si="47"/>
        <v>0.6778992290444279</v>
      </c>
      <c r="AF147" s="108">
        <f t="shared" si="48"/>
        <v>0.39343922904442774</v>
      </c>
      <c r="AG147" s="108">
        <f t="shared" si="49"/>
        <v>1.5034392290444281</v>
      </c>
      <c r="AH147" s="108">
        <f t="shared" si="50"/>
        <v>1.5034392290444281</v>
      </c>
    </row>
    <row r="148" spans="2:34">
      <c r="B148" s="179">
        <f>IFERROR(MATCH(C148,'CFL &amp; Incand Cost Development'!$A$8:$A$290,0),0)</f>
        <v>192</v>
      </c>
      <c r="C148" s="111" t="s">
        <v>555</v>
      </c>
      <c r="D148" s="111">
        <f>INDEX('CFL &amp; Incand Cost Development'!AM$8:AM$290,$B148)</f>
        <v>7.9826320484073792</v>
      </c>
      <c r="E148" s="111">
        <f>INDEX('CFL &amp; Incand Cost Development'!AN$8:AN$290,$B148)</f>
        <v>8.5586320484073788</v>
      </c>
      <c r="F148" s="111">
        <f>INDEX('CFL &amp; Incand Cost Development'!AO$8:AO$290,$B148)</f>
        <v>5.7645320484073785</v>
      </c>
      <c r="G148" s="111">
        <f>INDEX('CFL &amp; Incand Cost Development'!AP$8:AP$290,$B148)</f>
        <v>5.7645320484073785</v>
      </c>
      <c r="H148" s="111">
        <f>INDEX('CFL &amp; Incand Cost Development'!AQ$8:AQ$290,$B148)</f>
        <v>5.7645320484073785</v>
      </c>
      <c r="I148" s="103"/>
      <c r="J148" s="183" t="str">
        <f>INDEX('CFL &amp; Incand Cost Development'!BS$8:BS$290,$B148)</f>
        <v>WRR0409_CFLscw-Refl(16w)</v>
      </c>
      <c r="K148" s="250">
        <f>INDEX('CFL &amp; Incand Cost Development'!BT$8:BT$290,$B148)</f>
        <v>65</v>
      </c>
      <c r="L148" s="250">
        <f>INDEX('CFL &amp; Incand Cost Development'!BU$8:BU$290,$B148)</f>
        <v>6.2103999999999999</v>
      </c>
      <c r="M148" s="250">
        <f>INDEX('CFL &amp; Incand Cost Development'!BV$8:BV$290,$B148)</f>
        <v>7.2173999999999996</v>
      </c>
      <c r="N148" s="250">
        <f>INDEX('CFL &amp; Incand Cost Development'!BW$8:BW$290,$B148)</f>
        <v>4.8973999999999993</v>
      </c>
      <c r="O148" s="250">
        <f>INDEX('CFL &amp; Incand Cost Development'!BX$8:BX$290,$B148)</f>
        <v>3.0473999999999992</v>
      </c>
      <c r="P148" s="250">
        <f>INDEX('CFL &amp; Incand Cost Development'!BY$8:BY$290,$B148)</f>
        <v>3.0473999999999992</v>
      </c>
      <c r="Q148" s="103"/>
      <c r="R148" s="103"/>
      <c r="S148" s="103" t="str">
        <f t="shared" si="40"/>
        <v>Std_CFLscw-Refl(16w)_60pInc-r0286</v>
      </c>
      <c r="T148" s="111">
        <f t="shared" si="41"/>
        <v>6.9192928193629513</v>
      </c>
      <c r="U148" s="111">
        <f t="shared" si="42"/>
        <v>7.7538928193629513</v>
      </c>
      <c r="V148" s="111">
        <f t="shared" si="43"/>
        <v>5.2442528193629512</v>
      </c>
      <c r="W148" s="111">
        <f t="shared" si="44"/>
        <v>4.1342528193629509</v>
      </c>
      <c r="X148" s="111">
        <f t="shared" si="45"/>
        <v>4.1342528193629509</v>
      </c>
      <c r="Y148" s="103"/>
      <c r="Z148" s="103"/>
      <c r="AA148" s="103" t="str">
        <f t="shared" si="46"/>
        <v>CFLratio0286</v>
      </c>
      <c r="AB148" s="103" t="str">
        <f t="shared" si="51"/>
        <v>CFLscw-Refl(16w)CFLratio0286</v>
      </c>
      <c r="AC148" s="103"/>
      <c r="AD148" s="108">
        <f t="shared" si="52"/>
        <v>1.0633392290444279</v>
      </c>
      <c r="AE148" s="108">
        <f t="shared" si="47"/>
        <v>0.80473922904442752</v>
      </c>
      <c r="AF148" s="108">
        <f t="shared" si="48"/>
        <v>0.52027922904442736</v>
      </c>
      <c r="AG148" s="108">
        <f t="shared" si="49"/>
        <v>1.6302792290444277</v>
      </c>
      <c r="AH148" s="108">
        <f t="shared" si="50"/>
        <v>1.6302792290444277</v>
      </c>
    </row>
    <row r="149" spans="2:34">
      <c r="B149" s="179">
        <f>IFERROR(MATCH(C149,'CFL &amp; Incand Cost Development'!$A$8:$A$290,0),0)</f>
        <v>193</v>
      </c>
      <c r="C149" s="111" t="s">
        <v>558</v>
      </c>
      <c r="D149" s="111">
        <f>INDEX('CFL &amp; Incand Cost Development'!AM$8:AM$290,$B149)</f>
        <v>8.1299320484073778</v>
      </c>
      <c r="E149" s="111">
        <f>INDEX('CFL &amp; Incand Cost Development'!AN$8:AN$290,$B149)</f>
        <v>8.7059320484073783</v>
      </c>
      <c r="F149" s="111">
        <f>INDEX('CFL &amp; Incand Cost Development'!AO$8:AO$290,$B149)</f>
        <v>5.9118320484073781</v>
      </c>
      <c r="G149" s="111">
        <f>INDEX('CFL &amp; Incand Cost Development'!AP$8:AP$290,$B149)</f>
        <v>5.9118320484073781</v>
      </c>
      <c r="H149" s="111">
        <f>INDEX('CFL &amp; Incand Cost Development'!AQ$8:AQ$290,$B149)</f>
        <v>5.9118320484073781</v>
      </c>
      <c r="I149" s="103"/>
      <c r="J149" s="183" t="str">
        <f>INDEX('CFL &amp; Incand Cost Development'!BS$8:BS$290,$B149)</f>
        <v>WRR0409_CFLscw-Refl(17w)</v>
      </c>
      <c r="K149" s="250">
        <f>INDEX('CFL &amp; Incand Cost Development'!BT$8:BT$290,$B149)</f>
        <v>70</v>
      </c>
      <c r="L149" s="250">
        <f>INDEX('CFL &amp; Incand Cost Development'!BU$8:BU$290,$B149)</f>
        <v>6.2623999999999995</v>
      </c>
      <c r="M149" s="250">
        <f>INDEX('CFL &amp; Incand Cost Development'!BV$8:BV$290,$B149)</f>
        <v>7.2693999999999992</v>
      </c>
      <c r="N149" s="250">
        <f>INDEX('CFL &amp; Incand Cost Development'!BW$8:BW$290,$B149)</f>
        <v>4.9493999999999989</v>
      </c>
      <c r="O149" s="250">
        <f>INDEX('CFL &amp; Incand Cost Development'!BX$8:BX$290,$B149)</f>
        <v>3.0993999999999988</v>
      </c>
      <c r="P149" s="250">
        <f>INDEX('CFL &amp; Incand Cost Development'!BY$8:BY$290,$B149)</f>
        <v>3.0993999999999988</v>
      </c>
      <c r="Q149" s="103"/>
      <c r="R149" s="103"/>
      <c r="S149" s="103" t="str">
        <f t="shared" si="40"/>
        <v>Std_CFLscw-Refl(17w)_60pInc-r0286</v>
      </c>
      <c r="T149" s="111">
        <f t="shared" si="41"/>
        <v>7.0094128193629501</v>
      </c>
      <c r="U149" s="111">
        <f t="shared" si="42"/>
        <v>7.844012819362951</v>
      </c>
      <c r="V149" s="111">
        <f t="shared" si="43"/>
        <v>5.3343728193629509</v>
      </c>
      <c r="W149" s="111">
        <f t="shared" si="44"/>
        <v>4.2243728193629506</v>
      </c>
      <c r="X149" s="111">
        <f t="shared" si="45"/>
        <v>4.2243728193629506</v>
      </c>
      <c r="Y149" s="103"/>
      <c r="Z149" s="103"/>
      <c r="AA149" s="103" t="str">
        <f t="shared" si="46"/>
        <v>CFLratio0286</v>
      </c>
      <c r="AB149" s="103" t="str">
        <f t="shared" si="51"/>
        <v>CFLscw-Refl(17w)CFLratio0286</v>
      </c>
      <c r="AC149" s="103"/>
      <c r="AD149" s="108">
        <f t="shared" si="52"/>
        <v>1.1205192290444277</v>
      </c>
      <c r="AE149" s="108">
        <f t="shared" si="47"/>
        <v>0.8619192290444273</v>
      </c>
      <c r="AF149" s="108">
        <f t="shared" si="48"/>
        <v>0.57745922904442715</v>
      </c>
      <c r="AG149" s="108">
        <f t="shared" si="49"/>
        <v>1.6874592290444275</v>
      </c>
      <c r="AH149" s="108">
        <f t="shared" si="50"/>
        <v>1.6874592290444275</v>
      </c>
    </row>
    <row r="150" spans="2:34">
      <c r="B150" s="179">
        <f>IFERROR(MATCH(C150,'CFL &amp; Incand Cost Development'!$A$8:$A$290,0),0)</f>
        <v>194</v>
      </c>
      <c r="C150" s="111" t="s">
        <v>561</v>
      </c>
      <c r="D150" s="111">
        <f>INDEX('CFL &amp; Incand Cost Development'!AM$8:AM$290,$B150)</f>
        <v>8.2772320484073774</v>
      </c>
      <c r="E150" s="111">
        <f>INDEX('CFL &amp; Incand Cost Development'!AN$8:AN$290,$B150)</f>
        <v>8.8532320484073779</v>
      </c>
      <c r="F150" s="111">
        <f>INDEX('CFL &amp; Incand Cost Development'!AO$8:AO$290,$B150)</f>
        <v>6.0591320484073776</v>
      </c>
      <c r="G150" s="111">
        <f>INDEX('CFL &amp; Incand Cost Development'!AP$8:AP$290,$B150)</f>
        <v>6.0591320484073776</v>
      </c>
      <c r="H150" s="111">
        <f>INDEX('CFL &amp; Incand Cost Development'!AQ$8:AQ$290,$B150)</f>
        <v>6.0591320484073776</v>
      </c>
      <c r="I150" s="103"/>
      <c r="J150" s="183" t="str">
        <f>INDEX('CFL &amp; Incand Cost Development'!BS$8:BS$290,$B150)</f>
        <v>WRR0409_CFLscw-Refl(18w)</v>
      </c>
      <c r="K150" s="250">
        <f>INDEX('CFL &amp; Incand Cost Development'!BT$8:BT$290,$B150)</f>
        <v>74</v>
      </c>
      <c r="L150" s="250">
        <f>INDEX('CFL &amp; Incand Cost Development'!BU$8:BU$290,$B150)</f>
        <v>6.3039999999999985</v>
      </c>
      <c r="M150" s="250">
        <f>INDEX('CFL &amp; Incand Cost Development'!BV$8:BV$290,$B150)</f>
        <v>7.3109999999999991</v>
      </c>
      <c r="N150" s="250">
        <f>INDEX('CFL &amp; Incand Cost Development'!BW$8:BW$290,$B150)</f>
        <v>4.9909999999999997</v>
      </c>
      <c r="O150" s="250">
        <f>INDEX('CFL &amp; Incand Cost Development'!BX$8:BX$290,$B150)</f>
        <v>3.1409999999999996</v>
      </c>
      <c r="P150" s="250">
        <f>INDEX('CFL &amp; Incand Cost Development'!BY$8:BY$290,$B150)</f>
        <v>3.1409999999999996</v>
      </c>
      <c r="Q150" s="103"/>
      <c r="R150" s="103"/>
      <c r="S150" s="103" t="str">
        <f t="shared" si="40"/>
        <v>Std_CFLscw-Refl(18w)_60pInc-r0286</v>
      </c>
      <c r="T150" s="111">
        <f t="shared" si="41"/>
        <v>7.0932928193629508</v>
      </c>
      <c r="U150" s="111">
        <f t="shared" si="42"/>
        <v>7.9278928193629508</v>
      </c>
      <c r="V150" s="111">
        <f t="shared" si="43"/>
        <v>5.4182528193629516</v>
      </c>
      <c r="W150" s="111">
        <f t="shared" si="44"/>
        <v>4.3082528193629512</v>
      </c>
      <c r="X150" s="111">
        <f t="shared" si="45"/>
        <v>4.3082528193629512</v>
      </c>
      <c r="Y150" s="103"/>
      <c r="Z150" s="103"/>
      <c r="AA150" s="103" t="str">
        <f t="shared" si="46"/>
        <v>CFLratio0286</v>
      </c>
      <c r="AB150" s="103" t="str">
        <f t="shared" si="51"/>
        <v>CFLscw-Refl(18w)CFLratio0286</v>
      </c>
      <c r="AC150" s="103"/>
      <c r="AD150" s="108">
        <f t="shared" si="52"/>
        <v>1.1839392290444266</v>
      </c>
      <c r="AE150" s="108">
        <f t="shared" si="47"/>
        <v>0.92533922904442711</v>
      </c>
      <c r="AF150" s="108">
        <f t="shared" si="48"/>
        <v>0.64087922904442607</v>
      </c>
      <c r="AG150" s="108">
        <f t="shared" si="49"/>
        <v>1.7508792290444264</v>
      </c>
      <c r="AH150" s="108">
        <f t="shared" si="50"/>
        <v>1.7508792290444264</v>
      </c>
    </row>
    <row r="151" spans="2:34">
      <c r="B151" s="179">
        <f>IFERROR(MATCH(C151,'CFL &amp; Incand Cost Development'!$A$8:$A$290,0),0)</f>
        <v>195</v>
      </c>
      <c r="C151" s="111" t="s">
        <v>564</v>
      </c>
      <c r="D151" s="111">
        <f>INDEX('CFL &amp; Incand Cost Development'!AM$8:AM$290,$B151)</f>
        <v>8.4245320484073787</v>
      </c>
      <c r="E151" s="111">
        <f>INDEX('CFL &amp; Incand Cost Development'!AN$8:AN$290,$B151)</f>
        <v>9.0005320484073792</v>
      </c>
      <c r="F151" s="111">
        <f>INDEX('CFL &amp; Incand Cost Development'!AO$8:AO$290,$B151)</f>
        <v>6.2064320484073789</v>
      </c>
      <c r="G151" s="111">
        <f>INDEX('CFL &amp; Incand Cost Development'!AP$8:AP$290,$B151)</f>
        <v>6.2064320484073789</v>
      </c>
      <c r="H151" s="111">
        <f>INDEX('CFL &amp; Incand Cost Development'!AQ$8:AQ$290,$B151)</f>
        <v>6.2064320484073789</v>
      </c>
      <c r="I151" s="103"/>
      <c r="J151" s="183" t="str">
        <f>INDEX('CFL &amp; Incand Cost Development'!BS$8:BS$290,$B151)</f>
        <v>WRR0409_CFLscw-Refl(19w)</v>
      </c>
      <c r="K151" s="250">
        <f>INDEX('CFL &amp; Incand Cost Development'!BT$8:BT$290,$B151)</f>
        <v>78</v>
      </c>
      <c r="L151" s="250">
        <f>INDEX('CFL &amp; Incand Cost Development'!BU$8:BU$290,$B151)</f>
        <v>6.3455999999999992</v>
      </c>
      <c r="M151" s="250">
        <f>INDEX('CFL &amp; Incand Cost Development'!BV$8:BV$290,$B151)</f>
        <v>7.3525999999999989</v>
      </c>
      <c r="N151" s="250">
        <f>INDEX('CFL &amp; Incand Cost Development'!BW$8:BW$290,$B151)</f>
        <v>5.0325999999999986</v>
      </c>
      <c r="O151" s="250">
        <f>INDEX('CFL &amp; Incand Cost Development'!BX$8:BX$290,$B151)</f>
        <v>3.1825999999999985</v>
      </c>
      <c r="P151" s="250">
        <f>INDEX('CFL &amp; Incand Cost Development'!BY$8:BY$290,$B151)</f>
        <v>3.1825999999999985</v>
      </c>
      <c r="Q151" s="103"/>
      <c r="R151" s="103"/>
      <c r="S151" s="103" t="str">
        <f t="shared" si="40"/>
        <v>Std_CFLscw-Refl(19w)_60pInc-r0286</v>
      </c>
      <c r="T151" s="111">
        <f t="shared" si="41"/>
        <v>7.1771728193629514</v>
      </c>
      <c r="U151" s="111">
        <f t="shared" si="42"/>
        <v>8.0117728193629496</v>
      </c>
      <c r="V151" s="111">
        <f t="shared" si="43"/>
        <v>5.5021328193629504</v>
      </c>
      <c r="W151" s="111">
        <f t="shared" si="44"/>
        <v>4.392132819362951</v>
      </c>
      <c r="X151" s="111">
        <f t="shared" si="45"/>
        <v>4.392132819362951</v>
      </c>
      <c r="Y151" s="103"/>
      <c r="Z151" s="103"/>
      <c r="AA151" s="103" t="str">
        <f t="shared" si="46"/>
        <v>CFLratio0286</v>
      </c>
      <c r="AB151" s="103" t="str">
        <f t="shared" si="51"/>
        <v>CFLscw-Refl(19w)CFLratio0286</v>
      </c>
      <c r="AC151" s="103"/>
      <c r="AD151" s="108">
        <f t="shared" si="52"/>
        <v>1.2473592290444273</v>
      </c>
      <c r="AE151" s="108">
        <f t="shared" si="47"/>
        <v>0.98875922904442959</v>
      </c>
      <c r="AF151" s="108">
        <f t="shared" si="48"/>
        <v>0.70429922904442854</v>
      </c>
      <c r="AG151" s="108">
        <f t="shared" si="49"/>
        <v>1.814299229044428</v>
      </c>
      <c r="AH151" s="108">
        <f t="shared" si="50"/>
        <v>1.814299229044428</v>
      </c>
    </row>
    <row r="152" spans="2:34">
      <c r="B152" s="179">
        <f>IFERROR(MATCH(C152,'CFL &amp; Incand Cost Development'!$A$8:$A$290,0),0)</f>
        <v>197</v>
      </c>
      <c r="C152" s="111" t="s">
        <v>570</v>
      </c>
      <c r="D152" s="111">
        <f>INDEX('CFL &amp; Incand Cost Development'!AM$8:AM$290,$B152)</f>
        <v>8.5718320484073782</v>
      </c>
      <c r="E152" s="111">
        <f>INDEX('CFL &amp; Incand Cost Development'!AN$8:AN$290,$B152)</f>
        <v>9.1478320484073787</v>
      </c>
      <c r="F152" s="111">
        <f>INDEX('CFL &amp; Incand Cost Development'!AO$8:AO$290,$B152)</f>
        <v>6.3537320484073785</v>
      </c>
      <c r="G152" s="111">
        <f>INDEX('CFL &amp; Incand Cost Development'!AP$8:AP$290,$B152)</f>
        <v>6.3537320484073785</v>
      </c>
      <c r="H152" s="111">
        <f>INDEX('CFL &amp; Incand Cost Development'!AQ$8:AQ$290,$B152)</f>
        <v>6.3537320484073785</v>
      </c>
      <c r="I152" s="103"/>
      <c r="J152" s="183" t="str">
        <f>INDEX('CFL &amp; Incand Cost Development'!BS$8:BS$290,$B152)</f>
        <v>WRR0409_CFLscw-Refl(20w)</v>
      </c>
      <c r="K152" s="250">
        <f>INDEX('CFL &amp; Incand Cost Development'!BT$8:BT$290,$B152)</f>
        <v>82</v>
      </c>
      <c r="L152" s="250">
        <f>INDEX('CFL &amp; Incand Cost Development'!BU$8:BU$290,$B152)</f>
        <v>6.3872</v>
      </c>
      <c r="M152" s="250">
        <f>INDEX('CFL &amp; Incand Cost Development'!BV$8:BV$290,$B152)</f>
        <v>7.3941999999999997</v>
      </c>
      <c r="N152" s="250">
        <f>INDEX('CFL &amp; Incand Cost Development'!BW$8:BW$290,$B152)</f>
        <v>5.0741999999999994</v>
      </c>
      <c r="O152" s="250">
        <f>INDEX('CFL &amp; Incand Cost Development'!BX$8:BX$290,$B152)</f>
        <v>3.2241999999999993</v>
      </c>
      <c r="P152" s="250">
        <f>INDEX('CFL &amp; Incand Cost Development'!BY$8:BY$290,$B152)</f>
        <v>3.2241999999999993</v>
      </c>
      <c r="Q152" s="103"/>
      <c r="R152" s="103"/>
      <c r="S152" s="103" t="str">
        <f t="shared" si="40"/>
        <v>Std_CFLscw-Refl(20w)_60pInc-r0286</v>
      </c>
      <c r="T152" s="111">
        <f t="shared" si="41"/>
        <v>7.2610528193629511</v>
      </c>
      <c r="U152" s="111">
        <f t="shared" si="42"/>
        <v>8.095652819362952</v>
      </c>
      <c r="V152" s="111">
        <f t="shared" si="43"/>
        <v>5.586012819362951</v>
      </c>
      <c r="W152" s="111">
        <f t="shared" si="44"/>
        <v>4.4760128193629516</v>
      </c>
      <c r="X152" s="111">
        <f t="shared" si="45"/>
        <v>4.4760128193629516</v>
      </c>
      <c r="Y152" s="103"/>
      <c r="Z152" s="103"/>
      <c r="AA152" s="103" t="str">
        <f t="shared" si="46"/>
        <v>CFLratio0286</v>
      </c>
      <c r="AB152" s="103" t="str">
        <f t="shared" si="51"/>
        <v>CFLscw-Refl(20w)CFLratio0286</v>
      </c>
      <c r="AC152" s="103"/>
      <c r="AD152" s="108">
        <f t="shared" si="52"/>
        <v>1.3107792290444271</v>
      </c>
      <c r="AE152" s="108">
        <f t="shared" si="47"/>
        <v>1.0521792290444267</v>
      </c>
      <c r="AF152" s="108">
        <f t="shared" si="48"/>
        <v>0.76771922904442746</v>
      </c>
      <c r="AG152" s="108">
        <f t="shared" si="49"/>
        <v>1.8777192290444269</v>
      </c>
      <c r="AH152" s="108">
        <f t="shared" si="50"/>
        <v>1.8777192290444269</v>
      </c>
    </row>
    <row r="153" spans="2:34">
      <c r="B153" s="179">
        <f>IFERROR(MATCH(C153,'CFL &amp; Incand Cost Development'!$A$8:$A$290,0),0)</f>
        <v>198</v>
      </c>
      <c r="C153" s="111" t="s">
        <v>573</v>
      </c>
      <c r="D153" s="111">
        <f>INDEX('CFL &amp; Incand Cost Development'!AM$8:AM$290,$B153)</f>
        <v>8.7191320484073778</v>
      </c>
      <c r="E153" s="111">
        <f>INDEX('CFL &amp; Incand Cost Development'!AN$8:AN$290,$B153)</f>
        <v>9.2951320484073783</v>
      </c>
      <c r="F153" s="111">
        <f>INDEX('CFL &amp; Incand Cost Development'!AO$8:AO$290,$B153)</f>
        <v>6.501032048407378</v>
      </c>
      <c r="G153" s="111">
        <f>INDEX('CFL &amp; Incand Cost Development'!AP$8:AP$290,$B153)</f>
        <v>6.501032048407378</v>
      </c>
      <c r="H153" s="111">
        <f>INDEX('CFL &amp; Incand Cost Development'!AQ$8:AQ$290,$B153)</f>
        <v>6.501032048407378</v>
      </c>
      <c r="I153" s="103"/>
      <c r="J153" s="183" t="str">
        <f>INDEX('CFL &amp; Incand Cost Development'!BS$8:BS$290,$B153)</f>
        <v>WRR0409_CFLscw-Refl(21w)</v>
      </c>
      <c r="K153" s="250">
        <f>INDEX('CFL &amp; Incand Cost Development'!BT$8:BT$290,$B153)</f>
        <v>86</v>
      </c>
      <c r="L153" s="250">
        <f>INDEX('CFL &amp; Incand Cost Development'!BU$8:BU$290,$B153)</f>
        <v>6.428799999999999</v>
      </c>
      <c r="M153" s="250">
        <f>INDEX('CFL &amp; Incand Cost Development'!BV$8:BV$290,$B153)</f>
        <v>7.4357999999999995</v>
      </c>
      <c r="N153" s="250">
        <f>INDEX('CFL &amp; Incand Cost Development'!BW$8:BW$290,$B153)</f>
        <v>5.1158000000000001</v>
      </c>
      <c r="O153" s="250">
        <f>INDEX('CFL &amp; Incand Cost Development'!BX$8:BX$290,$B153)</f>
        <v>3.2658</v>
      </c>
      <c r="P153" s="250">
        <f>INDEX('CFL &amp; Incand Cost Development'!BY$8:BY$290,$B153)</f>
        <v>3.2658</v>
      </c>
      <c r="Q153" s="103"/>
      <c r="R153" s="103"/>
      <c r="S153" s="103" t="str">
        <f t="shared" si="40"/>
        <v>Std_CFLscw-Refl(21w)_60pInc-r0286</v>
      </c>
      <c r="T153" s="111">
        <f t="shared" si="41"/>
        <v>7.3449328193629508</v>
      </c>
      <c r="U153" s="111">
        <f t="shared" si="42"/>
        <v>8.1795328193629508</v>
      </c>
      <c r="V153" s="111">
        <f t="shared" si="43"/>
        <v>5.6698928193629516</v>
      </c>
      <c r="W153" s="111">
        <f t="shared" si="44"/>
        <v>4.5598928193629513</v>
      </c>
      <c r="X153" s="111">
        <f t="shared" si="45"/>
        <v>4.5598928193629513</v>
      </c>
      <c r="Y153" s="103"/>
      <c r="Z153" s="103"/>
      <c r="AA153" s="103" t="str">
        <f t="shared" si="46"/>
        <v>CFLratio0286</v>
      </c>
      <c r="AB153" s="103" t="str">
        <f t="shared" si="51"/>
        <v>CFLscw-Refl(21w)CFLratio0286</v>
      </c>
      <c r="AC153" s="103"/>
      <c r="AD153" s="108">
        <f t="shared" si="52"/>
        <v>1.3741992290444269</v>
      </c>
      <c r="AE153" s="108">
        <f t="shared" si="47"/>
        <v>1.1155992290444274</v>
      </c>
      <c r="AF153" s="108">
        <f t="shared" si="48"/>
        <v>0.83113922904442639</v>
      </c>
      <c r="AG153" s="108">
        <f t="shared" si="49"/>
        <v>1.9411392290444267</v>
      </c>
      <c r="AH153" s="108">
        <f t="shared" si="50"/>
        <v>1.9411392290444267</v>
      </c>
    </row>
    <row r="154" spans="2:34">
      <c r="B154" s="179">
        <f>IFERROR(MATCH(C154,'CFL &amp; Incand Cost Development'!$A$8:$A$290,0),0)</f>
        <v>199</v>
      </c>
      <c r="C154" s="111" t="s">
        <v>576</v>
      </c>
      <c r="D154" s="111">
        <f>INDEX('CFL &amp; Incand Cost Development'!AM$8:AM$290,$B154)</f>
        <v>8.8664320484073791</v>
      </c>
      <c r="E154" s="111">
        <f>INDEX('CFL &amp; Incand Cost Development'!AN$8:AN$290,$B154)</f>
        <v>9.4424320484073796</v>
      </c>
      <c r="F154" s="111">
        <f>INDEX('CFL &amp; Incand Cost Development'!AO$8:AO$290,$B154)</f>
        <v>6.6483320484073793</v>
      </c>
      <c r="G154" s="111">
        <f>INDEX('CFL &amp; Incand Cost Development'!AP$8:AP$290,$B154)</f>
        <v>6.6483320484073793</v>
      </c>
      <c r="H154" s="111">
        <f>INDEX('CFL &amp; Incand Cost Development'!AQ$8:AQ$290,$B154)</f>
        <v>6.6483320484073793</v>
      </c>
      <c r="I154" s="103"/>
      <c r="J154" s="183" t="str">
        <f>INDEX('CFL &amp; Incand Cost Development'!BS$8:BS$290,$B154)</f>
        <v>WRR0409_CFLscw-Refl(22w)</v>
      </c>
      <c r="K154" s="250">
        <f>INDEX('CFL &amp; Incand Cost Development'!BT$8:BT$290,$B154)</f>
        <v>90</v>
      </c>
      <c r="L154" s="250">
        <f>INDEX('CFL &amp; Incand Cost Development'!BU$8:BU$290,$B154)</f>
        <v>6.4703999999999997</v>
      </c>
      <c r="M154" s="250">
        <f>INDEX('CFL &amp; Incand Cost Development'!BV$8:BV$290,$B154)</f>
        <v>7.4773999999999994</v>
      </c>
      <c r="N154" s="250">
        <f>INDEX('CFL &amp; Incand Cost Development'!BW$8:BW$290,$B154)</f>
        <v>5.1573999999999991</v>
      </c>
      <c r="O154" s="250">
        <f>INDEX('CFL &amp; Incand Cost Development'!BX$8:BX$290,$B154)</f>
        <v>3.307399999999999</v>
      </c>
      <c r="P154" s="250">
        <f>INDEX('CFL &amp; Incand Cost Development'!BY$8:BY$290,$B154)</f>
        <v>3.307399999999999</v>
      </c>
      <c r="Q154" s="103"/>
      <c r="R154" s="103"/>
      <c r="S154" s="103" t="str">
        <f t="shared" si="40"/>
        <v>Std_CFLscw-Refl(22w)_60pInc-r0286</v>
      </c>
      <c r="T154" s="111">
        <f t="shared" si="41"/>
        <v>7.4288128193629515</v>
      </c>
      <c r="U154" s="111">
        <f t="shared" si="42"/>
        <v>8.2634128193629515</v>
      </c>
      <c r="V154" s="111">
        <f t="shared" si="43"/>
        <v>5.7537728193629505</v>
      </c>
      <c r="W154" s="111">
        <f t="shared" si="44"/>
        <v>4.6437728193629511</v>
      </c>
      <c r="X154" s="111">
        <f t="shared" si="45"/>
        <v>4.6437728193629511</v>
      </c>
      <c r="Y154" s="103"/>
      <c r="Z154" s="103"/>
      <c r="AA154" s="103" t="str">
        <f t="shared" si="46"/>
        <v>CFLratio0286</v>
      </c>
      <c r="AB154" s="103" t="str">
        <f t="shared" si="51"/>
        <v>CFLscw-Refl(22w)CFLratio0286</v>
      </c>
      <c r="AC154" s="103"/>
      <c r="AD154" s="108">
        <f t="shared" si="52"/>
        <v>1.4376192290444276</v>
      </c>
      <c r="AE154" s="108">
        <f t="shared" si="47"/>
        <v>1.1790192290444281</v>
      </c>
      <c r="AF154" s="108">
        <f t="shared" si="48"/>
        <v>0.89455922904442886</v>
      </c>
      <c r="AG154" s="108">
        <f t="shared" si="49"/>
        <v>2.0045592290444283</v>
      </c>
      <c r="AH154" s="108">
        <f t="shared" si="50"/>
        <v>2.0045592290444283</v>
      </c>
    </row>
    <row r="155" spans="2:34">
      <c r="B155" s="179">
        <f>IFERROR(MATCH(C155,'CFL &amp; Incand Cost Development'!$A$8:$A$290,0),0)</f>
        <v>200</v>
      </c>
      <c r="C155" s="111" t="s">
        <v>579</v>
      </c>
      <c r="D155" s="111">
        <f>INDEX('CFL &amp; Incand Cost Development'!AM$8:AM$290,$B155)</f>
        <v>9.1610320484073782</v>
      </c>
      <c r="E155" s="111">
        <f>INDEX('CFL &amp; Incand Cost Development'!AN$8:AN$290,$B155)</f>
        <v>9.7370320484073787</v>
      </c>
      <c r="F155" s="111">
        <f>INDEX('CFL &amp; Incand Cost Development'!AO$8:AO$290,$B155)</f>
        <v>6.9429320484073784</v>
      </c>
      <c r="G155" s="111">
        <f>INDEX('CFL &amp; Incand Cost Development'!AP$8:AP$290,$B155)</f>
        <v>6.9429320484073784</v>
      </c>
      <c r="H155" s="111">
        <f>INDEX('CFL &amp; Incand Cost Development'!AQ$8:AQ$290,$B155)</f>
        <v>6.9429320484073784</v>
      </c>
      <c r="I155" s="103"/>
      <c r="J155" s="183" t="str">
        <f>INDEX('CFL &amp; Incand Cost Development'!BS$8:BS$290,$B155)</f>
        <v>WRR0409_CFLscw-Refl(24w)</v>
      </c>
      <c r="K155" s="250">
        <f>INDEX('CFL &amp; Incand Cost Development'!BT$8:BT$290,$B155)</f>
        <v>98</v>
      </c>
      <c r="L155" s="250">
        <f>INDEX('CFL &amp; Incand Cost Development'!BU$8:BU$290,$B155)</f>
        <v>6.5535999999999994</v>
      </c>
      <c r="M155" s="250">
        <f>INDEX('CFL &amp; Incand Cost Development'!BV$8:BV$290,$B155)</f>
        <v>7.5605999999999991</v>
      </c>
      <c r="N155" s="250">
        <f>INDEX('CFL &amp; Incand Cost Development'!BW$8:BW$290,$B155)</f>
        <v>5.2405999999999988</v>
      </c>
      <c r="O155" s="250">
        <f>INDEX('CFL &amp; Incand Cost Development'!BX$8:BX$290,$B155)</f>
        <v>3.3905999999999987</v>
      </c>
      <c r="P155" s="250">
        <f>INDEX('CFL &amp; Incand Cost Development'!BY$8:BY$290,$B155)</f>
        <v>3.3905999999999987</v>
      </c>
      <c r="Q155" s="103"/>
      <c r="R155" s="103"/>
      <c r="S155" s="103" t="str">
        <f t="shared" si="40"/>
        <v>Std_CFLscw-Refl(24w)_60pInc-r0286</v>
      </c>
      <c r="T155" s="111">
        <f t="shared" si="41"/>
        <v>7.5965728193629509</v>
      </c>
      <c r="U155" s="111">
        <f t="shared" si="42"/>
        <v>8.4311728193629509</v>
      </c>
      <c r="V155" s="111">
        <f t="shared" si="43"/>
        <v>5.9215328193629508</v>
      </c>
      <c r="W155" s="111">
        <f t="shared" si="44"/>
        <v>4.8115328193629505</v>
      </c>
      <c r="X155" s="111">
        <f t="shared" si="45"/>
        <v>4.8115328193629505</v>
      </c>
      <c r="Y155" s="103"/>
      <c r="Z155" s="103"/>
      <c r="AA155" s="103" t="str">
        <f t="shared" si="46"/>
        <v>CFLratio0286</v>
      </c>
      <c r="AB155" s="103" t="str">
        <f t="shared" si="51"/>
        <v>CFLscw-Refl(24w)CFLratio0286</v>
      </c>
      <c r="AC155" s="103"/>
      <c r="AD155" s="108">
        <f t="shared" si="52"/>
        <v>1.5644592290444272</v>
      </c>
      <c r="AE155" s="108">
        <f t="shared" si="47"/>
        <v>1.3058592290444277</v>
      </c>
      <c r="AF155" s="108">
        <f t="shared" si="48"/>
        <v>1.0213992290444276</v>
      </c>
      <c r="AG155" s="108">
        <f t="shared" si="49"/>
        <v>2.1313992290444279</v>
      </c>
      <c r="AH155" s="108">
        <f t="shared" si="50"/>
        <v>2.1313992290444279</v>
      </c>
    </row>
    <row r="156" spans="2:34">
      <c r="B156" s="179">
        <f>IFERROR(MATCH(C156,'CFL &amp; Incand Cost Development'!$A$8:$A$290,0),0)</f>
        <v>201</v>
      </c>
      <c r="C156" s="111" t="s">
        <v>582</v>
      </c>
      <c r="D156" s="111">
        <f>INDEX('CFL &amp; Incand Cost Development'!AM$8:AM$290,$B156)</f>
        <v>9.3083320484073777</v>
      </c>
      <c r="E156" s="111">
        <f>INDEX('CFL &amp; Incand Cost Development'!AN$8:AN$290,$B156)</f>
        <v>9.8843320484073782</v>
      </c>
      <c r="F156" s="111">
        <f>INDEX('CFL &amp; Incand Cost Development'!AO$8:AO$290,$B156)</f>
        <v>7.090232048407378</v>
      </c>
      <c r="G156" s="111">
        <f>INDEX('CFL &amp; Incand Cost Development'!AP$8:AP$290,$B156)</f>
        <v>7.090232048407378</v>
      </c>
      <c r="H156" s="111">
        <f>INDEX('CFL &amp; Incand Cost Development'!AQ$8:AQ$290,$B156)</f>
        <v>7.090232048407378</v>
      </c>
      <c r="I156" s="103"/>
      <c r="J156" s="183" t="str">
        <f>INDEX('CFL &amp; Incand Cost Development'!BS$8:BS$290,$B156)</f>
        <v>WRR0409_CFLscw-Refl(25w)</v>
      </c>
      <c r="K156" s="250">
        <f>INDEX('CFL &amp; Incand Cost Development'!BT$8:BT$290,$B156)</f>
        <v>102</v>
      </c>
      <c r="L156" s="250">
        <f>INDEX('CFL &amp; Incand Cost Development'!BU$8:BU$290,$B156)</f>
        <v>6.5952000000000002</v>
      </c>
      <c r="M156" s="250">
        <f>INDEX('CFL &amp; Incand Cost Development'!BV$8:BV$290,$B156)</f>
        <v>7.6021999999999998</v>
      </c>
      <c r="N156" s="250">
        <f>INDEX('CFL &amp; Incand Cost Development'!BW$8:BW$290,$B156)</f>
        <v>5.2821999999999996</v>
      </c>
      <c r="O156" s="250">
        <f>INDEX('CFL &amp; Incand Cost Development'!BX$8:BX$290,$B156)</f>
        <v>3.4321999999999995</v>
      </c>
      <c r="P156" s="250">
        <f>INDEX('CFL &amp; Incand Cost Development'!BY$8:BY$290,$B156)</f>
        <v>3.4321999999999995</v>
      </c>
      <c r="Q156" s="103"/>
      <c r="R156" s="103"/>
      <c r="S156" s="103" t="str">
        <f t="shared" si="40"/>
        <v>Std_CFLscw-Refl(25w)_60pInc-r0286</v>
      </c>
      <c r="T156" s="111">
        <f t="shared" si="41"/>
        <v>7.6804528193629515</v>
      </c>
      <c r="U156" s="111">
        <f t="shared" si="42"/>
        <v>8.5150528193629498</v>
      </c>
      <c r="V156" s="111">
        <f t="shared" si="43"/>
        <v>6.0054128193629506</v>
      </c>
      <c r="W156" s="111">
        <f t="shared" si="44"/>
        <v>4.8954128193629511</v>
      </c>
      <c r="X156" s="111">
        <f t="shared" si="45"/>
        <v>4.8954128193629511</v>
      </c>
      <c r="Y156" s="103"/>
      <c r="Z156" s="103"/>
      <c r="AA156" s="103" t="str">
        <f t="shared" si="46"/>
        <v>CFLratio0286</v>
      </c>
      <c r="AB156" s="103" t="str">
        <f t="shared" si="51"/>
        <v>CFLscw-Refl(25w)CFLratio0286</v>
      </c>
      <c r="AC156" s="103"/>
      <c r="AD156" s="108">
        <f t="shared" si="52"/>
        <v>1.6278792290444262</v>
      </c>
      <c r="AE156" s="108">
        <f t="shared" si="47"/>
        <v>1.3692792290444284</v>
      </c>
      <c r="AF156" s="108">
        <f t="shared" si="48"/>
        <v>1.0848192290444274</v>
      </c>
      <c r="AG156" s="108">
        <f t="shared" si="49"/>
        <v>2.1948192290444268</v>
      </c>
      <c r="AH156" s="108">
        <f t="shared" si="50"/>
        <v>2.1948192290444268</v>
      </c>
    </row>
    <row r="157" spans="2:34">
      <c r="B157" s="179">
        <f>IFERROR(MATCH(C157,'CFL &amp; Incand Cost Development'!$A$8:$A$290,0),0)</f>
        <v>202</v>
      </c>
      <c r="C157" s="111" t="s">
        <v>585</v>
      </c>
      <c r="D157" s="111">
        <f>INDEX('CFL &amp; Incand Cost Development'!AM$8:AM$290,$B157)</f>
        <v>9.4556320484073773</v>
      </c>
      <c r="E157" s="111">
        <f>INDEX('CFL &amp; Incand Cost Development'!AN$8:AN$290,$B157)</f>
        <v>10.031632048407378</v>
      </c>
      <c r="F157" s="111">
        <f>INDEX('CFL &amp; Incand Cost Development'!AO$8:AO$290,$B157)</f>
        <v>7.2375320484073775</v>
      </c>
      <c r="G157" s="111">
        <f>INDEX('CFL &amp; Incand Cost Development'!AP$8:AP$290,$B157)</f>
        <v>7.2375320484073775</v>
      </c>
      <c r="H157" s="111">
        <f>INDEX('CFL &amp; Incand Cost Development'!AQ$8:AQ$290,$B157)</f>
        <v>7.2375320484073775</v>
      </c>
      <c r="I157" s="103"/>
      <c r="J157" s="183" t="str">
        <f>INDEX('CFL &amp; Incand Cost Development'!BS$8:BS$290,$B157)</f>
        <v>WRR0409_CFLscw-Refl(26w)</v>
      </c>
      <c r="K157" s="250">
        <f>INDEX('CFL &amp; Incand Cost Development'!BT$8:BT$290,$B157)</f>
        <v>106</v>
      </c>
      <c r="L157" s="250">
        <f>INDEX('CFL &amp; Incand Cost Development'!BU$8:BU$290,$B157)</f>
        <v>6.6367999999999991</v>
      </c>
      <c r="M157" s="250">
        <f>INDEX('CFL &amp; Incand Cost Development'!BV$8:BV$290,$B157)</f>
        <v>7.6437999999999997</v>
      </c>
      <c r="N157" s="250">
        <f>INDEX('CFL &amp; Incand Cost Development'!BW$8:BW$290,$B157)</f>
        <v>5.3238000000000003</v>
      </c>
      <c r="O157" s="250">
        <f>INDEX('CFL &amp; Incand Cost Development'!BX$8:BX$290,$B157)</f>
        <v>3.4738000000000002</v>
      </c>
      <c r="P157" s="250">
        <f>INDEX('CFL &amp; Incand Cost Development'!BY$8:BY$290,$B157)</f>
        <v>3.4738000000000002</v>
      </c>
      <c r="Q157" s="103"/>
      <c r="R157" s="103"/>
      <c r="S157" s="103" t="str">
        <f t="shared" si="40"/>
        <v>Std_CFLscw-Refl(26w)_60pInc-r0286</v>
      </c>
      <c r="T157" s="111">
        <f t="shared" si="41"/>
        <v>7.7643328193629504</v>
      </c>
      <c r="U157" s="111">
        <f t="shared" si="42"/>
        <v>8.5989328193629504</v>
      </c>
      <c r="V157" s="111">
        <f t="shared" si="43"/>
        <v>6.0892928193629512</v>
      </c>
      <c r="W157" s="111">
        <f t="shared" si="44"/>
        <v>4.9792928193629518</v>
      </c>
      <c r="X157" s="111">
        <f t="shared" si="45"/>
        <v>4.9792928193629518</v>
      </c>
      <c r="Y157" s="103"/>
      <c r="Z157" s="103"/>
      <c r="AA157" s="103" t="str">
        <f t="shared" si="46"/>
        <v>CFLratio0286</v>
      </c>
      <c r="AB157" s="103" t="str">
        <f t="shared" si="51"/>
        <v>CFLscw-Refl(26w)CFLratio0286</v>
      </c>
      <c r="AC157" s="103"/>
      <c r="AD157" s="108">
        <f t="shared" si="52"/>
        <v>1.6912992290444269</v>
      </c>
      <c r="AE157" s="108">
        <f t="shared" si="47"/>
        <v>1.4326992290444274</v>
      </c>
      <c r="AF157" s="108">
        <f t="shared" si="48"/>
        <v>1.1482392290444263</v>
      </c>
      <c r="AG157" s="108">
        <f t="shared" si="49"/>
        <v>2.2582392290444258</v>
      </c>
      <c r="AH157" s="108">
        <f t="shared" si="50"/>
        <v>2.2582392290444258</v>
      </c>
    </row>
    <row r="158" spans="2:34">
      <c r="B158" s="179">
        <f>IFERROR(MATCH(C158,'CFL &amp; Incand Cost Development'!$A$8:$A$290,0),0)</f>
        <v>215</v>
      </c>
      <c r="C158" s="111" t="s">
        <v>622</v>
      </c>
      <c r="D158" s="111">
        <f>INDEX('CFL &amp; Incand Cost Development'!AM$8:AM$290,$B158)</f>
        <v>6.3623320484073789</v>
      </c>
      <c r="E158" s="111">
        <f>INDEX('CFL &amp; Incand Cost Development'!AN$8:AN$290,$B158)</f>
        <v>6.9383320484073785</v>
      </c>
      <c r="F158" s="111">
        <f>INDEX('CFL &amp; Incand Cost Development'!AO$8:AO$290,$B158)</f>
        <v>4.1442320484073782</v>
      </c>
      <c r="G158" s="111">
        <f>INDEX('CFL &amp; Incand Cost Development'!AP$8:AP$290,$B158)</f>
        <v>4.1442320484073782</v>
      </c>
      <c r="H158" s="111">
        <f>INDEX('CFL &amp; Incand Cost Development'!AQ$8:AQ$290,$B158)</f>
        <v>4.1442320484073782</v>
      </c>
      <c r="I158" s="103"/>
      <c r="J158" s="183" t="str">
        <f>INDEX('CFL &amp; Incand Cost Development'!BS$8:BS$290,$B158)</f>
        <v>WRR0409_CFLscw-Refl(5w)</v>
      </c>
      <c r="K158" s="250">
        <f>INDEX('CFL &amp; Incand Cost Development'!BT$8:BT$290,$B158)</f>
        <v>20</v>
      </c>
      <c r="L158" s="250">
        <f>INDEX('CFL &amp; Incand Cost Development'!BU$8:BU$290,$B158)</f>
        <v>5.7423999999999999</v>
      </c>
      <c r="M158" s="250">
        <f>INDEX('CFL &amp; Incand Cost Development'!BV$8:BV$290,$B158)</f>
        <v>6.7493999999999996</v>
      </c>
      <c r="N158" s="250">
        <f>INDEX('CFL &amp; Incand Cost Development'!BW$8:BW$290,$B158)</f>
        <v>4.4293999999999993</v>
      </c>
      <c r="O158" s="250">
        <f>INDEX('CFL &amp; Incand Cost Development'!BX$8:BX$290,$B158)</f>
        <v>2.5793999999999992</v>
      </c>
      <c r="P158" s="250">
        <f>INDEX('CFL &amp; Incand Cost Development'!BY$8:BY$290,$B158)</f>
        <v>2.5793999999999992</v>
      </c>
      <c r="Q158" s="103"/>
      <c r="R158" s="103"/>
      <c r="S158" s="103" t="str">
        <f t="shared" si="40"/>
        <v>Std_CFLscw-Refl(5w)_60pInc-r0286</v>
      </c>
      <c r="T158" s="111">
        <f t="shared" si="41"/>
        <v>5.9903728193629515</v>
      </c>
      <c r="U158" s="111">
        <f t="shared" si="42"/>
        <v>6.8249728193629506</v>
      </c>
      <c r="V158" s="111">
        <f t="shared" si="43"/>
        <v>4.3153328193629505</v>
      </c>
      <c r="W158" s="111">
        <f t="shared" si="44"/>
        <v>3.2053328193629511</v>
      </c>
      <c r="X158" s="111">
        <f t="shared" si="45"/>
        <v>3.2053328193629511</v>
      </c>
      <c r="Y158" s="103"/>
      <c r="Z158" s="103"/>
      <c r="AA158" s="103" t="str">
        <f t="shared" si="46"/>
        <v>CFLratio0286</v>
      </c>
      <c r="AB158" s="103" t="str">
        <f t="shared" si="51"/>
        <v>CFLscw-Refl(5w)CFLratio0286</v>
      </c>
      <c r="AC158" s="103"/>
      <c r="AD158" s="108">
        <f t="shared" si="52"/>
        <v>0.37195922904442735</v>
      </c>
      <c r="AE158" s="108">
        <f t="shared" si="47"/>
        <v>0.11335922904442786</v>
      </c>
      <c r="AF158" s="108">
        <f t="shared" si="48"/>
        <v>-0.1711007709555723</v>
      </c>
      <c r="AG158" s="108">
        <f t="shared" si="49"/>
        <v>0.93889922904442713</v>
      </c>
      <c r="AH158" s="108">
        <f t="shared" si="50"/>
        <v>0.93889922904442713</v>
      </c>
    </row>
    <row r="159" spans="2:34">
      <c r="B159" s="179">
        <f>IFERROR(MATCH(C159,'CFL &amp; Incand Cost Development'!$A$8:$A$290,0),0)</f>
        <v>217</v>
      </c>
      <c r="C159" s="111" t="s">
        <v>628</v>
      </c>
      <c r="D159" s="111">
        <f>INDEX('CFL &amp; Incand Cost Development'!AM$8:AM$290,$B159)</f>
        <v>6.5096320484073793</v>
      </c>
      <c r="E159" s="111">
        <f>INDEX('CFL &amp; Incand Cost Development'!AN$8:AN$290,$B159)</f>
        <v>7.0856320484073789</v>
      </c>
      <c r="F159" s="111">
        <f>INDEX('CFL &amp; Incand Cost Development'!AO$8:AO$290,$B159)</f>
        <v>4.2915320484073796</v>
      </c>
      <c r="G159" s="111">
        <f>INDEX('CFL &amp; Incand Cost Development'!AP$8:AP$290,$B159)</f>
        <v>4.2915320484073796</v>
      </c>
      <c r="H159" s="111">
        <f>INDEX('CFL &amp; Incand Cost Development'!AQ$8:AQ$290,$B159)</f>
        <v>4.2915320484073796</v>
      </c>
      <c r="I159" s="103"/>
      <c r="J159" s="183" t="str">
        <f>INDEX('CFL &amp; Incand Cost Development'!BS$8:BS$290,$B159)</f>
        <v>WRR0409_CFLscw-Refl(6w)</v>
      </c>
      <c r="K159" s="250">
        <f>INDEX('CFL &amp; Incand Cost Development'!BT$8:BT$290,$B159)</f>
        <v>25</v>
      </c>
      <c r="L159" s="250">
        <f>INDEX('CFL &amp; Incand Cost Development'!BU$8:BU$290,$B159)</f>
        <v>5.7943999999999996</v>
      </c>
      <c r="M159" s="250">
        <f>INDEX('CFL &amp; Incand Cost Development'!BV$8:BV$290,$B159)</f>
        <v>6.8013999999999992</v>
      </c>
      <c r="N159" s="250">
        <f>INDEX('CFL &amp; Incand Cost Development'!BW$8:BW$290,$B159)</f>
        <v>4.4813999999999989</v>
      </c>
      <c r="O159" s="250">
        <f>INDEX('CFL &amp; Incand Cost Development'!BX$8:BX$290,$B159)</f>
        <v>2.6313999999999989</v>
      </c>
      <c r="P159" s="250">
        <f>INDEX('CFL &amp; Incand Cost Development'!BY$8:BY$290,$B159)</f>
        <v>2.6313999999999989</v>
      </c>
      <c r="Q159" s="103"/>
      <c r="R159" s="103"/>
      <c r="S159" s="103" t="str">
        <f t="shared" si="40"/>
        <v>Std_CFLscw-Refl(6w)_60pInc-r0286</v>
      </c>
      <c r="T159" s="111">
        <f t="shared" si="41"/>
        <v>6.0804928193629522</v>
      </c>
      <c r="U159" s="111">
        <f t="shared" si="42"/>
        <v>6.9150928193629513</v>
      </c>
      <c r="V159" s="111">
        <f t="shared" si="43"/>
        <v>4.4054528193629512</v>
      </c>
      <c r="W159" s="111">
        <f t="shared" si="44"/>
        <v>3.2954528193629513</v>
      </c>
      <c r="X159" s="111">
        <f t="shared" si="45"/>
        <v>3.2954528193629513</v>
      </c>
      <c r="Y159" s="103"/>
      <c r="Z159" s="103"/>
      <c r="AA159" s="103" t="str">
        <f t="shared" si="46"/>
        <v>CFLratio0286</v>
      </c>
      <c r="AB159" s="103" t="str">
        <f t="shared" si="51"/>
        <v>CFLscw-Refl(6w)CFLratio0286</v>
      </c>
      <c r="AC159" s="103"/>
      <c r="AD159" s="108">
        <f t="shared" si="52"/>
        <v>0.42913922904442714</v>
      </c>
      <c r="AE159" s="108">
        <f t="shared" si="47"/>
        <v>0.17053922904442764</v>
      </c>
      <c r="AF159" s="108">
        <f t="shared" si="48"/>
        <v>-0.11392077095557163</v>
      </c>
      <c r="AG159" s="108">
        <f t="shared" si="49"/>
        <v>0.99607922904442825</v>
      </c>
      <c r="AH159" s="108">
        <f t="shared" si="50"/>
        <v>0.99607922904442825</v>
      </c>
    </row>
    <row r="160" spans="2:34">
      <c r="B160" s="179">
        <f>IFERROR(MATCH(C160,'CFL &amp; Incand Cost Development'!$A$8:$A$290,0),0)</f>
        <v>218</v>
      </c>
      <c r="C160" s="111" t="s">
        <v>631</v>
      </c>
      <c r="D160" s="111">
        <f>INDEX('CFL &amp; Incand Cost Development'!AM$8:AM$290,$B160)</f>
        <v>6.6569320484073797</v>
      </c>
      <c r="E160" s="111">
        <f>INDEX('CFL &amp; Incand Cost Development'!AN$8:AN$290,$B160)</f>
        <v>7.2329320484073794</v>
      </c>
      <c r="F160" s="111">
        <f>INDEX('CFL &amp; Incand Cost Development'!AO$8:AO$290,$B160)</f>
        <v>4.4388320484073791</v>
      </c>
      <c r="G160" s="111">
        <f>INDEX('CFL &amp; Incand Cost Development'!AP$8:AP$290,$B160)</f>
        <v>4.4388320484073791</v>
      </c>
      <c r="H160" s="111">
        <f>INDEX('CFL &amp; Incand Cost Development'!AQ$8:AQ$290,$B160)</f>
        <v>4.4388320484073791</v>
      </c>
      <c r="I160" s="103"/>
      <c r="J160" s="183" t="str">
        <f>INDEX('CFL &amp; Incand Cost Development'!BS$8:BS$290,$B160)</f>
        <v>WRR0409_CFLscw-Refl(7w)</v>
      </c>
      <c r="K160" s="250">
        <f>INDEX('CFL &amp; Incand Cost Development'!BT$8:BT$290,$B160)</f>
        <v>29</v>
      </c>
      <c r="L160" s="250">
        <f>INDEX('CFL &amp; Incand Cost Development'!BU$8:BU$290,$B160)</f>
        <v>5.8359999999999985</v>
      </c>
      <c r="M160" s="250">
        <f>INDEX('CFL &amp; Incand Cost Development'!BV$8:BV$290,$B160)</f>
        <v>6.8429999999999991</v>
      </c>
      <c r="N160" s="250">
        <f>INDEX('CFL &amp; Incand Cost Development'!BW$8:BW$290,$B160)</f>
        <v>4.5229999999999997</v>
      </c>
      <c r="O160" s="250">
        <f>INDEX('CFL &amp; Incand Cost Development'!BX$8:BX$290,$B160)</f>
        <v>2.6729999999999996</v>
      </c>
      <c r="P160" s="250">
        <f>INDEX('CFL &amp; Incand Cost Development'!BY$8:BY$290,$B160)</f>
        <v>2.6729999999999996</v>
      </c>
      <c r="Q160" s="103"/>
      <c r="R160" s="103"/>
      <c r="S160" s="103" t="str">
        <f t="shared" si="40"/>
        <v>Std_CFLscw-Refl(7w)_60pInc-r0286</v>
      </c>
      <c r="T160" s="111">
        <f t="shared" si="41"/>
        <v>6.164372819362951</v>
      </c>
      <c r="U160" s="111">
        <f t="shared" si="42"/>
        <v>6.998972819362951</v>
      </c>
      <c r="V160" s="111">
        <f t="shared" si="43"/>
        <v>4.4893328193629518</v>
      </c>
      <c r="W160" s="111">
        <f t="shared" si="44"/>
        <v>3.3793328193629515</v>
      </c>
      <c r="X160" s="111">
        <f t="shared" si="45"/>
        <v>3.3793328193629515</v>
      </c>
      <c r="Y160" s="103"/>
      <c r="Z160" s="103"/>
      <c r="AA160" s="103" t="str">
        <f t="shared" si="46"/>
        <v>CFLratio0286</v>
      </c>
      <c r="AB160" s="103" t="str">
        <f t="shared" si="51"/>
        <v>CFLscw-Refl(7w)CFLratio0286</v>
      </c>
      <c r="AC160" s="103"/>
      <c r="AD160" s="108">
        <f t="shared" si="52"/>
        <v>0.49255922904442873</v>
      </c>
      <c r="AE160" s="108">
        <f t="shared" si="47"/>
        <v>0.23395922904442834</v>
      </c>
      <c r="AF160" s="108">
        <f t="shared" si="48"/>
        <v>-5.0500770955572705E-2</v>
      </c>
      <c r="AG160" s="108">
        <f t="shared" si="49"/>
        <v>1.0594992290444276</v>
      </c>
      <c r="AH160" s="108">
        <f t="shared" si="50"/>
        <v>1.0594992290444276</v>
      </c>
    </row>
    <row r="161" spans="2:34">
      <c r="B161" s="179">
        <f>IFERROR(MATCH(C161,'CFL &amp; Incand Cost Development'!$A$8:$A$290,0),0)</f>
        <v>220</v>
      </c>
      <c r="C161" s="111" t="s">
        <v>637</v>
      </c>
      <c r="D161" s="111">
        <f>INDEX('CFL &amp; Incand Cost Development'!AM$8:AM$290,$B161)</f>
        <v>6.8042320484073793</v>
      </c>
      <c r="E161" s="111">
        <f>INDEX('CFL &amp; Incand Cost Development'!AN$8:AN$290,$B161)</f>
        <v>7.3802320484073789</v>
      </c>
      <c r="F161" s="111">
        <f>INDEX('CFL &amp; Incand Cost Development'!AO$8:AO$290,$B161)</f>
        <v>4.5861320484073786</v>
      </c>
      <c r="G161" s="111">
        <f>INDEX('CFL &amp; Incand Cost Development'!AP$8:AP$290,$B161)</f>
        <v>4.5861320484073786</v>
      </c>
      <c r="H161" s="111">
        <f>INDEX('CFL &amp; Incand Cost Development'!AQ$8:AQ$290,$B161)</f>
        <v>4.5861320484073786</v>
      </c>
      <c r="I161" s="103"/>
      <c r="J161" s="183" t="str">
        <f>INDEX('CFL &amp; Incand Cost Development'!BS$8:BS$290,$B161)</f>
        <v>WRR0409_CFLscw-Refl(8w)</v>
      </c>
      <c r="K161" s="250">
        <f>INDEX('CFL &amp; Incand Cost Development'!BT$8:BT$290,$B161)</f>
        <v>33</v>
      </c>
      <c r="L161" s="250">
        <f>INDEX('CFL &amp; Incand Cost Development'!BU$8:BU$290,$B161)</f>
        <v>5.8775999999999993</v>
      </c>
      <c r="M161" s="250">
        <f>INDEX('CFL &amp; Incand Cost Development'!BV$8:BV$290,$B161)</f>
        <v>6.8845999999999998</v>
      </c>
      <c r="N161" s="250">
        <f>INDEX('CFL &amp; Incand Cost Development'!BW$8:BW$290,$B161)</f>
        <v>4.5646000000000004</v>
      </c>
      <c r="O161" s="250">
        <f>INDEX('CFL &amp; Incand Cost Development'!BX$8:BX$290,$B161)</f>
        <v>2.7146000000000003</v>
      </c>
      <c r="P161" s="250">
        <f>INDEX('CFL &amp; Incand Cost Development'!BY$8:BY$290,$B161)</f>
        <v>2.7146000000000003</v>
      </c>
      <c r="Q161" s="103"/>
      <c r="R161" s="103"/>
      <c r="S161" s="103" t="str">
        <f t="shared" si="40"/>
        <v>Std_CFLscw-Refl(8w)_60pInc-r0286</v>
      </c>
      <c r="T161" s="111">
        <f t="shared" si="41"/>
        <v>6.2482528193629516</v>
      </c>
      <c r="U161" s="111">
        <f t="shared" si="42"/>
        <v>7.0828528193629516</v>
      </c>
      <c r="V161" s="111">
        <f t="shared" si="43"/>
        <v>4.5732128193629515</v>
      </c>
      <c r="W161" s="111">
        <f t="shared" si="44"/>
        <v>3.4632128193629517</v>
      </c>
      <c r="X161" s="111">
        <f t="shared" si="45"/>
        <v>3.4632128193629517</v>
      </c>
      <c r="Y161" s="103"/>
      <c r="Z161" s="103"/>
      <c r="AA161" s="103" t="str">
        <f t="shared" si="46"/>
        <v>CFLratio0286</v>
      </c>
      <c r="AB161" s="103" t="str">
        <f t="shared" si="51"/>
        <v>CFLscw-Refl(8w)CFLratio0286</v>
      </c>
      <c r="AC161" s="103"/>
      <c r="AD161" s="108">
        <f t="shared" si="52"/>
        <v>0.55597922904442765</v>
      </c>
      <c r="AE161" s="108">
        <f t="shared" si="47"/>
        <v>0.29737922904442726</v>
      </c>
      <c r="AF161" s="108">
        <f t="shared" si="48"/>
        <v>1.2919229044427105E-2</v>
      </c>
      <c r="AG161" s="108">
        <f t="shared" si="49"/>
        <v>1.122919229044427</v>
      </c>
      <c r="AH161" s="108">
        <f t="shared" si="50"/>
        <v>1.122919229044427</v>
      </c>
    </row>
    <row r="162" spans="2:34">
      <c r="B162" s="179">
        <f>IFERROR(MATCH(C162,'CFL &amp; Incand Cost Development'!$A$8:$A$290,0),0)</f>
        <v>221</v>
      </c>
      <c r="C162" s="111" t="s">
        <v>640</v>
      </c>
      <c r="D162" s="111">
        <f>INDEX('CFL &amp; Incand Cost Development'!AM$8:AM$290,$B162)</f>
        <v>6.9515320484073788</v>
      </c>
      <c r="E162" s="111">
        <f>INDEX('CFL &amp; Incand Cost Development'!AN$8:AN$290,$B162)</f>
        <v>7.5275320484073784</v>
      </c>
      <c r="F162" s="111">
        <f>INDEX('CFL &amp; Incand Cost Development'!AO$8:AO$290,$B162)</f>
        <v>4.7334320484073782</v>
      </c>
      <c r="G162" s="111">
        <f>INDEX('CFL &amp; Incand Cost Development'!AP$8:AP$290,$B162)</f>
        <v>4.7334320484073782</v>
      </c>
      <c r="H162" s="111">
        <f>INDEX('CFL &amp; Incand Cost Development'!AQ$8:AQ$290,$B162)</f>
        <v>4.7334320484073782</v>
      </c>
      <c r="I162" s="103"/>
      <c r="J162" s="183" t="str">
        <f>INDEX('CFL &amp; Incand Cost Development'!BS$8:BS$290,$B162)</f>
        <v>WRR0409_CFLscw-Refl(9w)</v>
      </c>
      <c r="K162" s="250">
        <f>INDEX('CFL &amp; Incand Cost Development'!BT$8:BT$290,$B162)</f>
        <v>37</v>
      </c>
      <c r="L162" s="250">
        <f>INDEX('CFL &amp; Incand Cost Development'!BU$8:BU$290,$B162)</f>
        <v>5.9192</v>
      </c>
      <c r="M162" s="250">
        <f>INDEX('CFL &amp; Incand Cost Development'!BV$8:BV$290,$B162)</f>
        <v>6.9261999999999997</v>
      </c>
      <c r="N162" s="250">
        <f>INDEX('CFL &amp; Incand Cost Development'!BW$8:BW$290,$B162)</f>
        <v>4.6061999999999994</v>
      </c>
      <c r="O162" s="250">
        <f>INDEX('CFL &amp; Incand Cost Development'!BX$8:BX$290,$B162)</f>
        <v>2.7561999999999993</v>
      </c>
      <c r="P162" s="250">
        <f>INDEX('CFL &amp; Incand Cost Development'!BY$8:BY$290,$B162)</f>
        <v>2.7561999999999993</v>
      </c>
      <c r="Q162" s="103"/>
      <c r="R162" s="103"/>
      <c r="S162" s="103" t="str">
        <f t="shared" si="40"/>
        <v>Std_CFLscw-Refl(9w)_60pInc-r0286</v>
      </c>
      <c r="T162" s="111">
        <f t="shared" si="41"/>
        <v>6.3321328193629522</v>
      </c>
      <c r="U162" s="111">
        <f t="shared" si="42"/>
        <v>7.1667328193629514</v>
      </c>
      <c r="V162" s="111">
        <f t="shared" si="43"/>
        <v>4.6570928193629513</v>
      </c>
      <c r="W162" s="111">
        <f t="shared" si="44"/>
        <v>3.547092819362951</v>
      </c>
      <c r="X162" s="111">
        <f t="shared" si="45"/>
        <v>3.547092819362951</v>
      </c>
      <c r="Y162" s="103"/>
      <c r="Z162" s="103"/>
      <c r="AA162" s="103" t="str">
        <f t="shared" si="46"/>
        <v>CFLratio0286</v>
      </c>
      <c r="AB162" s="103" t="str">
        <f t="shared" si="51"/>
        <v>CFLscw-Refl(9w)CFLratio0286</v>
      </c>
      <c r="AC162" s="103"/>
      <c r="AD162" s="108">
        <f t="shared" si="52"/>
        <v>0.61939922904442657</v>
      </c>
      <c r="AE162" s="108">
        <f t="shared" si="47"/>
        <v>0.36079922904442707</v>
      </c>
      <c r="AF162" s="108">
        <f t="shared" si="48"/>
        <v>7.6339229044426915E-2</v>
      </c>
      <c r="AG162" s="108">
        <f t="shared" si="49"/>
        <v>1.1863392290444272</v>
      </c>
      <c r="AH162" s="108">
        <f t="shared" si="50"/>
        <v>1.1863392290444272</v>
      </c>
    </row>
    <row r="163" spans="2:34">
      <c r="B163" s="179">
        <f>IFERROR(MATCH(C163,'CFL &amp; Incand Cost Development'!$A$8:$A$290,0),0)</f>
        <v>168</v>
      </c>
      <c r="C163" s="111" t="s">
        <v>43</v>
      </c>
      <c r="D163" s="111">
        <f>INDEX('CFL &amp; Incand Cost Development'!AM$8:AM$290,$B163)</f>
        <v>7.8353320484073796</v>
      </c>
      <c r="E163" s="111">
        <f>INDEX('CFL &amp; Incand Cost Development'!AN$8:AN$290,$B163)</f>
        <v>8.4113320484073792</v>
      </c>
      <c r="F163" s="111">
        <f>INDEX('CFL &amp; Incand Cost Development'!AO$8:AO$290,$B163)</f>
        <v>5.617232048407379</v>
      </c>
      <c r="G163" s="111">
        <f>INDEX('CFL &amp; Incand Cost Development'!AP$8:AP$290,$B163)</f>
        <v>5.617232048407379</v>
      </c>
      <c r="H163" s="111">
        <f>INDEX('CFL &amp; Incand Cost Development'!AQ$8:AQ$290,$B163)</f>
        <v>5.617232048407379</v>
      </c>
      <c r="I163" s="103"/>
      <c r="J163" s="183" t="str">
        <f>INDEX('CFL &amp; Incand Cost Development'!BS$8:BS$290,$B163)</f>
        <v>WRR0409_CFLscw-Refl-1(15w)</v>
      </c>
      <c r="K163" s="250">
        <f>INDEX('CFL &amp; Incand Cost Development'!BT$8:BT$290,$B163)</f>
        <v>61</v>
      </c>
      <c r="L163" s="250">
        <f>INDEX('CFL &amp; Incand Cost Development'!BU$8:BU$290,$B163)</f>
        <v>6.1687999999999992</v>
      </c>
      <c r="M163" s="250">
        <f>INDEX('CFL &amp; Incand Cost Development'!BV$8:BV$290,$B163)</f>
        <v>7.1757999999999997</v>
      </c>
      <c r="N163" s="250">
        <f>INDEX('CFL &amp; Incand Cost Development'!BW$8:BW$290,$B163)</f>
        <v>4.8558000000000003</v>
      </c>
      <c r="O163" s="250">
        <f>INDEX('CFL &amp; Incand Cost Development'!BX$8:BX$290,$B163)</f>
        <v>3.0058000000000002</v>
      </c>
      <c r="P163" s="250">
        <f>INDEX('CFL &amp; Incand Cost Development'!BY$8:BY$290,$B163)</f>
        <v>3.0058000000000002</v>
      </c>
      <c r="Q163" s="103"/>
      <c r="R163" s="103"/>
      <c r="S163" s="103" t="str">
        <f t="shared" si="40"/>
        <v>Std_CFLscw-Refl-1(15w)_60pInc-r0286</v>
      </c>
      <c r="T163" s="111">
        <f t="shared" si="41"/>
        <v>6.8354128193629506</v>
      </c>
      <c r="U163" s="111">
        <f t="shared" si="42"/>
        <v>7.6700128193629507</v>
      </c>
      <c r="V163" s="111">
        <f t="shared" si="43"/>
        <v>5.1603728193629514</v>
      </c>
      <c r="W163" s="111">
        <f t="shared" si="44"/>
        <v>4.050372819362952</v>
      </c>
      <c r="X163" s="111">
        <f t="shared" si="45"/>
        <v>4.050372819362952</v>
      </c>
      <c r="Y163" s="103"/>
      <c r="Z163" s="103"/>
      <c r="AA163" s="103" t="str">
        <f t="shared" si="46"/>
        <v>CFLratio0286</v>
      </c>
      <c r="AB163" s="103" t="str">
        <f t="shared" si="51"/>
        <v>CFLscw-Refl-1(15w)CFLratio0286</v>
      </c>
      <c r="AC163" s="103"/>
      <c r="AD163" s="108">
        <f t="shared" si="52"/>
        <v>0.99991922904442898</v>
      </c>
      <c r="AE163" s="108">
        <f t="shared" si="47"/>
        <v>0.7413192290444286</v>
      </c>
      <c r="AF163" s="108">
        <f t="shared" si="48"/>
        <v>0.45685922904442755</v>
      </c>
      <c r="AG163" s="108">
        <f t="shared" si="49"/>
        <v>1.566859229044427</v>
      </c>
      <c r="AH163" s="108">
        <f t="shared" si="50"/>
        <v>1.566859229044427</v>
      </c>
    </row>
    <row r="164" spans="2:34">
      <c r="B164" s="179">
        <f>IFERROR(MATCH(C164,'CFL &amp; Incand Cost Development'!$A$8:$A$290,0),0)</f>
        <v>169</v>
      </c>
      <c r="C164" s="111" t="s">
        <v>506</v>
      </c>
      <c r="D164" s="111">
        <f>INDEX('CFL &amp; Incand Cost Development'!AM$8:AM$290,$B164)</f>
        <v>9.0137320484073786</v>
      </c>
      <c r="E164" s="111">
        <f>INDEX('CFL &amp; Incand Cost Development'!AN$8:AN$290,$B164)</f>
        <v>9.5897320484073791</v>
      </c>
      <c r="F164" s="111">
        <f>INDEX('CFL &amp; Incand Cost Development'!AO$8:AO$290,$B164)</f>
        <v>6.7956320484073789</v>
      </c>
      <c r="G164" s="111">
        <f>INDEX('CFL &amp; Incand Cost Development'!AP$8:AP$290,$B164)</f>
        <v>6.7956320484073789</v>
      </c>
      <c r="H164" s="111">
        <f>INDEX('CFL &amp; Incand Cost Development'!AQ$8:AQ$290,$B164)</f>
        <v>6.7956320484073789</v>
      </c>
      <c r="I164" s="103"/>
      <c r="J164" s="183" t="str">
        <f>INDEX('CFL &amp; Incand Cost Development'!BS$8:BS$290,$B164)</f>
        <v>WRR0409_CFLscw-Refl-1(23w)</v>
      </c>
      <c r="K164" s="250">
        <f>INDEX('CFL &amp; Incand Cost Development'!BT$8:BT$290,$B164)</f>
        <v>94</v>
      </c>
      <c r="L164" s="250">
        <f>INDEX('CFL &amp; Incand Cost Development'!BU$8:BU$290,$B164)</f>
        <v>6.5119999999999987</v>
      </c>
      <c r="M164" s="250">
        <f>INDEX('CFL &amp; Incand Cost Development'!BV$8:BV$290,$B164)</f>
        <v>7.5189999999999992</v>
      </c>
      <c r="N164" s="250">
        <f>INDEX('CFL &amp; Incand Cost Development'!BW$8:BW$290,$B164)</f>
        <v>5.1989999999999998</v>
      </c>
      <c r="O164" s="250">
        <f>INDEX('CFL &amp; Incand Cost Development'!BX$8:BX$290,$B164)</f>
        <v>3.3489999999999998</v>
      </c>
      <c r="P164" s="250">
        <f>INDEX('CFL &amp; Incand Cost Development'!BY$8:BY$290,$B164)</f>
        <v>3.3489999999999998</v>
      </c>
      <c r="Q164" s="103"/>
      <c r="R164" s="103"/>
      <c r="S164" s="103" t="str">
        <f t="shared" si="40"/>
        <v>Std_CFLscw-Refl-1(23w)_60pInc-r0286</v>
      </c>
      <c r="T164" s="111">
        <f t="shared" si="41"/>
        <v>7.5126928193629503</v>
      </c>
      <c r="U164" s="111">
        <f t="shared" si="42"/>
        <v>8.3472928193629521</v>
      </c>
      <c r="V164" s="111">
        <f t="shared" si="43"/>
        <v>5.8376528193629511</v>
      </c>
      <c r="W164" s="111">
        <f t="shared" si="44"/>
        <v>4.7276528193629517</v>
      </c>
      <c r="X164" s="111">
        <f t="shared" si="45"/>
        <v>4.7276528193629517</v>
      </c>
      <c r="Y164" s="103"/>
      <c r="Z164" s="103"/>
      <c r="AA164" s="103" t="str">
        <f t="shared" si="46"/>
        <v>CFLratio0286</v>
      </c>
      <c r="AB164" s="103" t="str">
        <f t="shared" si="51"/>
        <v>CFLscw-Refl-1(23w)CFLratio0286</v>
      </c>
      <c r="AC164" s="103"/>
      <c r="AD164" s="108">
        <f t="shared" si="52"/>
        <v>1.5010392290444283</v>
      </c>
      <c r="AE164" s="108">
        <f t="shared" si="47"/>
        <v>1.2424392290444271</v>
      </c>
      <c r="AF164" s="108">
        <f t="shared" si="48"/>
        <v>0.95797922904442778</v>
      </c>
      <c r="AG164" s="108">
        <f t="shared" si="49"/>
        <v>2.0679792290444272</v>
      </c>
      <c r="AH164" s="108">
        <f t="shared" si="50"/>
        <v>2.0679792290444272</v>
      </c>
    </row>
    <row r="165" spans="2:34">
      <c r="B165" s="179">
        <f>IFERROR(MATCH(C165,'CFL &amp; Incand Cost Development'!$A$8:$A$290,0),0)</f>
        <v>170</v>
      </c>
      <c r="C165" s="111" t="s">
        <v>508</v>
      </c>
      <c r="D165" s="111">
        <f>INDEX('CFL &amp; Incand Cost Development'!AM$8:AM$290,$B165)</f>
        <v>7.8353320484073796</v>
      </c>
      <c r="E165" s="111">
        <f>INDEX('CFL &amp; Incand Cost Development'!AN$8:AN$290,$B165)</f>
        <v>8.4113320484073792</v>
      </c>
      <c r="F165" s="111">
        <f>INDEX('CFL &amp; Incand Cost Development'!AO$8:AO$290,$B165)</f>
        <v>5.617232048407379</v>
      </c>
      <c r="G165" s="111">
        <f>INDEX('CFL &amp; Incand Cost Development'!AP$8:AP$290,$B165)</f>
        <v>5.617232048407379</v>
      </c>
      <c r="H165" s="111">
        <f>INDEX('CFL &amp; Incand Cost Development'!AQ$8:AQ$290,$B165)</f>
        <v>5.617232048407379</v>
      </c>
      <c r="I165" s="103"/>
      <c r="J165" s="183" t="str">
        <f>INDEX('CFL &amp; Incand Cost Development'!BS$8:BS$290,$B165)</f>
        <v>WRR0409_CFLscw-Refl-2(15w)</v>
      </c>
      <c r="K165" s="250">
        <f>INDEX('CFL &amp; Incand Cost Development'!BT$8:BT$290,$B165)</f>
        <v>61</v>
      </c>
      <c r="L165" s="250">
        <f>INDEX('CFL &amp; Incand Cost Development'!BU$8:BU$290,$B165)</f>
        <v>6.1687999999999992</v>
      </c>
      <c r="M165" s="250">
        <f>INDEX('CFL &amp; Incand Cost Development'!BV$8:BV$290,$B165)</f>
        <v>7.1757999999999997</v>
      </c>
      <c r="N165" s="250">
        <f>INDEX('CFL &amp; Incand Cost Development'!BW$8:BW$290,$B165)</f>
        <v>4.8558000000000003</v>
      </c>
      <c r="O165" s="250">
        <f>INDEX('CFL &amp; Incand Cost Development'!BX$8:BX$290,$B165)</f>
        <v>3.0058000000000002</v>
      </c>
      <c r="P165" s="250">
        <f>INDEX('CFL &amp; Incand Cost Development'!BY$8:BY$290,$B165)</f>
        <v>3.0058000000000002</v>
      </c>
      <c r="Q165" s="103"/>
      <c r="R165" s="103"/>
      <c r="S165" s="103" t="str">
        <f t="shared" ref="S165:S177" si="53">IF(L165&lt;&gt;"OOS","Std_"&amp;MID(J165,9,99)&amp;"_60pInc-"&amp;VLOOKUP(LEFT(J165,7),$AK$4:$AL$6,2,FALSE),"")</f>
        <v>Std_CFLscw-Refl-2(15w)_60pInc-r0286</v>
      </c>
      <c r="T165" s="111">
        <f t="shared" ref="T165:T177" si="54">IFERROR(0.6*L165+0.4*D165,"")</f>
        <v>6.8354128193629506</v>
      </c>
      <c r="U165" s="111">
        <f t="shared" ref="U165:U177" si="55">IFERROR(0.6*M165+0.4*E165,"")</f>
        <v>7.6700128193629507</v>
      </c>
      <c r="V165" s="111">
        <f t="shared" ref="V165:V177" si="56">IFERROR(0.6*N165+0.4*F165,"")</f>
        <v>5.1603728193629514</v>
      </c>
      <c r="W165" s="111">
        <f t="shared" ref="W165:W177" si="57">IFERROR(0.6*O165+0.4*G165,"")</f>
        <v>4.050372819362952</v>
      </c>
      <c r="X165" s="111">
        <f t="shared" ref="X165:X177" si="58">IFERROR(0.6*P165+0.4*H165,"")</f>
        <v>4.050372819362952</v>
      </c>
      <c r="Y165" s="103"/>
      <c r="Z165" s="103"/>
      <c r="AA165" s="103" t="str">
        <f t="shared" ref="AA165:AA177" si="59">VLOOKUP(LEFT(J165,7),$AK$4:$AM$6,3,FALSE)</f>
        <v>CFLratio0286</v>
      </c>
      <c r="AB165" s="103" t="str">
        <f t="shared" si="51"/>
        <v>CFLscw-Refl-2(15w)CFLratio0286</v>
      </c>
      <c r="AC165" s="103"/>
      <c r="AD165" s="108">
        <f t="shared" si="52"/>
        <v>0.99991922904442898</v>
      </c>
      <c r="AE165" s="108">
        <f t="shared" si="47"/>
        <v>0.7413192290444286</v>
      </c>
      <c r="AF165" s="108">
        <f t="shared" si="48"/>
        <v>0.45685922904442755</v>
      </c>
      <c r="AG165" s="108">
        <f t="shared" si="49"/>
        <v>1.566859229044427</v>
      </c>
      <c r="AH165" s="108">
        <f t="shared" si="50"/>
        <v>1.566859229044427</v>
      </c>
    </row>
    <row r="166" spans="2:34">
      <c r="B166" s="179">
        <f>IFERROR(MATCH(C166,'CFL &amp; Incand Cost Development'!$A$8:$A$290,0),0)</f>
        <v>171</v>
      </c>
      <c r="C166" s="111" t="s">
        <v>510</v>
      </c>
      <c r="D166" s="111">
        <f>INDEX('CFL &amp; Incand Cost Development'!AM$8:AM$290,$B166)</f>
        <v>9.0137320484073786</v>
      </c>
      <c r="E166" s="111">
        <f>INDEX('CFL &amp; Incand Cost Development'!AN$8:AN$290,$B166)</f>
        <v>9.5897320484073791</v>
      </c>
      <c r="F166" s="111">
        <f>INDEX('CFL &amp; Incand Cost Development'!AO$8:AO$290,$B166)</f>
        <v>6.7956320484073789</v>
      </c>
      <c r="G166" s="111">
        <f>INDEX('CFL &amp; Incand Cost Development'!AP$8:AP$290,$B166)</f>
        <v>6.7956320484073789</v>
      </c>
      <c r="H166" s="111">
        <f>INDEX('CFL &amp; Incand Cost Development'!AQ$8:AQ$290,$B166)</f>
        <v>6.7956320484073789</v>
      </c>
      <c r="I166" s="103"/>
      <c r="J166" s="183" t="str">
        <f>INDEX('CFL &amp; Incand Cost Development'!BS$8:BS$290,$B166)</f>
        <v>WRR0409_CFLscw-Refl-2(23w)</v>
      </c>
      <c r="K166" s="250">
        <f>INDEX('CFL &amp; Incand Cost Development'!BT$8:BT$290,$B166)</f>
        <v>94</v>
      </c>
      <c r="L166" s="250">
        <f>INDEX('CFL &amp; Incand Cost Development'!BU$8:BU$290,$B166)</f>
        <v>6.5119999999999987</v>
      </c>
      <c r="M166" s="250">
        <f>INDEX('CFL &amp; Incand Cost Development'!BV$8:BV$290,$B166)</f>
        <v>7.5189999999999992</v>
      </c>
      <c r="N166" s="250">
        <f>INDEX('CFL &amp; Incand Cost Development'!BW$8:BW$290,$B166)</f>
        <v>5.1989999999999998</v>
      </c>
      <c r="O166" s="250">
        <f>INDEX('CFL &amp; Incand Cost Development'!BX$8:BX$290,$B166)</f>
        <v>3.3489999999999998</v>
      </c>
      <c r="P166" s="250">
        <f>INDEX('CFL &amp; Incand Cost Development'!BY$8:BY$290,$B166)</f>
        <v>3.3489999999999998</v>
      </c>
      <c r="Q166" s="103"/>
      <c r="R166" s="103"/>
      <c r="S166" s="103" t="str">
        <f t="shared" si="53"/>
        <v>Std_CFLscw-Refl-2(23w)_60pInc-r0286</v>
      </c>
      <c r="T166" s="111">
        <f t="shared" si="54"/>
        <v>7.5126928193629503</v>
      </c>
      <c r="U166" s="111">
        <f t="shared" si="55"/>
        <v>8.3472928193629521</v>
      </c>
      <c r="V166" s="111">
        <f t="shared" si="56"/>
        <v>5.8376528193629511</v>
      </c>
      <c r="W166" s="111">
        <f t="shared" si="57"/>
        <v>4.7276528193629517</v>
      </c>
      <c r="X166" s="111">
        <f t="shared" si="58"/>
        <v>4.7276528193629517</v>
      </c>
      <c r="Y166" s="103"/>
      <c r="Z166" s="103"/>
      <c r="AA166" s="103" t="str">
        <f t="shared" si="59"/>
        <v>CFLratio0286</v>
      </c>
      <c r="AB166" s="103" t="str">
        <f t="shared" si="51"/>
        <v>CFLscw-Refl-2(23w)CFLratio0286</v>
      </c>
      <c r="AC166" s="103"/>
      <c r="AD166" s="108">
        <f t="shared" si="52"/>
        <v>1.5010392290444283</v>
      </c>
      <c r="AE166" s="108">
        <f t="shared" si="47"/>
        <v>1.2424392290444271</v>
      </c>
      <c r="AF166" s="108">
        <f t="shared" si="48"/>
        <v>0.95797922904442778</v>
      </c>
      <c r="AG166" s="108">
        <f t="shared" si="49"/>
        <v>2.0679792290444272</v>
      </c>
      <c r="AH166" s="108">
        <f t="shared" si="50"/>
        <v>2.0679792290444272</v>
      </c>
    </row>
    <row r="167" spans="2:34">
      <c r="B167" s="179">
        <f>IFERROR(MATCH(C167,'CFL &amp; Incand Cost Development'!$A$8:$A$290,0),0)</f>
        <v>172</v>
      </c>
      <c r="C167" s="111" t="s">
        <v>44</v>
      </c>
      <c r="D167" s="111">
        <f>INDEX('CFL &amp; Incand Cost Development'!AM$8:AM$290,$B167)</f>
        <v>11.881432048407378</v>
      </c>
      <c r="E167" s="111">
        <f>INDEX('CFL &amp; Incand Cost Development'!AN$8:AN$290,$B167)</f>
        <v>12.457432048407378</v>
      </c>
      <c r="F167" s="111">
        <f>INDEX('CFL &amp; Incand Cost Development'!AO$8:AO$290,$B167)</f>
        <v>9.6633320484073781</v>
      </c>
      <c r="G167" s="111">
        <f>INDEX('CFL &amp; Incand Cost Development'!AP$8:AP$290,$B167)</f>
        <v>9.6633320484073781</v>
      </c>
      <c r="H167" s="111">
        <f>INDEX('CFL &amp; Incand Cost Development'!AQ$8:AQ$290,$B167)</f>
        <v>9.6633320484073781</v>
      </c>
      <c r="I167" s="103"/>
      <c r="J167" s="183" t="str">
        <f>INDEX('CFL &amp; Incand Cost Development'!BS$8:BS$290,$B167)</f>
        <v>WRR0409_CFLscw-Refl-Dim(15w)</v>
      </c>
      <c r="K167" s="250">
        <f>INDEX('CFL &amp; Incand Cost Development'!BT$8:BT$290,$B167)</f>
        <v>61</v>
      </c>
      <c r="L167" s="250">
        <f>INDEX('CFL &amp; Incand Cost Development'!BU$8:BU$290,$B167)</f>
        <v>6.1687999999999992</v>
      </c>
      <c r="M167" s="250">
        <f>INDEX('CFL &amp; Incand Cost Development'!BV$8:BV$290,$B167)</f>
        <v>7.1757999999999997</v>
      </c>
      <c r="N167" s="250">
        <f>INDEX('CFL &amp; Incand Cost Development'!BW$8:BW$290,$B167)</f>
        <v>4.8558000000000003</v>
      </c>
      <c r="O167" s="250">
        <f>INDEX('CFL &amp; Incand Cost Development'!BX$8:BX$290,$B167)</f>
        <v>3.0058000000000002</v>
      </c>
      <c r="P167" s="250">
        <f>INDEX('CFL &amp; Incand Cost Development'!BY$8:BY$290,$B167)</f>
        <v>3.0058000000000002</v>
      </c>
      <c r="Q167" s="103"/>
      <c r="R167" s="103"/>
      <c r="S167" s="103" t="str">
        <f t="shared" si="53"/>
        <v>Std_CFLscw-Refl-Dim(15w)_60pInc-r0286</v>
      </c>
      <c r="T167" s="111">
        <f t="shared" si="54"/>
        <v>8.4538528193629503</v>
      </c>
      <c r="U167" s="111">
        <f t="shared" si="55"/>
        <v>9.2884528193629521</v>
      </c>
      <c r="V167" s="111">
        <f t="shared" si="56"/>
        <v>6.7788128193629511</v>
      </c>
      <c r="W167" s="111">
        <f t="shared" si="57"/>
        <v>5.6688128193629517</v>
      </c>
      <c r="X167" s="111">
        <f t="shared" si="58"/>
        <v>5.6688128193629517</v>
      </c>
      <c r="Y167" s="103"/>
      <c r="Z167" s="103"/>
      <c r="AA167" s="103" t="str">
        <f t="shared" si="59"/>
        <v>CFLratio0286</v>
      </c>
      <c r="AB167" s="103" t="str">
        <f t="shared" si="51"/>
        <v>CFLscw-Refl-Dim(15w)CFLratio0286</v>
      </c>
      <c r="AC167" s="103"/>
      <c r="AD167" s="108">
        <f t="shared" si="52"/>
        <v>3.4275792290444276</v>
      </c>
      <c r="AE167" s="108">
        <f t="shared" si="47"/>
        <v>3.1689792290444263</v>
      </c>
      <c r="AF167" s="108">
        <f t="shared" si="48"/>
        <v>2.884519229044427</v>
      </c>
      <c r="AG167" s="108">
        <f t="shared" si="49"/>
        <v>3.9945192290444265</v>
      </c>
      <c r="AH167" s="108">
        <f t="shared" si="50"/>
        <v>3.9945192290444265</v>
      </c>
    </row>
    <row r="168" spans="2:34">
      <c r="B168" s="179">
        <f>IFERROR(MATCH(C168,'CFL &amp; Incand Cost Development'!$A$8:$A$290,0),0)</f>
        <v>173</v>
      </c>
      <c r="C168" s="111" t="s">
        <v>45</v>
      </c>
      <c r="D168" s="111">
        <f>INDEX('CFL &amp; Incand Cost Development'!AM$8:AM$290,$B168)</f>
        <v>12.028732048407377</v>
      </c>
      <c r="E168" s="111">
        <f>INDEX('CFL &amp; Incand Cost Development'!AN$8:AN$290,$B168)</f>
        <v>12.604732048407378</v>
      </c>
      <c r="F168" s="111">
        <f>INDEX('CFL &amp; Incand Cost Development'!AO$8:AO$290,$B168)</f>
        <v>9.8106320484073777</v>
      </c>
      <c r="G168" s="111">
        <f>INDEX('CFL &amp; Incand Cost Development'!AP$8:AP$290,$B168)</f>
        <v>9.8106320484073777</v>
      </c>
      <c r="H168" s="111">
        <f>INDEX('CFL &amp; Incand Cost Development'!AQ$8:AQ$290,$B168)</f>
        <v>9.8106320484073777</v>
      </c>
      <c r="I168" s="103"/>
      <c r="J168" s="183" t="str">
        <f>INDEX('CFL &amp; Incand Cost Development'!BS$8:BS$290,$B168)</f>
        <v>WRR0409_CFLscw-Refl-Dim(16w)</v>
      </c>
      <c r="K168" s="250">
        <f>INDEX('CFL &amp; Incand Cost Development'!BT$8:BT$290,$B168)</f>
        <v>65</v>
      </c>
      <c r="L168" s="250">
        <f>INDEX('CFL &amp; Incand Cost Development'!BU$8:BU$290,$B168)</f>
        <v>6.2103999999999999</v>
      </c>
      <c r="M168" s="250">
        <f>INDEX('CFL &amp; Incand Cost Development'!BV$8:BV$290,$B168)</f>
        <v>7.2173999999999996</v>
      </c>
      <c r="N168" s="250">
        <f>INDEX('CFL &amp; Incand Cost Development'!BW$8:BW$290,$B168)</f>
        <v>4.8973999999999993</v>
      </c>
      <c r="O168" s="250">
        <f>INDEX('CFL &amp; Incand Cost Development'!BX$8:BX$290,$B168)</f>
        <v>3.0473999999999992</v>
      </c>
      <c r="P168" s="250">
        <f>INDEX('CFL &amp; Incand Cost Development'!BY$8:BY$290,$B168)</f>
        <v>3.0473999999999992</v>
      </c>
      <c r="Q168" s="103"/>
      <c r="R168" s="103"/>
      <c r="S168" s="103" t="str">
        <f t="shared" si="53"/>
        <v>Std_CFLscw-Refl-Dim(16w)_60pInc-r0286</v>
      </c>
      <c r="T168" s="111">
        <f t="shared" si="54"/>
        <v>8.5377328193629509</v>
      </c>
      <c r="U168" s="111">
        <f t="shared" si="55"/>
        <v>9.3723328193629509</v>
      </c>
      <c r="V168" s="111">
        <f t="shared" si="56"/>
        <v>6.8626928193629508</v>
      </c>
      <c r="W168" s="111">
        <f t="shared" si="57"/>
        <v>5.7526928193629505</v>
      </c>
      <c r="X168" s="111">
        <f t="shared" si="58"/>
        <v>5.7526928193629505</v>
      </c>
      <c r="Y168" s="103"/>
      <c r="Z168" s="103"/>
      <c r="AA168" s="103" t="str">
        <f t="shared" si="59"/>
        <v>CFLratio0286</v>
      </c>
      <c r="AB168" s="103" t="str">
        <f t="shared" si="51"/>
        <v>CFLscw-Refl-Dim(16w)CFLratio0286</v>
      </c>
      <c r="AC168" s="103"/>
      <c r="AD168" s="108">
        <f t="shared" si="52"/>
        <v>3.4909992290444265</v>
      </c>
      <c r="AE168" s="108">
        <f t="shared" si="47"/>
        <v>3.232399229044427</v>
      </c>
      <c r="AF168" s="108">
        <f t="shared" si="48"/>
        <v>2.9479392290444268</v>
      </c>
      <c r="AG168" s="108">
        <f t="shared" si="49"/>
        <v>4.0579392290444272</v>
      </c>
      <c r="AH168" s="108">
        <f t="shared" si="50"/>
        <v>4.0579392290444272</v>
      </c>
    </row>
    <row r="169" spans="2:34">
      <c r="B169" s="179">
        <f>IFERROR(MATCH(C169,'CFL &amp; Incand Cost Development'!$A$8:$A$290,0),0)</f>
        <v>174</v>
      </c>
      <c r="C169" s="111" t="s">
        <v>46</v>
      </c>
      <c r="D169" s="111">
        <f>INDEX('CFL &amp; Incand Cost Development'!AM$8:AM$290,$B169)</f>
        <v>12.617932048407377</v>
      </c>
      <c r="E169" s="111">
        <f>INDEX('CFL &amp; Incand Cost Development'!AN$8:AN$290,$B169)</f>
        <v>13.193932048407378</v>
      </c>
      <c r="F169" s="111">
        <f>INDEX('CFL &amp; Incand Cost Development'!AO$8:AO$290,$B169)</f>
        <v>10.399832048407378</v>
      </c>
      <c r="G169" s="111">
        <f>INDEX('CFL &amp; Incand Cost Development'!AP$8:AP$290,$B169)</f>
        <v>10.399832048407378</v>
      </c>
      <c r="H169" s="111">
        <f>INDEX('CFL &amp; Incand Cost Development'!AQ$8:AQ$290,$B169)</f>
        <v>10.399832048407378</v>
      </c>
      <c r="I169" s="103"/>
      <c r="J169" s="183" t="str">
        <f>INDEX('CFL &amp; Incand Cost Development'!BS$8:BS$290,$B169)</f>
        <v>WRR0409_CFLscw-Refl-Dim(20w)</v>
      </c>
      <c r="K169" s="250">
        <f>INDEX('CFL &amp; Incand Cost Development'!BT$8:BT$290,$B169)</f>
        <v>82</v>
      </c>
      <c r="L169" s="250">
        <f>INDEX('CFL &amp; Incand Cost Development'!BU$8:BU$290,$B169)</f>
        <v>6.3872</v>
      </c>
      <c r="M169" s="250">
        <f>INDEX('CFL &amp; Incand Cost Development'!BV$8:BV$290,$B169)</f>
        <v>7.3941999999999997</v>
      </c>
      <c r="N169" s="250">
        <f>INDEX('CFL &amp; Incand Cost Development'!BW$8:BW$290,$B169)</f>
        <v>5.0741999999999994</v>
      </c>
      <c r="O169" s="250">
        <f>INDEX('CFL &amp; Incand Cost Development'!BX$8:BX$290,$B169)</f>
        <v>3.2241999999999993</v>
      </c>
      <c r="P169" s="250">
        <f>INDEX('CFL &amp; Incand Cost Development'!BY$8:BY$290,$B169)</f>
        <v>3.2241999999999993</v>
      </c>
      <c r="Q169" s="103"/>
      <c r="R169" s="103"/>
      <c r="S169" s="103" t="str">
        <f t="shared" si="53"/>
        <v>Std_CFLscw-Refl-Dim(20w)_60pInc-r0286</v>
      </c>
      <c r="T169" s="111">
        <f t="shared" si="54"/>
        <v>8.8794928193629516</v>
      </c>
      <c r="U169" s="111">
        <f t="shared" si="55"/>
        <v>9.7140928193629517</v>
      </c>
      <c r="V169" s="111">
        <f t="shared" si="56"/>
        <v>7.2044528193629507</v>
      </c>
      <c r="W169" s="111">
        <f t="shared" si="57"/>
        <v>6.0944528193629512</v>
      </c>
      <c r="X169" s="111">
        <f t="shared" si="58"/>
        <v>6.0944528193629512</v>
      </c>
      <c r="Y169" s="103"/>
      <c r="Z169" s="103"/>
      <c r="AA169" s="103" t="str">
        <f t="shared" si="59"/>
        <v>CFLratio0286</v>
      </c>
      <c r="AB169" s="103" t="str">
        <f t="shared" si="51"/>
        <v>CFLscw-Refl-Dim(20w)CFLratio0286</v>
      </c>
      <c r="AC169" s="103"/>
      <c r="AD169" s="108">
        <f t="shared" si="52"/>
        <v>3.7384392290444257</v>
      </c>
      <c r="AE169" s="108">
        <f t="shared" si="47"/>
        <v>3.4798392290444262</v>
      </c>
      <c r="AF169" s="108">
        <f t="shared" si="48"/>
        <v>3.1953792290444269</v>
      </c>
      <c r="AG169" s="108">
        <f t="shared" si="49"/>
        <v>4.3053792290444264</v>
      </c>
      <c r="AH169" s="108">
        <f t="shared" si="50"/>
        <v>4.3053792290444264</v>
      </c>
    </row>
    <row r="170" spans="2:34">
      <c r="B170" s="179">
        <f>IFERROR(MATCH(C170,'CFL &amp; Incand Cost Development'!$A$8:$A$290,0),0)</f>
        <v>175</v>
      </c>
      <c r="C170" s="111" t="s">
        <v>47</v>
      </c>
      <c r="D170" s="111">
        <f>INDEX('CFL &amp; Incand Cost Development'!AM$8:AM$290,$B170)</f>
        <v>13.501732048407376</v>
      </c>
      <c r="E170" s="111">
        <f>INDEX('CFL &amp; Incand Cost Development'!AN$8:AN$290,$B170)</f>
        <v>14.077732048407377</v>
      </c>
      <c r="F170" s="111">
        <f>INDEX('CFL &amp; Incand Cost Development'!AO$8:AO$290,$B170)</f>
        <v>11.283632048407377</v>
      </c>
      <c r="G170" s="111">
        <f>INDEX('CFL &amp; Incand Cost Development'!AP$8:AP$290,$B170)</f>
        <v>11.283632048407377</v>
      </c>
      <c r="H170" s="111">
        <f>INDEX('CFL &amp; Incand Cost Development'!AQ$8:AQ$290,$B170)</f>
        <v>11.283632048407377</v>
      </c>
      <c r="I170" s="103"/>
      <c r="J170" s="183" t="str">
        <f>INDEX('CFL &amp; Incand Cost Development'!BS$8:BS$290,$B170)</f>
        <v>WRR0409_CFLscw-Refl-Dim(26w)</v>
      </c>
      <c r="K170" s="250">
        <f>INDEX('CFL &amp; Incand Cost Development'!BT$8:BT$290,$B170)</f>
        <v>106</v>
      </c>
      <c r="L170" s="250">
        <f>INDEX('CFL &amp; Incand Cost Development'!BU$8:BU$290,$B170)</f>
        <v>6.6367999999999991</v>
      </c>
      <c r="M170" s="250">
        <f>INDEX('CFL &amp; Incand Cost Development'!BV$8:BV$290,$B170)</f>
        <v>7.6437999999999997</v>
      </c>
      <c r="N170" s="250">
        <f>INDEX('CFL &amp; Incand Cost Development'!BW$8:BW$290,$B170)</f>
        <v>5.3238000000000003</v>
      </c>
      <c r="O170" s="250">
        <f>INDEX('CFL &amp; Incand Cost Development'!BX$8:BX$290,$B170)</f>
        <v>3.4738000000000002</v>
      </c>
      <c r="P170" s="250">
        <f>INDEX('CFL &amp; Incand Cost Development'!BY$8:BY$290,$B170)</f>
        <v>3.4738000000000002</v>
      </c>
      <c r="Q170" s="103"/>
      <c r="R170" s="103"/>
      <c r="S170" s="103" t="str">
        <f t="shared" si="53"/>
        <v>Std_CFLscw-Refl-Dim(26w)_60pInc-r0286</v>
      </c>
      <c r="T170" s="111">
        <f t="shared" si="54"/>
        <v>9.38277281936295</v>
      </c>
      <c r="U170" s="111">
        <f t="shared" si="55"/>
        <v>10.21737281936295</v>
      </c>
      <c r="V170" s="111">
        <f t="shared" si="56"/>
        <v>7.7077328193629508</v>
      </c>
      <c r="W170" s="111">
        <f t="shared" si="57"/>
        <v>6.5977328193629514</v>
      </c>
      <c r="X170" s="111">
        <f t="shared" si="58"/>
        <v>6.5977328193629514</v>
      </c>
      <c r="Y170" s="103"/>
      <c r="Z170" s="103"/>
      <c r="AA170" s="103" t="str">
        <f t="shared" si="59"/>
        <v>CFLratio0286</v>
      </c>
      <c r="AB170" s="103" t="str">
        <f t="shared" si="51"/>
        <v>CFLscw-Refl-Dim(26w)CFLratio0286</v>
      </c>
      <c r="AC170" s="103"/>
      <c r="AD170" s="108">
        <f t="shared" si="52"/>
        <v>4.1189592290444264</v>
      </c>
      <c r="AE170" s="108">
        <f t="shared" si="47"/>
        <v>3.8603592290444269</v>
      </c>
      <c r="AF170" s="108">
        <f t="shared" si="48"/>
        <v>3.5758992290444258</v>
      </c>
      <c r="AG170" s="108">
        <f t="shared" si="49"/>
        <v>4.6858992290444252</v>
      </c>
      <c r="AH170" s="108">
        <f t="shared" si="50"/>
        <v>4.6858992290444252</v>
      </c>
    </row>
    <row r="171" spans="2:34">
      <c r="B171" s="179">
        <f>IFERROR(MATCH(C171,'CFL &amp; Incand Cost Development'!$A$8:$A$290,0),0)</f>
        <v>176</v>
      </c>
      <c r="C171" s="111" t="s">
        <v>516</v>
      </c>
      <c r="D171" s="111">
        <f>INDEX('CFL &amp; Incand Cost Development'!AM$8:AM$290,$B171)</f>
        <v>7.5407320484073788</v>
      </c>
      <c r="E171" s="111">
        <f>INDEX('CFL &amp; Incand Cost Development'!AN$8:AN$290,$B171)</f>
        <v>8.1167320484073784</v>
      </c>
      <c r="F171" s="111">
        <f>INDEX('CFL &amp; Incand Cost Development'!AO$8:AO$290,$B171)</f>
        <v>5.3226320484073781</v>
      </c>
      <c r="G171" s="111">
        <f>INDEX('CFL &amp; Incand Cost Development'!AP$8:AP$290,$B171)</f>
        <v>5.3226320484073781</v>
      </c>
      <c r="H171" s="111">
        <f>INDEX('CFL &amp; Incand Cost Development'!AQ$8:AQ$290,$B171)</f>
        <v>5.3226320484073781</v>
      </c>
      <c r="I171" s="103"/>
      <c r="J171" s="183" t="str">
        <f>INDEX('CFL &amp; Incand Cost Development'!BS$8:BS$290,$B171)</f>
        <v>WRR0409_CFLscw-Refl-Ext(13w)</v>
      </c>
      <c r="K171" s="250">
        <f>INDEX('CFL &amp; Incand Cost Development'!BT$8:BT$290,$B171)</f>
        <v>53</v>
      </c>
      <c r="L171" s="250">
        <f>INDEX('CFL &amp; Incand Cost Development'!BU$8:BU$290,$B171)</f>
        <v>6.0855999999999995</v>
      </c>
      <c r="M171" s="250">
        <f>INDEX('CFL &amp; Incand Cost Development'!BV$8:BV$290,$B171)</f>
        <v>7.0925999999999991</v>
      </c>
      <c r="N171" s="250">
        <f>INDEX('CFL &amp; Incand Cost Development'!BW$8:BW$290,$B171)</f>
        <v>4.7725999999999988</v>
      </c>
      <c r="O171" s="250">
        <f>INDEX('CFL &amp; Incand Cost Development'!BX$8:BX$290,$B171)</f>
        <v>2.9225999999999988</v>
      </c>
      <c r="P171" s="250">
        <f>INDEX('CFL &amp; Incand Cost Development'!BY$8:BY$290,$B171)</f>
        <v>2.9225999999999988</v>
      </c>
      <c r="Q171" s="103"/>
      <c r="R171" s="103"/>
      <c r="S171" s="103" t="str">
        <f t="shared" si="53"/>
        <v>Std_CFLscw-Refl-Ext(13w)_60pInc-r0286</v>
      </c>
      <c r="T171" s="111">
        <f t="shared" si="54"/>
        <v>6.6676528193629512</v>
      </c>
      <c r="U171" s="111">
        <f t="shared" si="55"/>
        <v>7.5022528193629512</v>
      </c>
      <c r="V171" s="111">
        <f t="shared" si="56"/>
        <v>4.9926128193629502</v>
      </c>
      <c r="W171" s="111">
        <f t="shared" si="57"/>
        <v>3.8826128193629508</v>
      </c>
      <c r="X171" s="111">
        <f t="shared" si="58"/>
        <v>3.8826128193629508</v>
      </c>
      <c r="Y171" s="103"/>
      <c r="Z171" s="103"/>
      <c r="AA171" s="103" t="str">
        <f t="shared" si="59"/>
        <v>CFLratio0286</v>
      </c>
      <c r="AB171" s="103" t="str">
        <f t="shared" si="51"/>
        <v>CFLscw-Refl-Ext(13w)CFLratio0286</v>
      </c>
      <c r="AC171" s="103"/>
      <c r="AD171" s="108">
        <f t="shared" si="52"/>
        <v>0.87307922904442758</v>
      </c>
      <c r="AE171" s="108">
        <f t="shared" si="47"/>
        <v>0.6144792290444272</v>
      </c>
      <c r="AF171" s="108">
        <f t="shared" si="48"/>
        <v>0.33001922904442793</v>
      </c>
      <c r="AG171" s="108">
        <f t="shared" si="49"/>
        <v>1.4400192290444274</v>
      </c>
      <c r="AH171" s="108">
        <f t="shared" si="50"/>
        <v>1.4400192290444274</v>
      </c>
    </row>
    <row r="172" spans="2:34">
      <c r="B172" s="179">
        <f>IFERROR(MATCH(C172,'CFL &amp; Incand Cost Development'!$A$8:$A$290,0),0)</f>
        <v>177</v>
      </c>
      <c r="C172" s="111" t="s">
        <v>518</v>
      </c>
      <c r="D172" s="111">
        <f>INDEX('CFL &amp; Incand Cost Development'!AM$8:AM$290,$B172)</f>
        <v>7.6880320484073801</v>
      </c>
      <c r="E172" s="111">
        <f>INDEX('CFL &amp; Incand Cost Development'!AN$8:AN$290,$B172)</f>
        <v>8.2640320484073797</v>
      </c>
      <c r="F172" s="111">
        <f>INDEX('CFL &amp; Incand Cost Development'!AO$8:AO$290,$B172)</f>
        <v>5.4699320484073795</v>
      </c>
      <c r="G172" s="111">
        <f>INDEX('CFL &amp; Incand Cost Development'!AP$8:AP$290,$B172)</f>
        <v>5.4699320484073795</v>
      </c>
      <c r="H172" s="111">
        <f>INDEX('CFL &amp; Incand Cost Development'!AQ$8:AQ$290,$B172)</f>
        <v>5.4699320484073795</v>
      </c>
      <c r="I172" s="103"/>
      <c r="J172" s="183" t="str">
        <f>INDEX('CFL &amp; Incand Cost Development'!BS$8:BS$290,$B172)</f>
        <v>WRR0409_CFLscw-Refl-Ext(14w)</v>
      </c>
      <c r="K172" s="250">
        <f>INDEX('CFL &amp; Incand Cost Development'!BT$8:BT$290,$B172)</f>
        <v>57</v>
      </c>
      <c r="L172" s="250">
        <f>INDEX('CFL &amp; Incand Cost Development'!BU$8:BU$290,$B172)</f>
        <v>6.1272000000000002</v>
      </c>
      <c r="M172" s="250">
        <f>INDEX('CFL &amp; Incand Cost Development'!BV$8:BV$290,$B172)</f>
        <v>7.1341999999999999</v>
      </c>
      <c r="N172" s="250">
        <f>INDEX('CFL &amp; Incand Cost Development'!BW$8:BW$290,$B172)</f>
        <v>4.8141999999999996</v>
      </c>
      <c r="O172" s="250">
        <f>INDEX('CFL &amp; Incand Cost Development'!BX$8:BX$290,$B172)</f>
        <v>2.9641999999999995</v>
      </c>
      <c r="P172" s="250">
        <f>INDEX('CFL &amp; Incand Cost Development'!BY$8:BY$290,$B172)</f>
        <v>2.9641999999999995</v>
      </c>
      <c r="Q172" s="103"/>
      <c r="R172" s="103"/>
      <c r="S172" s="103" t="str">
        <f t="shared" si="53"/>
        <v>Std_CFLscw-Refl-Ext(14w)_60pInc-r0286</v>
      </c>
      <c r="T172" s="111">
        <f t="shared" si="54"/>
        <v>6.7515328193629518</v>
      </c>
      <c r="U172" s="111">
        <f t="shared" si="55"/>
        <v>7.5861328193629518</v>
      </c>
      <c r="V172" s="111">
        <f t="shared" si="56"/>
        <v>5.0764928193629517</v>
      </c>
      <c r="W172" s="111">
        <f t="shared" si="57"/>
        <v>3.9664928193629514</v>
      </c>
      <c r="X172" s="111">
        <f t="shared" si="58"/>
        <v>3.9664928193629514</v>
      </c>
      <c r="Y172" s="103"/>
      <c r="Z172" s="103"/>
      <c r="AA172" s="103" t="str">
        <f t="shared" si="59"/>
        <v>CFLratio0286</v>
      </c>
      <c r="AB172" s="103" t="str">
        <f t="shared" si="51"/>
        <v>CFLscw-Refl-Ext(14w)CFLratio0286</v>
      </c>
      <c r="AC172" s="103"/>
      <c r="AD172" s="108">
        <f t="shared" si="52"/>
        <v>0.93649922904442828</v>
      </c>
      <c r="AE172" s="108">
        <f t="shared" si="47"/>
        <v>0.6778992290444279</v>
      </c>
      <c r="AF172" s="108">
        <f t="shared" si="48"/>
        <v>0.39343922904442774</v>
      </c>
      <c r="AG172" s="108">
        <f t="shared" si="49"/>
        <v>1.5034392290444281</v>
      </c>
      <c r="AH172" s="108">
        <f t="shared" si="50"/>
        <v>1.5034392290444281</v>
      </c>
    </row>
    <row r="173" spans="2:34">
      <c r="B173" s="179">
        <f>IFERROR(MATCH(C173,'CFL &amp; Incand Cost Development'!$A$8:$A$290,0),0)</f>
        <v>178</v>
      </c>
      <c r="C173" s="111" t="s">
        <v>520</v>
      </c>
      <c r="D173" s="111">
        <f>INDEX('CFL &amp; Incand Cost Development'!AM$8:AM$290,$B173)</f>
        <v>7.8353320484073796</v>
      </c>
      <c r="E173" s="111">
        <f>INDEX('CFL &amp; Incand Cost Development'!AN$8:AN$290,$B173)</f>
        <v>8.4113320484073792</v>
      </c>
      <c r="F173" s="111">
        <f>INDEX('CFL &amp; Incand Cost Development'!AO$8:AO$290,$B173)</f>
        <v>5.617232048407379</v>
      </c>
      <c r="G173" s="111">
        <f>INDEX('CFL &amp; Incand Cost Development'!AP$8:AP$290,$B173)</f>
        <v>5.617232048407379</v>
      </c>
      <c r="H173" s="111">
        <f>INDEX('CFL &amp; Incand Cost Development'!AQ$8:AQ$290,$B173)</f>
        <v>5.617232048407379</v>
      </c>
      <c r="I173" s="103"/>
      <c r="J173" s="183" t="str">
        <f>INDEX('CFL &amp; Incand Cost Development'!BS$8:BS$290,$B173)</f>
        <v>WRR0409_CFLscw-Refl-Ext(15w)</v>
      </c>
      <c r="K173" s="250">
        <f>INDEX('CFL &amp; Incand Cost Development'!BT$8:BT$290,$B173)</f>
        <v>61</v>
      </c>
      <c r="L173" s="250">
        <f>INDEX('CFL &amp; Incand Cost Development'!BU$8:BU$290,$B173)</f>
        <v>6.1687999999999992</v>
      </c>
      <c r="M173" s="250">
        <f>INDEX('CFL &amp; Incand Cost Development'!BV$8:BV$290,$B173)</f>
        <v>7.1757999999999997</v>
      </c>
      <c r="N173" s="250">
        <f>INDEX('CFL &amp; Incand Cost Development'!BW$8:BW$290,$B173)</f>
        <v>4.8558000000000003</v>
      </c>
      <c r="O173" s="250">
        <f>INDEX('CFL &amp; Incand Cost Development'!BX$8:BX$290,$B173)</f>
        <v>3.0058000000000002</v>
      </c>
      <c r="P173" s="250">
        <f>INDEX('CFL &amp; Incand Cost Development'!BY$8:BY$290,$B173)</f>
        <v>3.0058000000000002</v>
      </c>
      <c r="Q173" s="103"/>
      <c r="R173" s="103"/>
      <c r="S173" s="103" t="str">
        <f t="shared" si="53"/>
        <v>Std_CFLscw-Refl-Ext(15w)_60pInc-r0286</v>
      </c>
      <c r="T173" s="111">
        <f t="shared" si="54"/>
        <v>6.8354128193629506</v>
      </c>
      <c r="U173" s="111">
        <f t="shared" si="55"/>
        <v>7.6700128193629507</v>
      </c>
      <c r="V173" s="111">
        <f t="shared" si="56"/>
        <v>5.1603728193629514</v>
      </c>
      <c r="W173" s="111">
        <f t="shared" si="57"/>
        <v>4.050372819362952</v>
      </c>
      <c r="X173" s="111">
        <f t="shared" si="58"/>
        <v>4.050372819362952</v>
      </c>
      <c r="Y173" s="103"/>
      <c r="Z173" s="103"/>
      <c r="AA173" s="103" t="str">
        <f t="shared" si="59"/>
        <v>CFLratio0286</v>
      </c>
      <c r="AB173" s="103" t="str">
        <f t="shared" si="51"/>
        <v>CFLscw-Refl-Ext(15w)CFLratio0286</v>
      </c>
      <c r="AC173" s="103"/>
      <c r="AD173" s="108">
        <f t="shared" si="52"/>
        <v>0.99991922904442898</v>
      </c>
      <c r="AE173" s="108">
        <f t="shared" si="47"/>
        <v>0.7413192290444286</v>
      </c>
      <c r="AF173" s="108">
        <f t="shared" si="48"/>
        <v>0.45685922904442755</v>
      </c>
      <c r="AG173" s="108">
        <f t="shared" si="49"/>
        <v>1.566859229044427</v>
      </c>
      <c r="AH173" s="108">
        <f t="shared" si="50"/>
        <v>1.566859229044427</v>
      </c>
    </row>
    <row r="174" spans="2:34">
      <c r="B174" s="179">
        <f>IFERROR(MATCH(C174,'CFL &amp; Incand Cost Development'!$A$8:$A$290,0),0)</f>
        <v>179</v>
      </c>
      <c r="C174" s="111" t="s">
        <v>522</v>
      </c>
      <c r="D174" s="111">
        <f>INDEX('CFL &amp; Incand Cost Development'!AM$8:AM$290,$B174)</f>
        <v>7.9826320484073792</v>
      </c>
      <c r="E174" s="111">
        <f>INDEX('CFL &amp; Incand Cost Development'!AN$8:AN$290,$B174)</f>
        <v>8.5586320484073788</v>
      </c>
      <c r="F174" s="111">
        <f>INDEX('CFL &amp; Incand Cost Development'!AO$8:AO$290,$B174)</f>
        <v>5.7645320484073785</v>
      </c>
      <c r="G174" s="111">
        <f>INDEX('CFL &amp; Incand Cost Development'!AP$8:AP$290,$B174)</f>
        <v>5.7645320484073785</v>
      </c>
      <c r="H174" s="111">
        <f>INDEX('CFL &amp; Incand Cost Development'!AQ$8:AQ$290,$B174)</f>
        <v>5.7645320484073785</v>
      </c>
      <c r="I174" s="103"/>
      <c r="J174" s="183" t="str">
        <f>INDEX('CFL &amp; Incand Cost Development'!BS$8:BS$290,$B174)</f>
        <v>WRR0409_CFLscw-Refl-Ext(16w)</v>
      </c>
      <c r="K174" s="250">
        <f>INDEX('CFL &amp; Incand Cost Development'!BT$8:BT$290,$B174)</f>
        <v>65</v>
      </c>
      <c r="L174" s="250">
        <f>INDEX('CFL &amp; Incand Cost Development'!BU$8:BU$290,$B174)</f>
        <v>6.2103999999999999</v>
      </c>
      <c r="M174" s="250">
        <f>INDEX('CFL &amp; Incand Cost Development'!BV$8:BV$290,$B174)</f>
        <v>7.2173999999999996</v>
      </c>
      <c r="N174" s="250">
        <f>INDEX('CFL &amp; Incand Cost Development'!BW$8:BW$290,$B174)</f>
        <v>4.8973999999999993</v>
      </c>
      <c r="O174" s="250">
        <f>INDEX('CFL &amp; Incand Cost Development'!BX$8:BX$290,$B174)</f>
        <v>3.0473999999999992</v>
      </c>
      <c r="P174" s="250">
        <f>INDEX('CFL &amp; Incand Cost Development'!BY$8:BY$290,$B174)</f>
        <v>3.0473999999999992</v>
      </c>
      <c r="Q174" s="103"/>
      <c r="R174" s="103"/>
      <c r="S174" s="103" t="str">
        <f t="shared" si="53"/>
        <v>Std_CFLscw-Refl-Ext(16w)_60pInc-r0286</v>
      </c>
      <c r="T174" s="111">
        <f t="shared" si="54"/>
        <v>6.9192928193629513</v>
      </c>
      <c r="U174" s="111">
        <f t="shared" si="55"/>
        <v>7.7538928193629513</v>
      </c>
      <c r="V174" s="111">
        <f t="shared" si="56"/>
        <v>5.2442528193629512</v>
      </c>
      <c r="W174" s="111">
        <f t="shared" si="57"/>
        <v>4.1342528193629509</v>
      </c>
      <c r="X174" s="111">
        <f t="shared" si="58"/>
        <v>4.1342528193629509</v>
      </c>
      <c r="Y174" s="103"/>
      <c r="Z174" s="103"/>
      <c r="AA174" s="103" t="str">
        <f t="shared" si="59"/>
        <v>CFLratio0286</v>
      </c>
      <c r="AB174" s="103" t="str">
        <f t="shared" si="51"/>
        <v>CFLscw-Refl-Ext(16w)CFLratio0286</v>
      </c>
      <c r="AC174" s="103"/>
      <c r="AD174" s="108">
        <f t="shared" si="52"/>
        <v>1.0633392290444279</v>
      </c>
      <c r="AE174" s="108">
        <f t="shared" si="47"/>
        <v>0.80473922904442752</v>
      </c>
      <c r="AF174" s="108">
        <f t="shared" si="48"/>
        <v>0.52027922904442736</v>
      </c>
      <c r="AG174" s="108">
        <f t="shared" si="49"/>
        <v>1.6302792290444277</v>
      </c>
      <c r="AH174" s="108">
        <f t="shared" si="50"/>
        <v>1.6302792290444277</v>
      </c>
    </row>
    <row r="175" spans="2:34">
      <c r="B175" s="179">
        <f>IFERROR(MATCH(C175,'CFL &amp; Incand Cost Development'!$A$8:$A$290,0),0)</f>
        <v>180</v>
      </c>
      <c r="C175" s="111" t="s">
        <v>524</v>
      </c>
      <c r="D175" s="111">
        <f>INDEX('CFL &amp; Incand Cost Development'!AM$8:AM$290,$B175)</f>
        <v>8.2772320484073774</v>
      </c>
      <c r="E175" s="111">
        <f>INDEX('CFL &amp; Incand Cost Development'!AN$8:AN$290,$B175)</f>
        <v>8.8532320484073779</v>
      </c>
      <c r="F175" s="111">
        <f>INDEX('CFL &amp; Incand Cost Development'!AO$8:AO$290,$B175)</f>
        <v>6.0591320484073776</v>
      </c>
      <c r="G175" s="111">
        <f>INDEX('CFL &amp; Incand Cost Development'!AP$8:AP$290,$B175)</f>
        <v>6.0591320484073776</v>
      </c>
      <c r="H175" s="111">
        <f>INDEX('CFL &amp; Incand Cost Development'!AQ$8:AQ$290,$B175)</f>
        <v>6.0591320484073776</v>
      </c>
      <c r="I175" s="103"/>
      <c r="J175" s="183" t="str">
        <f>INDEX('CFL &amp; Incand Cost Development'!BS$8:BS$290,$B175)</f>
        <v>WRR0409_CFLscw-Refl-Ext(18w)</v>
      </c>
      <c r="K175" s="250">
        <f>INDEX('CFL &amp; Incand Cost Development'!BT$8:BT$290,$B175)</f>
        <v>74</v>
      </c>
      <c r="L175" s="250">
        <f>INDEX('CFL &amp; Incand Cost Development'!BU$8:BU$290,$B175)</f>
        <v>6.3039999999999985</v>
      </c>
      <c r="M175" s="250">
        <f>INDEX('CFL &amp; Incand Cost Development'!BV$8:BV$290,$B175)</f>
        <v>7.3109999999999991</v>
      </c>
      <c r="N175" s="250">
        <f>INDEX('CFL &amp; Incand Cost Development'!BW$8:BW$290,$B175)</f>
        <v>4.9909999999999997</v>
      </c>
      <c r="O175" s="250">
        <f>INDEX('CFL &amp; Incand Cost Development'!BX$8:BX$290,$B175)</f>
        <v>3.1409999999999996</v>
      </c>
      <c r="P175" s="250">
        <f>INDEX('CFL &amp; Incand Cost Development'!BY$8:BY$290,$B175)</f>
        <v>3.1409999999999996</v>
      </c>
      <c r="Q175" s="103"/>
      <c r="R175" s="103"/>
      <c r="S175" s="103" t="str">
        <f t="shared" si="53"/>
        <v>Std_CFLscw-Refl-Ext(18w)_60pInc-r0286</v>
      </c>
      <c r="T175" s="111">
        <f t="shared" si="54"/>
        <v>7.0932928193629508</v>
      </c>
      <c r="U175" s="111">
        <f t="shared" si="55"/>
        <v>7.9278928193629508</v>
      </c>
      <c r="V175" s="111">
        <f t="shared" si="56"/>
        <v>5.4182528193629516</v>
      </c>
      <c r="W175" s="111">
        <f t="shared" si="57"/>
        <v>4.3082528193629512</v>
      </c>
      <c r="X175" s="111">
        <f t="shared" si="58"/>
        <v>4.3082528193629512</v>
      </c>
      <c r="Y175" s="103"/>
      <c r="Z175" s="103"/>
      <c r="AA175" s="103" t="str">
        <f t="shared" si="59"/>
        <v>CFLratio0286</v>
      </c>
      <c r="AB175" s="103" t="str">
        <f t="shared" si="51"/>
        <v>CFLscw-Refl-Ext(18w)CFLratio0286</v>
      </c>
      <c r="AC175" s="103"/>
      <c r="AD175" s="108">
        <f t="shared" si="52"/>
        <v>1.1839392290444266</v>
      </c>
      <c r="AE175" s="108">
        <f t="shared" si="47"/>
        <v>0.92533922904442711</v>
      </c>
      <c r="AF175" s="108">
        <f t="shared" si="48"/>
        <v>0.64087922904442607</v>
      </c>
      <c r="AG175" s="108">
        <f t="shared" si="49"/>
        <v>1.7508792290444264</v>
      </c>
      <c r="AH175" s="108">
        <f t="shared" si="50"/>
        <v>1.7508792290444264</v>
      </c>
    </row>
    <row r="176" spans="2:34">
      <c r="B176" s="179">
        <f>IFERROR(MATCH(C176,'CFL &amp; Incand Cost Development'!$A$8:$A$290,0),0)</f>
        <v>181</v>
      </c>
      <c r="C176" s="111" t="s">
        <v>526</v>
      </c>
      <c r="D176" s="111">
        <f>INDEX('CFL &amp; Incand Cost Development'!AM$8:AM$290,$B176)</f>
        <v>8.5718320484073782</v>
      </c>
      <c r="E176" s="111">
        <f>INDEX('CFL &amp; Incand Cost Development'!AN$8:AN$290,$B176)</f>
        <v>9.1478320484073787</v>
      </c>
      <c r="F176" s="111">
        <f>INDEX('CFL &amp; Incand Cost Development'!AO$8:AO$290,$B176)</f>
        <v>6.3537320484073785</v>
      </c>
      <c r="G176" s="111">
        <f>INDEX('CFL &amp; Incand Cost Development'!AP$8:AP$290,$B176)</f>
        <v>6.3537320484073785</v>
      </c>
      <c r="H176" s="111">
        <f>INDEX('CFL &amp; Incand Cost Development'!AQ$8:AQ$290,$B176)</f>
        <v>6.3537320484073785</v>
      </c>
      <c r="I176" s="103"/>
      <c r="J176" s="183" t="str">
        <f>INDEX('CFL &amp; Incand Cost Development'!BS$8:BS$290,$B176)</f>
        <v>WRR0409_CFLscw-Refl-Ext(20w)</v>
      </c>
      <c r="K176" s="250">
        <f>INDEX('CFL &amp; Incand Cost Development'!BT$8:BT$290,$B176)</f>
        <v>82</v>
      </c>
      <c r="L176" s="250">
        <f>INDEX('CFL &amp; Incand Cost Development'!BU$8:BU$290,$B176)</f>
        <v>6.3872</v>
      </c>
      <c r="M176" s="250">
        <f>INDEX('CFL &amp; Incand Cost Development'!BV$8:BV$290,$B176)</f>
        <v>7.3941999999999997</v>
      </c>
      <c r="N176" s="250">
        <f>INDEX('CFL &amp; Incand Cost Development'!BW$8:BW$290,$B176)</f>
        <v>5.0741999999999994</v>
      </c>
      <c r="O176" s="250">
        <f>INDEX('CFL &amp; Incand Cost Development'!BX$8:BX$290,$B176)</f>
        <v>3.2241999999999993</v>
      </c>
      <c r="P176" s="250">
        <f>INDEX('CFL &amp; Incand Cost Development'!BY$8:BY$290,$B176)</f>
        <v>3.2241999999999993</v>
      </c>
      <c r="Q176" s="103"/>
      <c r="R176" s="103"/>
      <c r="S176" s="103" t="str">
        <f t="shared" si="53"/>
        <v>Std_CFLscw-Refl-Ext(20w)_60pInc-r0286</v>
      </c>
      <c r="T176" s="111">
        <f t="shared" si="54"/>
        <v>7.2610528193629511</v>
      </c>
      <c r="U176" s="111">
        <f t="shared" si="55"/>
        <v>8.095652819362952</v>
      </c>
      <c r="V176" s="111">
        <f t="shared" si="56"/>
        <v>5.586012819362951</v>
      </c>
      <c r="W176" s="111">
        <f t="shared" si="57"/>
        <v>4.4760128193629516</v>
      </c>
      <c r="X176" s="111">
        <f t="shared" si="58"/>
        <v>4.4760128193629516</v>
      </c>
      <c r="Y176" s="103"/>
      <c r="Z176" s="103"/>
      <c r="AA176" s="103" t="str">
        <f t="shared" si="59"/>
        <v>CFLratio0286</v>
      </c>
      <c r="AB176" s="103" t="str">
        <f t="shared" si="51"/>
        <v>CFLscw-Refl-Ext(20w)CFLratio0286</v>
      </c>
      <c r="AC176" s="103"/>
      <c r="AD176" s="108">
        <f t="shared" si="52"/>
        <v>1.3107792290444271</v>
      </c>
      <c r="AE176" s="108">
        <f t="shared" si="47"/>
        <v>1.0521792290444267</v>
      </c>
      <c r="AF176" s="108">
        <f t="shared" si="48"/>
        <v>0.76771922904442746</v>
      </c>
      <c r="AG176" s="108">
        <f t="shared" si="49"/>
        <v>1.8777192290444269</v>
      </c>
      <c r="AH176" s="108">
        <f t="shared" si="50"/>
        <v>1.8777192290444269</v>
      </c>
    </row>
    <row r="177" spans="2:34">
      <c r="B177" s="179">
        <f>IFERROR(MATCH(C177,'CFL &amp; Incand Cost Development'!$A$8:$A$290,0),0)</f>
        <v>182</v>
      </c>
      <c r="C177" s="111" t="s">
        <v>528</v>
      </c>
      <c r="D177" s="111">
        <f>INDEX('CFL &amp; Incand Cost Development'!AM$8:AM$290,$B177)</f>
        <v>9.0137320484073786</v>
      </c>
      <c r="E177" s="111">
        <f>INDEX('CFL &amp; Incand Cost Development'!AN$8:AN$290,$B177)</f>
        <v>9.5897320484073791</v>
      </c>
      <c r="F177" s="111">
        <f>INDEX('CFL &amp; Incand Cost Development'!AO$8:AO$290,$B177)</f>
        <v>6.7956320484073789</v>
      </c>
      <c r="G177" s="111">
        <f>INDEX('CFL &amp; Incand Cost Development'!AP$8:AP$290,$B177)</f>
        <v>6.7956320484073789</v>
      </c>
      <c r="H177" s="111">
        <f>INDEX('CFL &amp; Incand Cost Development'!AQ$8:AQ$290,$B177)</f>
        <v>6.7956320484073789</v>
      </c>
      <c r="I177" s="103"/>
      <c r="J177" s="183" t="str">
        <f>INDEX('CFL &amp; Incand Cost Development'!BS$8:BS$290,$B177)</f>
        <v>WRR0409_CFLscw-Refl-Ext(23w)</v>
      </c>
      <c r="K177" s="250">
        <f>INDEX('CFL &amp; Incand Cost Development'!BT$8:BT$290,$B177)</f>
        <v>94</v>
      </c>
      <c r="L177" s="250">
        <f>INDEX('CFL &amp; Incand Cost Development'!BU$8:BU$290,$B177)</f>
        <v>6.5119999999999987</v>
      </c>
      <c r="M177" s="250">
        <f>INDEX('CFL &amp; Incand Cost Development'!BV$8:BV$290,$B177)</f>
        <v>7.5189999999999992</v>
      </c>
      <c r="N177" s="250">
        <f>INDEX('CFL &amp; Incand Cost Development'!BW$8:BW$290,$B177)</f>
        <v>5.1989999999999998</v>
      </c>
      <c r="O177" s="250">
        <f>INDEX('CFL &amp; Incand Cost Development'!BX$8:BX$290,$B177)</f>
        <v>3.3489999999999998</v>
      </c>
      <c r="P177" s="250">
        <f>INDEX('CFL &amp; Incand Cost Development'!BY$8:BY$290,$B177)</f>
        <v>3.3489999999999998</v>
      </c>
      <c r="Q177" s="103"/>
      <c r="R177" s="103"/>
      <c r="S177" s="103" t="str">
        <f t="shared" si="53"/>
        <v>Std_CFLscw-Refl-Ext(23w)_60pInc-r0286</v>
      </c>
      <c r="T177" s="111">
        <f t="shared" si="54"/>
        <v>7.5126928193629503</v>
      </c>
      <c r="U177" s="111">
        <f t="shared" si="55"/>
        <v>8.3472928193629521</v>
      </c>
      <c r="V177" s="111">
        <f t="shared" si="56"/>
        <v>5.8376528193629511</v>
      </c>
      <c r="W177" s="111">
        <f t="shared" si="57"/>
        <v>4.7276528193629517</v>
      </c>
      <c r="X177" s="111">
        <f t="shared" si="58"/>
        <v>4.7276528193629517</v>
      </c>
      <c r="Y177" s="103"/>
      <c r="Z177" s="103"/>
      <c r="AA177" s="103" t="str">
        <f t="shared" si="59"/>
        <v>CFLratio0286</v>
      </c>
      <c r="AB177" s="103" t="str">
        <f t="shared" si="51"/>
        <v>CFLscw-Refl-Ext(23w)CFLratio0286</v>
      </c>
      <c r="AC177" s="103"/>
      <c r="AD177" s="108">
        <f t="shared" si="52"/>
        <v>1.5010392290444283</v>
      </c>
      <c r="AE177" s="108">
        <f t="shared" si="47"/>
        <v>1.2424392290444271</v>
      </c>
      <c r="AF177" s="108">
        <f t="shared" si="48"/>
        <v>0.95797922904442778</v>
      </c>
      <c r="AG177" s="108">
        <f t="shared" si="49"/>
        <v>2.0679792290444272</v>
      </c>
      <c r="AH177" s="108">
        <f t="shared" si="50"/>
        <v>2.0679792290444272</v>
      </c>
    </row>
    <row r="178" spans="2:34"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</row>
  </sheetData>
  <mergeCells count="4">
    <mergeCell ref="D3:H3"/>
    <mergeCell ref="L3:P3"/>
    <mergeCell ref="T3:X3"/>
    <mergeCell ref="AD3:AH3"/>
  </mergeCells>
  <conditionalFormatting sqref="K5:P177">
    <cfRule type="cellIs" dxfId="6" priority="5" operator="equal">
      <formula>"OOS"</formula>
    </cfRule>
  </conditionalFormatting>
  <conditionalFormatting sqref="J5:P5 K6:P176">
    <cfRule type="expression" dxfId="5" priority="141">
      <formula>($L5&lt;&gt;$L6)</formula>
    </cfRule>
  </conditionalFormatting>
  <conditionalFormatting sqref="K177:P177">
    <cfRule type="expression" dxfId="4" priority="143">
      <formula>($L177&lt;&gt;#REF!)</formula>
    </cfRule>
  </conditionalFormatting>
  <conditionalFormatting sqref="J5">
    <cfRule type="cellIs" dxfId="3" priority="4" operator="equal">
      <formula>"OOS"</formula>
    </cfRule>
  </conditionalFormatting>
  <conditionalFormatting sqref="J6:J177">
    <cfRule type="expression" dxfId="2" priority="3">
      <formula>($L6&lt;&gt;$L7)</formula>
    </cfRule>
  </conditionalFormatting>
  <conditionalFormatting sqref="J6:J177">
    <cfRule type="cellIs" dxfId="1" priority="2" operator="equal">
      <formula>"OOS"</formula>
    </cfRule>
  </conditionalFormatting>
  <conditionalFormatting sqref="AE5:AH177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AO1735"/>
  <sheetViews>
    <sheetView workbookViewId="0">
      <pane ySplit="4" topLeftCell="A1441" activePane="bottomLeft" state="frozen"/>
      <selection pane="bottomLeft" activeCell="A1480" sqref="A1480"/>
      <selection activeCell="D38" sqref="D38"/>
    </sheetView>
  </sheetViews>
  <sheetFormatPr defaultRowHeight="15"/>
  <cols>
    <col min="4" max="4" width="36.7109375" customWidth="1"/>
    <col min="5" max="5" width="46.7109375" customWidth="1"/>
    <col min="9" max="9" width="60.5703125" bestFit="1" customWidth="1"/>
    <col min="11" max="11" width="12.140625" bestFit="1" customWidth="1"/>
    <col min="12" max="12" width="15.5703125" bestFit="1" customWidth="1"/>
    <col min="13" max="13" width="10.5703125" bestFit="1" customWidth="1"/>
    <col min="14" max="14" width="11.85546875" bestFit="1" customWidth="1"/>
    <col min="15" max="15" width="21.140625" bestFit="1" customWidth="1"/>
    <col min="19" max="19" width="19.140625" customWidth="1"/>
    <col min="23" max="23" width="12.5703125" customWidth="1"/>
    <col min="26" max="26" width="11.7109375" customWidth="1"/>
    <col min="27" max="27" width="11.85546875" customWidth="1"/>
    <col min="30" max="30" width="9.28515625" bestFit="1" customWidth="1"/>
    <col min="32" max="32" width="9.42578125" bestFit="1" customWidth="1"/>
    <col min="33" max="33" width="13.140625" bestFit="1" customWidth="1"/>
    <col min="34" max="34" width="25.140625" customWidth="1"/>
    <col min="35" max="35" width="14.42578125" bestFit="1" customWidth="1"/>
    <col min="36" max="36" width="14" bestFit="1" customWidth="1"/>
    <col min="37" max="37" width="9" bestFit="1" customWidth="1"/>
    <col min="38" max="38" width="9.28515625" bestFit="1" customWidth="1"/>
  </cols>
  <sheetData>
    <row r="1" spans="1:41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</row>
    <row r="2" spans="1:41">
      <c r="A2" s="103"/>
      <c r="B2" s="103"/>
      <c r="C2" s="105" t="s">
        <v>822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</row>
    <row r="3" spans="1:4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</row>
    <row r="4" spans="1:41">
      <c r="A4" s="177" t="s">
        <v>823</v>
      </c>
      <c r="B4" s="177" t="s">
        <v>824</v>
      </c>
      <c r="C4" s="103" t="s">
        <v>825</v>
      </c>
      <c r="D4" s="109" t="s">
        <v>826</v>
      </c>
      <c r="E4" s="103" t="s">
        <v>4</v>
      </c>
      <c r="F4" s="103" t="s">
        <v>827</v>
      </c>
      <c r="G4" s="103" t="s">
        <v>828</v>
      </c>
      <c r="H4" s="103" t="s">
        <v>829</v>
      </c>
      <c r="I4" s="109" t="s">
        <v>830</v>
      </c>
      <c r="J4" s="103" t="s">
        <v>831</v>
      </c>
      <c r="K4" s="103" t="s">
        <v>832</v>
      </c>
      <c r="L4" s="103" t="s">
        <v>833</v>
      </c>
      <c r="M4" s="103" t="s">
        <v>834</v>
      </c>
      <c r="N4" s="103" t="s">
        <v>835</v>
      </c>
      <c r="O4" s="109" t="s">
        <v>112</v>
      </c>
      <c r="P4" s="103" t="s">
        <v>836</v>
      </c>
      <c r="Q4" s="103" t="s">
        <v>837</v>
      </c>
      <c r="R4" s="103" t="s">
        <v>838</v>
      </c>
      <c r="S4" s="109" t="s">
        <v>839</v>
      </c>
      <c r="T4" s="103" t="s">
        <v>840</v>
      </c>
      <c r="U4" s="103" t="s">
        <v>841</v>
      </c>
      <c r="V4" s="103" t="s">
        <v>842</v>
      </c>
      <c r="W4" s="109" t="s">
        <v>843</v>
      </c>
      <c r="X4" s="103" t="s">
        <v>844</v>
      </c>
      <c r="Y4" s="103" t="s">
        <v>845</v>
      </c>
      <c r="Z4" s="103" t="s">
        <v>846</v>
      </c>
      <c r="AA4" s="103" t="s">
        <v>847</v>
      </c>
      <c r="AB4" s="103" t="s">
        <v>848</v>
      </c>
      <c r="AC4" s="103" t="s">
        <v>849</v>
      </c>
      <c r="AD4" s="103" t="s">
        <v>850</v>
      </c>
      <c r="AE4" s="103" t="s">
        <v>851</v>
      </c>
      <c r="AF4" s="103" t="s">
        <v>852</v>
      </c>
      <c r="AG4" s="103" t="s">
        <v>853</v>
      </c>
      <c r="AH4" s="103" t="s">
        <v>854</v>
      </c>
      <c r="AI4" s="103" t="s">
        <v>855</v>
      </c>
      <c r="AJ4" s="109" t="s">
        <v>856</v>
      </c>
      <c r="AK4" s="109" t="s">
        <v>857</v>
      </c>
      <c r="AL4" s="109" t="s">
        <v>858</v>
      </c>
      <c r="AM4" s="103"/>
      <c r="AN4" s="103"/>
      <c r="AO4" s="103" t="s">
        <v>859</v>
      </c>
    </row>
    <row r="5" spans="1:41">
      <c r="A5" s="177">
        <f>IFERROR(MATCH(D5,'Measure &amp; Standard CostIDs'!C$5:C$177,0),MATCH(D5,'Measure &amp; Standard CostIDs'!S$5:S$177,0))</f>
        <v>1</v>
      </c>
      <c r="B5" s="177">
        <v>1</v>
      </c>
      <c r="C5" s="103" t="s">
        <v>153</v>
      </c>
      <c r="D5" s="103" t="s">
        <v>646</v>
      </c>
      <c r="E5" s="103" t="str">
        <f>IF(LEFT(D5,3)="Std","Base case cost for mix of 60% Incandescent and 40% CFL lamps for CFL TechID: "&amp;INDEX('Measure &amp; Standard CostIDs'!$C$5:$C$177,A5),"&lt;from TechID&gt;")</f>
        <v>&lt;from TechID&gt;</v>
      </c>
      <c r="F5" s="103" t="s">
        <v>860</v>
      </c>
      <c r="G5" s="103" t="s">
        <v>151</v>
      </c>
      <c r="H5" s="103" t="s">
        <v>861</v>
      </c>
      <c r="I5" s="103" t="s">
        <v>862</v>
      </c>
      <c r="J5" s="103" t="s">
        <v>863</v>
      </c>
      <c r="K5" s="103" t="s">
        <v>864</v>
      </c>
      <c r="L5" s="103" t="s">
        <v>153</v>
      </c>
      <c r="M5" s="103" t="s">
        <v>865</v>
      </c>
      <c r="N5" s="103" t="s">
        <v>866</v>
      </c>
      <c r="O5" s="103" t="str">
        <f>IF(LEFT(D5,3)="Std","",D5)</f>
        <v>CFLscw(10w)</v>
      </c>
      <c r="P5" s="103" t="s">
        <v>153</v>
      </c>
      <c r="Q5" s="103" t="s">
        <v>153</v>
      </c>
      <c r="R5" s="103" t="s">
        <v>153</v>
      </c>
      <c r="S5" s="103" t="str">
        <f>INDEX('Measure &amp; Standard CostIDs'!$AK$8:$AK$12,B5)</f>
        <v>Wtd-Pack</v>
      </c>
      <c r="T5" s="103" t="s">
        <v>867</v>
      </c>
      <c r="U5" s="103"/>
      <c r="V5" s="103"/>
      <c r="W5" s="103">
        <f>ROUND(IF(LEFT(D5,3)="Std",VLOOKUP(D5,'Measure &amp; Standard CostIDs'!$S$5:$X$177,1+B5,FALSE),VLOOKUP(D5,'Measure &amp; Standard CostIDs'!$C$5:$H$177,1+B5,FALSE)),2)</f>
        <v>2.8</v>
      </c>
      <c r="X5" s="103"/>
      <c r="Y5" s="103"/>
      <c r="Z5" s="103" t="s">
        <v>868</v>
      </c>
      <c r="AA5" s="103" t="s">
        <v>869</v>
      </c>
      <c r="AB5" s="103" t="s">
        <v>153</v>
      </c>
      <c r="AC5" s="103">
        <v>0</v>
      </c>
      <c r="AD5" s="156">
        <v>42005</v>
      </c>
      <c r="AE5" s="103"/>
      <c r="AF5" s="103" t="s">
        <v>870</v>
      </c>
      <c r="AG5" s="103" t="s">
        <v>871</v>
      </c>
      <c r="AH5" s="103" t="s">
        <v>872</v>
      </c>
      <c r="AI5" s="103">
        <v>0</v>
      </c>
      <c r="AJ5" s="103"/>
      <c r="AK5" s="103"/>
      <c r="AL5" s="103"/>
      <c r="AM5" s="103"/>
      <c r="AN5" s="103"/>
      <c r="AO5" s="103" t="str">
        <f>D5&amp;S5</f>
        <v>CFLscw(10w)Wtd-Pack</v>
      </c>
    </row>
    <row r="6" spans="1:41">
      <c r="A6" s="177">
        <f>IFERROR(MATCH(D6,'Measure &amp; Standard CostIDs'!C$5:C$177,0),MATCH(D6,'Measure &amp; Standard CostIDs'!S$5:S$177,0))</f>
        <v>2</v>
      </c>
      <c r="B6" s="177">
        <v>1</v>
      </c>
      <c r="C6" s="103" t="s">
        <v>153</v>
      </c>
      <c r="D6" s="103" t="s">
        <v>651</v>
      </c>
      <c r="E6" s="103" t="str">
        <f>IF(LEFT(D6,3)="Std","Base case cost for mix of 60% Incandescent and 40% CFL lamps for CFL TechID: "&amp;INDEX('Measure &amp; Standard CostIDs'!$C$5:$C$177,A6),"&lt;from TechID&gt;")</f>
        <v>&lt;from TechID&gt;</v>
      </c>
      <c r="F6" s="103" t="s">
        <v>860</v>
      </c>
      <c r="G6" s="103" t="s">
        <v>151</v>
      </c>
      <c r="H6" s="103" t="s">
        <v>861</v>
      </c>
      <c r="I6" s="103" t="s">
        <v>862</v>
      </c>
      <c r="J6" s="103" t="s">
        <v>863</v>
      </c>
      <c r="K6" s="103" t="s">
        <v>864</v>
      </c>
      <c r="L6" s="103" t="s">
        <v>153</v>
      </c>
      <c r="M6" s="103" t="s">
        <v>865</v>
      </c>
      <c r="N6" s="103" t="s">
        <v>866</v>
      </c>
      <c r="O6" s="103" t="str">
        <f t="shared" ref="O6:O69" si="0">IF(LEFT(D6,3)="Std","",D6)</f>
        <v>CFLscw(11w)</v>
      </c>
      <c r="P6" s="103" t="s">
        <v>153</v>
      </c>
      <c r="Q6" s="103" t="s">
        <v>153</v>
      </c>
      <c r="R6" s="103" t="s">
        <v>153</v>
      </c>
      <c r="S6" s="103" t="str">
        <f>INDEX('Measure &amp; Standard CostIDs'!$AK$8:$AK$12,B6)</f>
        <v>Wtd-Pack</v>
      </c>
      <c r="T6" s="103" t="s">
        <v>867</v>
      </c>
      <c r="U6" s="103"/>
      <c r="V6" s="103"/>
      <c r="W6" s="103">
        <f>ROUND(IF(LEFT(D6,3)="Std",VLOOKUP(D6,'Measure &amp; Standard CostIDs'!$S$5:$X$177,1+B6,FALSE),VLOOKUP(D6,'Measure &amp; Standard CostIDs'!$C$5:$H$177,1+B6,FALSE)),2)</f>
        <v>2.86</v>
      </c>
      <c r="X6" s="103"/>
      <c r="Y6" s="103"/>
      <c r="Z6" s="103" t="s">
        <v>868</v>
      </c>
      <c r="AA6" s="103" t="s">
        <v>869</v>
      </c>
      <c r="AB6" s="103" t="s">
        <v>153</v>
      </c>
      <c r="AC6" s="103">
        <v>0</v>
      </c>
      <c r="AD6" s="156">
        <v>42005</v>
      </c>
      <c r="AE6" s="103"/>
      <c r="AF6" s="103" t="s">
        <v>870</v>
      </c>
      <c r="AG6" s="103" t="s">
        <v>871</v>
      </c>
      <c r="AH6" s="103" t="s">
        <v>872</v>
      </c>
      <c r="AI6" s="103">
        <v>0</v>
      </c>
      <c r="AJ6" s="103"/>
      <c r="AK6" s="103"/>
      <c r="AL6" s="103"/>
      <c r="AM6" s="103"/>
      <c r="AN6" s="103"/>
      <c r="AO6" s="103" t="str">
        <f t="shared" ref="AO6:AO69" si="1">D6&amp;S6</f>
        <v>CFLscw(11w)Wtd-Pack</v>
      </c>
    </row>
    <row r="7" spans="1:41">
      <c r="A7" s="177">
        <f>IFERROR(MATCH(D7,'Measure &amp; Standard CostIDs'!C$5:C$177,0),MATCH(D7,'Measure &amp; Standard CostIDs'!S$5:S$177,0))</f>
        <v>3</v>
      </c>
      <c r="B7" s="177">
        <v>1</v>
      </c>
      <c r="C7" s="103" t="s">
        <v>153</v>
      </c>
      <c r="D7" s="103" t="s">
        <v>654</v>
      </c>
      <c r="E7" s="103" t="str">
        <f>IF(LEFT(D7,3)="Std","Base case cost for mix of 60% Incandescent and 40% CFL lamps for CFL TechID: "&amp;INDEX('Measure &amp; Standard CostIDs'!$C$5:$C$177,A7),"&lt;from TechID&gt;")</f>
        <v>&lt;from TechID&gt;</v>
      </c>
      <c r="F7" s="103" t="s">
        <v>860</v>
      </c>
      <c r="G7" s="103" t="s">
        <v>151</v>
      </c>
      <c r="H7" s="103" t="s">
        <v>861</v>
      </c>
      <c r="I7" s="103" t="s">
        <v>862</v>
      </c>
      <c r="J7" s="103" t="s">
        <v>863</v>
      </c>
      <c r="K7" s="103" t="s">
        <v>864</v>
      </c>
      <c r="L7" s="103" t="s">
        <v>153</v>
      </c>
      <c r="M7" s="103" t="s">
        <v>865</v>
      </c>
      <c r="N7" s="103" t="s">
        <v>866</v>
      </c>
      <c r="O7" s="103" t="str">
        <f t="shared" si="0"/>
        <v>CFLscw(120w)</v>
      </c>
      <c r="P7" s="103" t="s">
        <v>153</v>
      </c>
      <c r="Q7" s="103" t="s">
        <v>153</v>
      </c>
      <c r="R7" s="103" t="s">
        <v>153</v>
      </c>
      <c r="S7" s="103" t="str">
        <f>INDEX('Measure &amp; Standard CostIDs'!$AK$8:$AK$12,B7)</f>
        <v>Wtd-Pack</v>
      </c>
      <c r="T7" s="103" t="s">
        <v>867</v>
      </c>
      <c r="U7" s="103"/>
      <c r="V7" s="103"/>
      <c r="W7" s="103">
        <f>ROUND(IF(LEFT(D7,3)="Std",VLOOKUP(D7,'Measure &amp; Standard CostIDs'!$S$5:$X$177,1+B7,FALSE),VLOOKUP(D7,'Measure &amp; Standard CostIDs'!$C$5:$H$177,1+B7,FALSE)),2)</f>
        <v>18.989999999999998</v>
      </c>
      <c r="X7" s="103"/>
      <c r="Y7" s="103"/>
      <c r="Z7" s="103" t="s">
        <v>868</v>
      </c>
      <c r="AA7" s="103" t="s">
        <v>869</v>
      </c>
      <c r="AB7" s="103" t="s">
        <v>153</v>
      </c>
      <c r="AC7" s="103">
        <v>0</v>
      </c>
      <c r="AD7" s="156">
        <v>42005</v>
      </c>
      <c r="AE7" s="103"/>
      <c r="AF7" s="103" t="s">
        <v>870</v>
      </c>
      <c r="AG7" s="103" t="s">
        <v>871</v>
      </c>
      <c r="AH7" s="103" t="s">
        <v>872</v>
      </c>
      <c r="AI7" s="103">
        <v>0</v>
      </c>
      <c r="AJ7" s="103"/>
      <c r="AK7" s="103"/>
      <c r="AL7" s="103"/>
      <c r="AM7" s="103"/>
      <c r="AN7" s="103"/>
      <c r="AO7" s="103" t="str">
        <f t="shared" si="1"/>
        <v>CFLscw(120w)Wtd-Pack</v>
      </c>
    </row>
    <row r="8" spans="1:41">
      <c r="A8" s="177">
        <f>IFERROR(MATCH(D8,'Measure &amp; Standard CostIDs'!C$5:C$177,0),MATCH(D8,'Measure &amp; Standard CostIDs'!S$5:S$177,0))</f>
        <v>4</v>
      </c>
      <c r="B8" s="177">
        <v>1</v>
      </c>
      <c r="C8" s="103" t="s">
        <v>153</v>
      </c>
      <c r="D8" s="103" t="s">
        <v>658</v>
      </c>
      <c r="E8" s="103" t="str">
        <f>IF(LEFT(D8,3)="Std","Base case cost for mix of 60% Incandescent and 40% CFL lamps for CFL TechID: "&amp;INDEX('Measure &amp; Standard CostIDs'!$C$5:$C$177,A8),"&lt;from TechID&gt;")</f>
        <v>&lt;from TechID&gt;</v>
      </c>
      <c r="F8" s="103" t="s">
        <v>860</v>
      </c>
      <c r="G8" s="103" t="s">
        <v>151</v>
      </c>
      <c r="H8" s="103" t="s">
        <v>861</v>
      </c>
      <c r="I8" s="103" t="s">
        <v>862</v>
      </c>
      <c r="J8" s="103" t="s">
        <v>863</v>
      </c>
      <c r="K8" s="103" t="s">
        <v>864</v>
      </c>
      <c r="L8" s="103" t="s">
        <v>153</v>
      </c>
      <c r="M8" s="103" t="s">
        <v>865</v>
      </c>
      <c r="N8" s="103" t="s">
        <v>866</v>
      </c>
      <c r="O8" s="103" t="str">
        <f t="shared" si="0"/>
        <v>CFLscw(12w)</v>
      </c>
      <c r="P8" s="103" t="s">
        <v>153</v>
      </c>
      <c r="Q8" s="103" t="s">
        <v>153</v>
      </c>
      <c r="R8" s="103" t="s">
        <v>153</v>
      </c>
      <c r="S8" s="103" t="str">
        <f>INDEX('Measure &amp; Standard CostIDs'!$AK$8:$AK$12,B8)</f>
        <v>Wtd-Pack</v>
      </c>
      <c r="T8" s="103" t="s">
        <v>867</v>
      </c>
      <c r="U8" s="103"/>
      <c r="V8" s="103"/>
      <c r="W8" s="103">
        <f>ROUND(IF(LEFT(D8,3)="Std",VLOOKUP(D8,'Measure &amp; Standard CostIDs'!$S$5:$X$177,1+B8,FALSE),VLOOKUP(D8,'Measure &amp; Standard CostIDs'!$C$5:$H$177,1+B8,FALSE)),2)</f>
        <v>2.93</v>
      </c>
      <c r="X8" s="103"/>
      <c r="Y8" s="103"/>
      <c r="Z8" s="103" t="s">
        <v>868</v>
      </c>
      <c r="AA8" s="103" t="s">
        <v>869</v>
      </c>
      <c r="AB8" s="103" t="s">
        <v>153</v>
      </c>
      <c r="AC8" s="103">
        <v>0</v>
      </c>
      <c r="AD8" s="156">
        <v>42005</v>
      </c>
      <c r="AE8" s="103"/>
      <c r="AF8" s="103" t="s">
        <v>870</v>
      </c>
      <c r="AG8" s="103" t="s">
        <v>871</v>
      </c>
      <c r="AH8" s="103" t="s">
        <v>872</v>
      </c>
      <c r="AI8" s="103">
        <v>0</v>
      </c>
      <c r="AJ8" s="103"/>
      <c r="AK8" s="103"/>
      <c r="AL8" s="103"/>
      <c r="AM8" s="103"/>
      <c r="AN8" s="103"/>
      <c r="AO8" s="103" t="str">
        <f t="shared" si="1"/>
        <v>CFLscw(12w)Wtd-Pack</v>
      </c>
    </row>
    <row r="9" spans="1:41">
      <c r="A9" s="177">
        <f>IFERROR(MATCH(D9,'Measure &amp; Standard CostIDs'!C$5:C$177,0),MATCH(D9,'Measure &amp; Standard CostIDs'!S$5:S$177,0))</f>
        <v>5</v>
      </c>
      <c r="B9" s="177">
        <v>1</v>
      </c>
      <c r="C9" s="103" t="s">
        <v>153</v>
      </c>
      <c r="D9" s="103" t="s">
        <v>661</v>
      </c>
      <c r="E9" s="103" t="str">
        <f>IF(LEFT(D9,3)="Std","Base case cost for mix of 60% Incandescent and 40% CFL lamps for CFL TechID: "&amp;INDEX('Measure &amp; Standard CostIDs'!$C$5:$C$177,A9),"&lt;from TechID&gt;")</f>
        <v>&lt;from TechID&gt;</v>
      </c>
      <c r="F9" s="103" t="s">
        <v>860</v>
      </c>
      <c r="G9" s="103" t="s">
        <v>151</v>
      </c>
      <c r="H9" s="103" t="s">
        <v>861</v>
      </c>
      <c r="I9" s="103" t="s">
        <v>862</v>
      </c>
      <c r="J9" s="103" t="s">
        <v>863</v>
      </c>
      <c r="K9" s="103" t="s">
        <v>864</v>
      </c>
      <c r="L9" s="103" t="s">
        <v>153</v>
      </c>
      <c r="M9" s="103" t="s">
        <v>865</v>
      </c>
      <c r="N9" s="103" t="s">
        <v>866</v>
      </c>
      <c r="O9" s="103" t="str">
        <f t="shared" si="0"/>
        <v>CFLscw(13w)</v>
      </c>
      <c r="P9" s="103" t="s">
        <v>153</v>
      </c>
      <c r="Q9" s="103" t="s">
        <v>153</v>
      </c>
      <c r="R9" s="103" t="s">
        <v>153</v>
      </c>
      <c r="S9" s="103" t="str">
        <f>INDEX('Measure &amp; Standard CostIDs'!$AK$8:$AK$12,B9)</f>
        <v>Wtd-Pack</v>
      </c>
      <c r="T9" s="103" t="s">
        <v>867</v>
      </c>
      <c r="U9" s="103"/>
      <c r="V9" s="103"/>
      <c r="W9" s="103">
        <f>ROUND(IF(LEFT(D9,3)="Std",VLOOKUP(D9,'Measure &amp; Standard CostIDs'!$S$5:$X$177,1+B9,FALSE),VLOOKUP(D9,'Measure &amp; Standard CostIDs'!$C$5:$H$177,1+B9,FALSE)),2)</f>
        <v>3</v>
      </c>
      <c r="X9" s="103"/>
      <c r="Y9" s="103"/>
      <c r="Z9" s="103" t="s">
        <v>868</v>
      </c>
      <c r="AA9" s="103" t="s">
        <v>869</v>
      </c>
      <c r="AB9" s="103" t="s">
        <v>153</v>
      </c>
      <c r="AC9" s="103">
        <v>0</v>
      </c>
      <c r="AD9" s="156">
        <v>42005</v>
      </c>
      <c r="AE9" s="103"/>
      <c r="AF9" s="103" t="s">
        <v>870</v>
      </c>
      <c r="AG9" s="103" t="s">
        <v>871</v>
      </c>
      <c r="AH9" s="103" t="s">
        <v>872</v>
      </c>
      <c r="AI9" s="103">
        <v>0</v>
      </c>
      <c r="AJ9" s="103"/>
      <c r="AK9" s="103"/>
      <c r="AL9" s="103"/>
      <c r="AM9" s="103"/>
      <c r="AN9" s="103"/>
      <c r="AO9" s="103" t="str">
        <f t="shared" si="1"/>
        <v>CFLscw(13w)Wtd-Pack</v>
      </c>
    </row>
    <row r="10" spans="1:41">
      <c r="A10" s="177">
        <f>IFERROR(MATCH(D10,'Measure &amp; Standard CostIDs'!C$5:C$177,0),MATCH(D10,'Measure &amp; Standard CostIDs'!S$5:S$177,0))</f>
        <v>6</v>
      </c>
      <c r="B10" s="177">
        <v>1</v>
      </c>
      <c r="C10" s="103" t="s">
        <v>153</v>
      </c>
      <c r="D10" s="103" t="s">
        <v>664</v>
      </c>
      <c r="E10" s="103" t="str">
        <f>IF(LEFT(D10,3)="Std","Base case cost for mix of 60% Incandescent and 40% CFL lamps for CFL TechID: "&amp;INDEX('Measure &amp; Standard CostIDs'!$C$5:$C$177,A10),"&lt;from TechID&gt;")</f>
        <v>&lt;from TechID&gt;</v>
      </c>
      <c r="F10" s="103" t="s">
        <v>860</v>
      </c>
      <c r="G10" s="103" t="s">
        <v>151</v>
      </c>
      <c r="H10" s="103" t="s">
        <v>861</v>
      </c>
      <c r="I10" s="103" t="s">
        <v>862</v>
      </c>
      <c r="J10" s="103" t="s">
        <v>863</v>
      </c>
      <c r="K10" s="103" t="s">
        <v>864</v>
      </c>
      <c r="L10" s="103" t="s">
        <v>153</v>
      </c>
      <c r="M10" s="103" t="s">
        <v>865</v>
      </c>
      <c r="N10" s="103" t="s">
        <v>866</v>
      </c>
      <c r="O10" s="103" t="str">
        <f t="shared" si="0"/>
        <v>CFLscw(14w)</v>
      </c>
      <c r="P10" s="103" t="s">
        <v>153</v>
      </c>
      <c r="Q10" s="103" t="s">
        <v>153</v>
      </c>
      <c r="R10" s="103" t="s">
        <v>153</v>
      </c>
      <c r="S10" s="103" t="str">
        <f>INDEX('Measure &amp; Standard CostIDs'!$AK$8:$AK$12,B10)</f>
        <v>Wtd-Pack</v>
      </c>
      <c r="T10" s="103" t="s">
        <v>867</v>
      </c>
      <c r="U10" s="103"/>
      <c r="V10" s="103"/>
      <c r="W10" s="103">
        <f>ROUND(IF(LEFT(D10,3)="Std",VLOOKUP(D10,'Measure &amp; Standard CostIDs'!$S$5:$X$177,1+B10,FALSE),VLOOKUP(D10,'Measure &amp; Standard CostIDs'!$C$5:$H$177,1+B10,FALSE)),2)</f>
        <v>3.06</v>
      </c>
      <c r="X10" s="103"/>
      <c r="Y10" s="103"/>
      <c r="Z10" s="103" t="s">
        <v>868</v>
      </c>
      <c r="AA10" s="103" t="s">
        <v>869</v>
      </c>
      <c r="AB10" s="103" t="s">
        <v>153</v>
      </c>
      <c r="AC10" s="103">
        <v>0</v>
      </c>
      <c r="AD10" s="156">
        <v>42005</v>
      </c>
      <c r="AE10" s="103"/>
      <c r="AF10" s="103" t="s">
        <v>870</v>
      </c>
      <c r="AG10" s="103" t="s">
        <v>871</v>
      </c>
      <c r="AH10" s="103" t="s">
        <v>872</v>
      </c>
      <c r="AI10" s="103">
        <v>0</v>
      </c>
      <c r="AJ10" s="103"/>
      <c r="AK10" s="103"/>
      <c r="AL10" s="103"/>
      <c r="AM10" s="103"/>
      <c r="AN10" s="103"/>
      <c r="AO10" s="103" t="str">
        <f t="shared" si="1"/>
        <v>CFLscw(14w)Wtd-Pack</v>
      </c>
    </row>
    <row r="11" spans="1:41">
      <c r="A11" s="177">
        <f>IFERROR(MATCH(D11,'Measure &amp; Standard CostIDs'!C$5:C$177,0),MATCH(D11,'Measure &amp; Standard CostIDs'!S$5:S$177,0))</f>
        <v>7</v>
      </c>
      <c r="B11" s="177">
        <v>1</v>
      </c>
      <c r="C11" s="103" t="s">
        <v>153</v>
      </c>
      <c r="D11" s="103" t="s">
        <v>670</v>
      </c>
      <c r="E11" s="103" t="str">
        <f>IF(LEFT(D11,3)="Std","Base case cost for mix of 60% Incandescent and 40% CFL lamps for CFL TechID: "&amp;INDEX('Measure &amp; Standard CostIDs'!$C$5:$C$177,A11),"&lt;from TechID&gt;")</f>
        <v>&lt;from TechID&gt;</v>
      </c>
      <c r="F11" s="103" t="s">
        <v>860</v>
      </c>
      <c r="G11" s="103" t="s">
        <v>151</v>
      </c>
      <c r="H11" s="103" t="s">
        <v>861</v>
      </c>
      <c r="I11" s="103" t="s">
        <v>862</v>
      </c>
      <c r="J11" s="103" t="s">
        <v>863</v>
      </c>
      <c r="K11" s="103" t="s">
        <v>864</v>
      </c>
      <c r="L11" s="103" t="s">
        <v>153</v>
      </c>
      <c r="M11" s="103" t="s">
        <v>865</v>
      </c>
      <c r="N11" s="103" t="s">
        <v>866</v>
      </c>
      <c r="O11" s="103" t="str">
        <f t="shared" si="0"/>
        <v>CFLscw(15w)</v>
      </c>
      <c r="P11" s="103" t="s">
        <v>153</v>
      </c>
      <c r="Q11" s="103" t="s">
        <v>153</v>
      </c>
      <c r="R11" s="103" t="s">
        <v>153</v>
      </c>
      <c r="S11" s="103" t="str">
        <f>INDEX('Measure &amp; Standard CostIDs'!$AK$8:$AK$12,B11)</f>
        <v>Wtd-Pack</v>
      </c>
      <c r="T11" s="103" t="s">
        <v>867</v>
      </c>
      <c r="U11" s="103"/>
      <c r="V11" s="103"/>
      <c r="W11" s="103">
        <f>ROUND(IF(LEFT(D11,3)="Std",VLOOKUP(D11,'Measure &amp; Standard CostIDs'!$S$5:$X$177,1+B11,FALSE),VLOOKUP(D11,'Measure &amp; Standard CostIDs'!$C$5:$H$177,1+B11,FALSE)),2)</f>
        <v>3.13</v>
      </c>
      <c r="X11" s="103"/>
      <c r="Y11" s="103"/>
      <c r="Z11" s="103" t="s">
        <v>868</v>
      </c>
      <c r="AA11" s="103" t="s">
        <v>869</v>
      </c>
      <c r="AB11" s="103" t="s">
        <v>153</v>
      </c>
      <c r="AC11" s="103">
        <v>0</v>
      </c>
      <c r="AD11" s="156">
        <v>42005</v>
      </c>
      <c r="AE11" s="103"/>
      <c r="AF11" s="103" t="s">
        <v>870</v>
      </c>
      <c r="AG11" s="103" t="s">
        <v>871</v>
      </c>
      <c r="AH11" s="103" t="s">
        <v>872</v>
      </c>
      <c r="AI11" s="103">
        <v>0</v>
      </c>
      <c r="AJ11" s="103"/>
      <c r="AK11" s="103"/>
      <c r="AL11" s="103"/>
      <c r="AM11" s="103"/>
      <c r="AN11" s="103"/>
      <c r="AO11" s="103" t="str">
        <f t="shared" si="1"/>
        <v>CFLscw(15w)Wtd-Pack</v>
      </c>
    </row>
    <row r="12" spans="1:41">
      <c r="A12" s="177">
        <f>IFERROR(MATCH(D12,'Measure &amp; Standard CostIDs'!C$5:C$177,0),MATCH(D12,'Measure &amp; Standard CostIDs'!S$5:S$177,0))</f>
        <v>8</v>
      </c>
      <c r="B12" s="177">
        <v>1</v>
      </c>
      <c r="C12" s="103" t="s">
        <v>153</v>
      </c>
      <c r="D12" s="103" t="s">
        <v>673</v>
      </c>
      <c r="E12" s="103" t="str">
        <f>IF(LEFT(D12,3)="Std","Base case cost for mix of 60% Incandescent and 40% CFL lamps for CFL TechID: "&amp;INDEX('Measure &amp; Standard CostIDs'!$C$5:$C$177,A12),"&lt;from TechID&gt;")</f>
        <v>&lt;from TechID&gt;</v>
      </c>
      <c r="F12" s="103" t="s">
        <v>860</v>
      </c>
      <c r="G12" s="103" t="s">
        <v>151</v>
      </c>
      <c r="H12" s="103" t="s">
        <v>861</v>
      </c>
      <c r="I12" s="103" t="s">
        <v>862</v>
      </c>
      <c r="J12" s="103" t="s">
        <v>863</v>
      </c>
      <c r="K12" s="103" t="s">
        <v>864</v>
      </c>
      <c r="L12" s="103" t="s">
        <v>153</v>
      </c>
      <c r="M12" s="103" t="s">
        <v>865</v>
      </c>
      <c r="N12" s="103" t="s">
        <v>866</v>
      </c>
      <c r="O12" s="103" t="str">
        <f t="shared" si="0"/>
        <v>CFLscw(16w)</v>
      </c>
      <c r="P12" s="103" t="s">
        <v>153</v>
      </c>
      <c r="Q12" s="103" t="s">
        <v>153</v>
      </c>
      <c r="R12" s="103" t="s">
        <v>153</v>
      </c>
      <c r="S12" s="103" t="str">
        <f>INDEX('Measure &amp; Standard CostIDs'!$AK$8:$AK$12,B12)</f>
        <v>Wtd-Pack</v>
      </c>
      <c r="T12" s="103" t="s">
        <v>867</v>
      </c>
      <c r="U12" s="103"/>
      <c r="V12" s="103"/>
      <c r="W12" s="103">
        <f>ROUND(IF(LEFT(D12,3)="Std",VLOOKUP(D12,'Measure &amp; Standard CostIDs'!$S$5:$X$177,1+B12,FALSE),VLOOKUP(D12,'Measure &amp; Standard CostIDs'!$C$5:$H$177,1+B12,FALSE)),2)</f>
        <v>3.19</v>
      </c>
      <c r="X12" s="103"/>
      <c r="Y12" s="103"/>
      <c r="Z12" s="103" t="s">
        <v>868</v>
      </c>
      <c r="AA12" s="103" t="s">
        <v>869</v>
      </c>
      <c r="AB12" s="103" t="s">
        <v>153</v>
      </c>
      <c r="AC12" s="103">
        <v>0</v>
      </c>
      <c r="AD12" s="156">
        <v>42005</v>
      </c>
      <c r="AE12" s="103"/>
      <c r="AF12" s="103" t="s">
        <v>870</v>
      </c>
      <c r="AG12" s="103" t="s">
        <v>871</v>
      </c>
      <c r="AH12" s="103" t="s">
        <v>872</v>
      </c>
      <c r="AI12" s="103">
        <v>0</v>
      </c>
      <c r="AJ12" s="103"/>
      <c r="AK12" s="103"/>
      <c r="AL12" s="103"/>
      <c r="AM12" s="103"/>
      <c r="AN12" s="103"/>
      <c r="AO12" s="103" t="str">
        <f t="shared" si="1"/>
        <v>CFLscw(16w)Wtd-Pack</v>
      </c>
    </row>
    <row r="13" spans="1:41">
      <c r="A13" s="177">
        <f>IFERROR(MATCH(D13,'Measure &amp; Standard CostIDs'!C$5:C$177,0),MATCH(D13,'Measure &amp; Standard CostIDs'!S$5:S$177,0))</f>
        <v>9</v>
      </c>
      <c r="B13" s="177">
        <v>1</v>
      </c>
      <c r="C13" s="103" t="s">
        <v>153</v>
      </c>
      <c r="D13" s="103" t="s">
        <v>676</v>
      </c>
      <c r="E13" s="103" t="str">
        <f>IF(LEFT(D13,3)="Std","Base case cost for mix of 60% Incandescent and 40% CFL lamps for CFL TechID: "&amp;INDEX('Measure &amp; Standard CostIDs'!$C$5:$C$177,A13),"&lt;from TechID&gt;")</f>
        <v>&lt;from TechID&gt;</v>
      </c>
      <c r="F13" s="103" t="s">
        <v>860</v>
      </c>
      <c r="G13" s="103" t="s">
        <v>151</v>
      </c>
      <c r="H13" s="103" t="s">
        <v>861</v>
      </c>
      <c r="I13" s="103" t="s">
        <v>862</v>
      </c>
      <c r="J13" s="103" t="s">
        <v>863</v>
      </c>
      <c r="K13" s="103" t="s">
        <v>864</v>
      </c>
      <c r="L13" s="103" t="s">
        <v>153</v>
      </c>
      <c r="M13" s="103" t="s">
        <v>865</v>
      </c>
      <c r="N13" s="103" t="s">
        <v>866</v>
      </c>
      <c r="O13" s="103" t="str">
        <f t="shared" si="0"/>
        <v>CFLscw(17w)</v>
      </c>
      <c r="P13" s="103" t="s">
        <v>153</v>
      </c>
      <c r="Q13" s="103" t="s">
        <v>153</v>
      </c>
      <c r="R13" s="103" t="s">
        <v>153</v>
      </c>
      <c r="S13" s="103" t="str">
        <f>INDEX('Measure &amp; Standard CostIDs'!$AK$8:$AK$12,B13)</f>
        <v>Wtd-Pack</v>
      </c>
      <c r="T13" s="103" t="s">
        <v>867</v>
      </c>
      <c r="U13" s="103"/>
      <c r="V13" s="103"/>
      <c r="W13" s="103">
        <f>ROUND(IF(LEFT(D13,3)="Std",VLOOKUP(D13,'Measure &amp; Standard CostIDs'!$S$5:$X$177,1+B13,FALSE),VLOOKUP(D13,'Measure &amp; Standard CostIDs'!$C$5:$H$177,1+B13,FALSE)),2)</f>
        <v>3.26</v>
      </c>
      <c r="X13" s="103"/>
      <c r="Y13" s="103"/>
      <c r="Z13" s="103" t="s">
        <v>868</v>
      </c>
      <c r="AA13" s="103" t="s">
        <v>869</v>
      </c>
      <c r="AB13" s="103" t="s">
        <v>153</v>
      </c>
      <c r="AC13" s="103">
        <v>0</v>
      </c>
      <c r="AD13" s="156">
        <v>42005</v>
      </c>
      <c r="AE13" s="103"/>
      <c r="AF13" s="103" t="s">
        <v>870</v>
      </c>
      <c r="AG13" s="103" t="s">
        <v>871</v>
      </c>
      <c r="AH13" s="103" t="s">
        <v>872</v>
      </c>
      <c r="AI13" s="103">
        <v>0</v>
      </c>
      <c r="AJ13" s="103"/>
      <c r="AK13" s="103"/>
      <c r="AL13" s="103"/>
      <c r="AM13" s="103"/>
      <c r="AN13" s="103"/>
      <c r="AO13" s="103" t="str">
        <f t="shared" si="1"/>
        <v>CFLscw(17w)Wtd-Pack</v>
      </c>
    </row>
    <row r="14" spans="1:41">
      <c r="A14" s="177">
        <f>IFERROR(MATCH(D14,'Measure &amp; Standard CostIDs'!C$5:C$177,0),MATCH(D14,'Measure &amp; Standard CostIDs'!S$5:S$177,0))</f>
        <v>10</v>
      </c>
      <c r="B14" s="177">
        <v>1</v>
      </c>
      <c r="C14" s="103" t="s">
        <v>153</v>
      </c>
      <c r="D14" s="103" t="s">
        <v>679</v>
      </c>
      <c r="E14" s="103" t="str">
        <f>IF(LEFT(D14,3)="Std","Base case cost for mix of 60% Incandescent and 40% CFL lamps for CFL TechID: "&amp;INDEX('Measure &amp; Standard CostIDs'!$C$5:$C$177,A14),"&lt;from TechID&gt;")</f>
        <v>&lt;from TechID&gt;</v>
      </c>
      <c r="F14" s="103" t="s">
        <v>860</v>
      </c>
      <c r="G14" s="103" t="s">
        <v>151</v>
      </c>
      <c r="H14" s="103" t="s">
        <v>861</v>
      </c>
      <c r="I14" s="103" t="s">
        <v>862</v>
      </c>
      <c r="J14" s="103" t="s">
        <v>863</v>
      </c>
      <c r="K14" s="103" t="s">
        <v>864</v>
      </c>
      <c r="L14" s="103" t="s">
        <v>153</v>
      </c>
      <c r="M14" s="103" t="s">
        <v>865</v>
      </c>
      <c r="N14" s="103" t="s">
        <v>866</v>
      </c>
      <c r="O14" s="103" t="str">
        <f t="shared" si="0"/>
        <v>CFLscw(18w)</v>
      </c>
      <c r="P14" s="103" t="s">
        <v>153</v>
      </c>
      <c r="Q14" s="103" t="s">
        <v>153</v>
      </c>
      <c r="R14" s="103" t="s">
        <v>153</v>
      </c>
      <c r="S14" s="103" t="str">
        <f>INDEX('Measure &amp; Standard CostIDs'!$AK$8:$AK$12,B14)</f>
        <v>Wtd-Pack</v>
      </c>
      <c r="T14" s="103" t="s">
        <v>867</v>
      </c>
      <c r="U14" s="103"/>
      <c r="V14" s="103"/>
      <c r="W14" s="103">
        <f>ROUND(IF(LEFT(D14,3)="Std",VLOOKUP(D14,'Measure &amp; Standard CostIDs'!$S$5:$X$177,1+B14,FALSE),VLOOKUP(D14,'Measure &amp; Standard CostIDs'!$C$5:$H$177,1+B14,FALSE)),2)</f>
        <v>3.33</v>
      </c>
      <c r="X14" s="103"/>
      <c r="Y14" s="103"/>
      <c r="Z14" s="103" t="s">
        <v>868</v>
      </c>
      <c r="AA14" s="103" t="s">
        <v>869</v>
      </c>
      <c r="AB14" s="103" t="s">
        <v>153</v>
      </c>
      <c r="AC14" s="103">
        <v>0</v>
      </c>
      <c r="AD14" s="156">
        <v>42005</v>
      </c>
      <c r="AE14" s="103"/>
      <c r="AF14" s="103" t="s">
        <v>870</v>
      </c>
      <c r="AG14" s="103" t="s">
        <v>871</v>
      </c>
      <c r="AH14" s="103" t="s">
        <v>872</v>
      </c>
      <c r="AI14" s="103">
        <v>0</v>
      </c>
      <c r="AJ14" s="103"/>
      <c r="AK14" s="103"/>
      <c r="AL14" s="103"/>
      <c r="AM14" s="103"/>
      <c r="AN14" s="103"/>
      <c r="AO14" s="103" t="str">
        <f t="shared" si="1"/>
        <v>CFLscw(18w)Wtd-Pack</v>
      </c>
    </row>
    <row r="15" spans="1:41">
      <c r="A15" s="177">
        <f>IFERROR(MATCH(D15,'Measure &amp; Standard CostIDs'!C$5:C$177,0),MATCH(D15,'Measure &amp; Standard CostIDs'!S$5:S$177,0))</f>
        <v>11</v>
      </c>
      <c r="B15" s="177">
        <v>1</v>
      </c>
      <c r="C15" s="103" t="s">
        <v>153</v>
      </c>
      <c r="D15" s="103" t="s">
        <v>684</v>
      </c>
      <c r="E15" s="103" t="str">
        <f>IF(LEFT(D15,3)="Std","Base case cost for mix of 60% Incandescent and 40% CFL lamps for CFL TechID: "&amp;INDEX('Measure &amp; Standard CostIDs'!$C$5:$C$177,A15),"&lt;from TechID&gt;")</f>
        <v>&lt;from TechID&gt;</v>
      </c>
      <c r="F15" s="103" t="s">
        <v>860</v>
      </c>
      <c r="G15" s="103" t="s">
        <v>151</v>
      </c>
      <c r="H15" s="103" t="s">
        <v>861</v>
      </c>
      <c r="I15" s="103" t="s">
        <v>862</v>
      </c>
      <c r="J15" s="103" t="s">
        <v>863</v>
      </c>
      <c r="K15" s="103" t="s">
        <v>864</v>
      </c>
      <c r="L15" s="103" t="s">
        <v>153</v>
      </c>
      <c r="M15" s="103" t="s">
        <v>865</v>
      </c>
      <c r="N15" s="103" t="s">
        <v>866</v>
      </c>
      <c r="O15" s="103" t="str">
        <f t="shared" si="0"/>
        <v>CFLscw(19w)</v>
      </c>
      <c r="P15" s="103" t="s">
        <v>153</v>
      </c>
      <c r="Q15" s="103" t="s">
        <v>153</v>
      </c>
      <c r="R15" s="103" t="s">
        <v>153</v>
      </c>
      <c r="S15" s="103" t="str">
        <f>INDEX('Measure &amp; Standard CostIDs'!$AK$8:$AK$12,B15)</f>
        <v>Wtd-Pack</v>
      </c>
      <c r="T15" s="103" t="s">
        <v>867</v>
      </c>
      <c r="U15" s="103"/>
      <c r="V15" s="103"/>
      <c r="W15" s="103">
        <f>ROUND(IF(LEFT(D15,3)="Std",VLOOKUP(D15,'Measure &amp; Standard CostIDs'!$S$5:$X$177,1+B15,FALSE),VLOOKUP(D15,'Measure &amp; Standard CostIDs'!$C$5:$H$177,1+B15,FALSE)),2)</f>
        <v>3.39</v>
      </c>
      <c r="X15" s="103"/>
      <c r="Y15" s="103"/>
      <c r="Z15" s="103" t="s">
        <v>868</v>
      </c>
      <c r="AA15" s="103" t="s">
        <v>869</v>
      </c>
      <c r="AB15" s="103" t="s">
        <v>153</v>
      </c>
      <c r="AC15" s="103">
        <v>0</v>
      </c>
      <c r="AD15" s="156">
        <v>42005</v>
      </c>
      <c r="AE15" s="103"/>
      <c r="AF15" s="103" t="s">
        <v>870</v>
      </c>
      <c r="AG15" s="103" t="s">
        <v>871</v>
      </c>
      <c r="AH15" s="103" t="s">
        <v>872</v>
      </c>
      <c r="AI15" s="103">
        <v>0</v>
      </c>
      <c r="AJ15" s="103"/>
      <c r="AK15" s="103"/>
      <c r="AL15" s="103"/>
      <c r="AM15" s="103"/>
      <c r="AN15" s="103"/>
      <c r="AO15" s="103" t="str">
        <f t="shared" si="1"/>
        <v>CFLscw(19w)Wtd-Pack</v>
      </c>
    </row>
    <row r="16" spans="1:41">
      <c r="A16" s="177">
        <f>IFERROR(MATCH(D16,'Measure &amp; Standard CostIDs'!C$5:C$177,0),MATCH(D16,'Measure &amp; Standard CostIDs'!S$5:S$177,0))</f>
        <v>12</v>
      </c>
      <c r="B16" s="177">
        <v>1</v>
      </c>
      <c r="C16" s="103" t="s">
        <v>153</v>
      </c>
      <c r="D16" s="103" t="s">
        <v>690</v>
      </c>
      <c r="E16" s="103" t="str">
        <f>IF(LEFT(D16,3)="Std","Base case cost for mix of 60% Incandescent and 40% CFL lamps for CFL TechID: "&amp;INDEX('Measure &amp; Standard CostIDs'!$C$5:$C$177,A16),"&lt;from TechID&gt;")</f>
        <v>&lt;from TechID&gt;</v>
      </c>
      <c r="F16" s="103" t="s">
        <v>860</v>
      </c>
      <c r="G16" s="103" t="s">
        <v>151</v>
      </c>
      <c r="H16" s="103" t="s">
        <v>861</v>
      </c>
      <c r="I16" s="103" t="s">
        <v>862</v>
      </c>
      <c r="J16" s="103" t="s">
        <v>863</v>
      </c>
      <c r="K16" s="103" t="s">
        <v>864</v>
      </c>
      <c r="L16" s="103" t="s">
        <v>153</v>
      </c>
      <c r="M16" s="103" t="s">
        <v>865</v>
      </c>
      <c r="N16" s="103" t="s">
        <v>866</v>
      </c>
      <c r="O16" s="103" t="str">
        <f t="shared" si="0"/>
        <v>CFLscw(20w)</v>
      </c>
      <c r="P16" s="103" t="s">
        <v>153</v>
      </c>
      <c r="Q16" s="103" t="s">
        <v>153</v>
      </c>
      <c r="R16" s="103" t="s">
        <v>153</v>
      </c>
      <c r="S16" s="103" t="str">
        <f>INDEX('Measure &amp; Standard CostIDs'!$AK$8:$AK$12,B16)</f>
        <v>Wtd-Pack</v>
      </c>
      <c r="T16" s="103" t="s">
        <v>867</v>
      </c>
      <c r="U16" s="103"/>
      <c r="V16" s="103"/>
      <c r="W16" s="103">
        <f>ROUND(IF(LEFT(D16,3)="Std",VLOOKUP(D16,'Measure &amp; Standard CostIDs'!$S$5:$X$177,1+B16,FALSE),VLOOKUP(D16,'Measure &amp; Standard CostIDs'!$C$5:$H$177,1+B16,FALSE)),2)</f>
        <v>3.46</v>
      </c>
      <c r="X16" s="103"/>
      <c r="Y16" s="103"/>
      <c r="Z16" s="103" t="s">
        <v>868</v>
      </c>
      <c r="AA16" s="103" t="s">
        <v>869</v>
      </c>
      <c r="AB16" s="103" t="s">
        <v>153</v>
      </c>
      <c r="AC16" s="103">
        <v>0</v>
      </c>
      <c r="AD16" s="156">
        <v>42005</v>
      </c>
      <c r="AE16" s="103"/>
      <c r="AF16" s="103" t="s">
        <v>870</v>
      </c>
      <c r="AG16" s="103" t="s">
        <v>871</v>
      </c>
      <c r="AH16" s="103" t="s">
        <v>872</v>
      </c>
      <c r="AI16" s="103">
        <v>0</v>
      </c>
      <c r="AJ16" s="103"/>
      <c r="AK16" s="103"/>
      <c r="AL16" s="103"/>
      <c r="AM16" s="103"/>
      <c r="AN16" s="103"/>
      <c r="AO16" s="103" t="str">
        <f t="shared" si="1"/>
        <v>CFLscw(20w)Wtd-Pack</v>
      </c>
    </row>
    <row r="17" spans="1:41">
      <c r="A17" s="177">
        <f>IFERROR(MATCH(D17,'Measure &amp; Standard CostIDs'!C$5:C$177,0),MATCH(D17,'Measure &amp; Standard CostIDs'!S$5:S$177,0))</f>
        <v>13</v>
      </c>
      <c r="B17" s="177">
        <v>1</v>
      </c>
      <c r="C17" s="103" t="s">
        <v>153</v>
      </c>
      <c r="D17" s="103" t="s">
        <v>693</v>
      </c>
      <c r="E17" s="103" t="str">
        <f>IF(LEFT(D17,3)="Std","Base case cost for mix of 60% Incandescent and 40% CFL lamps for CFL TechID: "&amp;INDEX('Measure &amp; Standard CostIDs'!$C$5:$C$177,A17),"&lt;from TechID&gt;")</f>
        <v>&lt;from TechID&gt;</v>
      </c>
      <c r="F17" s="103" t="s">
        <v>860</v>
      </c>
      <c r="G17" s="103" t="s">
        <v>151</v>
      </c>
      <c r="H17" s="103" t="s">
        <v>861</v>
      </c>
      <c r="I17" s="103" t="s">
        <v>862</v>
      </c>
      <c r="J17" s="103" t="s">
        <v>863</v>
      </c>
      <c r="K17" s="103" t="s">
        <v>864</v>
      </c>
      <c r="L17" s="103" t="s">
        <v>153</v>
      </c>
      <c r="M17" s="103" t="s">
        <v>865</v>
      </c>
      <c r="N17" s="103" t="s">
        <v>866</v>
      </c>
      <c r="O17" s="103" t="str">
        <f t="shared" si="0"/>
        <v>CFLscw(21w)</v>
      </c>
      <c r="P17" s="103" t="s">
        <v>153</v>
      </c>
      <c r="Q17" s="103" t="s">
        <v>153</v>
      </c>
      <c r="R17" s="103" t="s">
        <v>153</v>
      </c>
      <c r="S17" s="103" t="str">
        <f>INDEX('Measure &amp; Standard CostIDs'!$AK$8:$AK$12,B17)</f>
        <v>Wtd-Pack</v>
      </c>
      <c r="T17" s="103" t="s">
        <v>867</v>
      </c>
      <c r="U17" s="103"/>
      <c r="V17" s="103"/>
      <c r="W17" s="103">
        <f>ROUND(IF(LEFT(D17,3)="Std",VLOOKUP(D17,'Measure &amp; Standard CostIDs'!$S$5:$X$177,1+B17,FALSE),VLOOKUP(D17,'Measure &amp; Standard CostIDs'!$C$5:$H$177,1+B17,FALSE)),2)</f>
        <v>3.53</v>
      </c>
      <c r="X17" s="103"/>
      <c r="Y17" s="103"/>
      <c r="Z17" s="103" t="s">
        <v>868</v>
      </c>
      <c r="AA17" s="103" t="s">
        <v>869</v>
      </c>
      <c r="AB17" s="103" t="s">
        <v>153</v>
      </c>
      <c r="AC17" s="103">
        <v>0</v>
      </c>
      <c r="AD17" s="156">
        <v>42005</v>
      </c>
      <c r="AE17" s="103"/>
      <c r="AF17" s="103" t="s">
        <v>870</v>
      </c>
      <c r="AG17" s="103" t="s">
        <v>871</v>
      </c>
      <c r="AH17" s="103" t="s">
        <v>872</v>
      </c>
      <c r="AI17" s="103">
        <v>0</v>
      </c>
      <c r="AJ17" s="103"/>
      <c r="AK17" s="103"/>
      <c r="AL17" s="103"/>
      <c r="AM17" s="103"/>
      <c r="AN17" s="103"/>
      <c r="AO17" s="103" t="str">
        <f t="shared" si="1"/>
        <v>CFLscw(21w)Wtd-Pack</v>
      </c>
    </row>
    <row r="18" spans="1:41">
      <c r="A18" s="177">
        <f>IFERROR(MATCH(D18,'Measure &amp; Standard CostIDs'!C$5:C$177,0),MATCH(D18,'Measure &amp; Standard CostIDs'!S$5:S$177,0))</f>
        <v>14</v>
      </c>
      <c r="B18" s="177">
        <v>1</v>
      </c>
      <c r="C18" s="103" t="s">
        <v>153</v>
      </c>
      <c r="D18" s="103" t="s">
        <v>696</v>
      </c>
      <c r="E18" s="103" t="str">
        <f>IF(LEFT(D18,3)="Std","Base case cost for mix of 60% Incandescent and 40% CFL lamps for CFL TechID: "&amp;INDEX('Measure &amp; Standard CostIDs'!$C$5:$C$177,A18),"&lt;from TechID&gt;")</f>
        <v>&lt;from TechID&gt;</v>
      </c>
      <c r="F18" s="103" t="s">
        <v>860</v>
      </c>
      <c r="G18" s="103" t="s">
        <v>151</v>
      </c>
      <c r="H18" s="103" t="s">
        <v>861</v>
      </c>
      <c r="I18" s="103" t="s">
        <v>862</v>
      </c>
      <c r="J18" s="103" t="s">
        <v>863</v>
      </c>
      <c r="K18" s="103" t="s">
        <v>864</v>
      </c>
      <c r="L18" s="103" t="s">
        <v>153</v>
      </c>
      <c r="M18" s="103" t="s">
        <v>865</v>
      </c>
      <c r="N18" s="103" t="s">
        <v>866</v>
      </c>
      <c r="O18" s="103" t="str">
        <f t="shared" si="0"/>
        <v>CFLscw(22w)</v>
      </c>
      <c r="P18" s="103" t="s">
        <v>153</v>
      </c>
      <c r="Q18" s="103" t="s">
        <v>153</v>
      </c>
      <c r="R18" s="103" t="s">
        <v>153</v>
      </c>
      <c r="S18" s="103" t="str">
        <f>INDEX('Measure &amp; Standard CostIDs'!$AK$8:$AK$12,B18)</f>
        <v>Wtd-Pack</v>
      </c>
      <c r="T18" s="103" t="s">
        <v>867</v>
      </c>
      <c r="U18" s="103"/>
      <c r="V18" s="103"/>
      <c r="W18" s="103">
        <f>ROUND(IF(LEFT(D18,3)="Std",VLOOKUP(D18,'Measure &amp; Standard CostIDs'!$S$5:$X$177,1+B18,FALSE),VLOOKUP(D18,'Measure &amp; Standard CostIDs'!$C$5:$H$177,1+B18,FALSE)),2)</f>
        <v>3.59</v>
      </c>
      <c r="X18" s="103"/>
      <c r="Y18" s="103"/>
      <c r="Z18" s="103" t="s">
        <v>868</v>
      </c>
      <c r="AA18" s="103" t="s">
        <v>869</v>
      </c>
      <c r="AB18" s="103" t="s">
        <v>153</v>
      </c>
      <c r="AC18" s="103">
        <v>0</v>
      </c>
      <c r="AD18" s="156">
        <v>42005</v>
      </c>
      <c r="AE18" s="103"/>
      <c r="AF18" s="103" t="s">
        <v>870</v>
      </c>
      <c r="AG18" s="103" t="s">
        <v>871</v>
      </c>
      <c r="AH18" s="103" t="s">
        <v>872</v>
      </c>
      <c r="AI18" s="103">
        <v>0</v>
      </c>
      <c r="AJ18" s="103"/>
      <c r="AK18" s="103"/>
      <c r="AL18" s="103"/>
      <c r="AM18" s="103"/>
      <c r="AN18" s="103"/>
      <c r="AO18" s="103" t="str">
        <f t="shared" si="1"/>
        <v>CFLscw(22w)Wtd-Pack</v>
      </c>
    </row>
    <row r="19" spans="1:41">
      <c r="A19" s="177">
        <f>IFERROR(MATCH(D19,'Measure &amp; Standard CostIDs'!C$5:C$177,0),MATCH(D19,'Measure &amp; Standard CostIDs'!S$5:S$177,0))</f>
        <v>15</v>
      </c>
      <c r="B19" s="177">
        <v>1</v>
      </c>
      <c r="C19" s="103" t="s">
        <v>153</v>
      </c>
      <c r="D19" s="103" t="s">
        <v>699</v>
      </c>
      <c r="E19" s="103" t="str">
        <f>IF(LEFT(D19,3)="Std","Base case cost for mix of 60% Incandescent and 40% CFL lamps for CFL TechID: "&amp;INDEX('Measure &amp; Standard CostIDs'!$C$5:$C$177,A19),"&lt;from TechID&gt;")</f>
        <v>&lt;from TechID&gt;</v>
      </c>
      <c r="F19" s="103" t="s">
        <v>860</v>
      </c>
      <c r="G19" s="103" t="s">
        <v>151</v>
      </c>
      <c r="H19" s="103" t="s">
        <v>861</v>
      </c>
      <c r="I19" s="103" t="s">
        <v>862</v>
      </c>
      <c r="J19" s="103" t="s">
        <v>863</v>
      </c>
      <c r="K19" s="103" t="s">
        <v>864</v>
      </c>
      <c r="L19" s="103" t="s">
        <v>153</v>
      </c>
      <c r="M19" s="103" t="s">
        <v>865</v>
      </c>
      <c r="N19" s="103" t="s">
        <v>866</v>
      </c>
      <c r="O19" s="103" t="str">
        <f t="shared" si="0"/>
        <v>CFLscw(23w)</v>
      </c>
      <c r="P19" s="103" t="s">
        <v>153</v>
      </c>
      <c r="Q19" s="103" t="s">
        <v>153</v>
      </c>
      <c r="R19" s="103" t="s">
        <v>153</v>
      </c>
      <c r="S19" s="103" t="str">
        <f>INDEX('Measure &amp; Standard CostIDs'!$AK$8:$AK$12,B19)</f>
        <v>Wtd-Pack</v>
      </c>
      <c r="T19" s="103" t="s">
        <v>867</v>
      </c>
      <c r="U19" s="103"/>
      <c r="V19" s="103"/>
      <c r="W19" s="103">
        <f>ROUND(IF(LEFT(D19,3)="Std",VLOOKUP(D19,'Measure &amp; Standard CostIDs'!$S$5:$X$177,1+B19,FALSE),VLOOKUP(D19,'Measure &amp; Standard CostIDs'!$C$5:$H$177,1+B19,FALSE)),2)</f>
        <v>3.66</v>
      </c>
      <c r="X19" s="103"/>
      <c r="Y19" s="103"/>
      <c r="Z19" s="103" t="s">
        <v>868</v>
      </c>
      <c r="AA19" s="103" t="s">
        <v>869</v>
      </c>
      <c r="AB19" s="103" t="s">
        <v>153</v>
      </c>
      <c r="AC19" s="103">
        <v>0</v>
      </c>
      <c r="AD19" s="156">
        <v>42005</v>
      </c>
      <c r="AE19" s="103"/>
      <c r="AF19" s="103" t="s">
        <v>870</v>
      </c>
      <c r="AG19" s="103" t="s">
        <v>871</v>
      </c>
      <c r="AH19" s="103" t="s">
        <v>872</v>
      </c>
      <c r="AI19" s="103">
        <v>0</v>
      </c>
      <c r="AJ19" s="103"/>
      <c r="AK19" s="103"/>
      <c r="AL19" s="103"/>
      <c r="AM19" s="103"/>
      <c r="AN19" s="103"/>
      <c r="AO19" s="103" t="str">
        <f t="shared" si="1"/>
        <v>CFLscw(23w)Wtd-Pack</v>
      </c>
    </row>
    <row r="20" spans="1:41">
      <c r="A20" s="177">
        <f>IFERROR(MATCH(D20,'Measure &amp; Standard CostIDs'!C$5:C$177,0),MATCH(D20,'Measure &amp; Standard CostIDs'!S$5:S$177,0))</f>
        <v>16</v>
      </c>
      <c r="B20" s="177">
        <v>1</v>
      </c>
      <c r="C20" s="103" t="s">
        <v>153</v>
      </c>
      <c r="D20" s="103" t="s">
        <v>702</v>
      </c>
      <c r="E20" s="103" t="str">
        <f>IF(LEFT(D20,3)="Std","Base case cost for mix of 60% Incandescent and 40% CFL lamps for CFL TechID: "&amp;INDEX('Measure &amp; Standard CostIDs'!$C$5:$C$177,A20),"&lt;from TechID&gt;")</f>
        <v>&lt;from TechID&gt;</v>
      </c>
      <c r="F20" s="103" t="s">
        <v>860</v>
      </c>
      <c r="G20" s="103" t="s">
        <v>151</v>
      </c>
      <c r="H20" s="103" t="s">
        <v>861</v>
      </c>
      <c r="I20" s="103" t="s">
        <v>862</v>
      </c>
      <c r="J20" s="103" t="s">
        <v>863</v>
      </c>
      <c r="K20" s="103" t="s">
        <v>864</v>
      </c>
      <c r="L20" s="103" t="s">
        <v>153</v>
      </c>
      <c r="M20" s="103" t="s">
        <v>865</v>
      </c>
      <c r="N20" s="103" t="s">
        <v>866</v>
      </c>
      <c r="O20" s="103" t="str">
        <f t="shared" si="0"/>
        <v>CFLscw(24w)</v>
      </c>
      <c r="P20" s="103" t="s">
        <v>153</v>
      </c>
      <c r="Q20" s="103" t="s">
        <v>153</v>
      </c>
      <c r="R20" s="103" t="s">
        <v>153</v>
      </c>
      <c r="S20" s="103" t="str">
        <f>INDEX('Measure &amp; Standard CostIDs'!$AK$8:$AK$12,B20)</f>
        <v>Wtd-Pack</v>
      </c>
      <c r="T20" s="103" t="s">
        <v>867</v>
      </c>
      <c r="U20" s="103"/>
      <c r="V20" s="103"/>
      <c r="W20" s="103">
        <f>ROUND(IF(LEFT(D20,3)="Std",VLOOKUP(D20,'Measure &amp; Standard CostIDs'!$S$5:$X$177,1+B20,FALSE),VLOOKUP(D20,'Measure &amp; Standard CostIDs'!$C$5:$H$177,1+B20,FALSE)),2)</f>
        <v>3.73</v>
      </c>
      <c r="X20" s="103"/>
      <c r="Y20" s="103"/>
      <c r="Z20" s="103" t="s">
        <v>868</v>
      </c>
      <c r="AA20" s="103" t="s">
        <v>869</v>
      </c>
      <c r="AB20" s="103" t="s">
        <v>153</v>
      </c>
      <c r="AC20" s="103">
        <v>0</v>
      </c>
      <c r="AD20" s="156">
        <v>42005</v>
      </c>
      <c r="AE20" s="103"/>
      <c r="AF20" s="103" t="s">
        <v>870</v>
      </c>
      <c r="AG20" s="103" t="s">
        <v>871</v>
      </c>
      <c r="AH20" s="103" t="s">
        <v>872</v>
      </c>
      <c r="AI20" s="103">
        <v>0</v>
      </c>
      <c r="AJ20" s="103"/>
      <c r="AK20" s="103"/>
      <c r="AL20" s="103"/>
      <c r="AM20" s="103"/>
      <c r="AN20" s="103"/>
      <c r="AO20" s="103" t="str">
        <f t="shared" si="1"/>
        <v>CFLscw(24w)Wtd-Pack</v>
      </c>
    </row>
    <row r="21" spans="1:41">
      <c r="A21" s="177">
        <f>IFERROR(MATCH(D21,'Measure &amp; Standard CostIDs'!C$5:C$177,0),MATCH(D21,'Measure &amp; Standard CostIDs'!S$5:S$177,0))</f>
        <v>17</v>
      </c>
      <c r="B21" s="177">
        <v>1</v>
      </c>
      <c r="C21" s="103" t="s">
        <v>153</v>
      </c>
      <c r="D21" s="103" t="s">
        <v>705</v>
      </c>
      <c r="E21" s="103" t="str">
        <f>IF(LEFT(D21,3)="Std","Base case cost for mix of 60% Incandescent and 40% CFL lamps for CFL TechID: "&amp;INDEX('Measure &amp; Standard CostIDs'!$C$5:$C$177,A21),"&lt;from TechID&gt;")</f>
        <v>&lt;from TechID&gt;</v>
      </c>
      <c r="F21" s="103" t="s">
        <v>860</v>
      </c>
      <c r="G21" s="103" t="s">
        <v>151</v>
      </c>
      <c r="H21" s="103" t="s">
        <v>861</v>
      </c>
      <c r="I21" s="103" t="s">
        <v>862</v>
      </c>
      <c r="J21" s="103" t="s">
        <v>863</v>
      </c>
      <c r="K21" s="103" t="s">
        <v>864</v>
      </c>
      <c r="L21" s="103" t="s">
        <v>153</v>
      </c>
      <c r="M21" s="103" t="s">
        <v>865</v>
      </c>
      <c r="N21" s="103" t="s">
        <v>866</v>
      </c>
      <c r="O21" s="103" t="str">
        <f t="shared" si="0"/>
        <v>CFLscw(25w)</v>
      </c>
      <c r="P21" s="103" t="s">
        <v>153</v>
      </c>
      <c r="Q21" s="103" t="s">
        <v>153</v>
      </c>
      <c r="R21" s="103" t="s">
        <v>153</v>
      </c>
      <c r="S21" s="103" t="str">
        <f>INDEX('Measure &amp; Standard CostIDs'!$AK$8:$AK$12,B21)</f>
        <v>Wtd-Pack</v>
      </c>
      <c r="T21" s="103" t="s">
        <v>867</v>
      </c>
      <c r="U21" s="103"/>
      <c r="V21" s="103"/>
      <c r="W21" s="103">
        <f>ROUND(IF(LEFT(D21,3)="Std",VLOOKUP(D21,'Measure &amp; Standard CostIDs'!$S$5:$X$177,1+B21,FALSE),VLOOKUP(D21,'Measure &amp; Standard CostIDs'!$C$5:$H$177,1+B21,FALSE)),2)</f>
        <v>3.79</v>
      </c>
      <c r="X21" s="103"/>
      <c r="Y21" s="103"/>
      <c r="Z21" s="103" t="s">
        <v>868</v>
      </c>
      <c r="AA21" s="103" t="s">
        <v>869</v>
      </c>
      <c r="AB21" s="103" t="s">
        <v>153</v>
      </c>
      <c r="AC21" s="103">
        <v>0</v>
      </c>
      <c r="AD21" s="156">
        <v>42005</v>
      </c>
      <c r="AE21" s="103"/>
      <c r="AF21" s="103" t="s">
        <v>870</v>
      </c>
      <c r="AG21" s="103" t="s">
        <v>871</v>
      </c>
      <c r="AH21" s="103" t="s">
        <v>872</v>
      </c>
      <c r="AI21" s="103">
        <v>0</v>
      </c>
      <c r="AJ21" s="103"/>
      <c r="AK21" s="103"/>
      <c r="AL21" s="103"/>
      <c r="AM21" s="103"/>
      <c r="AN21" s="103"/>
      <c r="AO21" s="103" t="str">
        <f t="shared" si="1"/>
        <v>CFLscw(25w)Wtd-Pack</v>
      </c>
    </row>
    <row r="22" spans="1:41">
      <c r="A22" s="177">
        <f>IFERROR(MATCH(D22,'Measure &amp; Standard CostIDs'!C$5:C$177,0),MATCH(D22,'Measure &amp; Standard CostIDs'!S$5:S$177,0))</f>
        <v>18</v>
      </c>
      <c r="B22" s="177">
        <v>1</v>
      </c>
      <c r="C22" s="103" t="s">
        <v>153</v>
      </c>
      <c r="D22" s="103" t="s">
        <v>708</v>
      </c>
      <c r="E22" s="103" t="str">
        <f>IF(LEFT(D22,3)="Std","Base case cost for mix of 60% Incandescent and 40% CFL lamps for CFL TechID: "&amp;INDEX('Measure &amp; Standard CostIDs'!$C$5:$C$177,A22),"&lt;from TechID&gt;")</f>
        <v>&lt;from TechID&gt;</v>
      </c>
      <c r="F22" s="103" t="s">
        <v>860</v>
      </c>
      <c r="G22" s="103" t="s">
        <v>151</v>
      </c>
      <c r="H22" s="103" t="s">
        <v>861</v>
      </c>
      <c r="I22" s="103" t="s">
        <v>862</v>
      </c>
      <c r="J22" s="103" t="s">
        <v>863</v>
      </c>
      <c r="K22" s="103" t="s">
        <v>864</v>
      </c>
      <c r="L22" s="103" t="s">
        <v>153</v>
      </c>
      <c r="M22" s="103" t="s">
        <v>865</v>
      </c>
      <c r="N22" s="103" t="s">
        <v>866</v>
      </c>
      <c r="O22" s="103" t="str">
        <f t="shared" si="0"/>
        <v>CFLscw(26w)</v>
      </c>
      <c r="P22" s="103" t="s">
        <v>153</v>
      </c>
      <c r="Q22" s="103" t="s">
        <v>153</v>
      </c>
      <c r="R22" s="103" t="s">
        <v>153</v>
      </c>
      <c r="S22" s="103" t="str">
        <f>INDEX('Measure &amp; Standard CostIDs'!$AK$8:$AK$12,B22)</f>
        <v>Wtd-Pack</v>
      </c>
      <c r="T22" s="103" t="s">
        <v>867</v>
      </c>
      <c r="U22" s="103"/>
      <c r="V22" s="103"/>
      <c r="W22" s="103">
        <f>ROUND(IF(LEFT(D22,3)="Std",VLOOKUP(D22,'Measure &amp; Standard CostIDs'!$S$5:$X$177,1+B22,FALSE),VLOOKUP(D22,'Measure &amp; Standard CostIDs'!$C$5:$H$177,1+B22,FALSE)),2)</f>
        <v>3.95</v>
      </c>
      <c r="X22" s="103"/>
      <c r="Y22" s="103"/>
      <c r="Z22" s="103" t="s">
        <v>868</v>
      </c>
      <c r="AA22" s="103" t="s">
        <v>869</v>
      </c>
      <c r="AB22" s="103" t="s">
        <v>153</v>
      </c>
      <c r="AC22" s="103">
        <v>0</v>
      </c>
      <c r="AD22" s="156">
        <v>42005</v>
      </c>
      <c r="AE22" s="103"/>
      <c r="AF22" s="103" t="s">
        <v>870</v>
      </c>
      <c r="AG22" s="103" t="s">
        <v>871</v>
      </c>
      <c r="AH22" s="103" t="s">
        <v>872</v>
      </c>
      <c r="AI22" s="103">
        <v>0</v>
      </c>
      <c r="AJ22" s="103"/>
      <c r="AK22" s="103"/>
      <c r="AL22" s="103"/>
      <c r="AM22" s="103"/>
      <c r="AN22" s="103"/>
      <c r="AO22" s="103" t="str">
        <f t="shared" si="1"/>
        <v>CFLscw(26w)Wtd-Pack</v>
      </c>
    </row>
    <row r="23" spans="1:41">
      <c r="A23" s="177">
        <f>IFERROR(MATCH(D23,'Measure &amp; Standard CostIDs'!C$5:C$177,0),MATCH(D23,'Measure &amp; Standard CostIDs'!S$5:S$177,0))</f>
        <v>19</v>
      </c>
      <c r="B23" s="177">
        <v>1</v>
      </c>
      <c r="C23" s="103" t="s">
        <v>153</v>
      </c>
      <c r="D23" s="103" t="s">
        <v>711</v>
      </c>
      <c r="E23" s="103" t="str">
        <f>IF(LEFT(D23,3)="Std","Base case cost for mix of 60% Incandescent and 40% CFL lamps for CFL TechID: "&amp;INDEX('Measure &amp; Standard CostIDs'!$C$5:$C$177,A23),"&lt;from TechID&gt;")</f>
        <v>&lt;from TechID&gt;</v>
      </c>
      <c r="F23" s="103" t="s">
        <v>860</v>
      </c>
      <c r="G23" s="103" t="s">
        <v>151</v>
      </c>
      <c r="H23" s="103" t="s">
        <v>861</v>
      </c>
      <c r="I23" s="103" t="s">
        <v>862</v>
      </c>
      <c r="J23" s="103" t="s">
        <v>863</v>
      </c>
      <c r="K23" s="103" t="s">
        <v>864</v>
      </c>
      <c r="L23" s="103" t="s">
        <v>153</v>
      </c>
      <c r="M23" s="103" t="s">
        <v>865</v>
      </c>
      <c r="N23" s="103" t="s">
        <v>866</v>
      </c>
      <c r="O23" s="103" t="str">
        <f t="shared" si="0"/>
        <v>CFLscw(27w)</v>
      </c>
      <c r="P23" s="103" t="s">
        <v>153</v>
      </c>
      <c r="Q23" s="103" t="s">
        <v>153</v>
      </c>
      <c r="R23" s="103" t="s">
        <v>153</v>
      </c>
      <c r="S23" s="103" t="str">
        <f>INDEX('Measure &amp; Standard CostIDs'!$AK$8:$AK$12,B23)</f>
        <v>Wtd-Pack</v>
      </c>
      <c r="T23" s="103" t="s">
        <v>867</v>
      </c>
      <c r="U23" s="103"/>
      <c r="V23" s="103"/>
      <c r="W23" s="103">
        <f>ROUND(IF(LEFT(D23,3)="Std",VLOOKUP(D23,'Measure &amp; Standard CostIDs'!$S$5:$X$177,1+B23,FALSE),VLOOKUP(D23,'Measure &amp; Standard CostIDs'!$C$5:$H$177,1+B23,FALSE)),2)</f>
        <v>4.1100000000000003</v>
      </c>
      <c r="X23" s="103"/>
      <c r="Y23" s="103"/>
      <c r="Z23" s="103" t="s">
        <v>868</v>
      </c>
      <c r="AA23" s="103" t="s">
        <v>869</v>
      </c>
      <c r="AB23" s="103" t="s">
        <v>153</v>
      </c>
      <c r="AC23" s="103">
        <v>0</v>
      </c>
      <c r="AD23" s="156">
        <v>42005</v>
      </c>
      <c r="AE23" s="103"/>
      <c r="AF23" s="103" t="s">
        <v>870</v>
      </c>
      <c r="AG23" s="103" t="s">
        <v>871</v>
      </c>
      <c r="AH23" s="103" t="s">
        <v>872</v>
      </c>
      <c r="AI23" s="103">
        <v>0</v>
      </c>
      <c r="AJ23" s="103"/>
      <c r="AK23" s="103"/>
      <c r="AL23" s="103"/>
      <c r="AM23" s="103"/>
      <c r="AN23" s="103"/>
      <c r="AO23" s="103" t="str">
        <f t="shared" si="1"/>
        <v>CFLscw(27w)Wtd-Pack</v>
      </c>
    </row>
    <row r="24" spans="1:41">
      <c r="A24" s="177">
        <f>IFERROR(MATCH(D24,'Measure &amp; Standard CostIDs'!C$5:C$177,0),MATCH(D24,'Measure &amp; Standard CostIDs'!S$5:S$177,0))</f>
        <v>20</v>
      </c>
      <c r="B24" s="177">
        <v>1</v>
      </c>
      <c r="C24" s="103" t="s">
        <v>153</v>
      </c>
      <c r="D24" s="103" t="s">
        <v>714</v>
      </c>
      <c r="E24" s="103" t="str">
        <f>IF(LEFT(D24,3)="Std","Base case cost for mix of 60% Incandescent and 40% CFL lamps for CFL TechID: "&amp;INDEX('Measure &amp; Standard CostIDs'!$C$5:$C$177,A24),"&lt;from TechID&gt;")</f>
        <v>&lt;from TechID&gt;</v>
      </c>
      <c r="F24" s="103" t="s">
        <v>860</v>
      </c>
      <c r="G24" s="103" t="s">
        <v>151</v>
      </c>
      <c r="H24" s="103" t="s">
        <v>861</v>
      </c>
      <c r="I24" s="103" t="s">
        <v>862</v>
      </c>
      <c r="J24" s="103" t="s">
        <v>863</v>
      </c>
      <c r="K24" s="103" t="s">
        <v>864</v>
      </c>
      <c r="L24" s="103" t="s">
        <v>153</v>
      </c>
      <c r="M24" s="103" t="s">
        <v>865</v>
      </c>
      <c r="N24" s="103" t="s">
        <v>866</v>
      </c>
      <c r="O24" s="103" t="str">
        <f t="shared" si="0"/>
        <v>CFLscw(28w)</v>
      </c>
      <c r="P24" s="103" t="s">
        <v>153</v>
      </c>
      <c r="Q24" s="103" t="s">
        <v>153</v>
      </c>
      <c r="R24" s="103" t="s">
        <v>153</v>
      </c>
      <c r="S24" s="103" t="str">
        <f>INDEX('Measure &amp; Standard CostIDs'!$AK$8:$AK$12,B24)</f>
        <v>Wtd-Pack</v>
      </c>
      <c r="T24" s="103" t="s">
        <v>867</v>
      </c>
      <c r="U24" s="103"/>
      <c r="V24" s="103"/>
      <c r="W24" s="103">
        <f>ROUND(IF(LEFT(D24,3)="Std",VLOOKUP(D24,'Measure &amp; Standard CostIDs'!$S$5:$X$177,1+B24,FALSE),VLOOKUP(D24,'Measure &amp; Standard CostIDs'!$C$5:$H$177,1+B24,FALSE)),2)</f>
        <v>4.2699999999999996</v>
      </c>
      <c r="X24" s="103"/>
      <c r="Y24" s="103"/>
      <c r="Z24" s="103" t="s">
        <v>868</v>
      </c>
      <c r="AA24" s="103" t="s">
        <v>869</v>
      </c>
      <c r="AB24" s="103" t="s">
        <v>153</v>
      </c>
      <c r="AC24" s="103">
        <v>0</v>
      </c>
      <c r="AD24" s="156">
        <v>42005</v>
      </c>
      <c r="AE24" s="103"/>
      <c r="AF24" s="103" t="s">
        <v>870</v>
      </c>
      <c r="AG24" s="103" t="s">
        <v>871</v>
      </c>
      <c r="AH24" s="103" t="s">
        <v>872</v>
      </c>
      <c r="AI24" s="103">
        <v>0</v>
      </c>
      <c r="AJ24" s="103"/>
      <c r="AK24" s="103"/>
      <c r="AL24" s="103"/>
      <c r="AM24" s="103"/>
      <c r="AN24" s="103"/>
      <c r="AO24" s="103" t="str">
        <f t="shared" si="1"/>
        <v>CFLscw(28w)Wtd-Pack</v>
      </c>
    </row>
    <row r="25" spans="1:41">
      <c r="A25" s="177">
        <f>IFERROR(MATCH(D25,'Measure &amp; Standard CostIDs'!C$5:C$177,0),MATCH(D25,'Measure &amp; Standard CostIDs'!S$5:S$177,0))</f>
        <v>21</v>
      </c>
      <c r="B25" s="177">
        <v>1</v>
      </c>
      <c r="C25" s="103" t="s">
        <v>153</v>
      </c>
      <c r="D25" s="103" t="s">
        <v>717</v>
      </c>
      <c r="E25" s="103" t="str">
        <f>IF(LEFT(D25,3)="Std","Base case cost for mix of 60% Incandescent and 40% CFL lamps for CFL TechID: "&amp;INDEX('Measure &amp; Standard CostIDs'!$C$5:$C$177,A25),"&lt;from TechID&gt;")</f>
        <v>&lt;from TechID&gt;</v>
      </c>
      <c r="F25" s="103" t="s">
        <v>860</v>
      </c>
      <c r="G25" s="103" t="s">
        <v>151</v>
      </c>
      <c r="H25" s="103" t="s">
        <v>861</v>
      </c>
      <c r="I25" s="103" t="s">
        <v>862</v>
      </c>
      <c r="J25" s="103" t="s">
        <v>863</v>
      </c>
      <c r="K25" s="103" t="s">
        <v>864</v>
      </c>
      <c r="L25" s="103" t="s">
        <v>153</v>
      </c>
      <c r="M25" s="103" t="s">
        <v>865</v>
      </c>
      <c r="N25" s="103" t="s">
        <v>866</v>
      </c>
      <c r="O25" s="103" t="str">
        <f t="shared" si="0"/>
        <v>CFLscw(29w)</v>
      </c>
      <c r="P25" s="103" t="s">
        <v>153</v>
      </c>
      <c r="Q25" s="103" t="s">
        <v>153</v>
      </c>
      <c r="R25" s="103" t="s">
        <v>153</v>
      </c>
      <c r="S25" s="103" t="str">
        <f>INDEX('Measure &amp; Standard CostIDs'!$AK$8:$AK$12,B25)</f>
        <v>Wtd-Pack</v>
      </c>
      <c r="T25" s="103" t="s">
        <v>867</v>
      </c>
      <c r="U25" s="103"/>
      <c r="V25" s="103"/>
      <c r="W25" s="103">
        <f>ROUND(IF(LEFT(D25,3)="Std",VLOOKUP(D25,'Measure &amp; Standard CostIDs'!$S$5:$X$177,1+B25,FALSE),VLOOKUP(D25,'Measure &amp; Standard CostIDs'!$C$5:$H$177,1+B25,FALSE)),2)</f>
        <v>4.43</v>
      </c>
      <c r="X25" s="103"/>
      <c r="Y25" s="103"/>
      <c r="Z25" s="103" t="s">
        <v>868</v>
      </c>
      <c r="AA25" s="103" t="s">
        <v>869</v>
      </c>
      <c r="AB25" s="103" t="s">
        <v>153</v>
      </c>
      <c r="AC25" s="103">
        <v>0</v>
      </c>
      <c r="AD25" s="156">
        <v>42005</v>
      </c>
      <c r="AE25" s="103"/>
      <c r="AF25" s="103" t="s">
        <v>870</v>
      </c>
      <c r="AG25" s="103" t="s">
        <v>871</v>
      </c>
      <c r="AH25" s="103" t="s">
        <v>872</v>
      </c>
      <c r="AI25" s="103">
        <v>0</v>
      </c>
      <c r="AJ25" s="103"/>
      <c r="AK25" s="103"/>
      <c r="AL25" s="103"/>
      <c r="AM25" s="103"/>
      <c r="AN25" s="103"/>
      <c r="AO25" s="103" t="str">
        <f t="shared" si="1"/>
        <v>CFLscw(29w)Wtd-Pack</v>
      </c>
    </row>
    <row r="26" spans="1:41">
      <c r="A26" s="177">
        <f>IFERROR(MATCH(D26,'Measure &amp; Standard CostIDs'!C$5:C$177,0),MATCH(D26,'Measure &amp; Standard CostIDs'!S$5:S$177,0))</f>
        <v>22</v>
      </c>
      <c r="B26" s="177">
        <v>1</v>
      </c>
      <c r="C26" s="103" t="s">
        <v>153</v>
      </c>
      <c r="D26" s="103" t="s">
        <v>720</v>
      </c>
      <c r="E26" s="103" t="str">
        <f>IF(LEFT(D26,3)="Std","Base case cost for mix of 60% Incandescent and 40% CFL lamps for CFL TechID: "&amp;INDEX('Measure &amp; Standard CostIDs'!$C$5:$C$177,A26),"&lt;from TechID&gt;")</f>
        <v>&lt;from TechID&gt;</v>
      </c>
      <c r="F26" s="103" t="s">
        <v>860</v>
      </c>
      <c r="G26" s="103" t="s">
        <v>151</v>
      </c>
      <c r="H26" s="103" t="s">
        <v>861</v>
      </c>
      <c r="I26" s="103" t="s">
        <v>862</v>
      </c>
      <c r="J26" s="103" t="s">
        <v>863</v>
      </c>
      <c r="K26" s="103" t="s">
        <v>864</v>
      </c>
      <c r="L26" s="103" t="s">
        <v>153</v>
      </c>
      <c r="M26" s="103" t="s">
        <v>865</v>
      </c>
      <c r="N26" s="103" t="s">
        <v>866</v>
      </c>
      <c r="O26" s="103" t="str">
        <f t="shared" si="0"/>
        <v>CFLscw(30w)</v>
      </c>
      <c r="P26" s="103" t="s">
        <v>153</v>
      </c>
      <c r="Q26" s="103" t="s">
        <v>153</v>
      </c>
      <c r="R26" s="103" t="s">
        <v>153</v>
      </c>
      <c r="S26" s="103" t="str">
        <f>INDEX('Measure &amp; Standard CostIDs'!$AK$8:$AK$12,B26)</f>
        <v>Wtd-Pack</v>
      </c>
      <c r="T26" s="103" t="s">
        <v>867</v>
      </c>
      <c r="U26" s="103"/>
      <c r="V26" s="103"/>
      <c r="W26" s="103">
        <f>ROUND(IF(LEFT(D26,3)="Std",VLOOKUP(D26,'Measure &amp; Standard CostIDs'!$S$5:$X$177,1+B26,FALSE),VLOOKUP(D26,'Measure &amp; Standard CostIDs'!$C$5:$H$177,1+B26,FALSE)),2)</f>
        <v>4.59</v>
      </c>
      <c r="X26" s="103"/>
      <c r="Y26" s="103"/>
      <c r="Z26" s="103" t="s">
        <v>868</v>
      </c>
      <c r="AA26" s="103" t="s">
        <v>869</v>
      </c>
      <c r="AB26" s="103" t="s">
        <v>153</v>
      </c>
      <c r="AC26" s="103">
        <v>0</v>
      </c>
      <c r="AD26" s="156">
        <v>42005</v>
      </c>
      <c r="AE26" s="103"/>
      <c r="AF26" s="103" t="s">
        <v>870</v>
      </c>
      <c r="AG26" s="103" t="s">
        <v>871</v>
      </c>
      <c r="AH26" s="103" t="s">
        <v>872</v>
      </c>
      <c r="AI26" s="103">
        <v>0</v>
      </c>
      <c r="AJ26" s="103"/>
      <c r="AK26" s="103"/>
      <c r="AL26" s="103"/>
      <c r="AM26" s="103"/>
      <c r="AN26" s="103"/>
      <c r="AO26" s="103" t="str">
        <f t="shared" si="1"/>
        <v>CFLscw(30w)Wtd-Pack</v>
      </c>
    </row>
    <row r="27" spans="1:41">
      <c r="A27" s="177">
        <f>IFERROR(MATCH(D27,'Measure &amp; Standard CostIDs'!C$5:C$177,0),MATCH(D27,'Measure &amp; Standard CostIDs'!S$5:S$177,0))</f>
        <v>23</v>
      </c>
      <c r="B27" s="177">
        <v>1</v>
      </c>
      <c r="C27" s="103" t="s">
        <v>153</v>
      </c>
      <c r="D27" s="103" t="s">
        <v>723</v>
      </c>
      <c r="E27" s="103" t="str">
        <f>IF(LEFT(D27,3)="Std","Base case cost for mix of 60% Incandescent and 40% CFL lamps for CFL TechID: "&amp;INDEX('Measure &amp; Standard CostIDs'!$C$5:$C$177,A27),"&lt;from TechID&gt;")</f>
        <v>&lt;from TechID&gt;</v>
      </c>
      <c r="F27" s="103" t="s">
        <v>860</v>
      </c>
      <c r="G27" s="103" t="s">
        <v>151</v>
      </c>
      <c r="H27" s="103" t="s">
        <v>861</v>
      </c>
      <c r="I27" s="103" t="s">
        <v>862</v>
      </c>
      <c r="J27" s="103" t="s">
        <v>863</v>
      </c>
      <c r="K27" s="103" t="s">
        <v>864</v>
      </c>
      <c r="L27" s="103" t="s">
        <v>153</v>
      </c>
      <c r="M27" s="103" t="s">
        <v>865</v>
      </c>
      <c r="N27" s="103" t="s">
        <v>866</v>
      </c>
      <c r="O27" s="103" t="str">
        <f t="shared" si="0"/>
        <v>CFLscw(31w)</v>
      </c>
      <c r="P27" s="103" t="s">
        <v>153</v>
      </c>
      <c r="Q27" s="103" t="s">
        <v>153</v>
      </c>
      <c r="R27" s="103" t="s">
        <v>153</v>
      </c>
      <c r="S27" s="103" t="str">
        <f>INDEX('Measure &amp; Standard CostIDs'!$AK$8:$AK$12,B27)</f>
        <v>Wtd-Pack</v>
      </c>
      <c r="T27" s="103" t="s">
        <v>867</v>
      </c>
      <c r="U27" s="103"/>
      <c r="V27" s="103"/>
      <c r="W27" s="103">
        <f>ROUND(IF(LEFT(D27,3)="Std",VLOOKUP(D27,'Measure &amp; Standard CostIDs'!$S$5:$X$177,1+B27,FALSE),VLOOKUP(D27,'Measure &amp; Standard CostIDs'!$C$5:$H$177,1+B27,FALSE)),2)</f>
        <v>4.75</v>
      </c>
      <c r="X27" s="103"/>
      <c r="Y27" s="103"/>
      <c r="Z27" s="103" t="s">
        <v>868</v>
      </c>
      <c r="AA27" s="103" t="s">
        <v>869</v>
      </c>
      <c r="AB27" s="103" t="s">
        <v>153</v>
      </c>
      <c r="AC27" s="103">
        <v>0</v>
      </c>
      <c r="AD27" s="156">
        <v>42005</v>
      </c>
      <c r="AE27" s="103"/>
      <c r="AF27" s="103" t="s">
        <v>870</v>
      </c>
      <c r="AG27" s="103" t="s">
        <v>871</v>
      </c>
      <c r="AH27" s="103" t="s">
        <v>872</v>
      </c>
      <c r="AI27" s="103">
        <v>0</v>
      </c>
      <c r="AJ27" s="103"/>
      <c r="AK27" s="103"/>
      <c r="AL27" s="103"/>
      <c r="AM27" s="103"/>
      <c r="AN27" s="103"/>
      <c r="AO27" s="103" t="str">
        <f t="shared" si="1"/>
        <v>CFLscw(31w)Wtd-Pack</v>
      </c>
    </row>
    <row r="28" spans="1:41">
      <c r="A28" s="177">
        <f>IFERROR(MATCH(D28,'Measure &amp; Standard CostIDs'!C$5:C$177,0),MATCH(D28,'Measure &amp; Standard CostIDs'!S$5:S$177,0))</f>
        <v>24</v>
      </c>
      <c r="B28" s="177">
        <v>1</v>
      </c>
      <c r="C28" s="103" t="s">
        <v>153</v>
      </c>
      <c r="D28" s="103" t="s">
        <v>726</v>
      </c>
      <c r="E28" s="103" t="str">
        <f>IF(LEFT(D28,3)="Std","Base case cost for mix of 60% Incandescent and 40% CFL lamps for CFL TechID: "&amp;INDEX('Measure &amp; Standard CostIDs'!$C$5:$C$177,A28),"&lt;from TechID&gt;")</f>
        <v>&lt;from TechID&gt;</v>
      </c>
      <c r="F28" s="103" t="s">
        <v>860</v>
      </c>
      <c r="G28" s="103" t="s">
        <v>151</v>
      </c>
      <c r="H28" s="103" t="s">
        <v>861</v>
      </c>
      <c r="I28" s="103" t="s">
        <v>862</v>
      </c>
      <c r="J28" s="103" t="s">
        <v>863</v>
      </c>
      <c r="K28" s="103" t="s">
        <v>864</v>
      </c>
      <c r="L28" s="103" t="s">
        <v>153</v>
      </c>
      <c r="M28" s="103" t="s">
        <v>865</v>
      </c>
      <c r="N28" s="103" t="s">
        <v>866</v>
      </c>
      <c r="O28" s="103" t="str">
        <f t="shared" si="0"/>
        <v>CFLscw(32w)</v>
      </c>
      <c r="P28" s="103" t="s">
        <v>153</v>
      </c>
      <c r="Q28" s="103" t="s">
        <v>153</v>
      </c>
      <c r="R28" s="103" t="s">
        <v>153</v>
      </c>
      <c r="S28" s="103" t="str">
        <f>INDEX('Measure &amp; Standard CostIDs'!$AK$8:$AK$12,B28)</f>
        <v>Wtd-Pack</v>
      </c>
      <c r="T28" s="103" t="s">
        <v>867</v>
      </c>
      <c r="U28" s="103"/>
      <c r="V28" s="103"/>
      <c r="W28" s="103">
        <f>ROUND(IF(LEFT(D28,3)="Std",VLOOKUP(D28,'Measure &amp; Standard CostIDs'!$S$5:$X$177,1+B28,FALSE),VLOOKUP(D28,'Measure &amp; Standard CostIDs'!$C$5:$H$177,1+B28,FALSE)),2)</f>
        <v>4.91</v>
      </c>
      <c r="X28" s="103"/>
      <c r="Y28" s="103"/>
      <c r="Z28" s="103" t="s">
        <v>868</v>
      </c>
      <c r="AA28" s="103" t="s">
        <v>869</v>
      </c>
      <c r="AB28" s="103" t="s">
        <v>153</v>
      </c>
      <c r="AC28" s="103">
        <v>0</v>
      </c>
      <c r="AD28" s="156">
        <v>42005</v>
      </c>
      <c r="AE28" s="103"/>
      <c r="AF28" s="103" t="s">
        <v>870</v>
      </c>
      <c r="AG28" s="103" t="s">
        <v>871</v>
      </c>
      <c r="AH28" s="103" t="s">
        <v>872</v>
      </c>
      <c r="AI28" s="103">
        <v>0</v>
      </c>
      <c r="AJ28" s="103"/>
      <c r="AK28" s="103"/>
      <c r="AL28" s="103"/>
      <c r="AM28" s="103"/>
      <c r="AN28" s="103"/>
      <c r="AO28" s="103" t="str">
        <f t="shared" si="1"/>
        <v>CFLscw(32w)Wtd-Pack</v>
      </c>
    </row>
    <row r="29" spans="1:41">
      <c r="A29" s="177">
        <f>IFERROR(MATCH(D29,'Measure &amp; Standard CostIDs'!C$5:C$177,0),MATCH(D29,'Measure &amp; Standard CostIDs'!S$5:S$177,0))</f>
        <v>25</v>
      </c>
      <c r="B29" s="177">
        <v>1</v>
      </c>
      <c r="C29" s="103" t="s">
        <v>153</v>
      </c>
      <c r="D29" s="103" t="s">
        <v>729</v>
      </c>
      <c r="E29" s="103" t="str">
        <f>IF(LEFT(D29,3)="Std","Base case cost for mix of 60% Incandescent and 40% CFL lamps for CFL TechID: "&amp;INDEX('Measure &amp; Standard CostIDs'!$C$5:$C$177,A29),"&lt;from TechID&gt;")</f>
        <v>&lt;from TechID&gt;</v>
      </c>
      <c r="F29" s="103" t="s">
        <v>860</v>
      </c>
      <c r="G29" s="103" t="s">
        <v>151</v>
      </c>
      <c r="H29" s="103" t="s">
        <v>861</v>
      </c>
      <c r="I29" s="103" t="s">
        <v>862</v>
      </c>
      <c r="J29" s="103" t="s">
        <v>863</v>
      </c>
      <c r="K29" s="103" t="s">
        <v>864</v>
      </c>
      <c r="L29" s="103" t="s">
        <v>153</v>
      </c>
      <c r="M29" s="103" t="s">
        <v>865</v>
      </c>
      <c r="N29" s="103" t="s">
        <v>866</v>
      </c>
      <c r="O29" s="103" t="str">
        <f t="shared" si="0"/>
        <v>CFLscw(33w)</v>
      </c>
      <c r="P29" s="103" t="s">
        <v>153</v>
      </c>
      <c r="Q29" s="103" t="s">
        <v>153</v>
      </c>
      <c r="R29" s="103" t="s">
        <v>153</v>
      </c>
      <c r="S29" s="103" t="str">
        <f>INDEX('Measure &amp; Standard CostIDs'!$AK$8:$AK$12,B29)</f>
        <v>Wtd-Pack</v>
      </c>
      <c r="T29" s="103" t="s">
        <v>867</v>
      </c>
      <c r="U29" s="103"/>
      <c r="V29" s="103"/>
      <c r="W29" s="103">
        <f>ROUND(IF(LEFT(D29,3)="Std",VLOOKUP(D29,'Measure &amp; Standard CostIDs'!$S$5:$X$177,1+B29,FALSE),VLOOKUP(D29,'Measure &amp; Standard CostIDs'!$C$5:$H$177,1+B29,FALSE)),2)</f>
        <v>5.07</v>
      </c>
      <c r="X29" s="103"/>
      <c r="Y29" s="103"/>
      <c r="Z29" s="103" t="s">
        <v>868</v>
      </c>
      <c r="AA29" s="103" t="s">
        <v>869</v>
      </c>
      <c r="AB29" s="103" t="s">
        <v>153</v>
      </c>
      <c r="AC29" s="103">
        <v>0</v>
      </c>
      <c r="AD29" s="156">
        <v>42005</v>
      </c>
      <c r="AE29" s="103"/>
      <c r="AF29" s="103" t="s">
        <v>870</v>
      </c>
      <c r="AG29" s="103" t="s">
        <v>871</v>
      </c>
      <c r="AH29" s="103" t="s">
        <v>872</v>
      </c>
      <c r="AI29" s="103">
        <v>0</v>
      </c>
      <c r="AJ29" s="103"/>
      <c r="AK29" s="103"/>
      <c r="AL29" s="103"/>
      <c r="AM29" s="103"/>
      <c r="AN29" s="103"/>
      <c r="AO29" s="103" t="str">
        <f t="shared" si="1"/>
        <v>CFLscw(33w)Wtd-Pack</v>
      </c>
    </row>
    <row r="30" spans="1:41">
      <c r="A30" s="177">
        <f>IFERROR(MATCH(D30,'Measure &amp; Standard CostIDs'!C$5:C$177,0),MATCH(D30,'Measure &amp; Standard CostIDs'!S$5:S$177,0))</f>
        <v>26</v>
      </c>
      <c r="B30" s="177">
        <v>1</v>
      </c>
      <c r="C30" s="103" t="s">
        <v>153</v>
      </c>
      <c r="D30" s="103" t="s">
        <v>731</v>
      </c>
      <c r="E30" s="103" t="str">
        <f>IF(LEFT(D30,3)="Std","Base case cost for mix of 60% Incandescent and 40% CFL lamps for CFL TechID: "&amp;INDEX('Measure &amp; Standard CostIDs'!$C$5:$C$177,A30),"&lt;from TechID&gt;")</f>
        <v>&lt;from TechID&gt;</v>
      </c>
      <c r="F30" s="103" t="s">
        <v>860</v>
      </c>
      <c r="G30" s="103" t="s">
        <v>151</v>
      </c>
      <c r="H30" s="103" t="s">
        <v>861</v>
      </c>
      <c r="I30" s="103" t="s">
        <v>862</v>
      </c>
      <c r="J30" s="103" t="s">
        <v>863</v>
      </c>
      <c r="K30" s="103" t="s">
        <v>864</v>
      </c>
      <c r="L30" s="103" t="s">
        <v>153</v>
      </c>
      <c r="M30" s="103" t="s">
        <v>865</v>
      </c>
      <c r="N30" s="103" t="s">
        <v>866</v>
      </c>
      <c r="O30" s="103" t="str">
        <f t="shared" si="0"/>
        <v>CFLscw(36w)</v>
      </c>
      <c r="P30" s="103" t="s">
        <v>153</v>
      </c>
      <c r="Q30" s="103" t="s">
        <v>153</v>
      </c>
      <c r="R30" s="103" t="s">
        <v>153</v>
      </c>
      <c r="S30" s="103" t="str">
        <f>INDEX('Measure &amp; Standard CostIDs'!$AK$8:$AK$12,B30)</f>
        <v>Wtd-Pack</v>
      </c>
      <c r="T30" s="103" t="s">
        <v>867</v>
      </c>
      <c r="U30" s="103"/>
      <c r="V30" s="103"/>
      <c r="W30" s="103">
        <f>ROUND(IF(LEFT(D30,3)="Std",VLOOKUP(D30,'Measure &amp; Standard CostIDs'!$S$5:$X$177,1+B30,FALSE),VLOOKUP(D30,'Measure &amp; Standard CostIDs'!$C$5:$H$177,1+B30,FALSE)),2)</f>
        <v>5.55</v>
      </c>
      <c r="X30" s="103"/>
      <c r="Y30" s="103"/>
      <c r="Z30" s="103" t="s">
        <v>868</v>
      </c>
      <c r="AA30" s="103" t="s">
        <v>869</v>
      </c>
      <c r="AB30" s="103" t="s">
        <v>153</v>
      </c>
      <c r="AC30" s="103">
        <v>0</v>
      </c>
      <c r="AD30" s="156">
        <v>42005</v>
      </c>
      <c r="AE30" s="103"/>
      <c r="AF30" s="103" t="s">
        <v>870</v>
      </c>
      <c r="AG30" s="103" t="s">
        <v>871</v>
      </c>
      <c r="AH30" s="103" t="s">
        <v>872</v>
      </c>
      <c r="AI30" s="103">
        <v>0</v>
      </c>
      <c r="AJ30" s="103"/>
      <c r="AK30" s="103"/>
      <c r="AL30" s="103"/>
      <c r="AM30" s="103"/>
      <c r="AN30" s="103"/>
      <c r="AO30" s="103" t="str">
        <f t="shared" si="1"/>
        <v>CFLscw(36w)Wtd-Pack</v>
      </c>
    </row>
    <row r="31" spans="1:41">
      <c r="A31" s="177">
        <f>IFERROR(MATCH(D31,'Measure &amp; Standard CostIDs'!C$5:C$177,0),MATCH(D31,'Measure &amp; Standard CostIDs'!S$5:S$177,0))</f>
        <v>27</v>
      </c>
      <c r="B31" s="177">
        <v>1</v>
      </c>
      <c r="C31" s="103" t="s">
        <v>153</v>
      </c>
      <c r="D31" s="103" t="s">
        <v>733</v>
      </c>
      <c r="E31" s="103" t="str">
        <f>IF(LEFT(D31,3)="Std","Base case cost for mix of 60% Incandescent and 40% CFL lamps for CFL TechID: "&amp;INDEX('Measure &amp; Standard CostIDs'!$C$5:$C$177,A31),"&lt;from TechID&gt;")</f>
        <v>&lt;from TechID&gt;</v>
      </c>
      <c r="F31" s="103" t="s">
        <v>860</v>
      </c>
      <c r="G31" s="103" t="s">
        <v>151</v>
      </c>
      <c r="H31" s="103" t="s">
        <v>861</v>
      </c>
      <c r="I31" s="103" t="s">
        <v>862</v>
      </c>
      <c r="J31" s="103" t="s">
        <v>863</v>
      </c>
      <c r="K31" s="103" t="s">
        <v>864</v>
      </c>
      <c r="L31" s="103" t="s">
        <v>153</v>
      </c>
      <c r="M31" s="103" t="s">
        <v>865</v>
      </c>
      <c r="N31" s="103" t="s">
        <v>866</v>
      </c>
      <c r="O31" s="103" t="str">
        <f t="shared" si="0"/>
        <v>CFLscw(38w)</v>
      </c>
      <c r="P31" s="103" t="s">
        <v>153</v>
      </c>
      <c r="Q31" s="103" t="s">
        <v>153</v>
      </c>
      <c r="R31" s="103" t="s">
        <v>153</v>
      </c>
      <c r="S31" s="103" t="str">
        <f>INDEX('Measure &amp; Standard CostIDs'!$AK$8:$AK$12,B31)</f>
        <v>Wtd-Pack</v>
      </c>
      <c r="T31" s="103" t="s">
        <v>867</v>
      </c>
      <c r="U31" s="103"/>
      <c r="V31" s="103"/>
      <c r="W31" s="103">
        <f>ROUND(IF(LEFT(D31,3)="Std",VLOOKUP(D31,'Measure &amp; Standard CostIDs'!$S$5:$X$177,1+B31,FALSE),VLOOKUP(D31,'Measure &amp; Standard CostIDs'!$C$5:$H$177,1+B31,FALSE)),2)</f>
        <v>5.87</v>
      </c>
      <c r="X31" s="103"/>
      <c r="Y31" s="103"/>
      <c r="Z31" s="103" t="s">
        <v>868</v>
      </c>
      <c r="AA31" s="103" t="s">
        <v>869</v>
      </c>
      <c r="AB31" s="103" t="s">
        <v>153</v>
      </c>
      <c r="AC31" s="103">
        <v>0</v>
      </c>
      <c r="AD31" s="156">
        <v>42005</v>
      </c>
      <c r="AE31" s="103"/>
      <c r="AF31" s="103" t="s">
        <v>870</v>
      </c>
      <c r="AG31" s="103" t="s">
        <v>871</v>
      </c>
      <c r="AH31" s="103" t="s">
        <v>872</v>
      </c>
      <c r="AI31" s="103">
        <v>0</v>
      </c>
      <c r="AJ31" s="103"/>
      <c r="AK31" s="103"/>
      <c r="AL31" s="103"/>
      <c r="AM31" s="103"/>
      <c r="AN31" s="103"/>
      <c r="AO31" s="103" t="str">
        <f t="shared" si="1"/>
        <v>CFLscw(38w)Wtd-Pack</v>
      </c>
    </row>
    <row r="32" spans="1:41">
      <c r="A32" s="177">
        <f>IFERROR(MATCH(D32,'Measure &amp; Standard CostIDs'!C$5:C$177,0),MATCH(D32,'Measure &amp; Standard CostIDs'!S$5:S$177,0))</f>
        <v>28</v>
      </c>
      <c r="B32" s="177">
        <v>1</v>
      </c>
      <c r="C32" s="103" t="s">
        <v>153</v>
      </c>
      <c r="D32" s="103" t="s">
        <v>735</v>
      </c>
      <c r="E32" s="103" t="str">
        <f>IF(LEFT(D32,3)="Std","Base case cost for mix of 60% Incandescent and 40% CFL lamps for CFL TechID: "&amp;INDEX('Measure &amp; Standard CostIDs'!$C$5:$C$177,A32),"&lt;from TechID&gt;")</f>
        <v>&lt;from TechID&gt;</v>
      </c>
      <c r="F32" s="103" t="s">
        <v>860</v>
      </c>
      <c r="G32" s="103" t="s">
        <v>151</v>
      </c>
      <c r="H32" s="103" t="s">
        <v>861</v>
      </c>
      <c r="I32" s="103" t="s">
        <v>862</v>
      </c>
      <c r="J32" s="103" t="s">
        <v>863</v>
      </c>
      <c r="K32" s="103" t="s">
        <v>864</v>
      </c>
      <c r="L32" s="103" t="s">
        <v>153</v>
      </c>
      <c r="M32" s="103" t="s">
        <v>865</v>
      </c>
      <c r="N32" s="103" t="s">
        <v>866</v>
      </c>
      <c r="O32" s="103" t="str">
        <f t="shared" si="0"/>
        <v>CFLscw(39w)</v>
      </c>
      <c r="P32" s="103" t="s">
        <v>153</v>
      </c>
      <c r="Q32" s="103" t="s">
        <v>153</v>
      </c>
      <c r="R32" s="103" t="s">
        <v>153</v>
      </c>
      <c r="S32" s="103" t="str">
        <f>INDEX('Measure &amp; Standard CostIDs'!$AK$8:$AK$12,B32)</f>
        <v>Wtd-Pack</v>
      </c>
      <c r="T32" s="103" t="s">
        <v>867</v>
      </c>
      <c r="U32" s="103"/>
      <c r="V32" s="103"/>
      <c r="W32" s="103">
        <f>ROUND(IF(LEFT(D32,3)="Std",VLOOKUP(D32,'Measure &amp; Standard CostIDs'!$S$5:$X$177,1+B32,FALSE),VLOOKUP(D32,'Measure &amp; Standard CostIDs'!$C$5:$H$177,1+B32,FALSE)),2)</f>
        <v>6.03</v>
      </c>
      <c r="X32" s="103"/>
      <c r="Y32" s="103"/>
      <c r="Z32" s="103" t="s">
        <v>868</v>
      </c>
      <c r="AA32" s="103" t="s">
        <v>869</v>
      </c>
      <c r="AB32" s="103" t="s">
        <v>153</v>
      </c>
      <c r="AC32" s="103">
        <v>0</v>
      </c>
      <c r="AD32" s="156">
        <v>42005</v>
      </c>
      <c r="AE32" s="103"/>
      <c r="AF32" s="103" t="s">
        <v>870</v>
      </c>
      <c r="AG32" s="103" t="s">
        <v>871</v>
      </c>
      <c r="AH32" s="103" t="s">
        <v>872</v>
      </c>
      <c r="AI32" s="103">
        <v>0</v>
      </c>
      <c r="AJ32" s="103"/>
      <c r="AK32" s="103"/>
      <c r="AL32" s="103"/>
      <c r="AM32" s="103"/>
      <c r="AN32" s="103"/>
      <c r="AO32" s="103" t="str">
        <f t="shared" si="1"/>
        <v>CFLscw(39w)Wtd-Pack</v>
      </c>
    </row>
    <row r="33" spans="1:41">
      <c r="A33" s="177">
        <f>IFERROR(MATCH(D33,'Measure &amp; Standard CostIDs'!C$5:C$177,0),MATCH(D33,'Measure &amp; Standard CostIDs'!S$5:S$177,0))</f>
        <v>29</v>
      </c>
      <c r="B33" s="177">
        <v>1</v>
      </c>
      <c r="C33" s="103" t="s">
        <v>153</v>
      </c>
      <c r="D33" s="103" t="s">
        <v>737</v>
      </c>
      <c r="E33" s="103" t="str">
        <f>IF(LEFT(D33,3)="Std","Base case cost for mix of 60% Incandescent and 40% CFL lamps for CFL TechID: "&amp;INDEX('Measure &amp; Standard CostIDs'!$C$5:$C$177,A33),"&lt;from TechID&gt;")</f>
        <v>&lt;from TechID&gt;</v>
      </c>
      <c r="F33" s="103" t="s">
        <v>860</v>
      </c>
      <c r="G33" s="103" t="s">
        <v>151</v>
      </c>
      <c r="H33" s="103" t="s">
        <v>861</v>
      </c>
      <c r="I33" s="103" t="s">
        <v>862</v>
      </c>
      <c r="J33" s="103" t="s">
        <v>863</v>
      </c>
      <c r="K33" s="103" t="s">
        <v>864</v>
      </c>
      <c r="L33" s="103" t="s">
        <v>153</v>
      </c>
      <c r="M33" s="103" t="s">
        <v>865</v>
      </c>
      <c r="N33" s="103" t="s">
        <v>866</v>
      </c>
      <c r="O33" s="103" t="str">
        <f t="shared" si="0"/>
        <v>CFLscw(3w)</v>
      </c>
      <c r="P33" s="103" t="s">
        <v>153</v>
      </c>
      <c r="Q33" s="103" t="s">
        <v>153</v>
      </c>
      <c r="R33" s="103" t="s">
        <v>153</v>
      </c>
      <c r="S33" s="103" t="str">
        <f>INDEX('Measure &amp; Standard CostIDs'!$AK$8:$AK$12,B33)</f>
        <v>Wtd-Pack</v>
      </c>
      <c r="T33" s="103" t="s">
        <v>867</v>
      </c>
      <c r="U33" s="103"/>
      <c r="V33" s="103"/>
      <c r="W33" s="103">
        <f>ROUND(IF(LEFT(D33,3)="Std",VLOOKUP(D33,'Measure &amp; Standard CostIDs'!$S$5:$X$177,1+B33,FALSE),VLOOKUP(D33,'Measure &amp; Standard CostIDs'!$C$5:$H$177,1+B33,FALSE)),2)</f>
        <v>2.33</v>
      </c>
      <c r="X33" s="103"/>
      <c r="Y33" s="103"/>
      <c r="Z33" s="103" t="s">
        <v>868</v>
      </c>
      <c r="AA33" s="103" t="s">
        <v>869</v>
      </c>
      <c r="AB33" s="103" t="s">
        <v>153</v>
      </c>
      <c r="AC33" s="103">
        <v>0</v>
      </c>
      <c r="AD33" s="156">
        <v>42005</v>
      </c>
      <c r="AE33" s="103"/>
      <c r="AF33" s="103" t="s">
        <v>870</v>
      </c>
      <c r="AG33" s="103" t="s">
        <v>871</v>
      </c>
      <c r="AH33" s="103" t="s">
        <v>872</v>
      </c>
      <c r="AI33" s="103">
        <v>0</v>
      </c>
      <c r="AJ33" s="103"/>
      <c r="AK33" s="103"/>
      <c r="AL33" s="103"/>
      <c r="AM33" s="103"/>
      <c r="AN33" s="103"/>
      <c r="AO33" s="103" t="str">
        <f t="shared" si="1"/>
        <v>CFLscw(3w)Wtd-Pack</v>
      </c>
    </row>
    <row r="34" spans="1:41">
      <c r="A34" s="177">
        <f>IFERROR(MATCH(D34,'Measure &amp; Standard CostIDs'!C$5:C$177,0),MATCH(D34,'Measure &amp; Standard CostIDs'!S$5:S$177,0))</f>
        <v>30</v>
      </c>
      <c r="B34" s="177">
        <v>1</v>
      </c>
      <c r="C34" s="103" t="s">
        <v>153</v>
      </c>
      <c r="D34" s="103" t="s">
        <v>740</v>
      </c>
      <c r="E34" s="103" t="str">
        <f>IF(LEFT(D34,3)="Std","Base case cost for mix of 60% Incandescent and 40% CFL lamps for CFL TechID: "&amp;INDEX('Measure &amp; Standard CostIDs'!$C$5:$C$177,A34),"&lt;from TechID&gt;")</f>
        <v>&lt;from TechID&gt;</v>
      </c>
      <c r="F34" s="103" t="s">
        <v>860</v>
      </c>
      <c r="G34" s="103" t="s">
        <v>151</v>
      </c>
      <c r="H34" s="103" t="s">
        <v>861</v>
      </c>
      <c r="I34" s="103" t="s">
        <v>862</v>
      </c>
      <c r="J34" s="103" t="s">
        <v>863</v>
      </c>
      <c r="K34" s="103" t="s">
        <v>864</v>
      </c>
      <c r="L34" s="103" t="s">
        <v>153</v>
      </c>
      <c r="M34" s="103" t="s">
        <v>865</v>
      </c>
      <c r="N34" s="103" t="s">
        <v>866</v>
      </c>
      <c r="O34" s="103" t="str">
        <f t="shared" si="0"/>
        <v>CFLscw(40w)</v>
      </c>
      <c r="P34" s="103" t="s">
        <v>153</v>
      </c>
      <c r="Q34" s="103" t="s">
        <v>153</v>
      </c>
      <c r="R34" s="103" t="s">
        <v>153</v>
      </c>
      <c r="S34" s="103" t="str">
        <f>INDEX('Measure &amp; Standard CostIDs'!$AK$8:$AK$12,B34)</f>
        <v>Wtd-Pack</v>
      </c>
      <c r="T34" s="103" t="s">
        <v>867</v>
      </c>
      <c r="U34" s="103"/>
      <c r="V34" s="103"/>
      <c r="W34" s="103">
        <f>ROUND(IF(LEFT(D34,3)="Std",VLOOKUP(D34,'Measure &amp; Standard CostIDs'!$S$5:$X$177,1+B34,FALSE),VLOOKUP(D34,'Measure &amp; Standard CostIDs'!$C$5:$H$177,1+B34,FALSE)),2)</f>
        <v>6.19</v>
      </c>
      <c r="X34" s="103"/>
      <c r="Y34" s="103"/>
      <c r="Z34" s="103" t="s">
        <v>868</v>
      </c>
      <c r="AA34" s="103" t="s">
        <v>869</v>
      </c>
      <c r="AB34" s="103" t="s">
        <v>153</v>
      </c>
      <c r="AC34" s="103">
        <v>0</v>
      </c>
      <c r="AD34" s="156">
        <v>42005</v>
      </c>
      <c r="AE34" s="103"/>
      <c r="AF34" s="103" t="s">
        <v>870</v>
      </c>
      <c r="AG34" s="103" t="s">
        <v>871</v>
      </c>
      <c r="AH34" s="103" t="s">
        <v>872</v>
      </c>
      <c r="AI34" s="103">
        <v>0</v>
      </c>
      <c r="AJ34" s="103"/>
      <c r="AK34" s="103"/>
      <c r="AL34" s="103"/>
      <c r="AM34" s="103"/>
      <c r="AN34" s="103"/>
      <c r="AO34" s="103" t="str">
        <f t="shared" si="1"/>
        <v>CFLscw(40w)Wtd-Pack</v>
      </c>
    </row>
    <row r="35" spans="1:41">
      <c r="A35" s="177">
        <f>IFERROR(MATCH(D35,'Measure &amp; Standard CostIDs'!C$5:C$177,0),MATCH(D35,'Measure &amp; Standard CostIDs'!S$5:S$177,0))</f>
        <v>31</v>
      </c>
      <c r="B35" s="177">
        <v>1</v>
      </c>
      <c r="C35" s="103" t="s">
        <v>153</v>
      </c>
      <c r="D35" s="103" t="s">
        <v>742</v>
      </c>
      <c r="E35" s="103" t="str">
        <f>IF(LEFT(D35,3)="Std","Base case cost for mix of 60% Incandescent and 40% CFL lamps for CFL TechID: "&amp;INDEX('Measure &amp; Standard CostIDs'!$C$5:$C$177,A35),"&lt;from TechID&gt;")</f>
        <v>&lt;from TechID&gt;</v>
      </c>
      <c r="F35" s="103" t="s">
        <v>860</v>
      </c>
      <c r="G35" s="103" t="s">
        <v>151</v>
      </c>
      <c r="H35" s="103" t="s">
        <v>861</v>
      </c>
      <c r="I35" s="103" t="s">
        <v>862</v>
      </c>
      <c r="J35" s="103" t="s">
        <v>863</v>
      </c>
      <c r="K35" s="103" t="s">
        <v>864</v>
      </c>
      <c r="L35" s="103" t="s">
        <v>153</v>
      </c>
      <c r="M35" s="103" t="s">
        <v>865</v>
      </c>
      <c r="N35" s="103" t="s">
        <v>866</v>
      </c>
      <c r="O35" s="103" t="str">
        <f t="shared" si="0"/>
        <v>CFLscw(42w)</v>
      </c>
      <c r="P35" s="103" t="s">
        <v>153</v>
      </c>
      <c r="Q35" s="103" t="s">
        <v>153</v>
      </c>
      <c r="R35" s="103" t="s">
        <v>153</v>
      </c>
      <c r="S35" s="103" t="str">
        <f>INDEX('Measure &amp; Standard CostIDs'!$AK$8:$AK$12,B35)</f>
        <v>Wtd-Pack</v>
      </c>
      <c r="T35" s="103" t="s">
        <v>867</v>
      </c>
      <c r="U35" s="103"/>
      <c r="V35" s="103"/>
      <c r="W35" s="103">
        <f>ROUND(IF(LEFT(D35,3)="Std",VLOOKUP(D35,'Measure &amp; Standard CostIDs'!$S$5:$X$177,1+B35,FALSE),VLOOKUP(D35,'Measure &amp; Standard CostIDs'!$C$5:$H$177,1+B35,FALSE)),2)</f>
        <v>6.51</v>
      </c>
      <c r="X35" s="103"/>
      <c r="Y35" s="103"/>
      <c r="Z35" s="103" t="s">
        <v>868</v>
      </c>
      <c r="AA35" s="103" t="s">
        <v>869</v>
      </c>
      <c r="AB35" s="103" t="s">
        <v>153</v>
      </c>
      <c r="AC35" s="103">
        <v>0</v>
      </c>
      <c r="AD35" s="156">
        <v>42005</v>
      </c>
      <c r="AE35" s="103"/>
      <c r="AF35" s="103" t="s">
        <v>870</v>
      </c>
      <c r="AG35" s="103" t="s">
        <v>871</v>
      </c>
      <c r="AH35" s="103" t="s">
        <v>872</v>
      </c>
      <c r="AI35" s="103">
        <v>0</v>
      </c>
      <c r="AJ35" s="103"/>
      <c r="AK35" s="103"/>
      <c r="AL35" s="103"/>
      <c r="AM35" s="103"/>
      <c r="AN35" s="103"/>
      <c r="AO35" s="103" t="str">
        <f t="shared" si="1"/>
        <v>CFLscw(42w)Wtd-Pack</v>
      </c>
    </row>
    <row r="36" spans="1:41">
      <c r="A36" s="177">
        <f>IFERROR(MATCH(D36,'Measure &amp; Standard CostIDs'!C$5:C$177,0),MATCH(D36,'Measure &amp; Standard CostIDs'!S$5:S$177,0))</f>
        <v>32</v>
      </c>
      <c r="B36" s="177">
        <v>1</v>
      </c>
      <c r="C36" s="103" t="s">
        <v>153</v>
      </c>
      <c r="D36" s="103" t="s">
        <v>745</v>
      </c>
      <c r="E36" s="103" t="str">
        <f>IF(LEFT(D36,3)="Std","Base case cost for mix of 60% Incandescent and 40% CFL lamps for CFL TechID: "&amp;INDEX('Measure &amp; Standard CostIDs'!$C$5:$C$177,A36),"&lt;from TechID&gt;")</f>
        <v>&lt;from TechID&gt;</v>
      </c>
      <c r="F36" s="103" t="s">
        <v>860</v>
      </c>
      <c r="G36" s="103" t="s">
        <v>151</v>
      </c>
      <c r="H36" s="103" t="s">
        <v>861</v>
      </c>
      <c r="I36" s="103" t="s">
        <v>862</v>
      </c>
      <c r="J36" s="103" t="s">
        <v>863</v>
      </c>
      <c r="K36" s="103" t="s">
        <v>864</v>
      </c>
      <c r="L36" s="103" t="s">
        <v>153</v>
      </c>
      <c r="M36" s="103" t="s">
        <v>865</v>
      </c>
      <c r="N36" s="103" t="s">
        <v>866</v>
      </c>
      <c r="O36" s="103" t="str">
        <f t="shared" si="0"/>
        <v>CFLscw(44w)</v>
      </c>
      <c r="P36" s="103" t="s">
        <v>153</v>
      </c>
      <c r="Q36" s="103" t="s">
        <v>153</v>
      </c>
      <c r="R36" s="103" t="s">
        <v>153</v>
      </c>
      <c r="S36" s="103" t="str">
        <f>INDEX('Measure &amp; Standard CostIDs'!$AK$8:$AK$12,B36)</f>
        <v>Wtd-Pack</v>
      </c>
      <c r="T36" s="103" t="s">
        <v>867</v>
      </c>
      <c r="U36" s="103"/>
      <c r="V36" s="103"/>
      <c r="W36" s="103">
        <f>ROUND(IF(LEFT(D36,3)="Std",VLOOKUP(D36,'Measure &amp; Standard CostIDs'!$S$5:$X$177,1+B36,FALSE),VLOOKUP(D36,'Measure &amp; Standard CostIDs'!$C$5:$H$177,1+B36,FALSE)),2)</f>
        <v>6.83</v>
      </c>
      <c r="X36" s="103"/>
      <c r="Y36" s="103"/>
      <c r="Z36" s="103" t="s">
        <v>868</v>
      </c>
      <c r="AA36" s="103" t="s">
        <v>869</v>
      </c>
      <c r="AB36" s="103" t="s">
        <v>153</v>
      </c>
      <c r="AC36" s="103">
        <v>0</v>
      </c>
      <c r="AD36" s="156">
        <v>42005</v>
      </c>
      <c r="AE36" s="103"/>
      <c r="AF36" s="103" t="s">
        <v>870</v>
      </c>
      <c r="AG36" s="103" t="s">
        <v>871</v>
      </c>
      <c r="AH36" s="103" t="s">
        <v>872</v>
      </c>
      <c r="AI36" s="103">
        <v>0</v>
      </c>
      <c r="AJ36" s="103"/>
      <c r="AK36" s="103"/>
      <c r="AL36" s="103"/>
      <c r="AM36" s="103"/>
      <c r="AN36" s="103"/>
      <c r="AO36" s="103" t="str">
        <f t="shared" si="1"/>
        <v>CFLscw(44w)Wtd-Pack</v>
      </c>
    </row>
    <row r="37" spans="1:41">
      <c r="A37" s="177">
        <f>IFERROR(MATCH(D37,'Measure &amp; Standard CostIDs'!C$5:C$177,0),MATCH(D37,'Measure &amp; Standard CostIDs'!S$5:S$177,0))</f>
        <v>33</v>
      </c>
      <c r="B37" s="177">
        <v>1</v>
      </c>
      <c r="C37" s="103" t="s">
        <v>153</v>
      </c>
      <c r="D37" s="103" t="s">
        <v>747</v>
      </c>
      <c r="E37" s="103" t="str">
        <f>IF(LEFT(D37,3)="Std","Base case cost for mix of 60% Incandescent and 40% CFL lamps for CFL TechID: "&amp;INDEX('Measure &amp; Standard CostIDs'!$C$5:$C$177,A37),"&lt;from TechID&gt;")</f>
        <v>&lt;from TechID&gt;</v>
      </c>
      <c r="F37" s="103" t="s">
        <v>860</v>
      </c>
      <c r="G37" s="103" t="s">
        <v>151</v>
      </c>
      <c r="H37" s="103" t="s">
        <v>861</v>
      </c>
      <c r="I37" s="103" t="s">
        <v>862</v>
      </c>
      <c r="J37" s="103" t="s">
        <v>863</v>
      </c>
      <c r="K37" s="103" t="s">
        <v>864</v>
      </c>
      <c r="L37" s="103" t="s">
        <v>153</v>
      </c>
      <c r="M37" s="103" t="s">
        <v>865</v>
      </c>
      <c r="N37" s="103" t="s">
        <v>866</v>
      </c>
      <c r="O37" s="103" t="str">
        <f t="shared" si="0"/>
        <v>CFLscw(45w)</v>
      </c>
      <c r="P37" s="103" t="s">
        <v>153</v>
      </c>
      <c r="Q37" s="103" t="s">
        <v>153</v>
      </c>
      <c r="R37" s="103" t="s">
        <v>153</v>
      </c>
      <c r="S37" s="103" t="str">
        <f>INDEX('Measure &amp; Standard CostIDs'!$AK$8:$AK$12,B37)</f>
        <v>Wtd-Pack</v>
      </c>
      <c r="T37" s="103" t="s">
        <v>867</v>
      </c>
      <c r="U37" s="103"/>
      <c r="V37" s="103"/>
      <c r="W37" s="103">
        <f>ROUND(IF(LEFT(D37,3)="Std",VLOOKUP(D37,'Measure &amp; Standard CostIDs'!$S$5:$X$177,1+B37,FALSE),VLOOKUP(D37,'Measure &amp; Standard CostIDs'!$C$5:$H$177,1+B37,FALSE)),2)</f>
        <v>6.99</v>
      </c>
      <c r="X37" s="103"/>
      <c r="Y37" s="103"/>
      <c r="Z37" s="103" t="s">
        <v>868</v>
      </c>
      <c r="AA37" s="103" t="s">
        <v>869</v>
      </c>
      <c r="AB37" s="103" t="s">
        <v>153</v>
      </c>
      <c r="AC37" s="103">
        <v>0</v>
      </c>
      <c r="AD37" s="156">
        <v>42005</v>
      </c>
      <c r="AE37" s="103"/>
      <c r="AF37" s="103" t="s">
        <v>870</v>
      </c>
      <c r="AG37" s="103" t="s">
        <v>871</v>
      </c>
      <c r="AH37" s="103" t="s">
        <v>872</v>
      </c>
      <c r="AI37" s="103">
        <v>0</v>
      </c>
      <c r="AJ37" s="103"/>
      <c r="AK37" s="103"/>
      <c r="AL37" s="103"/>
      <c r="AM37" s="103"/>
      <c r="AN37" s="103"/>
      <c r="AO37" s="103" t="str">
        <f t="shared" si="1"/>
        <v>CFLscw(45w)Wtd-Pack</v>
      </c>
    </row>
    <row r="38" spans="1:41">
      <c r="A38" s="177">
        <f>IFERROR(MATCH(D38,'Measure &amp; Standard CostIDs'!C$5:C$177,0),MATCH(D38,'Measure &amp; Standard CostIDs'!S$5:S$177,0))</f>
        <v>34</v>
      </c>
      <c r="B38" s="177">
        <v>1</v>
      </c>
      <c r="C38" s="103" t="s">
        <v>153</v>
      </c>
      <c r="D38" s="103" t="s">
        <v>749</v>
      </c>
      <c r="E38" s="103" t="str">
        <f>IF(LEFT(D38,3)="Std","Base case cost for mix of 60% Incandescent and 40% CFL lamps for CFL TechID: "&amp;INDEX('Measure &amp; Standard CostIDs'!$C$5:$C$177,A38),"&lt;from TechID&gt;")</f>
        <v>&lt;from TechID&gt;</v>
      </c>
      <c r="F38" s="103" t="s">
        <v>860</v>
      </c>
      <c r="G38" s="103" t="s">
        <v>151</v>
      </c>
      <c r="H38" s="103" t="s">
        <v>861</v>
      </c>
      <c r="I38" s="103" t="s">
        <v>862</v>
      </c>
      <c r="J38" s="103" t="s">
        <v>863</v>
      </c>
      <c r="K38" s="103" t="s">
        <v>864</v>
      </c>
      <c r="L38" s="103" t="s">
        <v>153</v>
      </c>
      <c r="M38" s="103" t="s">
        <v>865</v>
      </c>
      <c r="N38" s="103" t="s">
        <v>866</v>
      </c>
      <c r="O38" s="103" t="str">
        <f t="shared" si="0"/>
        <v>CFLscw(48w)</v>
      </c>
      <c r="P38" s="103" t="s">
        <v>153</v>
      </c>
      <c r="Q38" s="103" t="s">
        <v>153</v>
      </c>
      <c r="R38" s="103" t="s">
        <v>153</v>
      </c>
      <c r="S38" s="103" t="str">
        <f>INDEX('Measure &amp; Standard CostIDs'!$AK$8:$AK$12,B38)</f>
        <v>Wtd-Pack</v>
      </c>
      <c r="T38" s="103" t="s">
        <v>867</v>
      </c>
      <c r="U38" s="103"/>
      <c r="V38" s="103"/>
      <c r="W38" s="103">
        <f>ROUND(IF(LEFT(D38,3)="Std",VLOOKUP(D38,'Measure &amp; Standard CostIDs'!$S$5:$X$177,1+B38,FALSE),VLOOKUP(D38,'Measure &amp; Standard CostIDs'!$C$5:$H$177,1+B38,FALSE)),2)</f>
        <v>7.47</v>
      </c>
      <c r="X38" s="103"/>
      <c r="Y38" s="103"/>
      <c r="Z38" s="103" t="s">
        <v>868</v>
      </c>
      <c r="AA38" s="103" t="s">
        <v>869</v>
      </c>
      <c r="AB38" s="103" t="s">
        <v>153</v>
      </c>
      <c r="AC38" s="103">
        <v>0</v>
      </c>
      <c r="AD38" s="156">
        <v>42005</v>
      </c>
      <c r="AE38" s="103"/>
      <c r="AF38" s="103" t="s">
        <v>870</v>
      </c>
      <c r="AG38" s="103" t="s">
        <v>871</v>
      </c>
      <c r="AH38" s="103" t="s">
        <v>872</v>
      </c>
      <c r="AI38" s="103">
        <v>0</v>
      </c>
      <c r="AJ38" s="103"/>
      <c r="AK38" s="103"/>
      <c r="AL38" s="103"/>
      <c r="AM38" s="103"/>
      <c r="AN38" s="103"/>
      <c r="AO38" s="103" t="str">
        <f t="shared" si="1"/>
        <v>CFLscw(48w)Wtd-Pack</v>
      </c>
    </row>
    <row r="39" spans="1:41">
      <c r="A39" s="177">
        <f>IFERROR(MATCH(D39,'Measure &amp; Standard CostIDs'!C$5:C$177,0),MATCH(D39,'Measure &amp; Standard CostIDs'!S$5:S$177,0))</f>
        <v>35</v>
      </c>
      <c r="B39" s="177">
        <v>1</v>
      </c>
      <c r="C39" s="103" t="s">
        <v>153</v>
      </c>
      <c r="D39" s="103" t="s">
        <v>751</v>
      </c>
      <c r="E39" s="103" t="str">
        <f>IF(LEFT(D39,3)="Std","Base case cost for mix of 60% Incandescent and 40% CFL lamps for CFL TechID: "&amp;INDEX('Measure &amp; Standard CostIDs'!$C$5:$C$177,A39),"&lt;from TechID&gt;")</f>
        <v>&lt;from TechID&gt;</v>
      </c>
      <c r="F39" s="103" t="s">
        <v>860</v>
      </c>
      <c r="G39" s="103" t="s">
        <v>151</v>
      </c>
      <c r="H39" s="103" t="s">
        <v>861</v>
      </c>
      <c r="I39" s="103" t="s">
        <v>862</v>
      </c>
      <c r="J39" s="103" t="s">
        <v>863</v>
      </c>
      <c r="K39" s="103" t="s">
        <v>864</v>
      </c>
      <c r="L39" s="103" t="s">
        <v>153</v>
      </c>
      <c r="M39" s="103" t="s">
        <v>865</v>
      </c>
      <c r="N39" s="103" t="s">
        <v>866</v>
      </c>
      <c r="O39" s="103" t="str">
        <f t="shared" si="0"/>
        <v>CFLscw(4w)</v>
      </c>
      <c r="P39" s="103" t="s">
        <v>153</v>
      </c>
      <c r="Q39" s="103" t="s">
        <v>153</v>
      </c>
      <c r="R39" s="103" t="s">
        <v>153</v>
      </c>
      <c r="S39" s="103" t="str">
        <f>INDEX('Measure &amp; Standard CostIDs'!$AK$8:$AK$12,B39)</f>
        <v>Wtd-Pack</v>
      </c>
      <c r="T39" s="103" t="s">
        <v>867</v>
      </c>
      <c r="U39" s="103"/>
      <c r="V39" s="103"/>
      <c r="W39" s="103">
        <f>ROUND(IF(LEFT(D39,3)="Std",VLOOKUP(D39,'Measure &amp; Standard CostIDs'!$S$5:$X$177,1+B39,FALSE),VLOOKUP(D39,'Measure &amp; Standard CostIDs'!$C$5:$H$177,1+B39,FALSE)),2)</f>
        <v>2.4</v>
      </c>
      <c r="X39" s="103"/>
      <c r="Y39" s="103"/>
      <c r="Z39" s="103" t="s">
        <v>868</v>
      </c>
      <c r="AA39" s="103" t="s">
        <v>869</v>
      </c>
      <c r="AB39" s="103" t="s">
        <v>153</v>
      </c>
      <c r="AC39" s="103">
        <v>0</v>
      </c>
      <c r="AD39" s="156">
        <v>42005</v>
      </c>
      <c r="AE39" s="103"/>
      <c r="AF39" s="103" t="s">
        <v>870</v>
      </c>
      <c r="AG39" s="103" t="s">
        <v>871</v>
      </c>
      <c r="AH39" s="103" t="s">
        <v>872</v>
      </c>
      <c r="AI39" s="103">
        <v>0</v>
      </c>
      <c r="AJ39" s="103"/>
      <c r="AK39" s="103"/>
      <c r="AL39" s="103"/>
      <c r="AM39" s="103"/>
      <c r="AN39" s="103"/>
      <c r="AO39" s="103" t="str">
        <f t="shared" si="1"/>
        <v>CFLscw(4w)Wtd-Pack</v>
      </c>
    </row>
    <row r="40" spans="1:41">
      <c r="A40" s="177">
        <f>IFERROR(MATCH(D40,'Measure &amp; Standard CostIDs'!C$5:C$177,0),MATCH(D40,'Measure &amp; Standard CostIDs'!S$5:S$177,0))</f>
        <v>36</v>
      </c>
      <c r="B40" s="177">
        <v>1</v>
      </c>
      <c r="C40" s="103" t="s">
        <v>153</v>
      </c>
      <c r="D40" s="103" t="s">
        <v>754</v>
      </c>
      <c r="E40" s="103" t="str">
        <f>IF(LEFT(D40,3)="Std","Base case cost for mix of 60% Incandescent and 40% CFL lamps for CFL TechID: "&amp;INDEX('Measure &amp; Standard CostIDs'!$C$5:$C$177,A40),"&lt;from TechID&gt;")</f>
        <v>&lt;from TechID&gt;</v>
      </c>
      <c r="F40" s="103" t="s">
        <v>860</v>
      </c>
      <c r="G40" s="103" t="s">
        <v>151</v>
      </c>
      <c r="H40" s="103" t="s">
        <v>861</v>
      </c>
      <c r="I40" s="103" t="s">
        <v>862</v>
      </c>
      <c r="J40" s="103" t="s">
        <v>863</v>
      </c>
      <c r="K40" s="103" t="s">
        <v>864</v>
      </c>
      <c r="L40" s="103" t="s">
        <v>153</v>
      </c>
      <c r="M40" s="103" t="s">
        <v>865</v>
      </c>
      <c r="N40" s="103" t="s">
        <v>866</v>
      </c>
      <c r="O40" s="103" t="str">
        <f t="shared" si="0"/>
        <v>CFLscw(50w)</v>
      </c>
      <c r="P40" s="103" t="s">
        <v>153</v>
      </c>
      <c r="Q40" s="103" t="s">
        <v>153</v>
      </c>
      <c r="R40" s="103" t="s">
        <v>153</v>
      </c>
      <c r="S40" s="103" t="str">
        <f>INDEX('Measure &amp; Standard CostIDs'!$AK$8:$AK$12,B40)</f>
        <v>Wtd-Pack</v>
      </c>
      <c r="T40" s="103" t="s">
        <v>867</v>
      </c>
      <c r="U40" s="103"/>
      <c r="V40" s="103"/>
      <c r="W40" s="103">
        <f>ROUND(IF(LEFT(D40,3)="Std",VLOOKUP(D40,'Measure &amp; Standard CostIDs'!$S$5:$X$177,1+B40,FALSE),VLOOKUP(D40,'Measure &amp; Standard CostIDs'!$C$5:$H$177,1+B40,FALSE)),2)</f>
        <v>7.79</v>
      </c>
      <c r="X40" s="103"/>
      <c r="Y40" s="103"/>
      <c r="Z40" s="103" t="s">
        <v>868</v>
      </c>
      <c r="AA40" s="103" t="s">
        <v>869</v>
      </c>
      <c r="AB40" s="103" t="s">
        <v>153</v>
      </c>
      <c r="AC40" s="103">
        <v>0</v>
      </c>
      <c r="AD40" s="156">
        <v>42005</v>
      </c>
      <c r="AE40" s="103"/>
      <c r="AF40" s="103" t="s">
        <v>870</v>
      </c>
      <c r="AG40" s="103" t="s">
        <v>871</v>
      </c>
      <c r="AH40" s="103" t="s">
        <v>872</v>
      </c>
      <c r="AI40" s="103">
        <v>0</v>
      </c>
      <c r="AJ40" s="103"/>
      <c r="AK40" s="103"/>
      <c r="AL40" s="103"/>
      <c r="AM40" s="103"/>
      <c r="AN40" s="103"/>
      <c r="AO40" s="103" t="str">
        <f t="shared" si="1"/>
        <v>CFLscw(50w)Wtd-Pack</v>
      </c>
    </row>
    <row r="41" spans="1:41">
      <c r="A41" s="177">
        <f>IFERROR(MATCH(D41,'Measure &amp; Standard CostIDs'!C$5:C$177,0),MATCH(D41,'Measure &amp; Standard CostIDs'!S$5:S$177,0))</f>
        <v>37</v>
      </c>
      <c r="B41" s="177">
        <v>1</v>
      </c>
      <c r="C41" s="103" t="s">
        <v>153</v>
      </c>
      <c r="D41" s="103" t="s">
        <v>756</v>
      </c>
      <c r="E41" s="103" t="str">
        <f>IF(LEFT(D41,3)="Std","Base case cost for mix of 60% Incandescent and 40% CFL lamps for CFL TechID: "&amp;INDEX('Measure &amp; Standard CostIDs'!$C$5:$C$177,A41),"&lt;from TechID&gt;")</f>
        <v>&lt;from TechID&gt;</v>
      </c>
      <c r="F41" s="103" t="s">
        <v>860</v>
      </c>
      <c r="G41" s="103" t="s">
        <v>151</v>
      </c>
      <c r="H41" s="103" t="s">
        <v>861</v>
      </c>
      <c r="I41" s="103" t="s">
        <v>862</v>
      </c>
      <c r="J41" s="103" t="s">
        <v>863</v>
      </c>
      <c r="K41" s="103" t="s">
        <v>864</v>
      </c>
      <c r="L41" s="103" t="s">
        <v>153</v>
      </c>
      <c r="M41" s="103" t="s">
        <v>865</v>
      </c>
      <c r="N41" s="103" t="s">
        <v>866</v>
      </c>
      <c r="O41" s="103" t="str">
        <f t="shared" si="0"/>
        <v>CFLscw(52w)</v>
      </c>
      <c r="P41" s="103" t="s">
        <v>153</v>
      </c>
      <c r="Q41" s="103" t="s">
        <v>153</v>
      </c>
      <c r="R41" s="103" t="s">
        <v>153</v>
      </c>
      <c r="S41" s="103" t="str">
        <f>INDEX('Measure &amp; Standard CostIDs'!$AK$8:$AK$12,B41)</f>
        <v>Wtd-Pack</v>
      </c>
      <c r="T41" s="103" t="s">
        <v>867</v>
      </c>
      <c r="U41" s="103"/>
      <c r="V41" s="103"/>
      <c r="W41" s="103">
        <f>ROUND(IF(LEFT(D41,3)="Std",VLOOKUP(D41,'Measure &amp; Standard CostIDs'!$S$5:$X$177,1+B41,FALSE),VLOOKUP(D41,'Measure &amp; Standard CostIDs'!$C$5:$H$177,1+B41,FALSE)),2)</f>
        <v>8.11</v>
      </c>
      <c r="X41" s="103"/>
      <c r="Y41" s="103"/>
      <c r="Z41" s="103" t="s">
        <v>868</v>
      </c>
      <c r="AA41" s="103" t="s">
        <v>869</v>
      </c>
      <c r="AB41" s="103" t="s">
        <v>153</v>
      </c>
      <c r="AC41" s="103">
        <v>0</v>
      </c>
      <c r="AD41" s="156">
        <v>42005</v>
      </c>
      <c r="AE41" s="103"/>
      <c r="AF41" s="103" t="s">
        <v>870</v>
      </c>
      <c r="AG41" s="103" t="s">
        <v>871</v>
      </c>
      <c r="AH41" s="103" t="s">
        <v>872</v>
      </c>
      <c r="AI41" s="103">
        <v>0</v>
      </c>
      <c r="AJ41" s="103"/>
      <c r="AK41" s="103"/>
      <c r="AL41" s="103"/>
      <c r="AM41" s="103"/>
      <c r="AN41" s="103"/>
      <c r="AO41" s="103" t="str">
        <f t="shared" si="1"/>
        <v>CFLscw(52w)Wtd-Pack</v>
      </c>
    </row>
    <row r="42" spans="1:41">
      <c r="A42" s="177">
        <f>IFERROR(MATCH(D42,'Measure &amp; Standard CostIDs'!C$5:C$177,0),MATCH(D42,'Measure &amp; Standard CostIDs'!S$5:S$177,0))</f>
        <v>38</v>
      </c>
      <c r="B42" s="177">
        <v>1</v>
      </c>
      <c r="C42" s="103" t="s">
        <v>153</v>
      </c>
      <c r="D42" s="103" t="s">
        <v>758</v>
      </c>
      <c r="E42" s="103" t="str">
        <f>IF(LEFT(D42,3)="Std","Base case cost for mix of 60% Incandescent and 40% CFL lamps for CFL TechID: "&amp;INDEX('Measure &amp; Standard CostIDs'!$C$5:$C$177,A42),"&lt;from TechID&gt;")</f>
        <v>&lt;from TechID&gt;</v>
      </c>
      <c r="F42" s="103" t="s">
        <v>860</v>
      </c>
      <c r="G42" s="103" t="s">
        <v>151</v>
      </c>
      <c r="H42" s="103" t="s">
        <v>861</v>
      </c>
      <c r="I42" s="103" t="s">
        <v>862</v>
      </c>
      <c r="J42" s="103" t="s">
        <v>863</v>
      </c>
      <c r="K42" s="103" t="s">
        <v>864</v>
      </c>
      <c r="L42" s="103" t="s">
        <v>153</v>
      </c>
      <c r="M42" s="103" t="s">
        <v>865</v>
      </c>
      <c r="N42" s="103" t="s">
        <v>866</v>
      </c>
      <c r="O42" s="103" t="str">
        <f t="shared" si="0"/>
        <v>CFLscw(55w)</v>
      </c>
      <c r="P42" s="103" t="s">
        <v>153</v>
      </c>
      <c r="Q42" s="103" t="s">
        <v>153</v>
      </c>
      <c r="R42" s="103" t="s">
        <v>153</v>
      </c>
      <c r="S42" s="103" t="str">
        <f>INDEX('Measure &amp; Standard CostIDs'!$AK$8:$AK$12,B42)</f>
        <v>Wtd-Pack</v>
      </c>
      <c r="T42" s="103" t="s">
        <v>867</v>
      </c>
      <c r="U42" s="103"/>
      <c r="V42" s="103"/>
      <c r="W42" s="103">
        <f>ROUND(IF(LEFT(D42,3)="Std",VLOOKUP(D42,'Measure &amp; Standard CostIDs'!$S$5:$X$177,1+B42,FALSE),VLOOKUP(D42,'Measure &amp; Standard CostIDs'!$C$5:$H$177,1+B42,FALSE)),2)</f>
        <v>8.59</v>
      </c>
      <c r="X42" s="103"/>
      <c r="Y42" s="103"/>
      <c r="Z42" s="103" t="s">
        <v>868</v>
      </c>
      <c r="AA42" s="103" t="s">
        <v>869</v>
      </c>
      <c r="AB42" s="103" t="s">
        <v>153</v>
      </c>
      <c r="AC42" s="103">
        <v>0</v>
      </c>
      <c r="AD42" s="156">
        <v>42005</v>
      </c>
      <c r="AE42" s="103"/>
      <c r="AF42" s="103" t="s">
        <v>870</v>
      </c>
      <c r="AG42" s="103" t="s">
        <v>871</v>
      </c>
      <c r="AH42" s="103" t="s">
        <v>872</v>
      </c>
      <c r="AI42" s="103">
        <v>0</v>
      </c>
      <c r="AJ42" s="103"/>
      <c r="AK42" s="103"/>
      <c r="AL42" s="103"/>
      <c r="AM42" s="103"/>
      <c r="AN42" s="103"/>
      <c r="AO42" s="103" t="str">
        <f t="shared" si="1"/>
        <v>CFLscw(55w)Wtd-Pack</v>
      </c>
    </row>
    <row r="43" spans="1:41">
      <c r="A43" s="177">
        <f>IFERROR(MATCH(D43,'Measure &amp; Standard CostIDs'!C$5:C$177,0),MATCH(D43,'Measure &amp; Standard CostIDs'!S$5:S$177,0))</f>
        <v>39</v>
      </c>
      <c r="B43" s="177">
        <v>1</v>
      </c>
      <c r="C43" s="103" t="s">
        <v>153</v>
      </c>
      <c r="D43" s="103" t="s">
        <v>761</v>
      </c>
      <c r="E43" s="103" t="str">
        <f>IF(LEFT(D43,3)="Std","Base case cost for mix of 60% Incandescent and 40% CFL lamps for CFL TechID: "&amp;INDEX('Measure &amp; Standard CostIDs'!$C$5:$C$177,A43),"&lt;from TechID&gt;")</f>
        <v>&lt;from TechID&gt;</v>
      </c>
      <c r="F43" s="103" t="s">
        <v>860</v>
      </c>
      <c r="G43" s="103" t="s">
        <v>151</v>
      </c>
      <c r="H43" s="103" t="s">
        <v>861</v>
      </c>
      <c r="I43" s="103" t="s">
        <v>862</v>
      </c>
      <c r="J43" s="103" t="s">
        <v>863</v>
      </c>
      <c r="K43" s="103" t="s">
        <v>864</v>
      </c>
      <c r="L43" s="103" t="s">
        <v>153</v>
      </c>
      <c r="M43" s="103" t="s">
        <v>865</v>
      </c>
      <c r="N43" s="103" t="s">
        <v>866</v>
      </c>
      <c r="O43" s="103" t="str">
        <f t="shared" si="0"/>
        <v>CFLscw(5w)</v>
      </c>
      <c r="P43" s="103" t="s">
        <v>153</v>
      </c>
      <c r="Q43" s="103" t="s">
        <v>153</v>
      </c>
      <c r="R43" s="103" t="s">
        <v>153</v>
      </c>
      <c r="S43" s="103" t="str">
        <f>INDEX('Measure &amp; Standard CostIDs'!$AK$8:$AK$12,B43)</f>
        <v>Wtd-Pack</v>
      </c>
      <c r="T43" s="103" t="s">
        <v>867</v>
      </c>
      <c r="U43" s="103"/>
      <c r="V43" s="103"/>
      <c r="W43" s="103">
        <f>ROUND(IF(LEFT(D43,3)="Std",VLOOKUP(D43,'Measure &amp; Standard CostIDs'!$S$5:$X$177,1+B43,FALSE),VLOOKUP(D43,'Measure &amp; Standard CostIDs'!$C$5:$H$177,1+B43,FALSE)),2)</f>
        <v>2.46</v>
      </c>
      <c r="X43" s="103"/>
      <c r="Y43" s="103"/>
      <c r="Z43" s="103" t="s">
        <v>868</v>
      </c>
      <c r="AA43" s="103" t="s">
        <v>869</v>
      </c>
      <c r="AB43" s="103" t="s">
        <v>153</v>
      </c>
      <c r="AC43" s="103">
        <v>0</v>
      </c>
      <c r="AD43" s="156">
        <v>42005</v>
      </c>
      <c r="AE43" s="103"/>
      <c r="AF43" s="103" t="s">
        <v>870</v>
      </c>
      <c r="AG43" s="103" t="s">
        <v>871</v>
      </c>
      <c r="AH43" s="103" t="s">
        <v>872</v>
      </c>
      <c r="AI43" s="103">
        <v>0</v>
      </c>
      <c r="AJ43" s="103"/>
      <c r="AK43" s="103"/>
      <c r="AL43" s="103"/>
      <c r="AM43" s="103"/>
      <c r="AN43" s="103"/>
      <c r="AO43" s="103" t="str">
        <f t="shared" si="1"/>
        <v>CFLscw(5w)Wtd-Pack</v>
      </c>
    </row>
    <row r="44" spans="1:41">
      <c r="A44" s="177">
        <f>IFERROR(MATCH(D44,'Measure &amp; Standard CostIDs'!C$5:C$177,0),MATCH(D44,'Measure &amp; Standard CostIDs'!S$5:S$177,0))</f>
        <v>40</v>
      </c>
      <c r="B44" s="177">
        <v>1</v>
      </c>
      <c r="C44" s="103" t="s">
        <v>153</v>
      </c>
      <c r="D44" s="103" t="s">
        <v>771</v>
      </c>
      <c r="E44" s="103" t="str">
        <f>IF(LEFT(D44,3)="Std","Base case cost for mix of 60% Incandescent and 40% CFL lamps for CFL TechID: "&amp;INDEX('Measure &amp; Standard CostIDs'!$C$5:$C$177,A44),"&lt;from TechID&gt;")</f>
        <v>&lt;from TechID&gt;</v>
      </c>
      <c r="F44" s="103" t="s">
        <v>860</v>
      </c>
      <c r="G44" s="103" t="s">
        <v>151</v>
      </c>
      <c r="H44" s="103" t="s">
        <v>861</v>
      </c>
      <c r="I44" s="103" t="s">
        <v>862</v>
      </c>
      <c r="J44" s="103" t="s">
        <v>863</v>
      </c>
      <c r="K44" s="103" t="s">
        <v>864</v>
      </c>
      <c r="L44" s="103" t="s">
        <v>153</v>
      </c>
      <c r="M44" s="103" t="s">
        <v>865</v>
      </c>
      <c r="N44" s="103" t="s">
        <v>866</v>
      </c>
      <c r="O44" s="103" t="str">
        <f t="shared" si="0"/>
        <v>CFLscw(68w)</v>
      </c>
      <c r="P44" s="103" t="s">
        <v>153</v>
      </c>
      <c r="Q44" s="103" t="s">
        <v>153</v>
      </c>
      <c r="R44" s="103" t="s">
        <v>153</v>
      </c>
      <c r="S44" s="103" t="str">
        <f>INDEX('Measure &amp; Standard CostIDs'!$AK$8:$AK$12,B44)</f>
        <v>Wtd-Pack</v>
      </c>
      <c r="T44" s="103" t="s">
        <v>867</v>
      </c>
      <c r="U44" s="103"/>
      <c r="V44" s="103"/>
      <c r="W44" s="103">
        <f>ROUND(IF(LEFT(D44,3)="Std",VLOOKUP(D44,'Measure &amp; Standard CostIDs'!$S$5:$X$177,1+B44,FALSE),VLOOKUP(D44,'Measure &amp; Standard CostIDs'!$C$5:$H$177,1+B44,FALSE)),2)</f>
        <v>10.67</v>
      </c>
      <c r="X44" s="103"/>
      <c r="Y44" s="103"/>
      <c r="Z44" s="103" t="s">
        <v>868</v>
      </c>
      <c r="AA44" s="103" t="s">
        <v>869</v>
      </c>
      <c r="AB44" s="103" t="s">
        <v>153</v>
      </c>
      <c r="AC44" s="103">
        <v>0</v>
      </c>
      <c r="AD44" s="156">
        <v>42005</v>
      </c>
      <c r="AE44" s="103"/>
      <c r="AF44" s="103" t="s">
        <v>870</v>
      </c>
      <c r="AG44" s="103" t="s">
        <v>871</v>
      </c>
      <c r="AH44" s="103" t="s">
        <v>872</v>
      </c>
      <c r="AI44" s="103">
        <v>0</v>
      </c>
      <c r="AJ44" s="103"/>
      <c r="AK44" s="103"/>
      <c r="AL44" s="103"/>
      <c r="AM44" s="103"/>
      <c r="AN44" s="103"/>
      <c r="AO44" s="103" t="str">
        <f t="shared" si="1"/>
        <v>CFLscw(68w)Wtd-Pack</v>
      </c>
    </row>
    <row r="45" spans="1:41">
      <c r="A45" s="177">
        <f>IFERROR(MATCH(D45,'Measure &amp; Standard CostIDs'!C$5:C$177,0),MATCH(D45,'Measure &amp; Standard CostIDs'!S$5:S$177,0))</f>
        <v>41</v>
      </c>
      <c r="B45" s="177">
        <v>1</v>
      </c>
      <c r="C45" s="103" t="s">
        <v>153</v>
      </c>
      <c r="D45" s="103" t="s">
        <v>773</v>
      </c>
      <c r="E45" s="103" t="str">
        <f>IF(LEFT(D45,3)="Std","Base case cost for mix of 60% Incandescent and 40% CFL lamps for CFL TechID: "&amp;INDEX('Measure &amp; Standard CostIDs'!$C$5:$C$177,A45),"&lt;from TechID&gt;")</f>
        <v>&lt;from TechID&gt;</v>
      </c>
      <c r="F45" s="103" t="s">
        <v>860</v>
      </c>
      <c r="G45" s="103" t="s">
        <v>151</v>
      </c>
      <c r="H45" s="103" t="s">
        <v>861</v>
      </c>
      <c r="I45" s="103" t="s">
        <v>862</v>
      </c>
      <c r="J45" s="103" t="s">
        <v>863</v>
      </c>
      <c r="K45" s="103" t="s">
        <v>864</v>
      </c>
      <c r="L45" s="103" t="s">
        <v>153</v>
      </c>
      <c r="M45" s="103" t="s">
        <v>865</v>
      </c>
      <c r="N45" s="103" t="s">
        <v>866</v>
      </c>
      <c r="O45" s="103" t="str">
        <f t="shared" si="0"/>
        <v>CFLscw(69w)</v>
      </c>
      <c r="P45" s="103" t="s">
        <v>153</v>
      </c>
      <c r="Q45" s="103" t="s">
        <v>153</v>
      </c>
      <c r="R45" s="103" t="s">
        <v>153</v>
      </c>
      <c r="S45" s="103" t="str">
        <f>INDEX('Measure &amp; Standard CostIDs'!$AK$8:$AK$12,B45)</f>
        <v>Wtd-Pack</v>
      </c>
      <c r="T45" s="103" t="s">
        <v>867</v>
      </c>
      <c r="U45" s="103"/>
      <c r="V45" s="103"/>
      <c r="W45" s="103">
        <f>ROUND(IF(LEFT(D45,3)="Std",VLOOKUP(D45,'Measure &amp; Standard CostIDs'!$S$5:$X$177,1+B45,FALSE),VLOOKUP(D45,'Measure &amp; Standard CostIDs'!$C$5:$H$177,1+B45,FALSE)),2)</f>
        <v>10.83</v>
      </c>
      <c r="X45" s="103"/>
      <c r="Y45" s="103"/>
      <c r="Z45" s="103" t="s">
        <v>868</v>
      </c>
      <c r="AA45" s="103" t="s">
        <v>869</v>
      </c>
      <c r="AB45" s="103" t="s">
        <v>153</v>
      </c>
      <c r="AC45" s="103">
        <v>0</v>
      </c>
      <c r="AD45" s="156">
        <v>42005</v>
      </c>
      <c r="AE45" s="103"/>
      <c r="AF45" s="103" t="s">
        <v>870</v>
      </c>
      <c r="AG45" s="103" t="s">
        <v>871</v>
      </c>
      <c r="AH45" s="103" t="s">
        <v>872</v>
      </c>
      <c r="AI45" s="103">
        <v>0</v>
      </c>
      <c r="AJ45" s="103"/>
      <c r="AK45" s="103"/>
      <c r="AL45" s="103"/>
      <c r="AM45" s="103"/>
      <c r="AN45" s="103"/>
      <c r="AO45" s="103" t="str">
        <f t="shared" si="1"/>
        <v>CFLscw(69w)Wtd-Pack</v>
      </c>
    </row>
    <row r="46" spans="1:41">
      <c r="A46" s="177">
        <f>IFERROR(MATCH(D46,'Measure &amp; Standard CostIDs'!C$5:C$177,0),MATCH(D46,'Measure &amp; Standard CostIDs'!S$5:S$177,0))</f>
        <v>42</v>
      </c>
      <c r="B46" s="177">
        <v>1</v>
      </c>
      <c r="C46" s="103" t="s">
        <v>153</v>
      </c>
      <c r="D46" s="103" t="s">
        <v>775</v>
      </c>
      <c r="E46" s="103" t="str">
        <f>IF(LEFT(D46,3)="Std","Base case cost for mix of 60% Incandescent and 40% CFL lamps for CFL TechID: "&amp;INDEX('Measure &amp; Standard CostIDs'!$C$5:$C$177,A46),"&lt;from TechID&gt;")</f>
        <v>&lt;from TechID&gt;</v>
      </c>
      <c r="F46" s="103" t="s">
        <v>860</v>
      </c>
      <c r="G46" s="103" t="s">
        <v>151</v>
      </c>
      <c r="H46" s="103" t="s">
        <v>861</v>
      </c>
      <c r="I46" s="103" t="s">
        <v>862</v>
      </c>
      <c r="J46" s="103" t="s">
        <v>863</v>
      </c>
      <c r="K46" s="103" t="s">
        <v>864</v>
      </c>
      <c r="L46" s="103" t="s">
        <v>153</v>
      </c>
      <c r="M46" s="103" t="s">
        <v>865</v>
      </c>
      <c r="N46" s="103" t="s">
        <v>866</v>
      </c>
      <c r="O46" s="103" t="str">
        <f t="shared" si="0"/>
        <v>CFLscw(6w)</v>
      </c>
      <c r="P46" s="103" t="s">
        <v>153</v>
      </c>
      <c r="Q46" s="103" t="s">
        <v>153</v>
      </c>
      <c r="R46" s="103" t="s">
        <v>153</v>
      </c>
      <c r="S46" s="103" t="str">
        <f>INDEX('Measure &amp; Standard CostIDs'!$AK$8:$AK$12,B46)</f>
        <v>Wtd-Pack</v>
      </c>
      <c r="T46" s="103" t="s">
        <v>867</v>
      </c>
      <c r="U46" s="103"/>
      <c r="V46" s="103"/>
      <c r="W46" s="103">
        <f>ROUND(IF(LEFT(D46,3)="Std",VLOOKUP(D46,'Measure &amp; Standard CostIDs'!$S$5:$X$177,1+B46,FALSE),VLOOKUP(D46,'Measure &amp; Standard CostIDs'!$C$5:$H$177,1+B46,FALSE)),2)</f>
        <v>2.5299999999999998</v>
      </c>
      <c r="X46" s="103"/>
      <c r="Y46" s="103"/>
      <c r="Z46" s="103" t="s">
        <v>868</v>
      </c>
      <c r="AA46" s="103" t="s">
        <v>869</v>
      </c>
      <c r="AB46" s="103" t="s">
        <v>153</v>
      </c>
      <c r="AC46" s="103">
        <v>0</v>
      </c>
      <c r="AD46" s="156">
        <v>42005</v>
      </c>
      <c r="AE46" s="103"/>
      <c r="AF46" s="103" t="s">
        <v>870</v>
      </c>
      <c r="AG46" s="103" t="s">
        <v>871</v>
      </c>
      <c r="AH46" s="103" t="s">
        <v>872</v>
      </c>
      <c r="AI46" s="103">
        <v>0</v>
      </c>
      <c r="AJ46" s="103"/>
      <c r="AK46" s="103"/>
      <c r="AL46" s="103"/>
      <c r="AM46" s="103"/>
      <c r="AN46" s="103"/>
      <c r="AO46" s="103" t="str">
        <f t="shared" si="1"/>
        <v>CFLscw(6w)Wtd-Pack</v>
      </c>
    </row>
    <row r="47" spans="1:41">
      <c r="A47" s="177">
        <f>IFERROR(MATCH(D47,'Measure &amp; Standard CostIDs'!C$5:C$177,0),MATCH(D47,'Measure &amp; Standard CostIDs'!S$5:S$177,0))</f>
        <v>43</v>
      </c>
      <c r="B47" s="177">
        <v>1</v>
      </c>
      <c r="C47" s="103" t="s">
        <v>153</v>
      </c>
      <c r="D47" s="103" t="s">
        <v>784</v>
      </c>
      <c r="E47" s="103" t="str">
        <f>IF(LEFT(D47,3)="Std","Base case cost for mix of 60% Incandescent and 40% CFL lamps for CFL TechID: "&amp;INDEX('Measure &amp; Standard CostIDs'!$C$5:$C$177,A47),"&lt;from TechID&gt;")</f>
        <v>&lt;from TechID&gt;</v>
      </c>
      <c r="F47" s="103" t="s">
        <v>860</v>
      </c>
      <c r="G47" s="103" t="s">
        <v>151</v>
      </c>
      <c r="H47" s="103" t="s">
        <v>861</v>
      </c>
      <c r="I47" s="103" t="s">
        <v>862</v>
      </c>
      <c r="J47" s="103" t="s">
        <v>863</v>
      </c>
      <c r="K47" s="103" t="s">
        <v>864</v>
      </c>
      <c r="L47" s="103" t="s">
        <v>153</v>
      </c>
      <c r="M47" s="103" t="s">
        <v>865</v>
      </c>
      <c r="N47" s="103" t="s">
        <v>866</v>
      </c>
      <c r="O47" s="103" t="str">
        <f t="shared" si="0"/>
        <v>CFLscw(7w)</v>
      </c>
      <c r="P47" s="103" t="s">
        <v>153</v>
      </c>
      <c r="Q47" s="103" t="s">
        <v>153</v>
      </c>
      <c r="R47" s="103" t="s">
        <v>153</v>
      </c>
      <c r="S47" s="103" t="str">
        <f>INDEX('Measure &amp; Standard CostIDs'!$AK$8:$AK$12,B47)</f>
        <v>Wtd-Pack</v>
      </c>
      <c r="T47" s="103" t="s">
        <v>867</v>
      </c>
      <c r="U47" s="103"/>
      <c r="V47" s="103"/>
      <c r="W47" s="103">
        <f>ROUND(IF(LEFT(D47,3)="Std",VLOOKUP(D47,'Measure &amp; Standard CostIDs'!$S$5:$X$177,1+B47,FALSE),VLOOKUP(D47,'Measure &amp; Standard CostIDs'!$C$5:$H$177,1+B47,FALSE)),2)</f>
        <v>2.6</v>
      </c>
      <c r="X47" s="103"/>
      <c r="Y47" s="103"/>
      <c r="Z47" s="103" t="s">
        <v>868</v>
      </c>
      <c r="AA47" s="103" t="s">
        <v>869</v>
      </c>
      <c r="AB47" s="103" t="s">
        <v>153</v>
      </c>
      <c r="AC47" s="103">
        <v>0</v>
      </c>
      <c r="AD47" s="156">
        <v>42005</v>
      </c>
      <c r="AE47" s="103"/>
      <c r="AF47" s="103" t="s">
        <v>870</v>
      </c>
      <c r="AG47" s="103" t="s">
        <v>871</v>
      </c>
      <c r="AH47" s="103" t="s">
        <v>872</v>
      </c>
      <c r="AI47" s="103">
        <v>0</v>
      </c>
      <c r="AJ47" s="103"/>
      <c r="AK47" s="103"/>
      <c r="AL47" s="103"/>
      <c r="AM47" s="103"/>
      <c r="AN47" s="103"/>
      <c r="AO47" s="103" t="str">
        <f t="shared" si="1"/>
        <v>CFLscw(7w)Wtd-Pack</v>
      </c>
    </row>
    <row r="48" spans="1:41">
      <c r="A48" s="177">
        <f>IFERROR(MATCH(D48,'Measure &amp; Standard CostIDs'!C$5:C$177,0),MATCH(D48,'Measure &amp; Standard CostIDs'!S$5:S$177,0))</f>
        <v>44</v>
      </c>
      <c r="B48" s="177">
        <v>1</v>
      </c>
      <c r="C48" s="103" t="s">
        <v>153</v>
      </c>
      <c r="D48" s="103" t="s">
        <v>790</v>
      </c>
      <c r="E48" s="103" t="str">
        <f>IF(LEFT(D48,3)="Std","Base case cost for mix of 60% Incandescent and 40% CFL lamps for CFL TechID: "&amp;INDEX('Measure &amp; Standard CostIDs'!$C$5:$C$177,A48),"&lt;from TechID&gt;")</f>
        <v>&lt;from TechID&gt;</v>
      </c>
      <c r="F48" s="103" t="s">
        <v>860</v>
      </c>
      <c r="G48" s="103" t="s">
        <v>151</v>
      </c>
      <c r="H48" s="103" t="s">
        <v>861</v>
      </c>
      <c r="I48" s="103" t="s">
        <v>862</v>
      </c>
      <c r="J48" s="103" t="s">
        <v>863</v>
      </c>
      <c r="K48" s="103" t="s">
        <v>864</v>
      </c>
      <c r="L48" s="103" t="s">
        <v>153</v>
      </c>
      <c r="M48" s="103" t="s">
        <v>865</v>
      </c>
      <c r="N48" s="103" t="s">
        <v>866</v>
      </c>
      <c r="O48" s="103" t="str">
        <f t="shared" si="0"/>
        <v>CFLscw(84w)</v>
      </c>
      <c r="P48" s="103" t="s">
        <v>153</v>
      </c>
      <c r="Q48" s="103" t="s">
        <v>153</v>
      </c>
      <c r="R48" s="103" t="s">
        <v>153</v>
      </c>
      <c r="S48" s="103" t="str">
        <f>INDEX('Measure &amp; Standard CostIDs'!$AK$8:$AK$12,B48)</f>
        <v>Wtd-Pack</v>
      </c>
      <c r="T48" s="103" t="s">
        <v>867</v>
      </c>
      <c r="U48" s="103"/>
      <c r="V48" s="103"/>
      <c r="W48" s="103">
        <f>ROUND(IF(LEFT(D48,3)="Std",VLOOKUP(D48,'Measure &amp; Standard CostIDs'!$S$5:$X$177,1+B48,FALSE),VLOOKUP(D48,'Measure &amp; Standard CostIDs'!$C$5:$H$177,1+B48,FALSE)),2)</f>
        <v>13.23</v>
      </c>
      <c r="X48" s="103"/>
      <c r="Y48" s="103"/>
      <c r="Z48" s="103" t="s">
        <v>868</v>
      </c>
      <c r="AA48" s="103" t="s">
        <v>869</v>
      </c>
      <c r="AB48" s="103" t="s">
        <v>153</v>
      </c>
      <c r="AC48" s="103">
        <v>0</v>
      </c>
      <c r="AD48" s="156">
        <v>42005</v>
      </c>
      <c r="AE48" s="103"/>
      <c r="AF48" s="103" t="s">
        <v>870</v>
      </c>
      <c r="AG48" s="103" t="s">
        <v>871</v>
      </c>
      <c r="AH48" s="103" t="s">
        <v>872</v>
      </c>
      <c r="AI48" s="103">
        <v>0</v>
      </c>
      <c r="AJ48" s="103"/>
      <c r="AK48" s="103"/>
      <c r="AL48" s="103"/>
      <c r="AM48" s="103"/>
      <c r="AN48" s="103"/>
      <c r="AO48" s="103" t="str">
        <f t="shared" si="1"/>
        <v>CFLscw(84w)Wtd-Pack</v>
      </c>
    </row>
    <row r="49" spans="1:41">
      <c r="A49" s="177">
        <f>IFERROR(MATCH(D49,'Measure &amp; Standard CostIDs'!C$5:C$177,0),MATCH(D49,'Measure &amp; Standard CostIDs'!S$5:S$177,0))</f>
        <v>45</v>
      </c>
      <c r="B49" s="177">
        <v>1</v>
      </c>
      <c r="C49" s="103" t="s">
        <v>153</v>
      </c>
      <c r="D49" s="103" t="s">
        <v>792</v>
      </c>
      <c r="E49" s="103" t="str">
        <f>IF(LEFT(D49,3)="Std","Base case cost for mix of 60% Incandescent and 40% CFL lamps for CFL TechID: "&amp;INDEX('Measure &amp; Standard CostIDs'!$C$5:$C$177,A49),"&lt;from TechID&gt;")</f>
        <v>&lt;from TechID&gt;</v>
      </c>
      <c r="F49" s="103" t="s">
        <v>860</v>
      </c>
      <c r="G49" s="103" t="s">
        <v>151</v>
      </c>
      <c r="H49" s="103" t="s">
        <v>861</v>
      </c>
      <c r="I49" s="103" t="s">
        <v>862</v>
      </c>
      <c r="J49" s="103" t="s">
        <v>863</v>
      </c>
      <c r="K49" s="103" t="s">
        <v>864</v>
      </c>
      <c r="L49" s="103" t="s">
        <v>153</v>
      </c>
      <c r="M49" s="103" t="s">
        <v>865</v>
      </c>
      <c r="N49" s="103" t="s">
        <v>866</v>
      </c>
      <c r="O49" s="103" t="str">
        <f t="shared" si="0"/>
        <v>CFLscw(85w)</v>
      </c>
      <c r="P49" s="103" t="s">
        <v>153</v>
      </c>
      <c r="Q49" s="103" t="s">
        <v>153</v>
      </c>
      <c r="R49" s="103" t="s">
        <v>153</v>
      </c>
      <c r="S49" s="103" t="str">
        <f>INDEX('Measure &amp; Standard CostIDs'!$AK$8:$AK$12,B49)</f>
        <v>Wtd-Pack</v>
      </c>
      <c r="T49" s="103" t="s">
        <v>867</v>
      </c>
      <c r="U49" s="103"/>
      <c r="V49" s="103"/>
      <c r="W49" s="103">
        <f>ROUND(IF(LEFT(D49,3)="Std",VLOOKUP(D49,'Measure &amp; Standard CostIDs'!$S$5:$X$177,1+B49,FALSE),VLOOKUP(D49,'Measure &amp; Standard CostIDs'!$C$5:$H$177,1+B49,FALSE)),2)</f>
        <v>13.39</v>
      </c>
      <c r="X49" s="103"/>
      <c r="Y49" s="103"/>
      <c r="Z49" s="103" t="s">
        <v>868</v>
      </c>
      <c r="AA49" s="103" t="s">
        <v>869</v>
      </c>
      <c r="AB49" s="103" t="s">
        <v>153</v>
      </c>
      <c r="AC49" s="103">
        <v>0</v>
      </c>
      <c r="AD49" s="156">
        <v>42005</v>
      </c>
      <c r="AE49" s="103"/>
      <c r="AF49" s="103" t="s">
        <v>870</v>
      </c>
      <c r="AG49" s="103" t="s">
        <v>871</v>
      </c>
      <c r="AH49" s="103" t="s">
        <v>872</v>
      </c>
      <c r="AI49" s="103">
        <v>0</v>
      </c>
      <c r="AJ49" s="103"/>
      <c r="AK49" s="103"/>
      <c r="AL49" s="103"/>
      <c r="AM49" s="103"/>
      <c r="AN49" s="103"/>
      <c r="AO49" s="103" t="str">
        <f t="shared" si="1"/>
        <v>CFLscw(85w)Wtd-Pack</v>
      </c>
    </row>
    <row r="50" spans="1:41">
      <c r="A50" s="177">
        <f>IFERROR(MATCH(D50,'Measure &amp; Standard CostIDs'!C$5:C$177,0),MATCH(D50,'Measure &amp; Standard CostIDs'!S$5:S$177,0))</f>
        <v>46</v>
      </c>
      <c r="B50" s="177">
        <v>1</v>
      </c>
      <c r="C50" s="103" t="s">
        <v>153</v>
      </c>
      <c r="D50" s="103" t="s">
        <v>794</v>
      </c>
      <c r="E50" s="103" t="str">
        <f>IF(LEFT(D50,3)="Std","Base case cost for mix of 60% Incandescent and 40% CFL lamps for CFL TechID: "&amp;INDEX('Measure &amp; Standard CostIDs'!$C$5:$C$177,A50),"&lt;from TechID&gt;")</f>
        <v>&lt;from TechID&gt;</v>
      </c>
      <c r="F50" s="103" t="s">
        <v>860</v>
      </c>
      <c r="G50" s="103" t="s">
        <v>151</v>
      </c>
      <c r="H50" s="103" t="s">
        <v>861</v>
      </c>
      <c r="I50" s="103" t="s">
        <v>862</v>
      </c>
      <c r="J50" s="103" t="s">
        <v>863</v>
      </c>
      <c r="K50" s="103" t="s">
        <v>864</v>
      </c>
      <c r="L50" s="103" t="s">
        <v>153</v>
      </c>
      <c r="M50" s="103" t="s">
        <v>865</v>
      </c>
      <c r="N50" s="103" t="s">
        <v>866</v>
      </c>
      <c r="O50" s="103" t="str">
        <f t="shared" si="0"/>
        <v>CFLscw(8w)</v>
      </c>
      <c r="P50" s="103" t="s">
        <v>153</v>
      </c>
      <c r="Q50" s="103" t="s">
        <v>153</v>
      </c>
      <c r="R50" s="103" t="s">
        <v>153</v>
      </c>
      <c r="S50" s="103" t="str">
        <f>INDEX('Measure &amp; Standard CostIDs'!$AK$8:$AK$12,B50)</f>
        <v>Wtd-Pack</v>
      </c>
      <c r="T50" s="103" t="s">
        <v>867</v>
      </c>
      <c r="U50" s="103"/>
      <c r="V50" s="103"/>
      <c r="W50" s="103">
        <f>ROUND(IF(LEFT(D50,3)="Std",VLOOKUP(D50,'Measure &amp; Standard CostIDs'!$S$5:$X$177,1+B50,FALSE),VLOOKUP(D50,'Measure &amp; Standard CostIDs'!$C$5:$H$177,1+B50,FALSE)),2)</f>
        <v>2.66</v>
      </c>
      <c r="X50" s="103"/>
      <c r="Y50" s="103"/>
      <c r="Z50" s="103" t="s">
        <v>868</v>
      </c>
      <c r="AA50" s="103" t="s">
        <v>869</v>
      </c>
      <c r="AB50" s="103" t="s">
        <v>153</v>
      </c>
      <c r="AC50" s="103">
        <v>0</v>
      </c>
      <c r="AD50" s="156">
        <v>42005</v>
      </c>
      <c r="AE50" s="103"/>
      <c r="AF50" s="103" t="s">
        <v>870</v>
      </c>
      <c r="AG50" s="103" t="s">
        <v>871</v>
      </c>
      <c r="AH50" s="103" t="s">
        <v>872</v>
      </c>
      <c r="AI50" s="103">
        <v>0</v>
      </c>
      <c r="AJ50" s="103"/>
      <c r="AK50" s="103"/>
      <c r="AL50" s="103"/>
      <c r="AM50" s="103"/>
      <c r="AN50" s="103"/>
      <c r="AO50" s="103" t="str">
        <f t="shared" si="1"/>
        <v>CFLscw(8w)Wtd-Pack</v>
      </c>
    </row>
    <row r="51" spans="1:41">
      <c r="A51" s="177">
        <f>IFERROR(MATCH(D51,'Measure &amp; Standard CostIDs'!C$5:C$177,0),MATCH(D51,'Measure &amp; Standard CostIDs'!S$5:S$177,0))</f>
        <v>47</v>
      </c>
      <c r="B51" s="177">
        <v>1</v>
      </c>
      <c r="C51" s="103" t="s">
        <v>153</v>
      </c>
      <c r="D51" s="103" t="s">
        <v>801</v>
      </c>
      <c r="E51" s="103" t="str">
        <f>IF(LEFT(D51,3)="Std","Base case cost for mix of 60% Incandescent and 40% CFL lamps for CFL TechID: "&amp;INDEX('Measure &amp; Standard CostIDs'!$C$5:$C$177,A51),"&lt;from TechID&gt;")</f>
        <v>&lt;from TechID&gt;</v>
      </c>
      <c r="F51" s="103" t="s">
        <v>860</v>
      </c>
      <c r="G51" s="103" t="s">
        <v>151</v>
      </c>
      <c r="H51" s="103" t="s">
        <v>861</v>
      </c>
      <c r="I51" s="103" t="s">
        <v>862</v>
      </c>
      <c r="J51" s="103" t="s">
        <v>863</v>
      </c>
      <c r="K51" s="103" t="s">
        <v>864</v>
      </c>
      <c r="L51" s="103" t="s">
        <v>153</v>
      </c>
      <c r="M51" s="103" t="s">
        <v>865</v>
      </c>
      <c r="N51" s="103" t="s">
        <v>866</v>
      </c>
      <c r="O51" s="103" t="str">
        <f t="shared" si="0"/>
        <v>CFLscw(9w)</v>
      </c>
      <c r="P51" s="103" t="s">
        <v>153</v>
      </c>
      <c r="Q51" s="103" t="s">
        <v>153</v>
      </c>
      <c r="R51" s="103" t="s">
        <v>153</v>
      </c>
      <c r="S51" s="103" t="str">
        <f>INDEX('Measure &amp; Standard CostIDs'!$AK$8:$AK$12,B51)</f>
        <v>Wtd-Pack</v>
      </c>
      <c r="T51" s="103" t="s">
        <v>867</v>
      </c>
      <c r="U51" s="103"/>
      <c r="V51" s="103"/>
      <c r="W51" s="103">
        <f>ROUND(IF(LEFT(D51,3)="Std",VLOOKUP(D51,'Measure &amp; Standard CostIDs'!$S$5:$X$177,1+B51,FALSE),VLOOKUP(D51,'Measure &amp; Standard CostIDs'!$C$5:$H$177,1+B51,FALSE)),2)</f>
        <v>2.73</v>
      </c>
      <c r="X51" s="103"/>
      <c r="Y51" s="103"/>
      <c r="Z51" s="103" t="s">
        <v>868</v>
      </c>
      <c r="AA51" s="103" t="s">
        <v>869</v>
      </c>
      <c r="AB51" s="103" t="s">
        <v>153</v>
      </c>
      <c r="AC51" s="103">
        <v>0</v>
      </c>
      <c r="AD51" s="156">
        <v>42005</v>
      </c>
      <c r="AE51" s="103"/>
      <c r="AF51" s="103" t="s">
        <v>870</v>
      </c>
      <c r="AG51" s="103" t="s">
        <v>871</v>
      </c>
      <c r="AH51" s="103" t="s">
        <v>872</v>
      </c>
      <c r="AI51" s="103">
        <v>0</v>
      </c>
      <c r="AJ51" s="103"/>
      <c r="AK51" s="103"/>
      <c r="AL51" s="103"/>
      <c r="AM51" s="103"/>
      <c r="AN51" s="103"/>
      <c r="AO51" s="103" t="str">
        <f t="shared" si="1"/>
        <v>CFLscw(9w)Wtd-Pack</v>
      </c>
    </row>
    <row r="52" spans="1:41">
      <c r="A52" s="177">
        <f>IFERROR(MATCH(D52,'Measure &amp; Standard CostIDs'!C$5:C$177,0),MATCH(D52,'Measure &amp; Standard CostIDs'!S$5:S$177,0))</f>
        <v>48</v>
      </c>
      <c r="B52" s="177">
        <v>1</v>
      </c>
      <c r="C52" s="103" t="s">
        <v>153</v>
      </c>
      <c r="D52" s="103" t="s">
        <v>173</v>
      </c>
      <c r="E52" s="103" t="str">
        <f>IF(LEFT(D52,3)="Std","Base case cost for mix of 60% Incandescent and 40% CFL lamps for CFL TechID: "&amp;INDEX('Measure &amp; Standard CostIDs'!$C$5:$C$177,A52),"&lt;from TechID&gt;")</f>
        <v>&lt;from TechID&gt;</v>
      </c>
      <c r="F52" s="103" t="s">
        <v>860</v>
      </c>
      <c r="G52" s="103" t="s">
        <v>151</v>
      </c>
      <c r="H52" s="103" t="s">
        <v>861</v>
      </c>
      <c r="I52" s="103" t="s">
        <v>862</v>
      </c>
      <c r="J52" s="103" t="s">
        <v>863</v>
      </c>
      <c r="K52" s="103" t="s">
        <v>864</v>
      </c>
      <c r="L52" s="103" t="s">
        <v>153</v>
      </c>
      <c r="M52" s="103" t="s">
        <v>865</v>
      </c>
      <c r="N52" s="103" t="s">
        <v>866</v>
      </c>
      <c r="O52" s="103" t="str">
        <f t="shared" si="0"/>
        <v>CFLscw-3way(13w)</v>
      </c>
      <c r="P52" s="103" t="s">
        <v>153</v>
      </c>
      <c r="Q52" s="103" t="s">
        <v>153</v>
      </c>
      <c r="R52" s="103" t="s">
        <v>153</v>
      </c>
      <c r="S52" s="103" t="str">
        <f>INDEX('Measure &amp; Standard CostIDs'!$AK$8:$AK$12,B52)</f>
        <v>Wtd-Pack</v>
      </c>
      <c r="T52" s="103" t="s">
        <v>867</v>
      </c>
      <c r="U52" s="103"/>
      <c r="V52" s="103"/>
      <c r="W52" s="103">
        <f>ROUND(IF(LEFT(D52,3)="Std",VLOOKUP(D52,'Measure &amp; Standard CostIDs'!$S$5:$X$177,1+B52,FALSE),VLOOKUP(D52,'Measure &amp; Standard CostIDs'!$C$5:$H$177,1+B52,FALSE)),2)</f>
        <v>9.75</v>
      </c>
      <c r="X52" s="103"/>
      <c r="Y52" s="103"/>
      <c r="Z52" s="103" t="s">
        <v>868</v>
      </c>
      <c r="AA52" s="103" t="s">
        <v>869</v>
      </c>
      <c r="AB52" s="103" t="s">
        <v>153</v>
      </c>
      <c r="AC52" s="103">
        <v>0</v>
      </c>
      <c r="AD52" s="156">
        <v>42005</v>
      </c>
      <c r="AE52" s="103"/>
      <c r="AF52" s="103" t="s">
        <v>870</v>
      </c>
      <c r="AG52" s="103" t="s">
        <v>871</v>
      </c>
      <c r="AH52" s="103" t="s">
        <v>872</v>
      </c>
      <c r="AI52" s="103">
        <v>0</v>
      </c>
      <c r="AJ52" s="103"/>
      <c r="AK52" s="103"/>
      <c r="AL52" s="103"/>
      <c r="AM52" s="103"/>
      <c r="AN52" s="103"/>
      <c r="AO52" s="103" t="str">
        <f t="shared" si="1"/>
        <v>CFLscw-3way(13w)Wtd-Pack</v>
      </c>
    </row>
    <row r="53" spans="1:41">
      <c r="A53" s="177">
        <f>IFERROR(MATCH(D53,'Measure &amp; Standard CostIDs'!C$5:C$177,0),MATCH(D53,'Measure &amp; Standard CostIDs'!S$5:S$177,0))</f>
        <v>49</v>
      </c>
      <c r="B53" s="177">
        <v>1</v>
      </c>
      <c r="C53" s="103" t="s">
        <v>153</v>
      </c>
      <c r="D53" s="103" t="s">
        <v>178</v>
      </c>
      <c r="E53" s="103" t="str">
        <f>IF(LEFT(D53,3)="Std","Base case cost for mix of 60% Incandescent and 40% CFL lamps for CFL TechID: "&amp;INDEX('Measure &amp; Standard CostIDs'!$C$5:$C$177,A53),"&lt;from TechID&gt;")</f>
        <v>&lt;from TechID&gt;</v>
      </c>
      <c r="F53" s="103" t="s">
        <v>860</v>
      </c>
      <c r="G53" s="103" t="s">
        <v>151</v>
      </c>
      <c r="H53" s="103" t="s">
        <v>861</v>
      </c>
      <c r="I53" s="103" t="s">
        <v>862</v>
      </c>
      <c r="J53" s="103" t="s">
        <v>863</v>
      </c>
      <c r="K53" s="103" t="s">
        <v>864</v>
      </c>
      <c r="L53" s="103" t="s">
        <v>153</v>
      </c>
      <c r="M53" s="103" t="s">
        <v>865</v>
      </c>
      <c r="N53" s="103" t="s">
        <v>866</v>
      </c>
      <c r="O53" s="103" t="str">
        <f t="shared" si="0"/>
        <v>CFLscw-3way(15w)</v>
      </c>
      <c r="P53" s="103" t="s">
        <v>153</v>
      </c>
      <c r="Q53" s="103" t="s">
        <v>153</v>
      </c>
      <c r="R53" s="103" t="s">
        <v>153</v>
      </c>
      <c r="S53" s="103" t="str">
        <f>INDEX('Measure &amp; Standard CostIDs'!$AK$8:$AK$12,B53)</f>
        <v>Wtd-Pack</v>
      </c>
      <c r="T53" s="103" t="s">
        <v>867</v>
      </c>
      <c r="U53" s="103"/>
      <c r="V53" s="103"/>
      <c r="W53" s="103">
        <f>ROUND(IF(LEFT(D53,3)="Std",VLOOKUP(D53,'Measure &amp; Standard CostIDs'!$S$5:$X$177,1+B53,FALSE),VLOOKUP(D53,'Measure &amp; Standard CostIDs'!$C$5:$H$177,1+B53,FALSE)),2)</f>
        <v>9.8800000000000008</v>
      </c>
      <c r="X53" s="103"/>
      <c r="Y53" s="103"/>
      <c r="Z53" s="103" t="s">
        <v>868</v>
      </c>
      <c r="AA53" s="103" t="s">
        <v>869</v>
      </c>
      <c r="AB53" s="103" t="s">
        <v>153</v>
      </c>
      <c r="AC53" s="103">
        <v>0</v>
      </c>
      <c r="AD53" s="156">
        <v>42005</v>
      </c>
      <c r="AE53" s="103"/>
      <c r="AF53" s="103" t="s">
        <v>870</v>
      </c>
      <c r="AG53" s="103" t="s">
        <v>871</v>
      </c>
      <c r="AH53" s="103" t="s">
        <v>872</v>
      </c>
      <c r="AI53" s="103">
        <v>0</v>
      </c>
      <c r="AJ53" s="103"/>
      <c r="AK53" s="103"/>
      <c r="AL53" s="103"/>
      <c r="AM53" s="103"/>
      <c r="AN53" s="103"/>
      <c r="AO53" s="103" t="str">
        <f t="shared" si="1"/>
        <v>CFLscw-3way(15w)Wtd-Pack</v>
      </c>
    </row>
    <row r="54" spans="1:41">
      <c r="A54" s="177">
        <f>IFERROR(MATCH(D54,'Measure &amp; Standard CostIDs'!C$5:C$177,0),MATCH(D54,'Measure &amp; Standard CostIDs'!S$5:S$177,0))</f>
        <v>50</v>
      </c>
      <c r="B54" s="177">
        <v>1</v>
      </c>
      <c r="C54" s="103" t="s">
        <v>153</v>
      </c>
      <c r="D54" s="103" t="s">
        <v>180</v>
      </c>
      <c r="E54" s="103" t="str">
        <f>IF(LEFT(D54,3)="Std","Base case cost for mix of 60% Incandescent and 40% CFL lamps for CFL TechID: "&amp;INDEX('Measure &amp; Standard CostIDs'!$C$5:$C$177,A54),"&lt;from TechID&gt;")</f>
        <v>&lt;from TechID&gt;</v>
      </c>
      <c r="F54" s="103" t="s">
        <v>860</v>
      </c>
      <c r="G54" s="103" t="s">
        <v>151</v>
      </c>
      <c r="H54" s="103" t="s">
        <v>861</v>
      </c>
      <c r="I54" s="103" t="s">
        <v>862</v>
      </c>
      <c r="J54" s="103" t="s">
        <v>863</v>
      </c>
      <c r="K54" s="103" t="s">
        <v>864</v>
      </c>
      <c r="L54" s="103" t="s">
        <v>153</v>
      </c>
      <c r="M54" s="103" t="s">
        <v>865</v>
      </c>
      <c r="N54" s="103" t="s">
        <v>866</v>
      </c>
      <c r="O54" s="103" t="str">
        <f t="shared" si="0"/>
        <v>CFLscw-3way(16w)</v>
      </c>
      <c r="P54" s="103" t="s">
        <v>153</v>
      </c>
      <c r="Q54" s="103" t="s">
        <v>153</v>
      </c>
      <c r="R54" s="103" t="s">
        <v>153</v>
      </c>
      <c r="S54" s="103" t="str">
        <f>INDEX('Measure &amp; Standard CostIDs'!$AK$8:$AK$12,B54)</f>
        <v>Wtd-Pack</v>
      </c>
      <c r="T54" s="103" t="s">
        <v>867</v>
      </c>
      <c r="U54" s="103"/>
      <c r="V54" s="103"/>
      <c r="W54" s="103">
        <f>ROUND(IF(LEFT(D54,3)="Std",VLOOKUP(D54,'Measure &amp; Standard CostIDs'!$S$5:$X$177,1+B54,FALSE),VLOOKUP(D54,'Measure &amp; Standard CostIDs'!$C$5:$H$177,1+B54,FALSE)),2)</f>
        <v>9.9499999999999993</v>
      </c>
      <c r="X54" s="103"/>
      <c r="Y54" s="103"/>
      <c r="Z54" s="103" t="s">
        <v>868</v>
      </c>
      <c r="AA54" s="103" t="s">
        <v>869</v>
      </c>
      <c r="AB54" s="103" t="s">
        <v>153</v>
      </c>
      <c r="AC54" s="103">
        <v>0</v>
      </c>
      <c r="AD54" s="156">
        <v>42005</v>
      </c>
      <c r="AE54" s="103"/>
      <c r="AF54" s="103" t="s">
        <v>870</v>
      </c>
      <c r="AG54" s="103" t="s">
        <v>871</v>
      </c>
      <c r="AH54" s="103" t="s">
        <v>872</v>
      </c>
      <c r="AI54" s="103">
        <v>0</v>
      </c>
      <c r="AJ54" s="103"/>
      <c r="AK54" s="103"/>
      <c r="AL54" s="103"/>
      <c r="AM54" s="103"/>
      <c r="AN54" s="103"/>
      <c r="AO54" s="103" t="str">
        <f t="shared" si="1"/>
        <v>CFLscw-3way(16w)Wtd-Pack</v>
      </c>
    </row>
    <row r="55" spans="1:41">
      <c r="A55" s="177">
        <f>IFERROR(MATCH(D55,'Measure &amp; Standard CostIDs'!C$5:C$177,0),MATCH(D55,'Measure &amp; Standard CostIDs'!S$5:S$177,0))</f>
        <v>51</v>
      </c>
      <c r="B55" s="177">
        <v>1</v>
      </c>
      <c r="C55" s="103" t="s">
        <v>153</v>
      </c>
      <c r="D55" s="103" t="s">
        <v>182</v>
      </c>
      <c r="E55" s="103" t="str">
        <f>IF(LEFT(D55,3)="Std","Base case cost for mix of 60% Incandescent and 40% CFL lamps for CFL TechID: "&amp;INDEX('Measure &amp; Standard CostIDs'!$C$5:$C$177,A55),"&lt;from TechID&gt;")</f>
        <v>&lt;from TechID&gt;</v>
      </c>
      <c r="F55" s="103" t="s">
        <v>860</v>
      </c>
      <c r="G55" s="103" t="s">
        <v>151</v>
      </c>
      <c r="H55" s="103" t="s">
        <v>861</v>
      </c>
      <c r="I55" s="103" t="s">
        <v>862</v>
      </c>
      <c r="J55" s="103" t="s">
        <v>863</v>
      </c>
      <c r="K55" s="103" t="s">
        <v>864</v>
      </c>
      <c r="L55" s="103" t="s">
        <v>153</v>
      </c>
      <c r="M55" s="103" t="s">
        <v>865</v>
      </c>
      <c r="N55" s="103" t="s">
        <v>866</v>
      </c>
      <c r="O55" s="103" t="str">
        <f t="shared" si="0"/>
        <v>CFLscw-3way(17w)</v>
      </c>
      <c r="P55" s="103" t="s">
        <v>153</v>
      </c>
      <c r="Q55" s="103" t="s">
        <v>153</v>
      </c>
      <c r="R55" s="103" t="s">
        <v>153</v>
      </c>
      <c r="S55" s="103" t="str">
        <f>INDEX('Measure &amp; Standard CostIDs'!$AK$8:$AK$12,B55)</f>
        <v>Wtd-Pack</v>
      </c>
      <c r="T55" s="103" t="s">
        <v>867</v>
      </c>
      <c r="U55" s="103"/>
      <c r="V55" s="103"/>
      <c r="W55" s="103">
        <f>ROUND(IF(LEFT(D55,3)="Std",VLOOKUP(D55,'Measure &amp; Standard CostIDs'!$S$5:$X$177,1+B55,FALSE),VLOOKUP(D55,'Measure &amp; Standard CostIDs'!$C$5:$H$177,1+B55,FALSE)),2)</f>
        <v>10.01</v>
      </c>
      <c r="X55" s="103"/>
      <c r="Y55" s="103"/>
      <c r="Z55" s="103" t="s">
        <v>868</v>
      </c>
      <c r="AA55" s="103" t="s">
        <v>869</v>
      </c>
      <c r="AB55" s="103" t="s">
        <v>153</v>
      </c>
      <c r="AC55" s="103">
        <v>0</v>
      </c>
      <c r="AD55" s="156">
        <v>42005</v>
      </c>
      <c r="AE55" s="103"/>
      <c r="AF55" s="103" t="s">
        <v>870</v>
      </c>
      <c r="AG55" s="103" t="s">
        <v>871</v>
      </c>
      <c r="AH55" s="103" t="s">
        <v>872</v>
      </c>
      <c r="AI55" s="103">
        <v>0</v>
      </c>
      <c r="AJ55" s="103"/>
      <c r="AK55" s="103"/>
      <c r="AL55" s="103"/>
      <c r="AM55" s="103"/>
      <c r="AN55" s="103"/>
      <c r="AO55" s="103" t="str">
        <f t="shared" si="1"/>
        <v>CFLscw-3way(17w)Wtd-Pack</v>
      </c>
    </row>
    <row r="56" spans="1:41">
      <c r="A56" s="177">
        <f>IFERROR(MATCH(D56,'Measure &amp; Standard CostIDs'!C$5:C$177,0),MATCH(D56,'Measure &amp; Standard CostIDs'!S$5:S$177,0))</f>
        <v>52</v>
      </c>
      <c r="B56" s="177">
        <v>1</v>
      </c>
      <c r="C56" s="103" t="s">
        <v>153</v>
      </c>
      <c r="D56" s="103" t="s">
        <v>184</v>
      </c>
      <c r="E56" s="103" t="str">
        <f>IF(LEFT(D56,3)="Std","Base case cost for mix of 60% Incandescent and 40% CFL lamps for CFL TechID: "&amp;INDEX('Measure &amp; Standard CostIDs'!$C$5:$C$177,A56),"&lt;from TechID&gt;")</f>
        <v>&lt;from TechID&gt;</v>
      </c>
      <c r="F56" s="103" t="s">
        <v>860</v>
      </c>
      <c r="G56" s="103" t="s">
        <v>151</v>
      </c>
      <c r="H56" s="103" t="s">
        <v>861</v>
      </c>
      <c r="I56" s="103" t="s">
        <v>862</v>
      </c>
      <c r="J56" s="103" t="s">
        <v>863</v>
      </c>
      <c r="K56" s="103" t="s">
        <v>864</v>
      </c>
      <c r="L56" s="103" t="s">
        <v>153</v>
      </c>
      <c r="M56" s="103" t="s">
        <v>865</v>
      </c>
      <c r="N56" s="103" t="s">
        <v>866</v>
      </c>
      <c r="O56" s="103" t="str">
        <f t="shared" si="0"/>
        <v>CFLscw-3way(18w)</v>
      </c>
      <c r="P56" s="103" t="s">
        <v>153</v>
      </c>
      <c r="Q56" s="103" t="s">
        <v>153</v>
      </c>
      <c r="R56" s="103" t="s">
        <v>153</v>
      </c>
      <c r="S56" s="103" t="str">
        <f>INDEX('Measure &amp; Standard CostIDs'!$AK$8:$AK$12,B56)</f>
        <v>Wtd-Pack</v>
      </c>
      <c r="T56" s="103" t="s">
        <v>867</v>
      </c>
      <c r="U56" s="103"/>
      <c r="V56" s="103"/>
      <c r="W56" s="103">
        <f>ROUND(IF(LEFT(D56,3)="Std",VLOOKUP(D56,'Measure &amp; Standard CostIDs'!$S$5:$X$177,1+B56,FALSE),VLOOKUP(D56,'Measure &amp; Standard CostIDs'!$C$5:$H$177,1+B56,FALSE)),2)</f>
        <v>10.08</v>
      </c>
      <c r="X56" s="103"/>
      <c r="Y56" s="103"/>
      <c r="Z56" s="103" t="s">
        <v>868</v>
      </c>
      <c r="AA56" s="103" t="s">
        <v>869</v>
      </c>
      <c r="AB56" s="103" t="s">
        <v>153</v>
      </c>
      <c r="AC56" s="103">
        <v>0</v>
      </c>
      <c r="AD56" s="156">
        <v>42005</v>
      </c>
      <c r="AE56" s="103"/>
      <c r="AF56" s="103" t="s">
        <v>870</v>
      </c>
      <c r="AG56" s="103" t="s">
        <v>871</v>
      </c>
      <c r="AH56" s="103" t="s">
        <v>872</v>
      </c>
      <c r="AI56" s="103">
        <v>0</v>
      </c>
      <c r="AJ56" s="103"/>
      <c r="AK56" s="103"/>
      <c r="AL56" s="103"/>
      <c r="AM56" s="103"/>
      <c r="AN56" s="103"/>
      <c r="AO56" s="103" t="str">
        <f t="shared" si="1"/>
        <v>CFLscw-3way(18w)Wtd-Pack</v>
      </c>
    </row>
    <row r="57" spans="1:41">
      <c r="A57" s="177">
        <f>IFERROR(MATCH(D57,'Measure &amp; Standard CostIDs'!C$5:C$177,0),MATCH(D57,'Measure &amp; Standard CostIDs'!S$5:S$177,0))</f>
        <v>53</v>
      </c>
      <c r="B57" s="177">
        <v>1</v>
      </c>
      <c r="C57" s="103" t="s">
        <v>153</v>
      </c>
      <c r="D57" s="103" t="s">
        <v>186</v>
      </c>
      <c r="E57" s="103" t="str">
        <f>IF(LEFT(D57,3)="Std","Base case cost for mix of 60% Incandescent and 40% CFL lamps for CFL TechID: "&amp;INDEX('Measure &amp; Standard CostIDs'!$C$5:$C$177,A57),"&lt;from TechID&gt;")</f>
        <v>&lt;from TechID&gt;</v>
      </c>
      <c r="F57" s="103" t="s">
        <v>860</v>
      </c>
      <c r="G57" s="103" t="s">
        <v>151</v>
      </c>
      <c r="H57" s="103" t="s">
        <v>861</v>
      </c>
      <c r="I57" s="103" t="s">
        <v>862</v>
      </c>
      <c r="J57" s="103" t="s">
        <v>863</v>
      </c>
      <c r="K57" s="103" t="s">
        <v>864</v>
      </c>
      <c r="L57" s="103" t="s">
        <v>153</v>
      </c>
      <c r="M57" s="103" t="s">
        <v>865</v>
      </c>
      <c r="N57" s="103" t="s">
        <v>866</v>
      </c>
      <c r="O57" s="103" t="str">
        <f t="shared" si="0"/>
        <v>CFLscw-3way(19w)</v>
      </c>
      <c r="P57" s="103" t="s">
        <v>153</v>
      </c>
      <c r="Q57" s="103" t="s">
        <v>153</v>
      </c>
      <c r="R57" s="103" t="s">
        <v>153</v>
      </c>
      <c r="S57" s="103" t="str">
        <f>INDEX('Measure &amp; Standard CostIDs'!$AK$8:$AK$12,B57)</f>
        <v>Wtd-Pack</v>
      </c>
      <c r="T57" s="103" t="s">
        <v>867</v>
      </c>
      <c r="U57" s="103"/>
      <c r="V57" s="103"/>
      <c r="W57" s="103">
        <f>ROUND(IF(LEFT(D57,3)="Std",VLOOKUP(D57,'Measure &amp; Standard CostIDs'!$S$5:$X$177,1+B57,FALSE),VLOOKUP(D57,'Measure &amp; Standard CostIDs'!$C$5:$H$177,1+B57,FALSE)),2)</f>
        <v>10.15</v>
      </c>
      <c r="X57" s="103"/>
      <c r="Y57" s="103"/>
      <c r="Z57" s="103" t="s">
        <v>868</v>
      </c>
      <c r="AA57" s="103" t="s">
        <v>869</v>
      </c>
      <c r="AB57" s="103" t="s">
        <v>153</v>
      </c>
      <c r="AC57" s="103">
        <v>0</v>
      </c>
      <c r="AD57" s="156">
        <v>42005</v>
      </c>
      <c r="AE57" s="103"/>
      <c r="AF57" s="103" t="s">
        <v>870</v>
      </c>
      <c r="AG57" s="103" t="s">
        <v>871</v>
      </c>
      <c r="AH57" s="103" t="s">
        <v>872</v>
      </c>
      <c r="AI57" s="103">
        <v>0</v>
      </c>
      <c r="AJ57" s="103"/>
      <c r="AK57" s="103"/>
      <c r="AL57" s="103"/>
      <c r="AM57" s="103"/>
      <c r="AN57" s="103"/>
      <c r="AO57" s="103" t="str">
        <f t="shared" si="1"/>
        <v>CFLscw-3way(19w)Wtd-Pack</v>
      </c>
    </row>
    <row r="58" spans="1:41">
      <c r="A58" s="177">
        <f>IFERROR(MATCH(D58,'Measure &amp; Standard CostIDs'!C$5:C$177,0),MATCH(D58,'Measure &amp; Standard CostIDs'!S$5:S$177,0))</f>
        <v>54</v>
      </c>
      <c r="B58" s="177">
        <v>1</v>
      </c>
      <c r="C58" s="103" t="s">
        <v>153</v>
      </c>
      <c r="D58" s="103" t="s">
        <v>188</v>
      </c>
      <c r="E58" s="103" t="str">
        <f>IF(LEFT(D58,3)="Std","Base case cost for mix of 60% Incandescent and 40% CFL lamps for CFL TechID: "&amp;INDEX('Measure &amp; Standard CostIDs'!$C$5:$C$177,A58),"&lt;from TechID&gt;")</f>
        <v>&lt;from TechID&gt;</v>
      </c>
      <c r="F58" s="103" t="s">
        <v>860</v>
      </c>
      <c r="G58" s="103" t="s">
        <v>151</v>
      </c>
      <c r="H58" s="103" t="s">
        <v>861</v>
      </c>
      <c r="I58" s="103" t="s">
        <v>862</v>
      </c>
      <c r="J58" s="103" t="s">
        <v>863</v>
      </c>
      <c r="K58" s="103" t="s">
        <v>864</v>
      </c>
      <c r="L58" s="103" t="s">
        <v>153</v>
      </c>
      <c r="M58" s="103" t="s">
        <v>865</v>
      </c>
      <c r="N58" s="103" t="s">
        <v>866</v>
      </c>
      <c r="O58" s="103" t="str">
        <f t="shared" si="0"/>
        <v>CFLscw-3way(20w)</v>
      </c>
      <c r="P58" s="103" t="s">
        <v>153</v>
      </c>
      <c r="Q58" s="103" t="s">
        <v>153</v>
      </c>
      <c r="R58" s="103" t="s">
        <v>153</v>
      </c>
      <c r="S58" s="103" t="str">
        <f>INDEX('Measure &amp; Standard CostIDs'!$AK$8:$AK$12,B58)</f>
        <v>Wtd-Pack</v>
      </c>
      <c r="T58" s="103" t="s">
        <v>867</v>
      </c>
      <c r="U58" s="103"/>
      <c r="V58" s="103"/>
      <c r="W58" s="103">
        <f>ROUND(IF(LEFT(D58,3)="Std",VLOOKUP(D58,'Measure &amp; Standard CostIDs'!$S$5:$X$177,1+B58,FALSE),VLOOKUP(D58,'Measure &amp; Standard CostIDs'!$C$5:$H$177,1+B58,FALSE)),2)</f>
        <v>10.210000000000001</v>
      </c>
      <c r="X58" s="103"/>
      <c r="Y58" s="103"/>
      <c r="Z58" s="103" t="s">
        <v>868</v>
      </c>
      <c r="AA58" s="103" t="s">
        <v>869</v>
      </c>
      <c r="AB58" s="103" t="s">
        <v>153</v>
      </c>
      <c r="AC58" s="103">
        <v>0</v>
      </c>
      <c r="AD58" s="156">
        <v>42005</v>
      </c>
      <c r="AE58" s="103"/>
      <c r="AF58" s="103" t="s">
        <v>870</v>
      </c>
      <c r="AG58" s="103" t="s">
        <v>871</v>
      </c>
      <c r="AH58" s="103" t="s">
        <v>872</v>
      </c>
      <c r="AI58" s="103">
        <v>0</v>
      </c>
      <c r="AJ58" s="103"/>
      <c r="AK58" s="103"/>
      <c r="AL58" s="103"/>
      <c r="AM58" s="103"/>
      <c r="AN58" s="103"/>
      <c r="AO58" s="103" t="str">
        <f t="shared" si="1"/>
        <v>CFLscw-3way(20w)Wtd-Pack</v>
      </c>
    </row>
    <row r="59" spans="1:41">
      <c r="A59" s="177">
        <f>IFERROR(MATCH(D59,'Measure &amp; Standard CostIDs'!C$5:C$177,0),MATCH(D59,'Measure &amp; Standard CostIDs'!S$5:S$177,0))</f>
        <v>55</v>
      </c>
      <c r="B59" s="177">
        <v>1</v>
      </c>
      <c r="C59" s="103" t="s">
        <v>153</v>
      </c>
      <c r="D59" s="103" t="s">
        <v>190</v>
      </c>
      <c r="E59" s="103" t="str">
        <f>IF(LEFT(D59,3)="Std","Base case cost for mix of 60% Incandescent and 40% CFL lamps for CFL TechID: "&amp;INDEX('Measure &amp; Standard CostIDs'!$C$5:$C$177,A59),"&lt;from TechID&gt;")</f>
        <v>&lt;from TechID&gt;</v>
      </c>
      <c r="F59" s="103" t="s">
        <v>860</v>
      </c>
      <c r="G59" s="103" t="s">
        <v>151</v>
      </c>
      <c r="H59" s="103" t="s">
        <v>861</v>
      </c>
      <c r="I59" s="103" t="s">
        <v>862</v>
      </c>
      <c r="J59" s="103" t="s">
        <v>863</v>
      </c>
      <c r="K59" s="103" t="s">
        <v>864</v>
      </c>
      <c r="L59" s="103" t="s">
        <v>153</v>
      </c>
      <c r="M59" s="103" t="s">
        <v>865</v>
      </c>
      <c r="N59" s="103" t="s">
        <v>866</v>
      </c>
      <c r="O59" s="103" t="str">
        <f t="shared" si="0"/>
        <v>CFLscw-3way(21w)</v>
      </c>
      <c r="P59" s="103" t="s">
        <v>153</v>
      </c>
      <c r="Q59" s="103" t="s">
        <v>153</v>
      </c>
      <c r="R59" s="103" t="s">
        <v>153</v>
      </c>
      <c r="S59" s="103" t="str">
        <f>INDEX('Measure &amp; Standard CostIDs'!$AK$8:$AK$12,B59)</f>
        <v>Wtd-Pack</v>
      </c>
      <c r="T59" s="103" t="s">
        <v>867</v>
      </c>
      <c r="U59" s="103"/>
      <c r="V59" s="103"/>
      <c r="W59" s="103">
        <f>ROUND(IF(LEFT(D59,3)="Std",VLOOKUP(D59,'Measure &amp; Standard CostIDs'!$S$5:$X$177,1+B59,FALSE),VLOOKUP(D59,'Measure &amp; Standard CostIDs'!$C$5:$H$177,1+B59,FALSE)),2)</f>
        <v>10.28</v>
      </c>
      <c r="X59" s="103"/>
      <c r="Y59" s="103"/>
      <c r="Z59" s="103" t="s">
        <v>868</v>
      </c>
      <c r="AA59" s="103" t="s">
        <v>869</v>
      </c>
      <c r="AB59" s="103" t="s">
        <v>153</v>
      </c>
      <c r="AC59" s="103">
        <v>0</v>
      </c>
      <c r="AD59" s="156">
        <v>42005</v>
      </c>
      <c r="AE59" s="103"/>
      <c r="AF59" s="103" t="s">
        <v>870</v>
      </c>
      <c r="AG59" s="103" t="s">
        <v>871</v>
      </c>
      <c r="AH59" s="103" t="s">
        <v>872</v>
      </c>
      <c r="AI59" s="103">
        <v>0</v>
      </c>
      <c r="AJ59" s="103"/>
      <c r="AK59" s="103"/>
      <c r="AL59" s="103"/>
      <c r="AM59" s="103"/>
      <c r="AN59" s="103"/>
      <c r="AO59" s="103" t="str">
        <f t="shared" si="1"/>
        <v>CFLscw-3way(21w)Wtd-Pack</v>
      </c>
    </row>
    <row r="60" spans="1:41">
      <c r="A60" s="177">
        <f>IFERROR(MATCH(D60,'Measure &amp; Standard CostIDs'!C$5:C$177,0),MATCH(D60,'Measure &amp; Standard CostIDs'!S$5:S$177,0))</f>
        <v>56</v>
      </c>
      <c r="B60" s="177">
        <v>1</v>
      </c>
      <c r="C60" s="103" t="s">
        <v>153</v>
      </c>
      <c r="D60" s="103" t="s">
        <v>192</v>
      </c>
      <c r="E60" s="103" t="str">
        <f>IF(LEFT(D60,3)="Std","Base case cost for mix of 60% Incandescent and 40% CFL lamps for CFL TechID: "&amp;INDEX('Measure &amp; Standard CostIDs'!$C$5:$C$177,A60),"&lt;from TechID&gt;")</f>
        <v>&lt;from TechID&gt;</v>
      </c>
      <c r="F60" s="103" t="s">
        <v>860</v>
      </c>
      <c r="G60" s="103" t="s">
        <v>151</v>
      </c>
      <c r="H60" s="103" t="s">
        <v>861</v>
      </c>
      <c r="I60" s="103" t="s">
        <v>862</v>
      </c>
      <c r="J60" s="103" t="s">
        <v>863</v>
      </c>
      <c r="K60" s="103" t="s">
        <v>864</v>
      </c>
      <c r="L60" s="103" t="s">
        <v>153</v>
      </c>
      <c r="M60" s="103" t="s">
        <v>865</v>
      </c>
      <c r="N60" s="103" t="s">
        <v>866</v>
      </c>
      <c r="O60" s="103" t="str">
        <f t="shared" si="0"/>
        <v>CFLscw-3way(22w)</v>
      </c>
      <c r="P60" s="103" t="s">
        <v>153</v>
      </c>
      <c r="Q60" s="103" t="s">
        <v>153</v>
      </c>
      <c r="R60" s="103" t="s">
        <v>153</v>
      </c>
      <c r="S60" s="103" t="str">
        <f>INDEX('Measure &amp; Standard CostIDs'!$AK$8:$AK$12,B60)</f>
        <v>Wtd-Pack</v>
      </c>
      <c r="T60" s="103" t="s">
        <v>867</v>
      </c>
      <c r="U60" s="103"/>
      <c r="V60" s="103"/>
      <c r="W60" s="103">
        <f>ROUND(IF(LEFT(D60,3)="Std",VLOOKUP(D60,'Measure &amp; Standard CostIDs'!$S$5:$X$177,1+B60,FALSE),VLOOKUP(D60,'Measure &amp; Standard CostIDs'!$C$5:$H$177,1+B60,FALSE)),2)</f>
        <v>10.34</v>
      </c>
      <c r="X60" s="103"/>
      <c r="Y60" s="103"/>
      <c r="Z60" s="103" t="s">
        <v>868</v>
      </c>
      <c r="AA60" s="103" t="s">
        <v>869</v>
      </c>
      <c r="AB60" s="103" t="s">
        <v>153</v>
      </c>
      <c r="AC60" s="103">
        <v>0</v>
      </c>
      <c r="AD60" s="156">
        <v>42005</v>
      </c>
      <c r="AE60" s="103"/>
      <c r="AF60" s="103" t="s">
        <v>870</v>
      </c>
      <c r="AG60" s="103" t="s">
        <v>871</v>
      </c>
      <c r="AH60" s="103" t="s">
        <v>872</v>
      </c>
      <c r="AI60" s="103">
        <v>0</v>
      </c>
      <c r="AJ60" s="103"/>
      <c r="AK60" s="103"/>
      <c r="AL60" s="103"/>
      <c r="AM60" s="103"/>
      <c r="AN60" s="103"/>
      <c r="AO60" s="103" t="str">
        <f t="shared" si="1"/>
        <v>CFLscw-3way(22w)Wtd-Pack</v>
      </c>
    </row>
    <row r="61" spans="1:41">
      <c r="A61" s="177">
        <f>IFERROR(MATCH(D61,'Measure &amp; Standard CostIDs'!C$5:C$177,0),MATCH(D61,'Measure &amp; Standard CostIDs'!S$5:S$177,0))</f>
        <v>57</v>
      </c>
      <c r="B61" s="177">
        <v>1</v>
      </c>
      <c r="C61" s="103" t="s">
        <v>153</v>
      </c>
      <c r="D61" s="103" t="s">
        <v>194</v>
      </c>
      <c r="E61" s="103" t="str">
        <f>IF(LEFT(D61,3)="Std","Base case cost for mix of 60% Incandescent and 40% CFL lamps for CFL TechID: "&amp;INDEX('Measure &amp; Standard CostIDs'!$C$5:$C$177,A61),"&lt;from TechID&gt;")</f>
        <v>&lt;from TechID&gt;</v>
      </c>
      <c r="F61" s="103" t="s">
        <v>860</v>
      </c>
      <c r="G61" s="103" t="s">
        <v>151</v>
      </c>
      <c r="H61" s="103" t="s">
        <v>861</v>
      </c>
      <c r="I61" s="103" t="s">
        <v>862</v>
      </c>
      <c r="J61" s="103" t="s">
        <v>863</v>
      </c>
      <c r="K61" s="103" t="s">
        <v>864</v>
      </c>
      <c r="L61" s="103" t="s">
        <v>153</v>
      </c>
      <c r="M61" s="103" t="s">
        <v>865</v>
      </c>
      <c r="N61" s="103" t="s">
        <v>866</v>
      </c>
      <c r="O61" s="103" t="str">
        <f t="shared" si="0"/>
        <v>CFLscw-3way(23w)</v>
      </c>
      <c r="P61" s="103" t="s">
        <v>153</v>
      </c>
      <c r="Q61" s="103" t="s">
        <v>153</v>
      </c>
      <c r="R61" s="103" t="s">
        <v>153</v>
      </c>
      <c r="S61" s="103" t="str">
        <f>INDEX('Measure &amp; Standard CostIDs'!$AK$8:$AK$12,B61)</f>
        <v>Wtd-Pack</v>
      </c>
      <c r="T61" s="103" t="s">
        <v>867</v>
      </c>
      <c r="U61" s="103"/>
      <c r="V61" s="103"/>
      <c r="W61" s="103">
        <f>ROUND(IF(LEFT(D61,3)="Std",VLOOKUP(D61,'Measure &amp; Standard CostIDs'!$S$5:$X$177,1+B61,FALSE),VLOOKUP(D61,'Measure &amp; Standard CostIDs'!$C$5:$H$177,1+B61,FALSE)),2)</f>
        <v>10.41</v>
      </c>
      <c r="X61" s="103"/>
      <c r="Y61" s="103"/>
      <c r="Z61" s="103" t="s">
        <v>868</v>
      </c>
      <c r="AA61" s="103" t="s">
        <v>869</v>
      </c>
      <c r="AB61" s="103" t="s">
        <v>153</v>
      </c>
      <c r="AC61" s="103">
        <v>0</v>
      </c>
      <c r="AD61" s="156">
        <v>42005</v>
      </c>
      <c r="AE61" s="103"/>
      <c r="AF61" s="103" t="s">
        <v>870</v>
      </c>
      <c r="AG61" s="103" t="s">
        <v>871</v>
      </c>
      <c r="AH61" s="103" t="s">
        <v>872</v>
      </c>
      <c r="AI61" s="103">
        <v>0</v>
      </c>
      <c r="AJ61" s="103"/>
      <c r="AK61" s="103"/>
      <c r="AL61" s="103"/>
      <c r="AM61" s="103"/>
      <c r="AN61" s="103"/>
      <c r="AO61" s="103" t="str">
        <f t="shared" si="1"/>
        <v>CFLscw-3way(23w)Wtd-Pack</v>
      </c>
    </row>
    <row r="62" spans="1:41">
      <c r="A62" s="177">
        <f>IFERROR(MATCH(D62,'Measure &amp; Standard CostIDs'!C$5:C$177,0),MATCH(D62,'Measure &amp; Standard CostIDs'!S$5:S$177,0))</f>
        <v>58</v>
      </c>
      <c r="B62" s="177">
        <v>1</v>
      </c>
      <c r="C62" s="103" t="s">
        <v>153</v>
      </c>
      <c r="D62" s="103" t="s">
        <v>196</v>
      </c>
      <c r="E62" s="103" t="str">
        <f>IF(LEFT(D62,3)="Std","Base case cost for mix of 60% Incandescent and 40% CFL lamps for CFL TechID: "&amp;INDEX('Measure &amp; Standard CostIDs'!$C$5:$C$177,A62),"&lt;from TechID&gt;")</f>
        <v>&lt;from TechID&gt;</v>
      </c>
      <c r="F62" s="103" t="s">
        <v>860</v>
      </c>
      <c r="G62" s="103" t="s">
        <v>151</v>
      </c>
      <c r="H62" s="103" t="s">
        <v>861</v>
      </c>
      <c r="I62" s="103" t="s">
        <v>862</v>
      </c>
      <c r="J62" s="103" t="s">
        <v>863</v>
      </c>
      <c r="K62" s="103" t="s">
        <v>864</v>
      </c>
      <c r="L62" s="103" t="s">
        <v>153</v>
      </c>
      <c r="M62" s="103" t="s">
        <v>865</v>
      </c>
      <c r="N62" s="103" t="s">
        <v>866</v>
      </c>
      <c r="O62" s="103" t="str">
        <f t="shared" si="0"/>
        <v>CFLscw-3way(24w)</v>
      </c>
      <c r="P62" s="103" t="s">
        <v>153</v>
      </c>
      <c r="Q62" s="103" t="s">
        <v>153</v>
      </c>
      <c r="R62" s="103" t="s">
        <v>153</v>
      </c>
      <c r="S62" s="103" t="str">
        <f>INDEX('Measure &amp; Standard CostIDs'!$AK$8:$AK$12,B62)</f>
        <v>Wtd-Pack</v>
      </c>
      <c r="T62" s="103" t="s">
        <v>867</v>
      </c>
      <c r="U62" s="103"/>
      <c r="V62" s="103"/>
      <c r="W62" s="103">
        <f>ROUND(IF(LEFT(D62,3)="Std",VLOOKUP(D62,'Measure &amp; Standard CostIDs'!$S$5:$X$177,1+B62,FALSE),VLOOKUP(D62,'Measure &amp; Standard CostIDs'!$C$5:$H$177,1+B62,FALSE)),2)</f>
        <v>10.48</v>
      </c>
      <c r="X62" s="103"/>
      <c r="Y62" s="103"/>
      <c r="Z62" s="103" t="s">
        <v>868</v>
      </c>
      <c r="AA62" s="103" t="s">
        <v>869</v>
      </c>
      <c r="AB62" s="103" t="s">
        <v>153</v>
      </c>
      <c r="AC62" s="103">
        <v>0</v>
      </c>
      <c r="AD62" s="156">
        <v>42005</v>
      </c>
      <c r="AE62" s="103"/>
      <c r="AF62" s="103" t="s">
        <v>870</v>
      </c>
      <c r="AG62" s="103" t="s">
        <v>871</v>
      </c>
      <c r="AH62" s="103" t="s">
        <v>872</v>
      </c>
      <c r="AI62" s="103">
        <v>0</v>
      </c>
      <c r="AJ62" s="103"/>
      <c r="AK62" s="103"/>
      <c r="AL62" s="103"/>
      <c r="AM62" s="103"/>
      <c r="AN62" s="103"/>
      <c r="AO62" s="103" t="str">
        <f t="shared" si="1"/>
        <v>CFLscw-3way(24w)Wtd-Pack</v>
      </c>
    </row>
    <row r="63" spans="1:41">
      <c r="A63" s="177">
        <f>IFERROR(MATCH(D63,'Measure &amp; Standard CostIDs'!C$5:C$177,0),MATCH(D63,'Measure &amp; Standard CostIDs'!S$5:S$177,0))</f>
        <v>59</v>
      </c>
      <c r="B63" s="177">
        <v>1</v>
      </c>
      <c r="C63" s="103" t="s">
        <v>153</v>
      </c>
      <c r="D63" s="103" t="s">
        <v>198</v>
      </c>
      <c r="E63" s="103" t="str">
        <f>IF(LEFT(D63,3)="Std","Base case cost for mix of 60% Incandescent and 40% CFL lamps for CFL TechID: "&amp;INDEX('Measure &amp; Standard CostIDs'!$C$5:$C$177,A63),"&lt;from TechID&gt;")</f>
        <v>&lt;from TechID&gt;</v>
      </c>
      <c r="F63" s="103" t="s">
        <v>860</v>
      </c>
      <c r="G63" s="103" t="s">
        <v>151</v>
      </c>
      <c r="H63" s="103" t="s">
        <v>861</v>
      </c>
      <c r="I63" s="103" t="s">
        <v>862</v>
      </c>
      <c r="J63" s="103" t="s">
        <v>863</v>
      </c>
      <c r="K63" s="103" t="s">
        <v>864</v>
      </c>
      <c r="L63" s="103" t="s">
        <v>153</v>
      </c>
      <c r="M63" s="103" t="s">
        <v>865</v>
      </c>
      <c r="N63" s="103" t="s">
        <v>866</v>
      </c>
      <c r="O63" s="103" t="str">
        <f t="shared" si="0"/>
        <v>CFLscw-3way(25w)</v>
      </c>
      <c r="P63" s="103" t="s">
        <v>153</v>
      </c>
      <c r="Q63" s="103" t="s">
        <v>153</v>
      </c>
      <c r="R63" s="103" t="s">
        <v>153</v>
      </c>
      <c r="S63" s="103" t="str">
        <f>INDEX('Measure &amp; Standard CostIDs'!$AK$8:$AK$12,B63)</f>
        <v>Wtd-Pack</v>
      </c>
      <c r="T63" s="103" t="s">
        <v>867</v>
      </c>
      <c r="U63" s="103"/>
      <c r="V63" s="103"/>
      <c r="W63" s="103">
        <f>ROUND(IF(LEFT(D63,3)="Std",VLOOKUP(D63,'Measure &amp; Standard CostIDs'!$S$5:$X$177,1+B63,FALSE),VLOOKUP(D63,'Measure &amp; Standard CostIDs'!$C$5:$H$177,1+B63,FALSE)),2)</f>
        <v>10.54</v>
      </c>
      <c r="X63" s="103"/>
      <c r="Y63" s="103"/>
      <c r="Z63" s="103" t="s">
        <v>868</v>
      </c>
      <c r="AA63" s="103" t="s">
        <v>869</v>
      </c>
      <c r="AB63" s="103" t="s">
        <v>153</v>
      </c>
      <c r="AC63" s="103">
        <v>0</v>
      </c>
      <c r="AD63" s="156">
        <v>42005</v>
      </c>
      <c r="AE63" s="103"/>
      <c r="AF63" s="103" t="s">
        <v>870</v>
      </c>
      <c r="AG63" s="103" t="s">
        <v>871</v>
      </c>
      <c r="AH63" s="103" t="s">
        <v>872</v>
      </c>
      <c r="AI63" s="103">
        <v>0</v>
      </c>
      <c r="AJ63" s="103"/>
      <c r="AK63" s="103"/>
      <c r="AL63" s="103"/>
      <c r="AM63" s="103"/>
      <c r="AN63" s="103"/>
      <c r="AO63" s="103" t="str">
        <f t="shared" si="1"/>
        <v>CFLscw-3way(25w)Wtd-Pack</v>
      </c>
    </row>
    <row r="64" spans="1:41">
      <c r="A64" s="177">
        <f>IFERROR(MATCH(D64,'Measure &amp; Standard CostIDs'!C$5:C$177,0),MATCH(D64,'Measure &amp; Standard CostIDs'!S$5:S$177,0))</f>
        <v>60</v>
      </c>
      <c r="B64" s="177">
        <v>1</v>
      </c>
      <c r="C64" s="103" t="s">
        <v>153</v>
      </c>
      <c r="D64" s="103" t="s">
        <v>200</v>
      </c>
      <c r="E64" s="103" t="str">
        <f>IF(LEFT(D64,3)="Std","Base case cost for mix of 60% Incandescent and 40% CFL lamps for CFL TechID: "&amp;INDEX('Measure &amp; Standard CostIDs'!$C$5:$C$177,A64),"&lt;from TechID&gt;")</f>
        <v>&lt;from TechID&gt;</v>
      </c>
      <c r="F64" s="103" t="s">
        <v>860</v>
      </c>
      <c r="G64" s="103" t="s">
        <v>151</v>
      </c>
      <c r="H64" s="103" t="s">
        <v>861</v>
      </c>
      <c r="I64" s="103" t="s">
        <v>862</v>
      </c>
      <c r="J64" s="103" t="s">
        <v>863</v>
      </c>
      <c r="K64" s="103" t="s">
        <v>864</v>
      </c>
      <c r="L64" s="103" t="s">
        <v>153</v>
      </c>
      <c r="M64" s="103" t="s">
        <v>865</v>
      </c>
      <c r="N64" s="103" t="s">
        <v>866</v>
      </c>
      <c r="O64" s="103" t="str">
        <f t="shared" si="0"/>
        <v>CFLscw-3way(26w)</v>
      </c>
      <c r="P64" s="103" t="s">
        <v>153</v>
      </c>
      <c r="Q64" s="103" t="s">
        <v>153</v>
      </c>
      <c r="R64" s="103" t="s">
        <v>153</v>
      </c>
      <c r="S64" s="103" t="str">
        <f>INDEX('Measure &amp; Standard CostIDs'!$AK$8:$AK$12,B64)</f>
        <v>Wtd-Pack</v>
      </c>
      <c r="T64" s="103" t="s">
        <v>867</v>
      </c>
      <c r="U64" s="103"/>
      <c r="V64" s="103"/>
      <c r="W64" s="103">
        <f>ROUND(IF(LEFT(D64,3)="Std",VLOOKUP(D64,'Measure &amp; Standard CostIDs'!$S$5:$X$177,1+B64,FALSE),VLOOKUP(D64,'Measure &amp; Standard CostIDs'!$C$5:$H$177,1+B64,FALSE)),2)</f>
        <v>10.7</v>
      </c>
      <c r="X64" s="103"/>
      <c r="Y64" s="103"/>
      <c r="Z64" s="103" t="s">
        <v>868</v>
      </c>
      <c r="AA64" s="103" t="s">
        <v>869</v>
      </c>
      <c r="AB64" s="103" t="s">
        <v>153</v>
      </c>
      <c r="AC64" s="103">
        <v>0</v>
      </c>
      <c r="AD64" s="156">
        <v>42005</v>
      </c>
      <c r="AE64" s="103"/>
      <c r="AF64" s="103" t="s">
        <v>870</v>
      </c>
      <c r="AG64" s="103" t="s">
        <v>871</v>
      </c>
      <c r="AH64" s="103" t="s">
        <v>872</v>
      </c>
      <c r="AI64" s="103">
        <v>0</v>
      </c>
      <c r="AJ64" s="103"/>
      <c r="AK64" s="103"/>
      <c r="AL64" s="103"/>
      <c r="AM64" s="103"/>
      <c r="AN64" s="103"/>
      <c r="AO64" s="103" t="str">
        <f t="shared" si="1"/>
        <v>CFLscw-3way(26w)Wtd-Pack</v>
      </c>
    </row>
    <row r="65" spans="1:41">
      <c r="A65" s="177">
        <f>IFERROR(MATCH(D65,'Measure &amp; Standard CostIDs'!C$5:C$177,0),MATCH(D65,'Measure &amp; Standard CostIDs'!S$5:S$177,0))</f>
        <v>61</v>
      </c>
      <c r="B65" s="177">
        <v>1</v>
      </c>
      <c r="C65" s="103" t="s">
        <v>153</v>
      </c>
      <c r="D65" s="103" t="s">
        <v>202</v>
      </c>
      <c r="E65" s="103" t="str">
        <f>IF(LEFT(D65,3)="Std","Base case cost for mix of 60% Incandescent and 40% CFL lamps for CFL TechID: "&amp;INDEX('Measure &amp; Standard CostIDs'!$C$5:$C$177,A65),"&lt;from TechID&gt;")</f>
        <v>&lt;from TechID&gt;</v>
      </c>
      <c r="F65" s="103" t="s">
        <v>860</v>
      </c>
      <c r="G65" s="103" t="s">
        <v>151</v>
      </c>
      <c r="H65" s="103" t="s">
        <v>861</v>
      </c>
      <c r="I65" s="103" t="s">
        <v>862</v>
      </c>
      <c r="J65" s="103" t="s">
        <v>863</v>
      </c>
      <c r="K65" s="103" t="s">
        <v>864</v>
      </c>
      <c r="L65" s="103" t="s">
        <v>153</v>
      </c>
      <c r="M65" s="103" t="s">
        <v>865</v>
      </c>
      <c r="N65" s="103" t="s">
        <v>866</v>
      </c>
      <c r="O65" s="103" t="str">
        <f t="shared" si="0"/>
        <v>CFLscw-3way(27w)</v>
      </c>
      <c r="P65" s="103" t="s">
        <v>153</v>
      </c>
      <c r="Q65" s="103" t="s">
        <v>153</v>
      </c>
      <c r="R65" s="103" t="s">
        <v>153</v>
      </c>
      <c r="S65" s="103" t="str">
        <f>INDEX('Measure &amp; Standard CostIDs'!$AK$8:$AK$12,B65)</f>
        <v>Wtd-Pack</v>
      </c>
      <c r="T65" s="103" t="s">
        <v>867</v>
      </c>
      <c r="U65" s="103"/>
      <c r="V65" s="103"/>
      <c r="W65" s="103">
        <f>ROUND(IF(LEFT(D65,3)="Std",VLOOKUP(D65,'Measure &amp; Standard CostIDs'!$S$5:$X$177,1+B65,FALSE),VLOOKUP(D65,'Measure &amp; Standard CostIDs'!$C$5:$H$177,1+B65,FALSE)),2)</f>
        <v>10.86</v>
      </c>
      <c r="X65" s="103"/>
      <c r="Y65" s="103"/>
      <c r="Z65" s="103" t="s">
        <v>868</v>
      </c>
      <c r="AA65" s="103" t="s">
        <v>869</v>
      </c>
      <c r="AB65" s="103" t="s">
        <v>153</v>
      </c>
      <c r="AC65" s="103">
        <v>0</v>
      </c>
      <c r="AD65" s="156">
        <v>42005</v>
      </c>
      <c r="AE65" s="103"/>
      <c r="AF65" s="103" t="s">
        <v>870</v>
      </c>
      <c r="AG65" s="103" t="s">
        <v>871</v>
      </c>
      <c r="AH65" s="103" t="s">
        <v>872</v>
      </c>
      <c r="AI65" s="103">
        <v>0</v>
      </c>
      <c r="AJ65" s="103"/>
      <c r="AK65" s="103"/>
      <c r="AL65" s="103"/>
      <c r="AM65" s="103"/>
      <c r="AN65" s="103"/>
      <c r="AO65" s="103" t="str">
        <f t="shared" si="1"/>
        <v>CFLscw-3way(27w)Wtd-Pack</v>
      </c>
    </row>
    <row r="66" spans="1:41">
      <c r="A66" s="177">
        <f>IFERROR(MATCH(D66,'Measure &amp; Standard CostIDs'!C$5:C$177,0),MATCH(D66,'Measure &amp; Standard CostIDs'!S$5:S$177,0))</f>
        <v>62</v>
      </c>
      <c r="B66" s="177">
        <v>1</v>
      </c>
      <c r="C66" s="103" t="s">
        <v>153</v>
      </c>
      <c r="D66" s="103" t="s">
        <v>204</v>
      </c>
      <c r="E66" s="103" t="str">
        <f>IF(LEFT(D66,3)="Std","Base case cost for mix of 60% Incandescent and 40% CFL lamps for CFL TechID: "&amp;INDEX('Measure &amp; Standard CostIDs'!$C$5:$C$177,A66),"&lt;from TechID&gt;")</f>
        <v>&lt;from TechID&gt;</v>
      </c>
      <c r="F66" s="103" t="s">
        <v>860</v>
      </c>
      <c r="G66" s="103" t="s">
        <v>151</v>
      </c>
      <c r="H66" s="103" t="s">
        <v>861</v>
      </c>
      <c r="I66" s="103" t="s">
        <v>862</v>
      </c>
      <c r="J66" s="103" t="s">
        <v>863</v>
      </c>
      <c r="K66" s="103" t="s">
        <v>864</v>
      </c>
      <c r="L66" s="103" t="s">
        <v>153</v>
      </c>
      <c r="M66" s="103" t="s">
        <v>865</v>
      </c>
      <c r="N66" s="103" t="s">
        <v>866</v>
      </c>
      <c r="O66" s="103" t="str">
        <f t="shared" si="0"/>
        <v>CFLscw-3way(28w)</v>
      </c>
      <c r="P66" s="103" t="s">
        <v>153</v>
      </c>
      <c r="Q66" s="103" t="s">
        <v>153</v>
      </c>
      <c r="R66" s="103" t="s">
        <v>153</v>
      </c>
      <c r="S66" s="103" t="str">
        <f>INDEX('Measure &amp; Standard CostIDs'!$AK$8:$AK$12,B66)</f>
        <v>Wtd-Pack</v>
      </c>
      <c r="T66" s="103" t="s">
        <v>867</v>
      </c>
      <c r="U66" s="103"/>
      <c r="V66" s="103"/>
      <c r="W66" s="103">
        <f>ROUND(IF(LEFT(D66,3)="Std",VLOOKUP(D66,'Measure &amp; Standard CostIDs'!$S$5:$X$177,1+B66,FALSE),VLOOKUP(D66,'Measure &amp; Standard CostIDs'!$C$5:$H$177,1+B66,FALSE)),2)</f>
        <v>11.02</v>
      </c>
      <c r="X66" s="103"/>
      <c r="Y66" s="103"/>
      <c r="Z66" s="103" t="s">
        <v>868</v>
      </c>
      <c r="AA66" s="103" t="s">
        <v>869</v>
      </c>
      <c r="AB66" s="103" t="s">
        <v>153</v>
      </c>
      <c r="AC66" s="103">
        <v>0</v>
      </c>
      <c r="AD66" s="156">
        <v>42005</v>
      </c>
      <c r="AE66" s="103"/>
      <c r="AF66" s="103" t="s">
        <v>870</v>
      </c>
      <c r="AG66" s="103" t="s">
        <v>871</v>
      </c>
      <c r="AH66" s="103" t="s">
        <v>872</v>
      </c>
      <c r="AI66" s="103">
        <v>0</v>
      </c>
      <c r="AJ66" s="103"/>
      <c r="AK66" s="103"/>
      <c r="AL66" s="103"/>
      <c r="AM66" s="103"/>
      <c r="AN66" s="103"/>
      <c r="AO66" s="103" t="str">
        <f t="shared" si="1"/>
        <v>CFLscw-3way(28w)Wtd-Pack</v>
      </c>
    </row>
    <row r="67" spans="1:41">
      <c r="A67" s="177">
        <f>IFERROR(MATCH(D67,'Measure &amp; Standard CostIDs'!C$5:C$177,0),MATCH(D67,'Measure &amp; Standard CostIDs'!S$5:S$177,0))</f>
        <v>63</v>
      </c>
      <c r="B67" s="177">
        <v>1</v>
      </c>
      <c r="C67" s="103" t="s">
        <v>153</v>
      </c>
      <c r="D67" s="103" t="s">
        <v>206</v>
      </c>
      <c r="E67" s="103" t="str">
        <f>IF(LEFT(D67,3)="Std","Base case cost for mix of 60% Incandescent and 40% CFL lamps for CFL TechID: "&amp;INDEX('Measure &amp; Standard CostIDs'!$C$5:$C$177,A67),"&lt;from TechID&gt;")</f>
        <v>&lt;from TechID&gt;</v>
      </c>
      <c r="F67" s="103" t="s">
        <v>860</v>
      </c>
      <c r="G67" s="103" t="s">
        <v>151</v>
      </c>
      <c r="H67" s="103" t="s">
        <v>861</v>
      </c>
      <c r="I67" s="103" t="s">
        <v>862</v>
      </c>
      <c r="J67" s="103" t="s">
        <v>863</v>
      </c>
      <c r="K67" s="103" t="s">
        <v>864</v>
      </c>
      <c r="L67" s="103" t="s">
        <v>153</v>
      </c>
      <c r="M67" s="103" t="s">
        <v>865</v>
      </c>
      <c r="N67" s="103" t="s">
        <v>866</v>
      </c>
      <c r="O67" s="103" t="str">
        <f t="shared" si="0"/>
        <v>CFLscw-3way(29w)</v>
      </c>
      <c r="P67" s="103" t="s">
        <v>153</v>
      </c>
      <c r="Q67" s="103" t="s">
        <v>153</v>
      </c>
      <c r="R67" s="103" t="s">
        <v>153</v>
      </c>
      <c r="S67" s="103" t="str">
        <f>INDEX('Measure &amp; Standard CostIDs'!$AK$8:$AK$12,B67)</f>
        <v>Wtd-Pack</v>
      </c>
      <c r="T67" s="103" t="s">
        <v>867</v>
      </c>
      <c r="U67" s="103"/>
      <c r="V67" s="103"/>
      <c r="W67" s="103">
        <f>ROUND(IF(LEFT(D67,3)="Std",VLOOKUP(D67,'Measure &amp; Standard CostIDs'!$S$5:$X$177,1+B67,FALSE),VLOOKUP(D67,'Measure &amp; Standard CostIDs'!$C$5:$H$177,1+B67,FALSE)),2)</f>
        <v>11.18</v>
      </c>
      <c r="X67" s="103"/>
      <c r="Y67" s="103"/>
      <c r="Z67" s="103" t="s">
        <v>868</v>
      </c>
      <c r="AA67" s="103" t="s">
        <v>869</v>
      </c>
      <c r="AB67" s="103" t="s">
        <v>153</v>
      </c>
      <c r="AC67" s="103">
        <v>0</v>
      </c>
      <c r="AD67" s="156">
        <v>42005</v>
      </c>
      <c r="AE67" s="103"/>
      <c r="AF67" s="103" t="s">
        <v>870</v>
      </c>
      <c r="AG67" s="103" t="s">
        <v>871</v>
      </c>
      <c r="AH67" s="103" t="s">
        <v>872</v>
      </c>
      <c r="AI67" s="103">
        <v>0</v>
      </c>
      <c r="AJ67" s="103"/>
      <c r="AK67" s="103"/>
      <c r="AL67" s="103"/>
      <c r="AM67" s="103"/>
      <c r="AN67" s="103"/>
      <c r="AO67" s="103" t="str">
        <f t="shared" si="1"/>
        <v>CFLscw-3way(29w)Wtd-Pack</v>
      </c>
    </row>
    <row r="68" spans="1:41">
      <c r="A68" s="177">
        <f>IFERROR(MATCH(D68,'Measure &amp; Standard CostIDs'!C$5:C$177,0),MATCH(D68,'Measure &amp; Standard CostIDs'!S$5:S$177,0))</f>
        <v>64</v>
      </c>
      <c r="B68" s="177">
        <v>1</v>
      </c>
      <c r="C68" s="103" t="s">
        <v>153</v>
      </c>
      <c r="D68" s="103" t="s">
        <v>208</v>
      </c>
      <c r="E68" s="103" t="str">
        <f>IF(LEFT(D68,3)="Std","Base case cost for mix of 60% Incandescent and 40% CFL lamps for CFL TechID: "&amp;INDEX('Measure &amp; Standard CostIDs'!$C$5:$C$177,A68),"&lt;from TechID&gt;")</f>
        <v>&lt;from TechID&gt;</v>
      </c>
      <c r="F68" s="103" t="s">
        <v>860</v>
      </c>
      <c r="G68" s="103" t="s">
        <v>151</v>
      </c>
      <c r="H68" s="103" t="s">
        <v>861</v>
      </c>
      <c r="I68" s="103" t="s">
        <v>862</v>
      </c>
      <c r="J68" s="103" t="s">
        <v>863</v>
      </c>
      <c r="K68" s="103" t="s">
        <v>864</v>
      </c>
      <c r="L68" s="103" t="s">
        <v>153</v>
      </c>
      <c r="M68" s="103" t="s">
        <v>865</v>
      </c>
      <c r="N68" s="103" t="s">
        <v>866</v>
      </c>
      <c r="O68" s="103" t="str">
        <f t="shared" si="0"/>
        <v>CFLscw-3way(30w)</v>
      </c>
      <c r="P68" s="103" t="s">
        <v>153</v>
      </c>
      <c r="Q68" s="103" t="s">
        <v>153</v>
      </c>
      <c r="R68" s="103" t="s">
        <v>153</v>
      </c>
      <c r="S68" s="103" t="str">
        <f>INDEX('Measure &amp; Standard CostIDs'!$AK$8:$AK$12,B68)</f>
        <v>Wtd-Pack</v>
      </c>
      <c r="T68" s="103" t="s">
        <v>867</v>
      </c>
      <c r="U68" s="103"/>
      <c r="V68" s="103"/>
      <c r="W68" s="103">
        <f>ROUND(IF(LEFT(D68,3)="Std",VLOOKUP(D68,'Measure &amp; Standard CostIDs'!$S$5:$X$177,1+B68,FALSE),VLOOKUP(D68,'Measure &amp; Standard CostIDs'!$C$5:$H$177,1+B68,FALSE)),2)</f>
        <v>11.34</v>
      </c>
      <c r="X68" s="103"/>
      <c r="Y68" s="103"/>
      <c r="Z68" s="103" t="s">
        <v>868</v>
      </c>
      <c r="AA68" s="103" t="s">
        <v>869</v>
      </c>
      <c r="AB68" s="103" t="s">
        <v>153</v>
      </c>
      <c r="AC68" s="103">
        <v>0</v>
      </c>
      <c r="AD68" s="156">
        <v>42005</v>
      </c>
      <c r="AE68" s="103"/>
      <c r="AF68" s="103" t="s">
        <v>870</v>
      </c>
      <c r="AG68" s="103" t="s">
        <v>871</v>
      </c>
      <c r="AH68" s="103" t="s">
        <v>872</v>
      </c>
      <c r="AI68" s="103">
        <v>0</v>
      </c>
      <c r="AJ68" s="103"/>
      <c r="AK68" s="103"/>
      <c r="AL68" s="103"/>
      <c r="AM68" s="103"/>
      <c r="AN68" s="103"/>
      <c r="AO68" s="103" t="str">
        <f t="shared" si="1"/>
        <v>CFLscw-3way(30w)Wtd-Pack</v>
      </c>
    </row>
    <row r="69" spans="1:41">
      <c r="A69" s="177">
        <f>IFERROR(MATCH(D69,'Measure &amp; Standard CostIDs'!C$5:C$177,0),MATCH(D69,'Measure &amp; Standard CostIDs'!S$5:S$177,0))</f>
        <v>65</v>
      </c>
      <c r="B69" s="177">
        <v>1</v>
      </c>
      <c r="C69" s="103" t="s">
        <v>153</v>
      </c>
      <c r="D69" s="103" t="s">
        <v>210</v>
      </c>
      <c r="E69" s="103" t="str">
        <f>IF(LEFT(D69,3)="Std","Base case cost for mix of 60% Incandescent and 40% CFL lamps for CFL TechID: "&amp;INDEX('Measure &amp; Standard CostIDs'!$C$5:$C$177,A69),"&lt;from TechID&gt;")</f>
        <v>&lt;from TechID&gt;</v>
      </c>
      <c r="F69" s="103" t="s">
        <v>860</v>
      </c>
      <c r="G69" s="103" t="s">
        <v>151</v>
      </c>
      <c r="H69" s="103" t="s">
        <v>861</v>
      </c>
      <c r="I69" s="103" t="s">
        <v>862</v>
      </c>
      <c r="J69" s="103" t="s">
        <v>863</v>
      </c>
      <c r="K69" s="103" t="s">
        <v>864</v>
      </c>
      <c r="L69" s="103" t="s">
        <v>153</v>
      </c>
      <c r="M69" s="103" t="s">
        <v>865</v>
      </c>
      <c r="N69" s="103" t="s">
        <v>866</v>
      </c>
      <c r="O69" s="103" t="str">
        <f t="shared" si="0"/>
        <v>CFLscw-3way(31w)</v>
      </c>
      <c r="P69" s="103" t="s">
        <v>153</v>
      </c>
      <c r="Q69" s="103" t="s">
        <v>153</v>
      </c>
      <c r="R69" s="103" t="s">
        <v>153</v>
      </c>
      <c r="S69" s="103" t="str">
        <f>INDEX('Measure &amp; Standard CostIDs'!$AK$8:$AK$12,B69)</f>
        <v>Wtd-Pack</v>
      </c>
      <c r="T69" s="103" t="s">
        <v>867</v>
      </c>
      <c r="U69" s="103"/>
      <c r="V69" s="103"/>
      <c r="W69" s="103">
        <f>ROUND(IF(LEFT(D69,3)="Std",VLOOKUP(D69,'Measure &amp; Standard CostIDs'!$S$5:$X$177,1+B69,FALSE),VLOOKUP(D69,'Measure &amp; Standard CostIDs'!$C$5:$H$177,1+B69,FALSE)),2)</f>
        <v>11.5</v>
      </c>
      <c r="X69" s="103"/>
      <c r="Y69" s="103"/>
      <c r="Z69" s="103" t="s">
        <v>868</v>
      </c>
      <c r="AA69" s="103" t="s">
        <v>869</v>
      </c>
      <c r="AB69" s="103" t="s">
        <v>153</v>
      </c>
      <c r="AC69" s="103">
        <v>0</v>
      </c>
      <c r="AD69" s="156">
        <v>42005</v>
      </c>
      <c r="AE69" s="103"/>
      <c r="AF69" s="103" t="s">
        <v>870</v>
      </c>
      <c r="AG69" s="103" t="s">
        <v>871</v>
      </c>
      <c r="AH69" s="103" t="s">
        <v>872</v>
      </c>
      <c r="AI69" s="103">
        <v>0</v>
      </c>
      <c r="AJ69" s="103"/>
      <c r="AK69" s="103"/>
      <c r="AL69" s="103"/>
      <c r="AM69" s="103"/>
      <c r="AN69" s="103"/>
      <c r="AO69" s="103" t="str">
        <f t="shared" si="1"/>
        <v>CFLscw-3way(31w)Wtd-Pack</v>
      </c>
    </row>
    <row r="70" spans="1:41">
      <c r="A70" s="177">
        <f>IFERROR(MATCH(D70,'Measure &amp; Standard CostIDs'!C$5:C$177,0),MATCH(D70,'Measure &amp; Standard CostIDs'!S$5:S$177,0))</f>
        <v>66</v>
      </c>
      <c r="B70" s="177">
        <v>1</v>
      </c>
      <c r="C70" s="103" t="s">
        <v>153</v>
      </c>
      <c r="D70" s="103" t="s">
        <v>212</v>
      </c>
      <c r="E70" s="103" t="str">
        <f>IF(LEFT(D70,3)="Std","Base case cost for mix of 60% Incandescent and 40% CFL lamps for CFL TechID: "&amp;INDEX('Measure &amp; Standard CostIDs'!$C$5:$C$177,A70),"&lt;from TechID&gt;")</f>
        <v>&lt;from TechID&gt;</v>
      </c>
      <c r="F70" s="103" t="s">
        <v>860</v>
      </c>
      <c r="G70" s="103" t="s">
        <v>151</v>
      </c>
      <c r="H70" s="103" t="s">
        <v>861</v>
      </c>
      <c r="I70" s="103" t="s">
        <v>862</v>
      </c>
      <c r="J70" s="103" t="s">
        <v>863</v>
      </c>
      <c r="K70" s="103" t="s">
        <v>864</v>
      </c>
      <c r="L70" s="103" t="s">
        <v>153</v>
      </c>
      <c r="M70" s="103" t="s">
        <v>865</v>
      </c>
      <c r="N70" s="103" t="s">
        <v>866</v>
      </c>
      <c r="O70" s="103" t="str">
        <f t="shared" ref="O70:O133" si="2">IF(LEFT(D70,3)="Std","",D70)</f>
        <v>CFLscw-3way(32w)</v>
      </c>
      <c r="P70" s="103" t="s">
        <v>153</v>
      </c>
      <c r="Q70" s="103" t="s">
        <v>153</v>
      </c>
      <c r="R70" s="103" t="s">
        <v>153</v>
      </c>
      <c r="S70" s="103" t="str">
        <f>INDEX('Measure &amp; Standard CostIDs'!$AK$8:$AK$12,B70)</f>
        <v>Wtd-Pack</v>
      </c>
      <c r="T70" s="103" t="s">
        <v>867</v>
      </c>
      <c r="U70" s="103"/>
      <c r="V70" s="103"/>
      <c r="W70" s="103">
        <f>ROUND(IF(LEFT(D70,3)="Std",VLOOKUP(D70,'Measure &amp; Standard CostIDs'!$S$5:$X$177,1+B70,FALSE),VLOOKUP(D70,'Measure &amp; Standard CostIDs'!$C$5:$H$177,1+B70,FALSE)),2)</f>
        <v>11.66</v>
      </c>
      <c r="X70" s="103"/>
      <c r="Y70" s="103"/>
      <c r="Z70" s="103" t="s">
        <v>868</v>
      </c>
      <c r="AA70" s="103" t="s">
        <v>869</v>
      </c>
      <c r="AB70" s="103" t="s">
        <v>153</v>
      </c>
      <c r="AC70" s="103">
        <v>0</v>
      </c>
      <c r="AD70" s="156">
        <v>42005</v>
      </c>
      <c r="AE70" s="103"/>
      <c r="AF70" s="103" t="s">
        <v>870</v>
      </c>
      <c r="AG70" s="103" t="s">
        <v>871</v>
      </c>
      <c r="AH70" s="103" t="s">
        <v>872</v>
      </c>
      <c r="AI70" s="103">
        <v>0</v>
      </c>
      <c r="AJ70" s="103"/>
      <c r="AK70" s="103"/>
      <c r="AL70" s="103"/>
      <c r="AM70" s="103"/>
      <c r="AN70" s="103"/>
      <c r="AO70" s="103" t="str">
        <f t="shared" ref="AO70:AO133" si="3">D70&amp;S70</f>
        <v>CFLscw-3way(32w)Wtd-Pack</v>
      </c>
    </row>
    <row r="71" spans="1:41">
      <c r="A71" s="177">
        <f>IFERROR(MATCH(D71,'Measure &amp; Standard CostIDs'!C$5:C$177,0),MATCH(D71,'Measure &amp; Standard CostIDs'!S$5:S$177,0))</f>
        <v>67</v>
      </c>
      <c r="B71" s="177">
        <v>1</v>
      </c>
      <c r="C71" s="103" t="s">
        <v>153</v>
      </c>
      <c r="D71" s="103" t="s">
        <v>214</v>
      </c>
      <c r="E71" s="103" t="str">
        <f>IF(LEFT(D71,3)="Std","Base case cost for mix of 60% Incandescent and 40% CFL lamps for CFL TechID: "&amp;INDEX('Measure &amp; Standard CostIDs'!$C$5:$C$177,A71),"&lt;from TechID&gt;")</f>
        <v>&lt;from TechID&gt;</v>
      </c>
      <c r="F71" s="103" t="s">
        <v>860</v>
      </c>
      <c r="G71" s="103" t="s">
        <v>151</v>
      </c>
      <c r="H71" s="103" t="s">
        <v>861</v>
      </c>
      <c r="I71" s="103" t="s">
        <v>862</v>
      </c>
      <c r="J71" s="103" t="s">
        <v>863</v>
      </c>
      <c r="K71" s="103" t="s">
        <v>864</v>
      </c>
      <c r="L71" s="103" t="s">
        <v>153</v>
      </c>
      <c r="M71" s="103" t="s">
        <v>865</v>
      </c>
      <c r="N71" s="103" t="s">
        <v>866</v>
      </c>
      <c r="O71" s="103" t="str">
        <f t="shared" si="2"/>
        <v>CFLscw-3way(33w)</v>
      </c>
      <c r="P71" s="103" t="s">
        <v>153</v>
      </c>
      <c r="Q71" s="103" t="s">
        <v>153</v>
      </c>
      <c r="R71" s="103" t="s">
        <v>153</v>
      </c>
      <c r="S71" s="103" t="str">
        <f>INDEX('Measure &amp; Standard CostIDs'!$AK$8:$AK$12,B71)</f>
        <v>Wtd-Pack</v>
      </c>
      <c r="T71" s="103" t="s">
        <v>867</v>
      </c>
      <c r="U71" s="103"/>
      <c r="V71" s="103"/>
      <c r="W71" s="103">
        <f>ROUND(IF(LEFT(D71,3)="Std",VLOOKUP(D71,'Measure &amp; Standard CostIDs'!$S$5:$X$177,1+B71,FALSE),VLOOKUP(D71,'Measure &amp; Standard CostIDs'!$C$5:$H$177,1+B71,FALSE)),2)</f>
        <v>11.82</v>
      </c>
      <c r="X71" s="103"/>
      <c r="Y71" s="103"/>
      <c r="Z71" s="103" t="s">
        <v>868</v>
      </c>
      <c r="AA71" s="103" t="s">
        <v>869</v>
      </c>
      <c r="AB71" s="103" t="s">
        <v>153</v>
      </c>
      <c r="AC71" s="103">
        <v>0</v>
      </c>
      <c r="AD71" s="156">
        <v>42005</v>
      </c>
      <c r="AE71" s="103"/>
      <c r="AF71" s="103" t="s">
        <v>870</v>
      </c>
      <c r="AG71" s="103" t="s">
        <v>871</v>
      </c>
      <c r="AH71" s="103" t="s">
        <v>872</v>
      </c>
      <c r="AI71" s="103">
        <v>0</v>
      </c>
      <c r="AJ71" s="103"/>
      <c r="AK71" s="103"/>
      <c r="AL71" s="103"/>
      <c r="AM71" s="103"/>
      <c r="AN71" s="103"/>
      <c r="AO71" s="103" t="str">
        <f t="shared" si="3"/>
        <v>CFLscw-3way(33w)Wtd-Pack</v>
      </c>
    </row>
    <row r="72" spans="1:41">
      <c r="A72" s="177">
        <f>IFERROR(MATCH(D72,'Measure &amp; Standard CostIDs'!C$5:C$177,0),MATCH(D72,'Measure &amp; Standard CostIDs'!S$5:S$177,0))</f>
        <v>68</v>
      </c>
      <c r="B72" s="177">
        <v>1</v>
      </c>
      <c r="C72" s="103" t="s">
        <v>153</v>
      </c>
      <c r="D72" s="103" t="s">
        <v>216</v>
      </c>
      <c r="E72" s="103" t="str">
        <f>IF(LEFT(D72,3)="Std","Base case cost for mix of 60% Incandescent and 40% CFL lamps for CFL TechID: "&amp;INDEX('Measure &amp; Standard CostIDs'!$C$5:$C$177,A72),"&lt;from TechID&gt;")</f>
        <v>&lt;from TechID&gt;</v>
      </c>
      <c r="F72" s="103" t="s">
        <v>860</v>
      </c>
      <c r="G72" s="103" t="s">
        <v>151</v>
      </c>
      <c r="H72" s="103" t="s">
        <v>861</v>
      </c>
      <c r="I72" s="103" t="s">
        <v>862</v>
      </c>
      <c r="J72" s="103" t="s">
        <v>863</v>
      </c>
      <c r="K72" s="103" t="s">
        <v>864</v>
      </c>
      <c r="L72" s="103" t="s">
        <v>153</v>
      </c>
      <c r="M72" s="103" t="s">
        <v>865</v>
      </c>
      <c r="N72" s="103" t="s">
        <v>866</v>
      </c>
      <c r="O72" s="103" t="str">
        <f t="shared" si="2"/>
        <v>CFLscw-3way(40w)</v>
      </c>
      <c r="P72" s="103" t="s">
        <v>153</v>
      </c>
      <c r="Q72" s="103" t="s">
        <v>153</v>
      </c>
      <c r="R72" s="103" t="s">
        <v>153</v>
      </c>
      <c r="S72" s="103" t="str">
        <f>INDEX('Measure &amp; Standard CostIDs'!$AK$8:$AK$12,B72)</f>
        <v>Wtd-Pack</v>
      </c>
      <c r="T72" s="103" t="s">
        <v>867</v>
      </c>
      <c r="U72" s="103"/>
      <c r="V72" s="103"/>
      <c r="W72" s="103">
        <f>ROUND(IF(LEFT(D72,3)="Std",VLOOKUP(D72,'Measure &amp; Standard CostIDs'!$S$5:$X$177,1+B72,FALSE),VLOOKUP(D72,'Measure &amp; Standard CostIDs'!$C$5:$H$177,1+B72,FALSE)),2)</f>
        <v>12.94</v>
      </c>
      <c r="X72" s="103"/>
      <c r="Y72" s="103"/>
      <c r="Z72" s="103" t="s">
        <v>868</v>
      </c>
      <c r="AA72" s="103" t="s">
        <v>869</v>
      </c>
      <c r="AB72" s="103" t="s">
        <v>153</v>
      </c>
      <c r="AC72" s="103">
        <v>0</v>
      </c>
      <c r="AD72" s="156">
        <v>42005</v>
      </c>
      <c r="AE72" s="103"/>
      <c r="AF72" s="103" t="s">
        <v>870</v>
      </c>
      <c r="AG72" s="103" t="s">
        <v>871</v>
      </c>
      <c r="AH72" s="103" t="s">
        <v>872</v>
      </c>
      <c r="AI72" s="103">
        <v>0</v>
      </c>
      <c r="AJ72" s="103"/>
      <c r="AK72" s="103"/>
      <c r="AL72" s="103"/>
      <c r="AM72" s="103"/>
      <c r="AN72" s="103"/>
      <c r="AO72" s="103" t="str">
        <f t="shared" si="3"/>
        <v>CFLscw-3way(40w)Wtd-Pack</v>
      </c>
    </row>
    <row r="73" spans="1:41">
      <c r="A73" s="177">
        <f>IFERROR(MATCH(D73,'Measure &amp; Standard CostIDs'!C$5:C$177,0),MATCH(D73,'Measure &amp; Standard CostIDs'!S$5:S$177,0))</f>
        <v>69</v>
      </c>
      <c r="B73" s="177">
        <v>1</v>
      </c>
      <c r="C73" s="103" t="s">
        <v>153</v>
      </c>
      <c r="D73" s="103" t="s">
        <v>218</v>
      </c>
      <c r="E73" s="103" t="str">
        <f>IF(LEFT(D73,3)="Std","Base case cost for mix of 60% Incandescent and 40% CFL lamps for CFL TechID: "&amp;INDEX('Measure &amp; Standard CostIDs'!$C$5:$C$177,A73),"&lt;from TechID&gt;")</f>
        <v>&lt;from TechID&gt;</v>
      </c>
      <c r="F73" s="103" t="s">
        <v>860</v>
      </c>
      <c r="G73" s="103" t="s">
        <v>151</v>
      </c>
      <c r="H73" s="103" t="s">
        <v>861</v>
      </c>
      <c r="I73" s="103" t="s">
        <v>862</v>
      </c>
      <c r="J73" s="103" t="s">
        <v>863</v>
      </c>
      <c r="K73" s="103" t="s">
        <v>864</v>
      </c>
      <c r="L73" s="103" t="s">
        <v>153</v>
      </c>
      <c r="M73" s="103" t="s">
        <v>865</v>
      </c>
      <c r="N73" s="103" t="s">
        <v>866</v>
      </c>
      <c r="O73" s="103" t="str">
        <f t="shared" si="2"/>
        <v>CFLscw-3way(42w)</v>
      </c>
      <c r="P73" s="103" t="s">
        <v>153</v>
      </c>
      <c r="Q73" s="103" t="s">
        <v>153</v>
      </c>
      <c r="R73" s="103" t="s">
        <v>153</v>
      </c>
      <c r="S73" s="103" t="str">
        <f>INDEX('Measure &amp; Standard CostIDs'!$AK$8:$AK$12,B73)</f>
        <v>Wtd-Pack</v>
      </c>
      <c r="T73" s="103" t="s">
        <v>867</v>
      </c>
      <c r="U73" s="103"/>
      <c r="V73" s="103"/>
      <c r="W73" s="103">
        <f>ROUND(IF(LEFT(D73,3)="Std",VLOOKUP(D73,'Measure &amp; Standard CostIDs'!$S$5:$X$177,1+B73,FALSE),VLOOKUP(D73,'Measure &amp; Standard CostIDs'!$C$5:$H$177,1+B73,FALSE)),2)</f>
        <v>13.26</v>
      </c>
      <c r="X73" s="103"/>
      <c r="Y73" s="103"/>
      <c r="Z73" s="103" t="s">
        <v>868</v>
      </c>
      <c r="AA73" s="103" t="s">
        <v>869</v>
      </c>
      <c r="AB73" s="103" t="s">
        <v>153</v>
      </c>
      <c r="AC73" s="103">
        <v>0</v>
      </c>
      <c r="AD73" s="156">
        <v>42005</v>
      </c>
      <c r="AE73" s="103"/>
      <c r="AF73" s="103" t="s">
        <v>870</v>
      </c>
      <c r="AG73" s="103" t="s">
        <v>871</v>
      </c>
      <c r="AH73" s="103" t="s">
        <v>872</v>
      </c>
      <c r="AI73" s="103">
        <v>0</v>
      </c>
      <c r="AJ73" s="103"/>
      <c r="AK73" s="103"/>
      <c r="AL73" s="103"/>
      <c r="AM73" s="103"/>
      <c r="AN73" s="103"/>
      <c r="AO73" s="103" t="str">
        <f t="shared" si="3"/>
        <v>CFLscw-3way(42w)Wtd-Pack</v>
      </c>
    </row>
    <row r="74" spans="1:41">
      <c r="A74" s="177">
        <f>IFERROR(MATCH(D74,'Measure &amp; Standard CostIDs'!C$5:C$177,0),MATCH(D74,'Measure &amp; Standard CostIDs'!S$5:S$177,0))</f>
        <v>70</v>
      </c>
      <c r="B74" s="177">
        <v>1</v>
      </c>
      <c r="C74" s="103" t="s">
        <v>153</v>
      </c>
      <c r="D74" s="103" t="s">
        <v>220</v>
      </c>
      <c r="E74" s="103" t="str">
        <f>IF(LEFT(D74,3)="Std","Base case cost for mix of 60% Incandescent and 40% CFL lamps for CFL TechID: "&amp;INDEX('Measure &amp; Standard CostIDs'!$C$5:$C$177,A74),"&lt;from TechID&gt;")</f>
        <v>&lt;from TechID&gt;</v>
      </c>
      <c r="F74" s="103" t="s">
        <v>860</v>
      </c>
      <c r="G74" s="103" t="s">
        <v>151</v>
      </c>
      <c r="H74" s="103" t="s">
        <v>861</v>
      </c>
      <c r="I74" s="103" t="s">
        <v>862</v>
      </c>
      <c r="J74" s="103" t="s">
        <v>863</v>
      </c>
      <c r="K74" s="103" t="s">
        <v>864</v>
      </c>
      <c r="L74" s="103" t="s">
        <v>153</v>
      </c>
      <c r="M74" s="103" t="s">
        <v>865</v>
      </c>
      <c r="N74" s="103" t="s">
        <v>866</v>
      </c>
      <c r="O74" s="103" t="str">
        <f t="shared" si="2"/>
        <v>CFLscw-A(10w)</v>
      </c>
      <c r="P74" s="103" t="s">
        <v>153</v>
      </c>
      <c r="Q74" s="103" t="s">
        <v>153</v>
      </c>
      <c r="R74" s="103" t="s">
        <v>153</v>
      </c>
      <c r="S74" s="103" t="str">
        <f>INDEX('Measure &amp; Standard CostIDs'!$AK$8:$AK$12,B74)</f>
        <v>Wtd-Pack</v>
      </c>
      <c r="T74" s="103" t="s">
        <v>867</v>
      </c>
      <c r="U74" s="103"/>
      <c r="V74" s="103"/>
      <c r="W74" s="103">
        <f>ROUND(IF(LEFT(D74,3)="Std",VLOOKUP(D74,'Measure &amp; Standard CostIDs'!$S$5:$X$177,1+B74,FALSE),VLOOKUP(D74,'Measure &amp; Standard CostIDs'!$C$5:$H$177,1+B74,FALSE)),2)</f>
        <v>4.6399999999999997</v>
      </c>
      <c r="X74" s="103"/>
      <c r="Y74" s="103"/>
      <c r="Z74" s="103" t="s">
        <v>868</v>
      </c>
      <c r="AA74" s="103" t="s">
        <v>869</v>
      </c>
      <c r="AB74" s="103" t="s">
        <v>153</v>
      </c>
      <c r="AC74" s="103">
        <v>0</v>
      </c>
      <c r="AD74" s="156">
        <v>42005</v>
      </c>
      <c r="AE74" s="103"/>
      <c r="AF74" s="103" t="s">
        <v>870</v>
      </c>
      <c r="AG74" s="103" t="s">
        <v>871</v>
      </c>
      <c r="AH74" s="103" t="s">
        <v>872</v>
      </c>
      <c r="AI74" s="103">
        <v>0</v>
      </c>
      <c r="AJ74" s="103"/>
      <c r="AK74" s="103"/>
      <c r="AL74" s="103"/>
      <c r="AM74" s="103"/>
      <c r="AN74" s="103"/>
      <c r="AO74" s="103" t="str">
        <f t="shared" si="3"/>
        <v>CFLscw-A(10w)Wtd-Pack</v>
      </c>
    </row>
    <row r="75" spans="1:41">
      <c r="A75" s="177">
        <f>IFERROR(MATCH(D75,'Measure &amp; Standard CostIDs'!C$5:C$177,0),MATCH(D75,'Measure &amp; Standard CostIDs'!S$5:S$177,0))</f>
        <v>71</v>
      </c>
      <c r="B75" s="177">
        <v>1</v>
      </c>
      <c r="C75" s="103" t="s">
        <v>153</v>
      </c>
      <c r="D75" s="103" t="s">
        <v>223</v>
      </c>
      <c r="E75" s="103" t="str">
        <f>IF(LEFT(D75,3)="Std","Base case cost for mix of 60% Incandescent and 40% CFL lamps for CFL TechID: "&amp;INDEX('Measure &amp; Standard CostIDs'!$C$5:$C$177,A75),"&lt;from TechID&gt;")</f>
        <v>&lt;from TechID&gt;</v>
      </c>
      <c r="F75" s="103" t="s">
        <v>860</v>
      </c>
      <c r="G75" s="103" t="s">
        <v>151</v>
      </c>
      <c r="H75" s="103" t="s">
        <v>861</v>
      </c>
      <c r="I75" s="103" t="s">
        <v>862</v>
      </c>
      <c r="J75" s="103" t="s">
        <v>863</v>
      </c>
      <c r="K75" s="103" t="s">
        <v>864</v>
      </c>
      <c r="L75" s="103" t="s">
        <v>153</v>
      </c>
      <c r="M75" s="103" t="s">
        <v>865</v>
      </c>
      <c r="N75" s="103" t="s">
        <v>866</v>
      </c>
      <c r="O75" s="103" t="str">
        <f t="shared" si="2"/>
        <v>CFLscw-A(11w)</v>
      </c>
      <c r="P75" s="103" t="s">
        <v>153</v>
      </c>
      <c r="Q75" s="103" t="s">
        <v>153</v>
      </c>
      <c r="R75" s="103" t="s">
        <v>153</v>
      </c>
      <c r="S75" s="103" t="str">
        <f>INDEX('Measure &amp; Standard CostIDs'!$AK$8:$AK$12,B75)</f>
        <v>Wtd-Pack</v>
      </c>
      <c r="T75" s="103" t="s">
        <v>867</v>
      </c>
      <c r="U75" s="103"/>
      <c r="V75" s="103"/>
      <c r="W75" s="103">
        <f>ROUND(IF(LEFT(D75,3)="Std",VLOOKUP(D75,'Measure &amp; Standard CostIDs'!$S$5:$X$177,1+B75,FALSE),VLOOKUP(D75,'Measure &amp; Standard CostIDs'!$C$5:$H$177,1+B75,FALSE)),2)</f>
        <v>4.7</v>
      </c>
      <c r="X75" s="103"/>
      <c r="Y75" s="103"/>
      <c r="Z75" s="103" t="s">
        <v>868</v>
      </c>
      <c r="AA75" s="103" t="s">
        <v>869</v>
      </c>
      <c r="AB75" s="103" t="s">
        <v>153</v>
      </c>
      <c r="AC75" s="103">
        <v>0</v>
      </c>
      <c r="AD75" s="156">
        <v>42005</v>
      </c>
      <c r="AE75" s="103"/>
      <c r="AF75" s="103" t="s">
        <v>870</v>
      </c>
      <c r="AG75" s="103" t="s">
        <v>871</v>
      </c>
      <c r="AH75" s="103" t="s">
        <v>872</v>
      </c>
      <c r="AI75" s="103">
        <v>0</v>
      </c>
      <c r="AJ75" s="103"/>
      <c r="AK75" s="103"/>
      <c r="AL75" s="103"/>
      <c r="AM75" s="103"/>
      <c r="AN75" s="103"/>
      <c r="AO75" s="103" t="str">
        <f t="shared" si="3"/>
        <v>CFLscw-A(11w)Wtd-Pack</v>
      </c>
    </row>
    <row r="76" spans="1:41">
      <c r="A76" s="177">
        <f>IFERROR(MATCH(D76,'Measure &amp; Standard CostIDs'!C$5:C$177,0),MATCH(D76,'Measure &amp; Standard CostIDs'!S$5:S$177,0))</f>
        <v>72</v>
      </c>
      <c r="B76" s="177">
        <v>1</v>
      </c>
      <c r="C76" s="103" t="s">
        <v>153</v>
      </c>
      <c r="D76" s="103" t="s">
        <v>225</v>
      </c>
      <c r="E76" s="103" t="str">
        <f>IF(LEFT(D76,3)="Std","Base case cost for mix of 60% Incandescent and 40% CFL lamps for CFL TechID: "&amp;INDEX('Measure &amp; Standard CostIDs'!$C$5:$C$177,A76),"&lt;from TechID&gt;")</f>
        <v>&lt;from TechID&gt;</v>
      </c>
      <c r="F76" s="103" t="s">
        <v>860</v>
      </c>
      <c r="G76" s="103" t="s">
        <v>151</v>
      </c>
      <c r="H76" s="103" t="s">
        <v>861</v>
      </c>
      <c r="I76" s="103" t="s">
        <v>862</v>
      </c>
      <c r="J76" s="103" t="s">
        <v>863</v>
      </c>
      <c r="K76" s="103" t="s">
        <v>864</v>
      </c>
      <c r="L76" s="103" t="s">
        <v>153</v>
      </c>
      <c r="M76" s="103" t="s">
        <v>865</v>
      </c>
      <c r="N76" s="103" t="s">
        <v>866</v>
      </c>
      <c r="O76" s="103" t="str">
        <f t="shared" si="2"/>
        <v>CFLscw-A(12w)</v>
      </c>
      <c r="P76" s="103" t="s">
        <v>153</v>
      </c>
      <c r="Q76" s="103" t="s">
        <v>153</v>
      </c>
      <c r="R76" s="103" t="s">
        <v>153</v>
      </c>
      <c r="S76" s="103" t="str">
        <f>INDEX('Measure &amp; Standard CostIDs'!$AK$8:$AK$12,B76)</f>
        <v>Wtd-Pack</v>
      </c>
      <c r="T76" s="103" t="s">
        <v>867</v>
      </c>
      <c r="U76" s="103"/>
      <c r="V76" s="103"/>
      <c r="W76" s="103">
        <f>ROUND(IF(LEFT(D76,3)="Std",VLOOKUP(D76,'Measure &amp; Standard CostIDs'!$S$5:$X$177,1+B76,FALSE),VLOOKUP(D76,'Measure &amp; Standard CostIDs'!$C$5:$H$177,1+B76,FALSE)),2)</f>
        <v>4.7699999999999996</v>
      </c>
      <c r="X76" s="103"/>
      <c r="Y76" s="103"/>
      <c r="Z76" s="103" t="s">
        <v>868</v>
      </c>
      <c r="AA76" s="103" t="s">
        <v>869</v>
      </c>
      <c r="AB76" s="103" t="s">
        <v>153</v>
      </c>
      <c r="AC76" s="103">
        <v>0</v>
      </c>
      <c r="AD76" s="156">
        <v>42005</v>
      </c>
      <c r="AE76" s="103"/>
      <c r="AF76" s="103" t="s">
        <v>870</v>
      </c>
      <c r="AG76" s="103" t="s">
        <v>871</v>
      </c>
      <c r="AH76" s="103" t="s">
        <v>872</v>
      </c>
      <c r="AI76" s="103">
        <v>0</v>
      </c>
      <c r="AJ76" s="103"/>
      <c r="AK76" s="103"/>
      <c r="AL76" s="103"/>
      <c r="AM76" s="103"/>
      <c r="AN76" s="103"/>
      <c r="AO76" s="103" t="str">
        <f t="shared" si="3"/>
        <v>CFLscw-A(12w)Wtd-Pack</v>
      </c>
    </row>
    <row r="77" spans="1:41">
      <c r="A77" s="177">
        <f>IFERROR(MATCH(D77,'Measure &amp; Standard CostIDs'!C$5:C$177,0),MATCH(D77,'Measure &amp; Standard CostIDs'!S$5:S$177,0))</f>
        <v>73</v>
      </c>
      <c r="B77" s="177">
        <v>1</v>
      </c>
      <c r="C77" s="103" t="s">
        <v>153</v>
      </c>
      <c r="D77" s="103" t="s">
        <v>227</v>
      </c>
      <c r="E77" s="103" t="str">
        <f>IF(LEFT(D77,3)="Std","Base case cost for mix of 60% Incandescent and 40% CFL lamps for CFL TechID: "&amp;INDEX('Measure &amp; Standard CostIDs'!$C$5:$C$177,A77),"&lt;from TechID&gt;")</f>
        <v>&lt;from TechID&gt;</v>
      </c>
      <c r="F77" s="103" t="s">
        <v>860</v>
      </c>
      <c r="G77" s="103" t="s">
        <v>151</v>
      </c>
      <c r="H77" s="103" t="s">
        <v>861</v>
      </c>
      <c r="I77" s="103" t="s">
        <v>862</v>
      </c>
      <c r="J77" s="103" t="s">
        <v>863</v>
      </c>
      <c r="K77" s="103" t="s">
        <v>864</v>
      </c>
      <c r="L77" s="103" t="s">
        <v>153</v>
      </c>
      <c r="M77" s="103" t="s">
        <v>865</v>
      </c>
      <c r="N77" s="103" t="s">
        <v>866</v>
      </c>
      <c r="O77" s="103" t="str">
        <f t="shared" si="2"/>
        <v>CFLscw-A(13w)</v>
      </c>
      <c r="P77" s="103" t="s">
        <v>153</v>
      </c>
      <c r="Q77" s="103" t="s">
        <v>153</v>
      </c>
      <c r="R77" s="103" t="s">
        <v>153</v>
      </c>
      <c r="S77" s="103" t="str">
        <f>INDEX('Measure &amp; Standard CostIDs'!$AK$8:$AK$12,B77)</f>
        <v>Wtd-Pack</v>
      </c>
      <c r="T77" s="103" t="s">
        <v>867</v>
      </c>
      <c r="U77" s="103"/>
      <c r="V77" s="103"/>
      <c r="W77" s="103">
        <f>ROUND(IF(LEFT(D77,3)="Std",VLOOKUP(D77,'Measure &amp; Standard CostIDs'!$S$5:$X$177,1+B77,FALSE),VLOOKUP(D77,'Measure &amp; Standard CostIDs'!$C$5:$H$177,1+B77,FALSE)),2)</f>
        <v>4.84</v>
      </c>
      <c r="X77" s="103"/>
      <c r="Y77" s="103"/>
      <c r="Z77" s="103" t="s">
        <v>868</v>
      </c>
      <c r="AA77" s="103" t="s">
        <v>869</v>
      </c>
      <c r="AB77" s="103" t="s">
        <v>153</v>
      </c>
      <c r="AC77" s="103">
        <v>0</v>
      </c>
      <c r="AD77" s="156">
        <v>42005</v>
      </c>
      <c r="AE77" s="103"/>
      <c r="AF77" s="103" t="s">
        <v>870</v>
      </c>
      <c r="AG77" s="103" t="s">
        <v>871</v>
      </c>
      <c r="AH77" s="103" t="s">
        <v>872</v>
      </c>
      <c r="AI77" s="103">
        <v>0</v>
      </c>
      <c r="AJ77" s="103"/>
      <c r="AK77" s="103"/>
      <c r="AL77" s="103"/>
      <c r="AM77" s="103"/>
      <c r="AN77" s="103"/>
      <c r="AO77" s="103" t="str">
        <f t="shared" si="3"/>
        <v>CFLscw-A(13w)Wtd-Pack</v>
      </c>
    </row>
    <row r="78" spans="1:41">
      <c r="A78" s="177">
        <f>IFERROR(MATCH(D78,'Measure &amp; Standard CostIDs'!C$5:C$177,0),MATCH(D78,'Measure &amp; Standard CostIDs'!S$5:S$177,0))</f>
        <v>74</v>
      </c>
      <c r="B78" s="177">
        <v>1</v>
      </c>
      <c r="C78" s="103" t="s">
        <v>153</v>
      </c>
      <c r="D78" s="103" t="s">
        <v>229</v>
      </c>
      <c r="E78" s="103" t="str">
        <f>IF(LEFT(D78,3)="Std","Base case cost for mix of 60% Incandescent and 40% CFL lamps for CFL TechID: "&amp;INDEX('Measure &amp; Standard CostIDs'!$C$5:$C$177,A78),"&lt;from TechID&gt;")</f>
        <v>&lt;from TechID&gt;</v>
      </c>
      <c r="F78" s="103" t="s">
        <v>860</v>
      </c>
      <c r="G78" s="103" t="s">
        <v>151</v>
      </c>
      <c r="H78" s="103" t="s">
        <v>861</v>
      </c>
      <c r="I78" s="103" t="s">
        <v>862</v>
      </c>
      <c r="J78" s="103" t="s">
        <v>863</v>
      </c>
      <c r="K78" s="103" t="s">
        <v>864</v>
      </c>
      <c r="L78" s="103" t="s">
        <v>153</v>
      </c>
      <c r="M78" s="103" t="s">
        <v>865</v>
      </c>
      <c r="N78" s="103" t="s">
        <v>866</v>
      </c>
      <c r="O78" s="103" t="str">
        <f t="shared" si="2"/>
        <v>CFLscw-A(14w)</v>
      </c>
      <c r="P78" s="103" t="s">
        <v>153</v>
      </c>
      <c r="Q78" s="103" t="s">
        <v>153</v>
      </c>
      <c r="R78" s="103" t="s">
        <v>153</v>
      </c>
      <c r="S78" s="103" t="str">
        <f>INDEX('Measure &amp; Standard CostIDs'!$AK$8:$AK$12,B78)</f>
        <v>Wtd-Pack</v>
      </c>
      <c r="T78" s="103" t="s">
        <v>867</v>
      </c>
      <c r="U78" s="103"/>
      <c r="V78" s="103"/>
      <c r="W78" s="103">
        <f>ROUND(IF(LEFT(D78,3)="Std",VLOOKUP(D78,'Measure &amp; Standard CostIDs'!$S$5:$X$177,1+B78,FALSE),VLOOKUP(D78,'Measure &amp; Standard CostIDs'!$C$5:$H$177,1+B78,FALSE)),2)</f>
        <v>4.9000000000000004</v>
      </c>
      <c r="X78" s="103"/>
      <c r="Y78" s="103"/>
      <c r="Z78" s="103" t="s">
        <v>868</v>
      </c>
      <c r="AA78" s="103" t="s">
        <v>869</v>
      </c>
      <c r="AB78" s="103" t="s">
        <v>153</v>
      </c>
      <c r="AC78" s="103">
        <v>0</v>
      </c>
      <c r="AD78" s="156">
        <v>42005</v>
      </c>
      <c r="AE78" s="103"/>
      <c r="AF78" s="103" t="s">
        <v>870</v>
      </c>
      <c r="AG78" s="103" t="s">
        <v>871</v>
      </c>
      <c r="AH78" s="103" t="s">
        <v>872</v>
      </c>
      <c r="AI78" s="103">
        <v>0</v>
      </c>
      <c r="AJ78" s="103"/>
      <c r="AK78" s="103"/>
      <c r="AL78" s="103"/>
      <c r="AM78" s="103"/>
      <c r="AN78" s="103"/>
      <c r="AO78" s="103" t="str">
        <f t="shared" si="3"/>
        <v>CFLscw-A(14w)Wtd-Pack</v>
      </c>
    </row>
    <row r="79" spans="1:41">
      <c r="A79" s="177">
        <f>IFERROR(MATCH(D79,'Measure &amp; Standard CostIDs'!C$5:C$177,0),MATCH(D79,'Measure &amp; Standard CostIDs'!S$5:S$177,0))</f>
        <v>75</v>
      </c>
      <c r="B79" s="177">
        <v>1</v>
      </c>
      <c r="C79" s="103" t="s">
        <v>153</v>
      </c>
      <c r="D79" s="103" t="s">
        <v>231</v>
      </c>
      <c r="E79" s="103" t="str">
        <f>IF(LEFT(D79,3)="Std","Base case cost for mix of 60% Incandescent and 40% CFL lamps for CFL TechID: "&amp;INDEX('Measure &amp; Standard CostIDs'!$C$5:$C$177,A79),"&lt;from TechID&gt;")</f>
        <v>&lt;from TechID&gt;</v>
      </c>
      <c r="F79" s="103" t="s">
        <v>860</v>
      </c>
      <c r="G79" s="103" t="s">
        <v>151</v>
      </c>
      <c r="H79" s="103" t="s">
        <v>861</v>
      </c>
      <c r="I79" s="103" t="s">
        <v>862</v>
      </c>
      <c r="J79" s="103" t="s">
        <v>863</v>
      </c>
      <c r="K79" s="103" t="s">
        <v>864</v>
      </c>
      <c r="L79" s="103" t="s">
        <v>153</v>
      </c>
      <c r="M79" s="103" t="s">
        <v>865</v>
      </c>
      <c r="N79" s="103" t="s">
        <v>866</v>
      </c>
      <c r="O79" s="103" t="str">
        <f t="shared" si="2"/>
        <v>CFLscw-A(15w)</v>
      </c>
      <c r="P79" s="103" t="s">
        <v>153</v>
      </c>
      <c r="Q79" s="103" t="s">
        <v>153</v>
      </c>
      <c r="R79" s="103" t="s">
        <v>153</v>
      </c>
      <c r="S79" s="103" t="str">
        <f>INDEX('Measure &amp; Standard CostIDs'!$AK$8:$AK$12,B79)</f>
        <v>Wtd-Pack</v>
      </c>
      <c r="T79" s="103" t="s">
        <v>867</v>
      </c>
      <c r="U79" s="103"/>
      <c r="V79" s="103"/>
      <c r="W79" s="103">
        <f>ROUND(IF(LEFT(D79,3)="Std",VLOOKUP(D79,'Measure &amp; Standard CostIDs'!$S$5:$X$177,1+B79,FALSE),VLOOKUP(D79,'Measure &amp; Standard CostIDs'!$C$5:$H$177,1+B79,FALSE)),2)</f>
        <v>4.97</v>
      </c>
      <c r="X79" s="103"/>
      <c r="Y79" s="103"/>
      <c r="Z79" s="103" t="s">
        <v>868</v>
      </c>
      <c r="AA79" s="103" t="s">
        <v>869</v>
      </c>
      <c r="AB79" s="103" t="s">
        <v>153</v>
      </c>
      <c r="AC79" s="103">
        <v>0</v>
      </c>
      <c r="AD79" s="156">
        <v>42005</v>
      </c>
      <c r="AE79" s="103"/>
      <c r="AF79" s="103" t="s">
        <v>870</v>
      </c>
      <c r="AG79" s="103" t="s">
        <v>871</v>
      </c>
      <c r="AH79" s="103" t="s">
        <v>872</v>
      </c>
      <c r="AI79" s="103">
        <v>0</v>
      </c>
      <c r="AJ79" s="103"/>
      <c r="AK79" s="103"/>
      <c r="AL79" s="103"/>
      <c r="AM79" s="103"/>
      <c r="AN79" s="103"/>
      <c r="AO79" s="103" t="str">
        <f t="shared" si="3"/>
        <v>CFLscw-A(15w)Wtd-Pack</v>
      </c>
    </row>
    <row r="80" spans="1:41">
      <c r="A80" s="177">
        <f>IFERROR(MATCH(D80,'Measure &amp; Standard CostIDs'!C$5:C$177,0),MATCH(D80,'Measure &amp; Standard CostIDs'!S$5:S$177,0))</f>
        <v>76</v>
      </c>
      <c r="B80" s="177">
        <v>1</v>
      </c>
      <c r="C80" s="103" t="s">
        <v>153</v>
      </c>
      <c r="D80" s="103" t="s">
        <v>233</v>
      </c>
      <c r="E80" s="103" t="str">
        <f>IF(LEFT(D80,3)="Std","Base case cost for mix of 60% Incandescent and 40% CFL lamps for CFL TechID: "&amp;INDEX('Measure &amp; Standard CostIDs'!$C$5:$C$177,A80),"&lt;from TechID&gt;")</f>
        <v>&lt;from TechID&gt;</v>
      </c>
      <c r="F80" s="103" t="s">
        <v>860</v>
      </c>
      <c r="G80" s="103" t="s">
        <v>151</v>
      </c>
      <c r="H80" s="103" t="s">
        <v>861</v>
      </c>
      <c r="I80" s="103" t="s">
        <v>862</v>
      </c>
      <c r="J80" s="103" t="s">
        <v>863</v>
      </c>
      <c r="K80" s="103" t="s">
        <v>864</v>
      </c>
      <c r="L80" s="103" t="s">
        <v>153</v>
      </c>
      <c r="M80" s="103" t="s">
        <v>865</v>
      </c>
      <c r="N80" s="103" t="s">
        <v>866</v>
      </c>
      <c r="O80" s="103" t="str">
        <f t="shared" si="2"/>
        <v>CFLscw-A(16w)</v>
      </c>
      <c r="P80" s="103" t="s">
        <v>153</v>
      </c>
      <c r="Q80" s="103" t="s">
        <v>153</v>
      </c>
      <c r="R80" s="103" t="s">
        <v>153</v>
      </c>
      <c r="S80" s="103" t="str">
        <f>INDEX('Measure &amp; Standard CostIDs'!$AK$8:$AK$12,B80)</f>
        <v>Wtd-Pack</v>
      </c>
      <c r="T80" s="103" t="s">
        <v>867</v>
      </c>
      <c r="U80" s="103"/>
      <c r="V80" s="103"/>
      <c r="W80" s="103">
        <f>ROUND(IF(LEFT(D80,3)="Std",VLOOKUP(D80,'Measure &amp; Standard CostIDs'!$S$5:$X$177,1+B80,FALSE),VLOOKUP(D80,'Measure &amp; Standard CostIDs'!$C$5:$H$177,1+B80,FALSE)),2)</f>
        <v>5.04</v>
      </c>
      <c r="X80" s="103"/>
      <c r="Y80" s="103"/>
      <c r="Z80" s="103" t="s">
        <v>868</v>
      </c>
      <c r="AA80" s="103" t="s">
        <v>869</v>
      </c>
      <c r="AB80" s="103" t="s">
        <v>153</v>
      </c>
      <c r="AC80" s="103">
        <v>0</v>
      </c>
      <c r="AD80" s="156">
        <v>42005</v>
      </c>
      <c r="AE80" s="103"/>
      <c r="AF80" s="103" t="s">
        <v>870</v>
      </c>
      <c r="AG80" s="103" t="s">
        <v>871</v>
      </c>
      <c r="AH80" s="103" t="s">
        <v>872</v>
      </c>
      <c r="AI80" s="103">
        <v>0</v>
      </c>
      <c r="AJ80" s="103"/>
      <c r="AK80" s="103"/>
      <c r="AL80" s="103"/>
      <c r="AM80" s="103"/>
      <c r="AN80" s="103"/>
      <c r="AO80" s="103" t="str">
        <f t="shared" si="3"/>
        <v>CFLscw-A(16w)Wtd-Pack</v>
      </c>
    </row>
    <row r="81" spans="1:41">
      <c r="A81" s="177">
        <f>IFERROR(MATCH(D81,'Measure &amp; Standard CostIDs'!C$5:C$177,0),MATCH(D81,'Measure &amp; Standard CostIDs'!S$5:S$177,0))</f>
        <v>77</v>
      </c>
      <c r="B81" s="177">
        <v>1</v>
      </c>
      <c r="C81" s="103" t="s">
        <v>153</v>
      </c>
      <c r="D81" s="103" t="s">
        <v>235</v>
      </c>
      <c r="E81" s="103" t="str">
        <f>IF(LEFT(D81,3)="Std","Base case cost for mix of 60% Incandescent and 40% CFL lamps for CFL TechID: "&amp;INDEX('Measure &amp; Standard CostIDs'!$C$5:$C$177,A81),"&lt;from TechID&gt;")</f>
        <v>&lt;from TechID&gt;</v>
      </c>
      <c r="F81" s="103" t="s">
        <v>860</v>
      </c>
      <c r="G81" s="103" t="s">
        <v>151</v>
      </c>
      <c r="H81" s="103" t="s">
        <v>861</v>
      </c>
      <c r="I81" s="103" t="s">
        <v>862</v>
      </c>
      <c r="J81" s="103" t="s">
        <v>863</v>
      </c>
      <c r="K81" s="103" t="s">
        <v>864</v>
      </c>
      <c r="L81" s="103" t="s">
        <v>153</v>
      </c>
      <c r="M81" s="103" t="s">
        <v>865</v>
      </c>
      <c r="N81" s="103" t="s">
        <v>866</v>
      </c>
      <c r="O81" s="103" t="str">
        <f t="shared" si="2"/>
        <v>CFLscw-A(18w)</v>
      </c>
      <c r="P81" s="103" t="s">
        <v>153</v>
      </c>
      <c r="Q81" s="103" t="s">
        <v>153</v>
      </c>
      <c r="R81" s="103" t="s">
        <v>153</v>
      </c>
      <c r="S81" s="103" t="str">
        <f>INDEX('Measure &amp; Standard CostIDs'!$AK$8:$AK$12,B81)</f>
        <v>Wtd-Pack</v>
      </c>
      <c r="T81" s="103" t="s">
        <v>867</v>
      </c>
      <c r="U81" s="103"/>
      <c r="V81" s="103"/>
      <c r="W81" s="103">
        <f>ROUND(IF(LEFT(D81,3)="Std",VLOOKUP(D81,'Measure &amp; Standard CostIDs'!$S$5:$X$177,1+B81,FALSE),VLOOKUP(D81,'Measure &amp; Standard CostIDs'!$C$5:$H$177,1+B81,FALSE)),2)</f>
        <v>5.17</v>
      </c>
      <c r="X81" s="103"/>
      <c r="Y81" s="103"/>
      <c r="Z81" s="103" t="s">
        <v>868</v>
      </c>
      <c r="AA81" s="103" t="s">
        <v>869</v>
      </c>
      <c r="AB81" s="103" t="s">
        <v>153</v>
      </c>
      <c r="AC81" s="103">
        <v>0</v>
      </c>
      <c r="AD81" s="156">
        <v>42005</v>
      </c>
      <c r="AE81" s="103"/>
      <c r="AF81" s="103" t="s">
        <v>870</v>
      </c>
      <c r="AG81" s="103" t="s">
        <v>871</v>
      </c>
      <c r="AH81" s="103" t="s">
        <v>872</v>
      </c>
      <c r="AI81" s="103">
        <v>0</v>
      </c>
      <c r="AJ81" s="103"/>
      <c r="AK81" s="103"/>
      <c r="AL81" s="103"/>
      <c r="AM81" s="103"/>
      <c r="AN81" s="103"/>
      <c r="AO81" s="103" t="str">
        <f t="shared" si="3"/>
        <v>CFLscw-A(18w)Wtd-Pack</v>
      </c>
    </row>
    <row r="82" spans="1:41">
      <c r="A82" s="177">
        <f>IFERROR(MATCH(D82,'Measure &amp; Standard CostIDs'!C$5:C$177,0),MATCH(D82,'Measure &amp; Standard CostIDs'!S$5:S$177,0))</f>
        <v>78</v>
      </c>
      <c r="B82" s="177">
        <v>1</v>
      </c>
      <c r="C82" s="103" t="s">
        <v>153</v>
      </c>
      <c r="D82" s="103" t="s">
        <v>237</v>
      </c>
      <c r="E82" s="103" t="str">
        <f>IF(LEFT(D82,3)="Std","Base case cost for mix of 60% Incandescent and 40% CFL lamps for CFL TechID: "&amp;INDEX('Measure &amp; Standard CostIDs'!$C$5:$C$177,A82),"&lt;from TechID&gt;")</f>
        <v>&lt;from TechID&gt;</v>
      </c>
      <c r="F82" s="103" t="s">
        <v>860</v>
      </c>
      <c r="G82" s="103" t="s">
        <v>151</v>
      </c>
      <c r="H82" s="103" t="s">
        <v>861</v>
      </c>
      <c r="I82" s="103" t="s">
        <v>862</v>
      </c>
      <c r="J82" s="103" t="s">
        <v>863</v>
      </c>
      <c r="K82" s="103" t="s">
        <v>864</v>
      </c>
      <c r="L82" s="103" t="s">
        <v>153</v>
      </c>
      <c r="M82" s="103" t="s">
        <v>865</v>
      </c>
      <c r="N82" s="103" t="s">
        <v>866</v>
      </c>
      <c r="O82" s="103" t="str">
        <f t="shared" si="2"/>
        <v>CFLscw-A(19w)</v>
      </c>
      <c r="P82" s="103" t="s">
        <v>153</v>
      </c>
      <c r="Q82" s="103" t="s">
        <v>153</v>
      </c>
      <c r="R82" s="103" t="s">
        <v>153</v>
      </c>
      <c r="S82" s="103" t="str">
        <f>INDEX('Measure &amp; Standard CostIDs'!$AK$8:$AK$12,B82)</f>
        <v>Wtd-Pack</v>
      </c>
      <c r="T82" s="103" t="s">
        <v>867</v>
      </c>
      <c r="U82" s="103"/>
      <c r="V82" s="103"/>
      <c r="W82" s="103">
        <f>ROUND(IF(LEFT(D82,3)="Std",VLOOKUP(D82,'Measure &amp; Standard CostIDs'!$S$5:$X$177,1+B82,FALSE),VLOOKUP(D82,'Measure &amp; Standard CostIDs'!$C$5:$H$177,1+B82,FALSE)),2)</f>
        <v>5.24</v>
      </c>
      <c r="X82" s="103"/>
      <c r="Y82" s="103"/>
      <c r="Z82" s="103" t="s">
        <v>868</v>
      </c>
      <c r="AA82" s="103" t="s">
        <v>869</v>
      </c>
      <c r="AB82" s="103" t="s">
        <v>153</v>
      </c>
      <c r="AC82" s="103">
        <v>0</v>
      </c>
      <c r="AD82" s="156">
        <v>42005</v>
      </c>
      <c r="AE82" s="103"/>
      <c r="AF82" s="103" t="s">
        <v>870</v>
      </c>
      <c r="AG82" s="103" t="s">
        <v>871</v>
      </c>
      <c r="AH82" s="103" t="s">
        <v>872</v>
      </c>
      <c r="AI82" s="103">
        <v>0</v>
      </c>
      <c r="AJ82" s="103"/>
      <c r="AK82" s="103"/>
      <c r="AL82" s="103"/>
      <c r="AM82" s="103"/>
      <c r="AN82" s="103"/>
      <c r="AO82" s="103" t="str">
        <f t="shared" si="3"/>
        <v>CFLscw-A(19w)Wtd-Pack</v>
      </c>
    </row>
    <row r="83" spans="1:41">
      <c r="A83" s="177">
        <f>IFERROR(MATCH(D83,'Measure &amp; Standard CostIDs'!C$5:C$177,0),MATCH(D83,'Measure &amp; Standard CostIDs'!S$5:S$177,0))</f>
        <v>79</v>
      </c>
      <c r="B83" s="177">
        <v>1</v>
      </c>
      <c r="C83" s="103" t="s">
        <v>153</v>
      </c>
      <c r="D83" s="103" t="s">
        <v>239</v>
      </c>
      <c r="E83" s="103" t="str">
        <f>IF(LEFT(D83,3)="Std","Base case cost for mix of 60% Incandescent and 40% CFL lamps for CFL TechID: "&amp;INDEX('Measure &amp; Standard CostIDs'!$C$5:$C$177,A83),"&lt;from TechID&gt;")</f>
        <v>&lt;from TechID&gt;</v>
      </c>
      <c r="F83" s="103" t="s">
        <v>860</v>
      </c>
      <c r="G83" s="103" t="s">
        <v>151</v>
      </c>
      <c r="H83" s="103" t="s">
        <v>861</v>
      </c>
      <c r="I83" s="103" t="s">
        <v>862</v>
      </c>
      <c r="J83" s="103" t="s">
        <v>863</v>
      </c>
      <c r="K83" s="103" t="s">
        <v>864</v>
      </c>
      <c r="L83" s="103" t="s">
        <v>153</v>
      </c>
      <c r="M83" s="103" t="s">
        <v>865</v>
      </c>
      <c r="N83" s="103" t="s">
        <v>866</v>
      </c>
      <c r="O83" s="103" t="str">
        <f t="shared" si="2"/>
        <v>CFLscw-A(20w)</v>
      </c>
      <c r="P83" s="103" t="s">
        <v>153</v>
      </c>
      <c r="Q83" s="103" t="s">
        <v>153</v>
      </c>
      <c r="R83" s="103" t="s">
        <v>153</v>
      </c>
      <c r="S83" s="103" t="str">
        <f>INDEX('Measure &amp; Standard CostIDs'!$AK$8:$AK$12,B83)</f>
        <v>Wtd-Pack</v>
      </c>
      <c r="T83" s="103" t="s">
        <v>867</v>
      </c>
      <c r="U83" s="103"/>
      <c r="V83" s="103"/>
      <c r="W83" s="103">
        <f>ROUND(IF(LEFT(D83,3)="Std",VLOOKUP(D83,'Measure &amp; Standard CostIDs'!$S$5:$X$177,1+B83,FALSE),VLOOKUP(D83,'Measure &amp; Standard CostIDs'!$C$5:$H$177,1+B83,FALSE)),2)</f>
        <v>5.3</v>
      </c>
      <c r="X83" s="103"/>
      <c r="Y83" s="103"/>
      <c r="Z83" s="103" t="s">
        <v>868</v>
      </c>
      <c r="AA83" s="103" t="s">
        <v>869</v>
      </c>
      <c r="AB83" s="103" t="s">
        <v>153</v>
      </c>
      <c r="AC83" s="103">
        <v>0</v>
      </c>
      <c r="AD83" s="156">
        <v>42005</v>
      </c>
      <c r="AE83" s="103"/>
      <c r="AF83" s="103" t="s">
        <v>870</v>
      </c>
      <c r="AG83" s="103" t="s">
        <v>871</v>
      </c>
      <c r="AH83" s="103" t="s">
        <v>872</v>
      </c>
      <c r="AI83" s="103">
        <v>0</v>
      </c>
      <c r="AJ83" s="103"/>
      <c r="AK83" s="103"/>
      <c r="AL83" s="103"/>
      <c r="AM83" s="103"/>
      <c r="AN83" s="103"/>
      <c r="AO83" s="103" t="str">
        <f t="shared" si="3"/>
        <v>CFLscw-A(20w)Wtd-Pack</v>
      </c>
    </row>
    <row r="84" spans="1:41">
      <c r="A84" s="177">
        <f>IFERROR(MATCH(D84,'Measure &amp; Standard CostIDs'!C$5:C$177,0),MATCH(D84,'Measure &amp; Standard CostIDs'!S$5:S$177,0))</f>
        <v>80</v>
      </c>
      <c r="B84" s="177">
        <v>1</v>
      </c>
      <c r="C84" s="103" t="s">
        <v>153</v>
      </c>
      <c r="D84" s="103" t="s">
        <v>241</v>
      </c>
      <c r="E84" s="103" t="str">
        <f>IF(LEFT(D84,3)="Std","Base case cost for mix of 60% Incandescent and 40% CFL lamps for CFL TechID: "&amp;INDEX('Measure &amp; Standard CostIDs'!$C$5:$C$177,A84),"&lt;from TechID&gt;")</f>
        <v>&lt;from TechID&gt;</v>
      </c>
      <c r="F84" s="103" t="s">
        <v>860</v>
      </c>
      <c r="G84" s="103" t="s">
        <v>151</v>
      </c>
      <c r="H84" s="103" t="s">
        <v>861</v>
      </c>
      <c r="I84" s="103" t="s">
        <v>862</v>
      </c>
      <c r="J84" s="103" t="s">
        <v>863</v>
      </c>
      <c r="K84" s="103" t="s">
        <v>864</v>
      </c>
      <c r="L84" s="103" t="s">
        <v>153</v>
      </c>
      <c r="M84" s="103" t="s">
        <v>865</v>
      </c>
      <c r="N84" s="103" t="s">
        <v>866</v>
      </c>
      <c r="O84" s="103" t="str">
        <f t="shared" si="2"/>
        <v>CFLscw-A(22w)</v>
      </c>
      <c r="P84" s="103" t="s">
        <v>153</v>
      </c>
      <c r="Q84" s="103" t="s">
        <v>153</v>
      </c>
      <c r="R84" s="103" t="s">
        <v>153</v>
      </c>
      <c r="S84" s="103" t="str">
        <f>INDEX('Measure &amp; Standard CostIDs'!$AK$8:$AK$12,B84)</f>
        <v>Wtd-Pack</v>
      </c>
      <c r="T84" s="103" t="s">
        <v>867</v>
      </c>
      <c r="U84" s="103"/>
      <c r="V84" s="103"/>
      <c r="W84" s="103">
        <f>ROUND(IF(LEFT(D84,3)="Std",VLOOKUP(D84,'Measure &amp; Standard CostIDs'!$S$5:$X$177,1+B84,FALSE),VLOOKUP(D84,'Measure &amp; Standard CostIDs'!$C$5:$H$177,1+B84,FALSE)),2)</f>
        <v>5.43</v>
      </c>
      <c r="X84" s="103"/>
      <c r="Y84" s="103"/>
      <c r="Z84" s="103" t="s">
        <v>868</v>
      </c>
      <c r="AA84" s="103" t="s">
        <v>869</v>
      </c>
      <c r="AB84" s="103" t="s">
        <v>153</v>
      </c>
      <c r="AC84" s="103">
        <v>0</v>
      </c>
      <c r="AD84" s="156">
        <v>42005</v>
      </c>
      <c r="AE84" s="103"/>
      <c r="AF84" s="103" t="s">
        <v>870</v>
      </c>
      <c r="AG84" s="103" t="s">
        <v>871</v>
      </c>
      <c r="AH84" s="103" t="s">
        <v>872</v>
      </c>
      <c r="AI84" s="103">
        <v>0</v>
      </c>
      <c r="AJ84" s="103"/>
      <c r="AK84" s="103"/>
      <c r="AL84" s="103"/>
      <c r="AM84" s="103"/>
      <c r="AN84" s="103"/>
      <c r="AO84" s="103" t="str">
        <f t="shared" si="3"/>
        <v>CFLscw-A(22w)Wtd-Pack</v>
      </c>
    </row>
    <row r="85" spans="1:41">
      <c r="A85" s="177">
        <f>IFERROR(MATCH(D85,'Measure &amp; Standard CostIDs'!C$5:C$177,0),MATCH(D85,'Measure &amp; Standard CostIDs'!S$5:S$177,0))</f>
        <v>81</v>
      </c>
      <c r="B85" s="177">
        <v>1</v>
      </c>
      <c r="C85" s="103" t="s">
        <v>153</v>
      </c>
      <c r="D85" s="103" t="s">
        <v>243</v>
      </c>
      <c r="E85" s="103" t="str">
        <f>IF(LEFT(D85,3)="Std","Base case cost for mix of 60% Incandescent and 40% CFL lamps for CFL TechID: "&amp;INDEX('Measure &amp; Standard CostIDs'!$C$5:$C$177,A85),"&lt;from TechID&gt;")</f>
        <v>&lt;from TechID&gt;</v>
      </c>
      <c r="F85" s="103" t="s">
        <v>860</v>
      </c>
      <c r="G85" s="103" t="s">
        <v>151</v>
      </c>
      <c r="H85" s="103" t="s">
        <v>861</v>
      </c>
      <c r="I85" s="103" t="s">
        <v>862</v>
      </c>
      <c r="J85" s="103" t="s">
        <v>863</v>
      </c>
      <c r="K85" s="103" t="s">
        <v>864</v>
      </c>
      <c r="L85" s="103" t="s">
        <v>153</v>
      </c>
      <c r="M85" s="103" t="s">
        <v>865</v>
      </c>
      <c r="N85" s="103" t="s">
        <v>866</v>
      </c>
      <c r="O85" s="103" t="str">
        <f t="shared" si="2"/>
        <v>CFLscw-A(23w)</v>
      </c>
      <c r="P85" s="103" t="s">
        <v>153</v>
      </c>
      <c r="Q85" s="103" t="s">
        <v>153</v>
      </c>
      <c r="R85" s="103" t="s">
        <v>153</v>
      </c>
      <c r="S85" s="103" t="str">
        <f>INDEX('Measure &amp; Standard CostIDs'!$AK$8:$AK$12,B85)</f>
        <v>Wtd-Pack</v>
      </c>
      <c r="T85" s="103" t="s">
        <v>867</v>
      </c>
      <c r="U85" s="103"/>
      <c r="V85" s="103"/>
      <c r="W85" s="103">
        <f>ROUND(IF(LEFT(D85,3)="Std",VLOOKUP(D85,'Measure &amp; Standard CostIDs'!$S$5:$X$177,1+B85,FALSE),VLOOKUP(D85,'Measure &amp; Standard CostIDs'!$C$5:$H$177,1+B85,FALSE)),2)</f>
        <v>5.5</v>
      </c>
      <c r="X85" s="103"/>
      <c r="Y85" s="103"/>
      <c r="Z85" s="103" t="s">
        <v>868</v>
      </c>
      <c r="AA85" s="103" t="s">
        <v>869</v>
      </c>
      <c r="AB85" s="103" t="s">
        <v>153</v>
      </c>
      <c r="AC85" s="103">
        <v>0</v>
      </c>
      <c r="AD85" s="156">
        <v>42005</v>
      </c>
      <c r="AE85" s="103"/>
      <c r="AF85" s="103" t="s">
        <v>870</v>
      </c>
      <c r="AG85" s="103" t="s">
        <v>871</v>
      </c>
      <c r="AH85" s="103" t="s">
        <v>872</v>
      </c>
      <c r="AI85" s="103">
        <v>0</v>
      </c>
      <c r="AJ85" s="103"/>
      <c r="AK85" s="103"/>
      <c r="AL85" s="103"/>
      <c r="AM85" s="103"/>
      <c r="AN85" s="103"/>
      <c r="AO85" s="103" t="str">
        <f t="shared" si="3"/>
        <v>CFLscw-A(23w)Wtd-Pack</v>
      </c>
    </row>
    <row r="86" spans="1:41">
      <c r="A86" s="177">
        <f>IFERROR(MATCH(D86,'Measure &amp; Standard CostIDs'!C$5:C$177,0),MATCH(D86,'Measure &amp; Standard CostIDs'!S$5:S$177,0))</f>
        <v>82</v>
      </c>
      <c r="B86" s="177">
        <v>1</v>
      </c>
      <c r="C86" s="103" t="s">
        <v>153</v>
      </c>
      <c r="D86" s="103" t="s">
        <v>245</v>
      </c>
      <c r="E86" s="103" t="str">
        <f>IF(LEFT(D86,3)="Std","Base case cost for mix of 60% Incandescent and 40% CFL lamps for CFL TechID: "&amp;INDEX('Measure &amp; Standard CostIDs'!$C$5:$C$177,A86),"&lt;from TechID&gt;")</f>
        <v>&lt;from TechID&gt;</v>
      </c>
      <c r="F86" s="103" t="s">
        <v>860</v>
      </c>
      <c r="G86" s="103" t="s">
        <v>151</v>
      </c>
      <c r="H86" s="103" t="s">
        <v>861</v>
      </c>
      <c r="I86" s="103" t="s">
        <v>862</v>
      </c>
      <c r="J86" s="103" t="s">
        <v>863</v>
      </c>
      <c r="K86" s="103" t="s">
        <v>864</v>
      </c>
      <c r="L86" s="103" t="s">
        <v>153</v>
      </c>
      <c r="M86" s="103" t="s">
        <v>865</v>
      </c>
      <c r="N86" s="103" t="s">
        <v>866</v>
      </c>
      <c r="O86" s="103" t="str">
        <f t="shared" si="2"/>
        <v>CFLscw-A(24w)</v>
      </c>
      <c r="P86" s="103" t="s">
        <v>153</v>
      </c>
      <c r="Q86" s="103" t="s">
        <v>153</v>
      </c>
      <c r="R86" s="103" t="s">
        <v>153</v>
      </c>
      <c r="S86" s="103" t="str">
        <f>INDEX('Measure &amp; Standard CostIDs'!$AK$8:$AK$12,B86)</f>
        <v>Wtd-Pack</v>
      </c>
      <c r="T86" s="103" t="s">
        <v>867</v>
      </c>
      <c r="U86" s="103"/>
      <c r="V86" s="103"/>
      <c r="W86" s="103">
        <f>ROUND(IF(LEFT(D86,3)="Std",VLOOKUP(D86,'Measure &amp; Standard CostIDs'!$S$5:$X$177,1+B86,FALSE),VLOOKUP(D86,'Measure &amp; Standard CostIDs'!$C$5:$H$177,1+B86,FALSE)),2)</f>
        <v>5.57</v>
      </c>
      <c r="X86" s="103"/>
      <c r="Y86" s="103"/>
      <c r="Z86" s="103" t="s">
        <v>868</v>
      </c>
      <c r="AA86" s="103" t="s">
        <v>869</v>
      </c>
      <c r="AB86" s="103" t="s">
        <v>153</v>
      </c>
      <c r="AC86" s="103">
        <v>0</v>
      </c>
      <c r="AD86" s="156">
        <v>42005</v>
      </c>
      <c r="AE86" s="103"/>
      <c r="AF86" s="103" t="s">
        <v>870</v>
      </c>
      <c r="AG86" s="103" t="s">
        <v>871</v>
      </c>
      <c r="AH86" s="103" t="s">
        <v>872</v>
      </c>
      <c r="AI86" s="103">
        <v>0</v>
      </c>
      <c r="AJ86" s="103"/>
      <c r="AK86" s="103"/>
      <c r="AL86" s="103"/>
      <c r="AM86" s="103"/>
      <c r="AN86" s="103"/>
      <c r="AO86" s="103" t="str">
        <f t="shared" si="3"/>
        <v>CFLscw-A(24w)Wtd-Pack</v>
      </c>
    </row>
    <row r="87" spans="1:41">
      <c r="A87" s="177">
        <f>IFERROR(MATCH(D87,'Measure &amp; Standard CostIDs'!C$5:C$177,0),MATCH(D87,'Measure &amp; Standard CostIDs'!S$5:S$177,0))</f>
        <v>83</v>
      </c>
      <c r="B87" s="177">
        <v>1</v>
      </c>
      <c r="C87" s="103" t="s">
        <v>153</v>
      </c>
      <c r="D87" s="103" t="s">
        <v>247</v>
      </c>
      <c r="E87" s="103" t="str">
        <f>IF(LEFT(D87,3)="Std","Base case cost for mix of 60% Incandescent and 40% CFL lamps for CFL TechID: "&amp;INDEX('Measure &amp; Standard CostIDs'!$C$5:$C$177,A87),"&lt;from TechID&gt;")</f>
        <v>&lt;from TechID&gt;</v>
      </c>
      <c r="F87" s="103" t="s">
        <v>860</v>
      </c>
      <c r="G87" s="103" t="s">
        <v>151</v>
      </c>
      <c r="H87" s="103" t="s">
        <v>861</v>
      </c>
      <c r="I87" s="103" t="s">
        <v>862</v>
      </c>
      <c r="J87" s="103" t="s">
        <v>863</v>
      </c>
      <c r="K87" s="103" t="s">
        <v>864</v>
      </c>
      <c r="L87" s="103" t="s">
        <v>153</v>
      </c>
      <c r="M87" s="103" t="s">
        <v>865</v>
      </c>
      <c r="N87" s="103" t="s">
        <v>866</v>
      </c>
      <c r="O87" s="103" t="str">
        <f t="shared" si="2"/>
        <v>CFLscw-A(25w)</v>
      </c>
      <c r="P87" s="103" t="s">
        <v>153</v>
      </c>
      <c r="Q87" s="103" t="s">
        <v>153</v>
      </c>
      <c r="R87" s="103" t="s">
        <v>153</v>
      </c>
      <c r="S87" s="103" t="str">
        <f>INDEX('Measure &amp; Standard CostIDs'!$AK$8:$AK$12,B87)</f>
        <v>Wtd-Pack</v>
      </c>
      <c r="T87" s="103" t="s">
        <v>867</v>
      </c>
      <c r="U87" s="103"/>
      <c r="V87" s="103"/>
      <c r="W87" s="103">
        <f>ROUND(IF(LEFT(D87,3)="Std",VLOOKUP(D87,'Measure &amp; Standard CostIDs'!$S$5:$X$177,1+B87,FALSE),VLOOKUP(D87,'Measure &amp; Standard CostIDs'!$C$5:$H$177,1+B87,FALSE)),2)</f>
        <v>5.63</v>
      </c>
      <c r="X87" s="103"/>
      <c r="Y87" s="103"/>
      <c r="Z87" s="103" t="s">
        <v>868</v>
      </c>
      <c r="AA87" s="103" t="s">
        <v>869</v>
      </c>
      <c r="AB87" s="103" t="s">
        <v>153</v>
      </c>
      <c r="AC87" s="103">
        <v>0</v>
      </c>
      <c r="AD87" s="156">
        <v>42005</v>
      </c>
      <c r="AE87" s="103"/>
      <c r="AF87" s="103" t="s">
        <v>870</v>
      </c>
      <c r="AG87" s="103" t="s">
        <v>871</v>
      </c>
      <c r="AH87" s="103" t="s">
        <v>872</v>
      </c>
      <c r="AI87" s="103">
        <v>0</v>
      </c>
      <c r="AJ87" s="103"/>
      <c r="AK87" s="103"/>
      <c r="AL87" s="103"/>
      <c r="AM87" s="103"/>
      <c r="AN87" s="103"/>
      <c r="AO87" s="103" t="str">
        <f t="shared" si="3"/>
        <v>CFLscw-A(25w)Wtd-Pack</v>
      </c>
    </row>
    <row r="88" spans="1:41">
      <c r="A88" s="177">
        <f>IFERROR(MATCH(D88,'Measure &amp; Standard CostIDs'!C$5:C$177,0),MATCH(D88,'Measure &amp; Standard CostIDs'!S$5:S$177,0))</f>
        <v>84</v>
      </c>
      <c r="B88" s="177">
        <v>1</v>
      </c>
      <c r="C88" s="103" t="s">
        <v>153</v>
      </c>
      <c r="D88" s="103" t="s">
        <v>249</v>
      </c>
      <c r="E88" s="103" t="str">
        <f>IF(LEFT(D88,3)="Std","Base case cost for mix of 60% Incandescent and 40% CFL lamps for CFL TechID: "&amp;INDEX('Measure &amp; Standard CostIDs'!$C$5:$C$177,A88),"&lt;from TechID&gt;")</f>
        <v>&lt;from TechID&gt;</v>
      </c>
      <c r="F88" s="103" t="s">
        <v>860</v>
      </c>
      <c r="G88" s="103" t="s">
        <v>151</v>
      </c>
      <c r="H88" s="103" t="s">
        <v>861</v>
      </c>
      <c r="I88" s="103" t="s">
        <v>862</v>
      </c>
      <c r="J88" s="103" t="s">
        <v>863</v>
      </c>
      <c r="K88" s="103" t="s">
        <v>864</v>
      </c>
      <c r="L88" s="103" t="s">
        <v>153</v>
      </c>
      <c r="M88" s="103" t="s">
        <v>865</v>
      </c>
      <c r="N88" s="103" t="s">
        <v>866</v>
      </c>
      <c r="O88" s="103" t="str">
        <f t="shared" si="2"/>
        <v>CFLscw-A(26w)</v>
      </c>
      <c r="P88" s="103" t="s">
        <v>153</v>
      </c>
      <c r="Q88" s="103" t="s">
        <v>153</v>
      </c>
      <c r="R88" s="103" t="s">
        <v>153</v>
      </c>
      <c r="S88" s="103" t="str">
        <f>INDEX('Measure &amp; Standard CostIDs'!$AK$8:$AK$12,B88)</f>
        <v>Wtd-Pack</v>
      </c>
      <c r="T88" s="103" t="s">
        <v>867</v>
      </c>
      <c r="U88" s="103"/>
      <c r="V88" s="103"/>
      <c r="W88" s="103">
        <f>ROUND(IF(LEFT(D88,3)="Std",VLOOKUP(D88,'Measure &amp; Standard CostIDs'!$S$5:$X$177,1+B88,FALSE),VLOOKUP(D88,'Measure &amp; Standard CostIDs'!$C$5:$H$177,1+B88,FALSE)),2)</f>
        <v>5.79</v>
      </c>
      <c r="X88" s="103"/>
      <c r="Y88" s="103"/>
      <c r="Z88" s="103" t="s">
        <v>868</v>
      </c>
      <c r="AA88" s="103" t="s">
        <v>869</v>
      </c>
      <c r="AB88" s="103" t="s">
        <v>153</v>
      </c>
      <c r="AC88" s="103">
        <v>0</v>
      </c>
      <c r="AD88" s="156">
        <v>42005</v>
      </c>
      <c r="AE88" s="103"/>
      <c r="AF88" s="103" t="s">
        <v>870</v>
      </c>
      <c r="AG88" s="103" t="s">
        <v>871</v>
      </c>
      <c r="AH88" s="103" t="s">
        <v>872</v>
      </c>
      <c r="AI88" s="103">
        <v>0</v>
      </c>
      <c r="AJ88" s="103"/>
      <c r="AK88" s="103"/>
      <c r="AL88" s="103"/>
      <c r="AM88" s="103"/>
      <c r="AN88" s="103"/>
      <c r="AO88" s="103" t="str">
        <f t="shared" si="3"/>
        <v>CFLscw-A(26w)Wtd-Pack</v>
      </c>
    </row>
    <row r="89" spans="1:41">
      <c r="A89" s="177">
        <f>IFERROR(MATCH(D89,'Measure &amp; Standard CostIDs'!C$5:C$177,0),MATCH(D89,'Measure &amp; Standard CostIDs'!S$5:S$177,0))</f>
        <v>85</v>
      </c>
      <c r="B89" s="177">
        <v>1</v>
      </c>
      <c r="C89" s="103" t="s">
        <v>153</v>
      </c>
      <c r="D89" s="103" t="s">
        <v>251</v>
      </c>
      <c r="E89" s="103" t="str">
        <f>IF(LEFT(D89,3)="Std","Base case cost for mix of 60% Incandescent and 40% CFL lamps for CFL TechID: "&amp;INDEX('Measure &amp; Standard CostIDs'!$C$5:$C$177,A89),"&lt;from TechID&gt;")</f>
        <v>&lt;from TechID&gt;</v>
      </c>
      <c r="F89" s="103" t="s">
        <v>860</v>
      </c>
      <c r="G89" s="103" t="s">
        <v>151</v>
      </c>
      <c r="H89" s="103" t="s">
        <v>861</v>
      </c>
      <c r="I89" s="103" t="s">
        <v>862</v>
      </c>
      <c r="J89" s="103" t="s">
        <v>863</v>
      </c>
      <c r="K89" s="103" t="s">
        <v>864</v>
      </c>
      <c r="L89" s="103" t="s">
        <v>153</v>
      </c>
      <c r="M89" s="103" t="s">
        <v>865</v>
      </c>
      <c r="N89" s="103" t="s">
        <v>866</v>
      </c>
      <c r="O89" s="103" t="str">
        <f t="shared" si="2"/>
        <v>CFLscw-A(27w)</v>
      </c>
      <c r="P89" s="103" t="s">
        <v>153</v>
      </c>
      <c r="Q89" s="103" t="s">
        <v>153</v>
      </c>
      <c r="R89" s="103" t="s">
        <v>153</v>
      </c>
      <c r="S89" s="103" t="str">
        <f>INDEX('Measure &amp; Standard CostIDs'!$AK$8:$AK$12,B89)</f>
        <v>Wtd-Pack</v>
      </c>
      <c r="T89" s="103" t="s">
        <v>867</v>
      </c>
      <c r="U89" s="103"/>
      <c r="V89" s="103"/>
      <c r="W89" s="103">
        <f>ROUND(IF(LEFT(D89,3)="Std",VLOOKUP(D89,'Measure &amp; Standard CostIDs'!$S$5:$X$177,1+B89,FALSE),VLOOKUP(D89,'Measure &amp; Standard CostIDs'!$C$5:$H$177,1+B89,FALSE)),2)</f>
        <v>5.95</v>
      </c>
      <c r="X89" s="103"/>
      <c r="Y89" s="103"/>
      <c r="Z89" s="103" t="s">
        <v>868</v>
      </c>
      <c r="AA89" s="103" t="s">
        <v>869</v>
      </c>
      <c r="AB89" s="103" t="s">
        <v>153</v>
      </c>
      <c r="AC89" s="103">
        <v>0</v>
      </c>
      <c r="AD89" s="156">
        <v>42005</v>
      </c>
      <c r="AE89" s="103"/>
      <c r="AF89" s="103" t="s">
        <v>870</v>
      </c>
      <c r="AG89" s="103" t="s">
        <v>871</v>
      </c>
      <c r="AH89" s="103" t="s">
        <v>872</v>
      </c>
      <c r="AI89" s="103">
        <v>0</v>
      </c>
      <c r="AJ89" s="103"/>
      <c r="AK89" s="103"/>
      <c r="AL89" s="103"/>
      <c r="AM89" s="103"/>
      <c r="AN89" s="103"/>
      <c r="AO89" s="103" t="str">
        <f t="shared" si="3"/>
        <v>CFLscw-A(27w)Wtd-Pack</v>
      </c>
    </row>
    <row r="90" spans="1:41">
      <c r="A90" s="177">
        <f>IFERROR(MATCH(D90,'Measure &amp; Standard CostIDs'!C$5:C$177,0),MATCH(D90,'Measure &amp; Standard CostIDs'!S$5:S$177,0))</f>
        <v>86</v>
      </c>
      <c r="B90" s="177">
        <v>1</v>
      </c>
      <c r="C90" s="103" t="s">
        <v>153</v>
      </c>
      <c r="D90" s="103" t="s">
        <v>253</v>
      </c>
      <c r="E90" s="103" t="str">
        <f>IF(LEFT(D90,3)="Std","Base case cost for mix of 60% Incandescent and 40% CFL lamps for CFL TechID: "&amp;INDEX('Measure &amp; Standard CostIDs'!$C$5:$C$177,A90),"&lt;from TechID&gt;")</f>
        <v>&lt;from TechID&gt;</v>
      </c>
      <c r="F90" s="103" t="s">
        <v>860</v>
      </c>
      <c r="G90" s="103" t="s">
        <v>151</v>
      </c>
      <c r="H90" s="103" t="s">
        <v>861</v>
      </c>
      <c r="I90" s="103" t="s">
        <v>862</v>
      </c>
      <c r="J90" s="103" t="s">
        <v>863</v>
      </c>
      <c r="K90" s="103" t="s">
        <v>864</v>
      </c>
      <c r="L90" s="103" t="s">
        <v>153</v>
      </c>
      <c r="M90" s="103" t="s">
        <v>865</v>
      </c>
      <c r="N90" s="103" t="s">
        <v>866</v>
      </c>
      <c r="O90" s="103" t="str">
        <f t="shared" si="2"/>
        <v>CFLscw-A(28w)</v>
      </c>
      <c r="P90" s="103" t="s">
        <v>153</v>
      </c>
      <c r="Q90" s="103" t="s">
        <v>153</v>
      </c>
      <c r="R90" s="103" t="s">
        <v>153</v>
      </c>
      <c r="S90" s="103" t="str">
        <f>INDEX('Measure &amp; Standard CostIDs'!$AK$8:$AK$12,B90)</f>
        <v>Wtd-Pack</v>
      </c>
      <c r="T90" s="103" t="s">
        <v>867</v>
      </c>
      <c r="U90" s="103"/>
      <c r="V90" s="103"/>
      <c r="W90" s="103">
        <f>ROUND(IF(LEFT(D90,3)="Std",VLOOKUP(D90,'Measure &amp; Standard CostIDs'!$S$5:$X$177,1+B90,FALSE),VLOOKUP(D90,'Measure &amp; Standard CostIDs'!$C$5:$H$177,1+B90,FALSE)),2)</f>
        <v>6.11</v>
      </c>
      <c r="X90" s="103"/>
      <c r="Y90" s="103"/>
      <c r="Z90" s="103" t="s">
        <v>868</v>
      </c>
      <c r="AA90" s="103" t="s">
        <v>869</v>
      </c>
      <c r="AB90" s="103" t="s">
        <v>153</v>
      </c>
      <c r="AC90" s="103">
        <v>0</v>
      </c>
      <c r="AD90" s="156">
        <v>42005</v>
      </c>
      <c r="AE90" s="103"/>
      <c r="AF90" s="103" t="s">
        <v>870</v>
      </c>
      <c r="AG90" s="103" t="s">
        <v>871</v>
      </c>
      <c r="AH90" s="103" t="s">
        <v>872</v>
      </c>
      <c r="AI90" s="103">
        <v>0</v>
      </c>
      <c r="AJ90" s="103"/>
      <c r="AK90" s="103"/>
      <c r="AL90" s="103"/>
      <c r="AM90" s="103"/>
      <c r="AN90" s="103"/>
      <c r="AO90" s="103" t="str">
        <f t="shared" si="3"/>
        <v>CFLscw-A(28w)Wtd-Pack</v>
      </c>
    </row>
    <row r="91" spans="1:41">
      <c r="A91" s="177">
        <f>IFERROR(MATCH(D91,'Measure &amp; Standard CostIDs'!C$5:C$177,0),MATCH(D91,'Measure &amp; Standard CostIDs'!S$5:S$177,0))</f>
        <v>87</v>
      </c>
      <c r="B91" s="177">
        <v>1</v>
      </c>
      <c r="C91" s="103" t="s">
        <v>153</v>
      </c>
      <c r="D91" s="103" t="s">
        <v>255</v>
      </c>
      <c r="E91" s="103" t="str">
        <f>IF(LEFT(D91,3)="Std","Base case cost for mix of 60% Incandescent and 40% CFL lamps for CFL TechID: "&amp;INDEX('Measure &amp; Standard CostIDs'!$C$5:$C$177,A91),"&lt;from TechID&gt;")</f>
        <v>&lt;from TechID&gt;</v>
      </c>
      <c r="F91" s="103" t="s">
        <v>860</v>
      </c>
      <c r="G91" s="103" t="s">
        <v>151</v>
      </c>
      <c r="H91" s="103" t="s">
        <v>861</v>
      </c>
      <c r="I91" s="103" t="s">
        <v>862</v>
      </c>
      <c r="J91" s="103" t="s">
        <v>863</v>
      </c>
      <c r="K91" s="103" t="s">
        <v>864</v>
      </c>
      <c r="L91" s="103" t="s">
        <v>153</v>
      </c>
      <c r="M91" s="103" t="s">
        <v>865</v>
      </c>
      <c r="N91" s="103" t="s">
        <v>866</v>
      </c>
      <c r="O91" s="103" t="str">
        <f t="shared" si="2"/>
        <v>CFLscw-A(30w)</v>
      </c>
      <c r="P91" s="103" t="s">
        <v>153</v>
      </c>
      <c r="Q91" s="103" t="s">
        <v>153</v>
      </c>
      <c r="R91" s="103" t="s">
        <v>153</v>
      </c>
      <c r="S91" s="103" t="str">
        <f>INDEX('Measure &amp; Standard CostIDs'!$AK$8:$AK$12,B91)</f>
        <v>Wtd-Pack</v>
      </c>
      <c r="T91" s="103" t="s">
        <v>867</v>
      </c>
      <c r="U91" s="103"/>
      <c r="V91" s="103"/>
      <c r="W91" s="103">
        <f>ROUND(IF(LEFT(D91,3)="Std",VLOOKUP(D91,'Measure &amp; Standard CostIDs'!$S$5:$X$177,1+B91,FALSE),VLOOKUP(D91,'Measure &amp; Standard CostIDs'!$C$5:$H$177,1+B91,FALSE)),2)</f>
        <v>6.43</v>
      </c>
      <c r="X91" s="103"/>
      <c r="Y91" s="103"/>
      <c r="Z91" s="103" t="s">
        <v>868</v>
      </c>
      <c r="AA91" s="103" t="s">
        <v>869</v>
      </c>
      <c r="AB91" s="103" t="s">
        <v>153</v>
      </c>
      <c r="AC91" s="103">
        <v>0</v>
      </c>
      <c r="AD91" s="156">
        <v>42005</v>
      </c>
      <c r="AE91" s="103"/>
      <c r="AF91" s="103" t="s">
        <v>870</v>
      </c>
      <c r="AG91" s="103" t="s">
        <v>871</v>
      </c>
      <c r="AH91" s="103" t="s">
        <v>872</v>
      </c>
      <c r="AI91" s="103">
        <v>0</v>
      </c>
      <c r="AJ91" s="103"/>
      <c r="AK91" s="103"/>
      <c r="AL91" s="103"/>
      <c r="AM91" s="103"/>
      <c r="AN91" s="103"/>
      <c r="AO91" s="103" t="str">
        <f t="shared" si="3"/>
        <v>CFLscw-A(30w)Wtd-Pack</v>
      </c>
    </row>
    <row r="92" spans="1:41">
      <c r="A92" s="177">
        <f>IFERROR(MATCH(D92,'Measure &amp; Standard CostIDs'!C$5:C$177,0),MATCH(D92,'Measure &amp; Standard CostIDs'!S$5:S$177,0))</f>
        <v>88</v>
      </c>
      <c r="B92" s="177">
        <v>1</v>
      </c>
      <c r="C92" s="103" t="s">
        <v>153</v>
      </c>
      <c r="D92" s="103" t="s">
        <v>257</v>
      </c>
      <c r="E92" s="103" t="str">
        <f>IF(LEFT(D92,3)="Std","Base case cost for mix of 60% Incandescent and 40% CFL lamps for CFL TechID: "&amp;INDEX('Measure &amp; Standard CostIDs'!$C$5:$C$177,A92),"&lt;from TechID&gt;")</f>
        <v>&lt;from TechID&gt;</v>
      </c>
      <c r="F92" s="103" t="s">
        <v>860</v>
      </c>
      <c r="G92" s="103" t="s">
        <v>151</v>
      </c>
      <c r="H92" s="103" t="s">
        <v>861</v>
      </c>
      <c r="I92" s="103" t="s">
        <v>862</v>
      </c>
      <c r="J92" s="103" t="s">
        <v>863</v>
      </c>
      <c r="K92" s="103" t="s">
        <v>864</v>
      </c>
      <c r="L92" s="103" t="s">
        <v>153</v>
      </c>
      <c r="M92" s="103" t="s">
        <v>865</v>
      </c>
      <c r="N92" s="103" t="s">
        <v>866</v>
      </c>
      <c r="O92" s="103" t="str">
        <f t="shared" si="2"/>
        <v>CFLscw-A(32w)</v>
      </c>
      <c r="P92" s="103" t="s">
        <v>153</v>
      </c>
      <c r="Q92" s="103" t="s">
        <v>153</v>
      </c>
      <c r="R92" s="103" t="s">
        <v>153</v>
      </c>
      <c r="S92" s="103" t="str">
        <f>INDEX('Measure &amp; Standard CostIDs'!$AK$8:$AK$12,B92)</f>
        <v>Wtd-Pack</v>
      </c>
      <c r="T92" s="103" t="s">
        <v>867</v>
      </c>
      <c r="U92" s="103"/>
      <c r="V92" s="103"/>
      <c r="W92" s="103">
        <f>ROUND(IF(LEFT(D92,3)="Std",VLOOKUP(D92,'Measure &amp; Standard CostIDs'!$S$5:$X$177,1+B92,FALSE),VLOOKUP(D92,'Measure &amp; Standard CostIDs'!$C$5:$H$177,1+B92,FALSE)),2)</f>
        <v>6.75</v>
      </c>
      <c r="X92" s="103"/>
      <c r="Y92" s="103"/>
      <c r="Z92" s="103" t="s">
        <v>868</v>
      </c>
      <c r="AA92" s="103" t="s">
        <v>869</v>
      </c>
      <c r="AB92" s="103" t="s">
        <v>153</v>
      </c>
      <c r="AC92" s="103">
        <v>0</v>
      </c>
      <c r="AD92" s="156">
        <v>42005</v>
      </c>
      <c r="AE92" s="103"/>
      <c r="AF92" s="103" t="s">
        <v>870</v>
      </c>
      <c r="AG92" s="103" t="s">
        <v>871</v>
      </c>
      <c r="AH92" s="103" t="s">
        <v>872</v>
      </c>
      <c r="AI92" s="103">
        <v>0</v>
      </c>
      <c r="AJ92" s="103"/>
      <c r="AK92" s="103"/>
      <c r="AL92" s="103"/>
      <c r="AM92" s="103"/>
      <c r="AN92" s="103"/>
      <c r="AO92" s="103" t="str">
        <f t="shared" si="3"/>
        <v>CFLscw-A(32w)Wtd-Pack</v>
      </c>
    </row>
    <row r="93" spans="1:41">
      <c r="A93" s="177">
        <f>IFERROR(MATCH(D93,'Measure &amp; Standard CostIDs'!C$5:C$177,0),MATCH(D93,'Measure &amp; Standard CostIDs'!S$5:S$177,0))</f>
        <v>89</v>
      </c>
      <c r="B93" s="177">
        <v>1</v>
      </c>
      <c r="C93" s="103" t="s">
        <v>153</v>
      </c>
      <c r="D93" s="103" t="s">
        <v>259</v>
      </c>
      <c r="E93" s="103" t="str">
        <f>IF(LEFT(D93,3)="Std","Base case cost for mix of 60% Incandescent and 40% CFL lamps for CFL TechID: "&amp;INDEX('Measure &amp; Standard CostIDs'!$C$5:$C$177,A93),"&lt;from TechID&gt;")</f>
        <v>&lt;from TechID&gt;</v>
      </c>
      <c r="F93" s="103" t="s">
        <v>860</v>
      </c>
      <c r="G93" s="103" t="s">
        <v>151</v>
      </c>
      <c r="H93" s="103" t="s">
        <v>861</v>
      </c>
      <c r="I93" s="103" t="s">
        <v>862</v>
      </c>
      <c r="J93" s="103" t="s">
        <v>863</v>
      </c>
      <c r="K93" s="103" t="s">
        <v>864</v>
      </c>
      <c r="L93" s="103" t="s">
        <v>153</v>
      </c>
      <c r="M93" s="103" t="s">
        <v>865</v>
      </c>
      <c r="N93" s="103" t="s">
        <v>866</v>
      </c>
      <c r="O93" s="103" t="str">
        <f t="shared" si="2"/>
        <v>CFLscw-A(40w)</v>
      </c>
      <c r="P93" s="103" t="s">
        <v>153</v>
      </c>
      <c r="Q93" s="103" t="s">
        <v>153</v>
      </c>
      <c r="R93" s="103" t="s">
        <v>153</v>
      </c>
      <c r="S93" s="103" t="str">
        <f>INDEX('Measure &amp; Standard CostIDs'!$AK$8:$AK$12,B93)</f>
        <v>Wtd-Pack</v>
      </c>
      <c r="T93" s="103" t="s">
        <v>867</v>
      </c>
      <c r="U93" s="103"/>
      <c r="V93" s="103"/>
      <c r="W93" s="103">
        <f>ROUND(IF(LEFT(D93,3)="Std",VLOOKUP(D93,'Measure &amp; Standard CostIDs'!$S$5:$X$177,1+B93,FALSE),VLOOKUP(D93,'Measure &amp; Standard CostIDs'!$C$5:$H$177,1+B93,FALSE)),2)</f>
        <v>8.0299999999999994</v>
      </c>
      <c r="X93" s="103"/>
      <c r="Y93" s="103"/>
      <c r="Z93" s="103" t="s">
        <v>868</v>
      </c>
      <c r="AA93" s="103" t="s">
        <v>869</v>
      </c>
      <c r="AB93" s="103" t="s">
        <v>153</v>
      </c>
      <c r="AC93" s="103">
        <v>0</v>
      </c>
      <c r="AD93" s="156">
        <v>42005</v>
      </c>
      <c r="AE93" s="103"/>
      <c r="AF93" s="103" t="s">
        <v>870</v>
      </c>
      <c r="AG93" s="103" t="s">
        <v>871</v>
      </c>
      <c r="AH93" s="103" t="s">
        <v>872</v>
      </c>
      <c r="AI93" s="103">
        <v>0</v>
      </c>
      <c r="AJ93" s="103"/>
      <c r="AK93" s="103"/>
      <c r="AL93" s="103"/>
      <c r="AM93" s="103"/>
      <c r="AN93" s="103"/>
      <c r="AO93" s="103" t="str">
        <f t="shared" si="3"/>
        <v>CFLscw-A(40w)Wtd-Pack</v>
      </c>
    </row>
    <row r="94" spans="1:41">
      <c r="A94" s="177">
        <f>IFERROR(MATCH(D94,'Measure &amp; Standard CostIDs'!C$5:C$177,0),MATCH(D94,'Measure &amp; Standard CostIDs'!S$5:S$177,0))</f>
        <v>90</v>
      </c>
      <c r="B94" s="177">
        <v>1</v>
      </c>
      <c r="C94" s="103" t="s">
        <v>153</v>
      </c>
      <c r="D94" s="103" t="s">
        <v>261</v>
      </c>
      <c r="E94" s="103" t="str">
        <f>IF(LEFT(D94,3)="Std","Base case cost for mix of 60% Incandescent and 40% CFL lamps for CFL TechID: "&amp;INDEX('Measure &amp; Standard CostIDs'!$C$5:$C$177,A94),"&lt;from TechID&gt;")</f>
        <v>&lt;from TechID&gt;</v>
      </c>
      <c r="F94" s="103" t="s">
        <v>860</v>
      </c>
      <c r="G94" s="103" t="s">
        <v>151</v>
      </c>
      <c r="H94" s="103" t="s">
        <v>861</v>
      </c>
      <c r="I94" s="103" t="s">
        <v>862</v>
      </c>
      <c r="J94" s="103" t="s">
        <v>863</v>
      </c>
      <c r="K94" s="103" t="s">
        <v>864</v>
      </c>
      <c r="L94" s="103" t="s">
        <v>153</v>
      </c>
      <c r="M94" s="103" t="s">
        <v>865</v>
      </c>
      <c r="N94" s="103" t="s">
        <v>866</v>
      </c>
      <c r="O94" s="103" t="str">
        <f t="shared" si="2"/>
        <v>CFLscw-A(42w)</v>
      </c>
      <c r="P94" s="103" t="s">
        <v>153</v>
      </c>
      <c r="Q94" s="103" t="s">
        <v>153</v>
      </c>
      <c r="R94" s="103" t="s">
        <v>153</v>
      </c>
      <c r="S94" s="103" t="str">
        <f>INDEX('Measure &amp; Standard CostIDs'!$AK$8:$AK$12,B94)</f>
        <v>Wtd-Pack</v>
      </c>
      <c r="T94" s="103" t="s">
        <v>867</v>
      </c>
      <c r="U94" s="103"/>
      <c r="V94" s="103"/>
      <c r="W94" s="103">
        <f>ROUND(IF(LEFT(D94,3)="Std",VLOOKUP(D94,'Measure &amp; Standard CostIDs'!$S$5:$X$177,1+B94,FALSE),VLOOKUP(D94,'Measure &amp; Standard CostIDs'!$C$5:$H$177,1+B94,FALSE)),2)</f>
        <v>8.35</v>
      </c>
      <c r="X94" s="103"/>
      <c r="Y94" s="103"/>
      <c r="Z94" s="103" t="s">
        <v>868</v>
      </c>
      <c r="AA94" s="103" t="s">
        <v>869</v>
      </c>
      <c r="AB94" s="103" t="s">
        <v>153</v>
      </c>
      <c r="AC94" s="103">
        <v>0</v>
      </c>
      <c r="AD94" s="156">
        <v>42005</v>
      </c>
      <c r="AE94" s="103"/>
      <c r="AF94" s="103" t="s">
        <v>870</v>
      </c>
      <c r="AG94" s="103" t="s">
        <v>871</v>
      </c>
      <c r="AH94" s="103" t="s">
        <v>872</v>
      </c>
      <c r="AI94" s="103">
        <v>0</v>
      </c>
      <c r="AJ94" s="103"/>
      <c r="AK94" s="103"/>
      <c r="AL94" s="103"/>
      <c r="AM94" s="103"/>
      <c r="AN94" s="103"/>
      <c r="AO94" s="103" t="str">
        <f t="shared" si="3"/>
        <v>CFLscw-A(42w)Wtd-Pack</v>
      </c>
    </row>
    <row r="95" spans="1:41">
      <c r="A95" s="177">
        <f>IFERROR(MATCH(D95,'Measure &amp; Standard CostIDs'!C$5:C$177,0),MATCH(D95,'Measure &amp; Standard CostIDs'!S$5:S$177,0))</f>
        <v>91</v>
      </c>
      <c r="B95" s="177">
        <v>1</v>
      </c>
      <c r="C95" s="103" t="s">
        <v>153</v>
      </c>
      <c r="D95" s="103" t="s">
        <v>263</v>
      </c>
      <c r="E95" s="103" t="str">
        <f>IF(LEFT(D95,3)="Std","Base case cost for mix of 60% Incandescent and 40% CFL lamps for CFL TechID: "&amp;INDEX('Measure &amp; Standard CostIDs'!$C$5:$C$177,A95),"&lt;from TechID&gt;")</f>
        <v>&lt;from TechID&gt;</v>
      </c>
      <c r="F95" s="103" t="s">
        <v>860</v>
      </c>
      <c r="G95" s="103" t="s">
        <v>151</v>
      </c>
      <c r="H95" s="103" t="s">
        <v>861</v>
      </c>
      <c r="I95" s="103" t="s">
        <v>862</v>
      </c>
      <c r="J95" s="103" t="s">
        <v>863</v>
      </c>
      <c r="K95" s="103" t="s">
        <v>864</v>
      </c>
      <c r="L95" s="103" t="s">
        <v>153</v>
      </c>
      <c r="M95" s="103" t="s">
        <v>865</v>
      </c>
      <c r="N95" s="103" t="s">
        <v>866</v>
      </c>
      <c r="O95" s="103" t="str">
        <f t="shared" si="2"/>
        <v>CFLscw-A(45w)</v>
      </c>
      <c r="P95" s="103" t="s">
        <v>153</v>
      </c>
      <c r="Q95" s="103" t="s">
        <v>153</v>
      </c>
      <c r="R95" s="103" t="s">
        <v>153</v>
      </c>
      <c r="S95" s="103" t="str">
        <f>INDEX('Measure &amp; Standard CostIDs'!$AK$8:$AK$12,B95)</f>
        <v>Wtd-Pack</v>
      </c>
      <c r="T95" s="103" t="s">
        <v>867</v>
      </c>
      <c r="U95" s="103"/>
      <c r="V95" s="103"/>
      <c r="W95" s="103">
        <f>ROUND(IF(LEFT(D95,3)="Std",VLOOKUP(D95,'Measure &amp; Standard CostIDs'!$S$5:$X$177,1+B95,FALSE),VLOOKUP(D95,'Measure &amp; Standard CostIDs'!$C$5:$H$177,1+B95,FALSE)),2)</f>
        <v>8.83</v>
      </c>
      <c r="X95" s="103"/>
      <c r="Y95" s="103"/>
      <c r="Z95" s="103" t="s">
        <v>868</v>
      </c>
      <c r="AA95" s="103" t="s">
        <v>869</v>
      </c>
      <c r="AB95" s="103" t="s">
        <v>153</v>
      </c>
      <c r="AC95" s="103">
        <v>0</v>
      </c>
      <c r="AD95" s="156">
        <v>42005</v>
      </c>
      <c r="AE95" s="103"/>
      <c r="AF95" s="103" t="s">
        <v>870</v>
      </c>
      <c r="AG95" s="103" t="s">
        <v>871</v>
      </c>
      <c r="AH95" s="103" t="s">
        <v>872</v>
      </c>
      <c r="AI95" s="103">
        <v>0</v>
      </c>
      <c r="AJ95" s="103"/>
      <c r="AK95" s="103"/>
      <c r="AL95" s="103"/>
      <c r="AM95" s="103"/>
      <c r="AN95" s="103"/>
      <c r="AO95" s="103" t="str">
        <f t="shared" si="3"/>
        <v>CFLscw-A(45w)Wtd-Pack</v>
      </c>
    </row>
    <row r="96" spans="1:41">
      <c r="A96" s="177">
        <f>IFERROR(MATCH(D96,'Measure &amp; Standard CostIDs'!C$5:C$177,0),MATCH(D96,'Measure &amp; Standard CostIDs'!S$5:S$177,0))</f>
        <v>92</v>
      </c>
      <c r="B96" s="177">
        <v>1</v>
      </c>
      <c r="C96" s="103" t="s">
        <v>153</v>
      </c>
      <c r="D96" s="103" t="s">
        <v>265</v>
      </c>
      <c r="E96" s="103" t="str">
        <f>IF(LEFT(D96,3)="Std","Base case cost for mix of 60% Incandescent and 40% CFL lamps for CFL TechID: "&amp;INDEX('Measure &amp; Standard CostIDs'!$C$5:$C$177,A96),"&lt;from TechID&gt;")</f>
        <v>&lt;from TechID&gt;</v>
      </c>
      <c r="F96" s="103" t="s">
        <v>860</v>
      </c>
      <c r="G96" s="103" t="s">
        <v>151</v>
      </c>
      <c r="H96" s="103" t="s">
        <v>861</v>
      </c>
      <c r="I96" s="103" t="s">
        <v>862</v>
      </c>
      <c r="J96" s="103" t="s">
        <v>863</v>
      </c>
      <c r="K96" s="103" t="s">
        <v>864</v>
      </c>
      <c r="L96" s="103" t="s">
        <v>153</v>
      </c>
      <c r="M96" s="103" t="s">
        <v>865</v>
      </c>
      <c r="N96" s="103" t="s">
        <v>866</v>
      </c>
      <c r="O96" s="103" t="str">
        <f t="shared" si="2"/>
        <v>CFLscw-A(55w)</v>
      </c>
      <c r="P96" s="103" t="s">
        <v>153</v>
      </c>
      <c r="Q96" s="103" t="s">
        <v>153</v>
      </c>
      <c r="R96" s="103" t="s">
        <v>153</v>
      </c>
      <c r="S96" s="103" t="str">
        <f>INDEX('Measure &amp; Standard CostIDs'!$AK$8:$AK$12,B96)</f>
        <v>Wtd-Pack</v>
      </c>
      <c r="T96" s="103" t="s">
        <v>867</v>
      </c>
      <c r="U96" s="103"/>
      <c r="V96" s="103"/>
      <c r="W96" s="103">
        <f>ROUND(IF(LEFT(D96,3)="Std",VLOOKUP(D96,'Measure &amp; Standard CostIDs'!$S$5:$X$177,1+B96,FALSE),VLOOKUP(D96,'Measure &amp; Standard CostIDs'!$C$5:$H$177,1+B96,FALSE)),2)</f>
        <v>10.43</v>
      </c>
      <c r="X96" s="103"/>
      <c r="Y96" s="103"/>
      <c r="Z96" s="103" t="s">
        <v>868</v>
      </c>
      <c r="AA96" s="103" t="s">
        <v>869</v>
      </c>
      <c r="AB96" s="103" t="s">
        <v>153</v>
      </c>
      <c r="AC96" s="103">
        <v>0</v>
      </c>
      <c r="AD96" s="156">
        <v>42005</v>
      </c>
      <c r="AE96" s="103"/>
      <c r="AF96" s="103" t="s">
        <v>870</v>
      </c>
      <c r="AG96" s="103" t="s">
        <v>871</v>
      </c>
      <c r="AH96" s="103" t="s">
        <v>872</v>
      </c>
      <c r="AI96" s="103">
        <v>0</v>
      </c>
      <c r="AJ96" s="103"/>
      <c r="AK96" s="103"/>
      <c r="AL96" s="103"/>
      <c r="AM96" s="103"/>
      <c r="AN96" s="103"/>
      <c r="AO96" s="103" t="str">
        <f t="shared" si="3"/>
        <v>CFLscw-A(55w)Wtd-Pack</v>
      </c>
    </row>
    <row r="97" spans="1:41">
      <c r="A97" s="177">
        <f>IFERROR(MATCH(D97,'Measure &amp; Standard CostIDs'!C$5:C$177,0),MATCH(D97,'Measure &amp; Standard CostIDs'!S$5:S$177,0))</f>
        <v>93</v>
      </c>
      <c r="B97" s="177">
        <v>1</v>
      </c>
      <c r="C97" s="103" t="s">
        <v>153</v>
      </c>
      <c r="D97" s="103" t="s">
        <v>267</v>
      </c>
      <c r="E97" s="103" t="str">
        <f>IF(LEFT(D97,3)="Std","Base case cost for mix of 60% Incandescent and 40% CFL lamps for CFL TechID: "&amp;INDEX('Measure &amp; Standard CostIDs'!$C$5:$C$177,A97),"&lt;from TechID&gt;")</f>
        <v>&lt;from TechID&gt;</v>
      </c>
      <c r="F97" s="103" t="s">
        <v>860</v>
      </c>
      <c r="G97" s="103" t="s">
        <v>151</v>
      </c>
      <c r="H97" s="103" t="s">
        <v>861</v>
      </c>
      <c r="I97" s="103" t="s">
        <v>862</v>
      </c>
      <c r="J97" s="103" t="s">
        <v>863</v>
      </c>
      <c r="K97" s="103" t="s">
        <v>864</v>
      </c>
      <c r="L97" s="103" t="s">
        <v>153</v>
      </c>
      <c r="M97" s="103" t="s">
        <v>865</v>
      </c>
      <c r="N97" s="103" t="s">
        <v>866</v>
      </c>
      <c r="O97" s="103" t="str">
        <f t="shared" si="2"/>
        <v>CFLscw-A(7w)</v>
      </c>
      <c r="P97" s="103" t="s">
        <v>153</v>
      </c>
      <c r="Q97" s="103" t="s">
        <v>153</v>
      </c>
      <c r="R97" s="103" t="s">
        <v>153</v>
      </c>
      <c r="S97" s="103" t="str">
        <f>INDEX('Measure &amp; Standard CostIDs'!$AK$8:$AK$12,B97)</f>
        <v>Wtd-Pack</v>
      </c>
      <c r="T97" s="103" t="s">
        <v>867</v>
      </c>
      <c r="U97" s="103"/>
      <c r="V97" s="103"/>
      <c r="W97" s="103">
        <f>ROUND(IF(LEFT(D97,3)="Std",VLOOKUP(D97,'Measure &amp; Standard CostIDs'!$S$5:$X$177,1+B97,FALSE),VLOOKUP(D97,'Measure &amp; Standard CostIDs'!$C$5:$H$177,1+B97,FALSE)),2)</f>
        <v>4.4400000000000004</v>
      </c>
      <c r="X97" s="103"/>
      <c r="Y97" s="103"/>
      <c r="Z97" s="103" t="s">
        <v>868</v>
      </c>
      <c r="AA97" s="103" t="s">
        <v>869</v>
      </c>
      <c r="AB97" s="103" t="s">
        <v>153</v>
      </c>
      <c r="AC97" s="103">
        <v>0</v>
      </c>
      <c r="AD97" s="156">
        <v>42005</v>
      </c>
      <c r="AE97" s="103"/>
      <c r="AF97" s="103" t="s">
        <v>870</v>
      </c>
      <c r="AG97" s="103" t="s">
        <v>871</v>
      </c>
      <c r="AH97" s="103" t="s">
        <v>872</v>
      </c>
      <c r="AI97" s="103">
        <v>0</v>
      </c>
      <c r="AJ97" s="103"/>
      <c r="AK97" s="103"/>
      <c r="AL97" s="103"/>
      <c r="AM97" s="103"/>
      <c r="AN97" s="103"/>
      <c r="AO97" s="103" t="str">
        <f t="shared" si="3"/>
        <v>CFLscw-A(7w)Wtd-Pack</v>
      </c>
    </row>
    <row r="98" spans="1:41">
      <c r="A98" s="177">
        <f>IFERROR(MATCH(D98,'Measure &amp; Standard CostIDs'!C$5:C$177,0),MATCH(D98,'Measure &amp; Standard CostIDs'!S$5:S$177,0))</f>
        <v>94</v>
      </c>
      <c r="B98" s="177">
        <v>1</v>
      </c>
      <c r="C98" s="103" t="s">
        <v>153</v>
      </c>
      <c r="D98" s="103" t="s">
        <v>269</v>
      </c>
      <c r="E98" s="103" t="str">
        <f>IF(LEFT(D98,3)="Std","Base case cost for mix of 60% Incandescent and 40% CFL lamps for CFL TechID: "&amp;INDEX('Measure &amp; Standard CostIDs'!$C$5:$C$177,A98),"&lt;from TechID&gt;")</f>
        <v>&lt;from TechID&gt;</v>
      </c>
      <c r="F98" s="103" t="s">
        <v>860</v>
      </c>
      <c r="G98" s="103" t="s">
        <v>151</v>
      </c>
      <c r="H98" s="103" t="s">
        <v>861</v>
      </c>
      <c r="I98" s="103" t="s">
        <v>862</v>
      </c>
      <c r="J98" s="103" t="s">
        <v>863</v>
      </c>
      <c r="K98" s="103" t="s">
        <v>864</v>
      </c>
      <c r="L98" s="103" t="s">
        <v>153</v>
      </c>
      <c r="M98" s="103" t="s">
        <v>865</v>
      </c>
      <c r="N98" s="103" t="s">
        <v>866</v>
      </c>
      <c r="O98" s="103" t="str">
        <f t="shared" si="2"/>
        <v>CFLscw-A(8w)</v>
      </c>
      <c r="P98" s="103" t="s">
        <v>153</v>
      </c>
      <c r="Q98" s="103" t="s">
        <v>153</v>
      </c>
      <c r="R98" s="103" t="s">
        <v>153</v>
      </c>
      <c r="S98" s="103" t="str">
        <f>INDEX('Measure &amp; Standard CostIDs'!$AK$8:$AK$12,B98)</f>
        <v>Wtd-Pack</v>
      </c>
      <c r="T98" s="103" t="s">
        <v>867</v>
      </c>
      <c r="U98" s="103"/>
      <c r="V98" s="103"/>
      <c r="W98" s="103">
        <f>ROUND(IF(LEFT(D98,3)="Std",VLOOKUP(D98,'Measure &amp; Standard CostIDs'!$S$5:$X$177,1+B98,FALSE),VLOOKUP(D98,'Measure &amp; Standard CostIDs'!$C$5:$H$177,1+B98,FALSE)),2)</f>
        <v>4.5</v>
      </c>
      <c r="X98" s="103"/>
      <c r="Y98" s="103"/>
      <c r="Z98" s="103" t="s">
        <v>868</v>
      </c>
      <c r="AA98" s="103" t="s">
        <v>869</v>
      </c>
      <c r="AB98" s="103" t="s">
        <v>153</v>
      </c>
      <c r="AC98" s="103">
        <v>0</v>
      </c>
      <c r="AD98" s="156">
        <v>42005</v>
      </c>
      <c r="AE98" s="103"/>
      <c r="AF98" s="103" t="s">
        <v>870</v>
      </c>
      <c r="AG98" s="103" t="s">
        <v>871</v>
      </c>
      <c r="AH98" s="103" t="s">
        <v>872</v>
      </c>
      <c r="AI98" s="103">
        <v>0</v>
      </c>
      <c r="AJ98" s="103"/>
      <c r="AK98" s="103"/>
      <c r="AL98" s="103"/>
      <c r="AM98" s="103"/>
      <c r="AN98" s="103"/>
      <c r="AO98" s="103" t="str">
        <f t="shared" si="3"/>
        <v>CFLscw-A(8w)Wtd-Pack</v>
      </c>
    </row>
    <row r="99" spans="1:41">
      <c r="A99" s="177">
        <f>IFERROR(MATCH(D99,'Measure &amp; Standard CostIDs'!C$5:C$177,0),MATCH(D99,'Measure &amp; Standard CostIDs'!S$5:S$177,0))</f>
        <v>95</v>
      </c>
      <c r="B99" s="177">
        <v>1</v>
      </c>
      <c r="C99" s="103" t="s">
        <v>153</v>
      </c>
      <c r="D99" s="103" t="s">
        <v>271</v>
      </c>
      <c r="E99" s="103" t="str">
        <f>IF(LEFT(D99,3)="Std","Base case cost for mix of 60% Incandescent and 40% CFL lamps for CFL TechID: "&amp;INDEX('Measure &amp; Standard CostIDs'!$C$5:$C$177,A99),"&lt;from TechID&gt;")</f>
        <v>&lt;from TechID&gt;</v>
      </c>
      <c r="F99" s="103" t="s">
        <v>860</v>
      </c>
      <c r="G99" s="103" t="s">
        <v>151</v>
      </c>
      <c r="H99" s="103" t="s">
        <v>861</v>
      </c>
      <c r="I99" s="103" t="s">
        <v>862</v>
      </c>
      <c r="J99" s="103" t="s">
        <v>863</v>
      </c>
      <c r="K99" s="103" t="s">
        <v>864</v>
      </c>
      <c r="L99" s="103" t="s">
        <v>153</v>
      </c>
      <c r="M99" s="103" t="s">
        <v>865</v>
      </c>
      <c r="N99" s="103" t="s">
        <v>866</v>
      </c>
      <c r="O99" s="103" t="str">
        <f t="shared" si="2"/>
        <v>CFLscw-A(9w)</v>
      </c>
      <c r="P99" s="103" t="s">
        <v>153</v>
      </c>
      <c r="Q99" s="103" t="s">
        <v>153</v>
      </c>
      <c r="R99" s="103" t="s">
        <v>153</v>
      </c>
      <c r="S99" s="103" t="str">
        <f>INDEX('Measure &amp; Standard CostIDs'!$AK$8:$AK$12,B99)</f>
        <v>Wtd-Pack</v>
      </c>
      <c r="T99" s="103" t="s">
        <v>867</v>
      </c>
      <c r="U99" s="103"/>
      <c r="V99" s="103"/>
      <c r="W99" s="103">
        <f>ROUND(IF(LEFT(D99,3)="Std",VLOOKUP(D99,'Measure &amp; Standard CostIDs'!$S$5:$X$177,1+B99,FALSE),VLOOKUP(D99,'Measure &amp; Standard CostIDs'!$C$5:$H$177,1+B99,FALSE)),2)</f>
        <v>4.57</v>
      </c>
      <c r="X99" s="103"/>
      <c r="Y99" s="103"/>
      <c r="Z99" s="103" t="s">
        <v>868</v>
      </c>
      <c r="AA99" s="103" t="s">
        <v>869</v>
      </c>
      <c r="AB99" s="103" t="s">
        <v>153</v>
      </c>
      <c r="AC99" s="103">
        <v>0</v>
      </c>
      <c r="AD99" s="156">
        <v>42005</v>
      </c>
      <c r="AE99" s="103"/>
      <c r="AF99" s="103" t="s">
        <v>870</v>
      </c>
      <c r="AG99" s="103" t="s">
        <v>871</v>
      </c>
      <c r="AH99" s="103" t="s">
        <v>872</v>
      </c>
      <c r="AI99" s="103">
        <v>0</v>
      </c>
      <c r="AJ99" s="103"/>
      <c r="AK99" s="103"/>
      <c r="AL99" s="103"/>
      <c r="AM99" s="103"/>
      <c r="AN99" s="103"/>
      <c r="AO99" s="103" t="str">
        <f t="shared" si="3"/>
        <v>CFLscw-A(9w)Wtd-Pack</v>
      </c>
    </row>
    <row r="100" spans="1:41">
      <c r="A100" s="177">
        <f>IFERROR(MATCH(D100,'Measure &amp; Standard CostIDs'!C$5:C$177,0),MATCH(D100,'Measure &amp; Standard CostIDs'!S$5:S$177,0))</f>
        <v>96</v>
      </c>
      <c r="B100" s="177">
        <v>1</v>
      </c>
      <c r="C100" s="103" t="s">
        <v>153</v>
      </c>
      <c r="D100" s="103" t="s">
        <v>273</v>
      </c>
      <c r="E100" s="103" t="str">
        <f>IF(LEFT(D100,3)="Std","Base case cost for mix of 60% Incandescent and 40% CFL lamps for CFL TechID: "&amp;INDEX('Measure &amp; Standard CostIDs'!$C$5:$C$177,A100),"&lt;from TechID&gt;")</f>
        <v>&lt;from TechID&gt;</v>
      </c>
      <c r="F100" s="103" t="s">
        <v>860</v>
      </c>
      <c r="G100" s="103" t="s">
        <v>151</v>
      </c>
      <c r="H100" s="103" t="s">
        <v>861</v>
      </c>
      <c r="I100" s="103" t="s">
        <v>862</v>
      </c>
      <c r="J100" s="103" t="s">
        <v>863</v>
      </c>
      <c r="K100" s="103" t="s">
        <v>864</v>
      </c>
      <c r="L100" s="103" t="s">
        <v>153</v>
      </c>
      <c r="M100" s="103" t="s">
        <v>865</v>
      </c>
      <c r="N100" s="103" t="s">
        <v>866</v>
      </c>
      <c r="O100" s="103" t="str">
        <f t="shared" si="2"/>
        <v>CFLscw-Candle(10w)</v>
      </c>
      <c r="P100" s="103" t="s">
        <v>153</v>
      </c>
      <c r="Q100" s="103" t="s">
        <v>153</v>
      </c>
      <c r="R100" s="103" t="s">
        <v>153</v>
      </c>
      <c r="S100" s="103" t="str">
        <f>INDEX('Measure &amp; Standard CostIDs'!$AK$8:$AK$12,B100)</f>
        <v>Wtd-Pack</v>
      </c>
      <c r="T100" s="103" t="s">
        <v>867</v>
      </c>
      <c r="U100" s="103"/>
      <c r="V100" s="103"/>
      <c r="W100" s="103">
        <f>ROUND(IF(LEFT(D100,3)="Std",VLOOKUP(D100,'Measure &amp; Standard CostIDs'!$S$5:$X$177,1+B100,FALSE),VLOOKUP(D100,'Measure &amp; Standard CostIDs'!$C$5:$H$177,1+B100,FALSE)),2)</f>
        <v>7.92</v>
      </c>
      <c r="X100" s="103"/>
      <c r="Y100" s="103"/>
      <c r="Z100" s="103" t="s">
        <v>868</v>
      </c>
      <c r="AA100" s="103" t="s">
        <v>869</v>
      </c>
      <c r="AB100" s="103" t="s">
        <v>153</v>
      </c>
      <c r="AC100" s="103">
        <v>0</v>
      </c>
      <c r="AD100" s="156">
        <v>42005</v>
      </c>
      <c r="AE100" s="103"/>
      <c r="AF100" s="103" t="s">
        <v>870</v>
      </c>
      <c r="AG100" s="103" t="s">
        <v>871</v>
      </c>
      <c r="AH100" s="103" t="s">
        <v>872</v>
      </c>
      <c r="AI100" s="103">
        <v>0</v>
      </c>
      <c r="AJ100" s="103"/>
      <c r="AK100" s="103"/>
      <c r="AL100" s="103"/>
      <c r="AM100" s="103"/>
      <c r="AN100" s="103"/>
      <c r="AO100" s="103" t="str">
        <f t="shared" si="3"/>
        <v>CFLscw-Candle(10w)Wtd-Pack</v>
      </c>
    </row>
    <row r="101" spans="1:41">
      <c r="A101" s="177">
        <f>IFERROR(MATCH(D101,'Measure &amp; Standard CostIDs'!C$5:C$177,0),MATCH(D101,'Measure &amp; Standard CostIDs'!S$5:S$177,0))</f>
        <v>97</v>
      </c>
      <c r="B101" s="177">
        <v>1</v>
      </c>
      <c r="C101" s="103" t="s">
        <v>153</v>
      </c>
      <c r="D101" s="103" t="s">
        <v>276</v>
      </c>
      <c r="E101" s="103" t="str">
        <f>IF(LEFT(D101,3)="Std","Base case cost for mix of 60% Incandescent and 40% CFL lamps for CFL TechID: "&amp;INDEX('Measure &amp; Standard CostIDs'!$C$5:$C$177,A101),"&lt;from TechID&gt;")</f>
        <v>&lt;from TechID&gt;</v>
      </c>
      <c r="F101" s="103" t="s">
        <v>860</v>
      </c>
      <c r="G101" s="103" t="s">
        <v>151</v>
      </c>
      <c r="H101" s="103" t="s">
        <v>861</v>
      </c>
      <c r="I101" s="103" t="s">
        <v>862</v>
      </c>
      <c r="J101" s="103" t="s">
        <v>863</v>
      </c>
      <c r="K101" s="103" t="s">
        <v>864</v>
      </c>
      <c r="L101" s="103" t="s">
        <v>153</v>
      </c>
      <c r="M101" s="103" t="s">
        <v>865</v>
      </c>
      <c r="N101" s="103" t="s">
        <v>866</v>
      </c>
      <c r="O101" s="103" t="str">
        <f t="shared" si="2"/>
        <v>CFLscw-Candle(11w)</v>
      </c>
      <c r="P101" s="103" t="s">
        <v>153</v>
      </c>
      <c r="Q101" s="103" t="s">
        <v>153</v>
      </c>
      <c r="R101" s="103" t="s">
        <v>153</v>
      </c>
      <c r="S101" s="103" t="str">
        <f>INDEX('Measure &amp; Standard CostIDs'!$AK$8:$AK$12,B101)</f>
        <v>Wtd-Pack</v>
      </c>
      <c r="T101" s="103" t="s">
        <v>867</v>
      </c>
      <c r="U101" s="103"/>
      <c r="V101" s="103"/>
      <c r="W101" s="103">
        <f>ROUND(IF(LEFT(D101,3)="Std",VLOOKUP(D101,'Measure &amp; Standard CostIDs'!$S$5:$X$177,1+B101,FALSE),VLOOKUP(D101,'Measure &amp; Standard CostIDs'!$C$5:$H$177,1+B101,FALSE)),2)</f>
        <v>8.1199999999999992</v>
      </c>
      <c r="X101" s="103"/>
      <c r="Y101" s="103"/>
      <c r="Z101" s="103" t="s">
        <v>868</v>
      </c>
      <c r="AA101" s="103" t="s">
        <v>869</v>
      </c>
      <c r="AB101" s="103" t="s">
        <v>153</v>
      </c>
      <c r="AC101" s="103">
        <v>0</v>
      </c>
      <c r="AD101" s="156">
        <v>42005</v>
      </c>
      <c r="AE101" s="103"/>
      <c r="AF101" s="103" t="s">
        <v>870</v>
      </c>
      <c r="AG101" s="103" t="s">
        <v>871</v>
      </c>
      <c r="AH101" s="103" t="s">
        <v>872</v>
      </c>
      <c r="AI101" s="103">
        <v>0</v>
      </c>
      <c r="AJ101" s="103"/>
      <c r="AK101" s="103"/>
      <c r="AL101" s="103"/>
      <c r="AM101" s="103"/>
      <c r="AN101" s="103"/>
      <c r="AO101" s="103" t="str">
        <f t="shared" si="3"/>
        <v>CFLscw-Candle(11w)Wtd-Pack</v>
      </c>
    </row>
    <row r="102" spans="1:41">
      <c r="A102" s="177">
        <f>IFERROR(MATCH(D102,'Measure &amp; Standard CostIDs'!C$5:C$177,0),MATCH(D102,'Measure &amp; Standard CostIDs'!S$5:S$177,0))</f>
        <v>98</v>
      </c>
      <c r="B102" s="177">
        <v>1</v>
      </c>
      <c r="C102" s="103" t="s">
        <v>153</v>
      </c>
      <c r="D102" s="103" t="s">
        <v>278</v>
      </c>
      <c r="E102" s="103" t="str">
        <f>IF(LEFT(D102,3)="Std","Base case cost for mix of 60% Incandescent and 40% CFL lamps for CFL TechID: "&amp;INDEX('Measure &amp; Standard CostIDs'!$C$5:$C$177,A102),"&lt;from TechID&gt;")</f>
        <v>&lt;from TechID&gt;</v>
      </c>
      <c r="F102" s="103" t="s">
        <v>860</v>
      </c>
      <c r="G102" s="103" t="s">
        <v>151</v>
      </c>
      <c r="H102" s="103" t="s">
        <v>861</v>
      </c>
      <c r="I102" s="103" t="s">
        <v>862</v>
      </c>
      <c r="J102" s="103" t="s">
        <v>863</v>
      </c>
      <c r="K102" s="103" t="s">
        <v>864</v>
      </c>
      <c r="L102" s="103" t="s">
        <v>153</v>
      </c>
      <c r="M102" s="103" t="s">
        <v>865</v>
      </c>
      <c r="N102" s="103" t="s">
        <v>866</v>
      </c>
      <c r="O102" s="103" t="str">
        <f t="shared" si="2"/>
        <v>CFLscw-Candle(12w)</v>
      </c>
      <c r="P102" s="103" t="s">
        <v>153</v>
      </c>
      <c r="Q102" s="103" t="s">
        <v>153</v>
      </c>
      <c r="R102" s="103" t="s">
        <v>153</v>
      </c>
      <c r="S102" s="103" t="str">
        <f>INDEX('Measure &amp; Standard CostIDs'!$AK$8:$AK$12,B102)</f>
        <v>Wtd-Pack</v>
      </c>
      <c r="T102" s="103" t="s">
        <v>867</v>
      </c>
      <c r="U102" s="103"/>
      <c r="V102" s="103"/>
      <c r="W102" s="103">
        <f>ROUND(IF(LEFT(D102,3)="Std",VLOOKUP(D102,'Measure &amp; Standard CostIDs'!$S$5:$X$177,1+B102,FALSE),VLOOKUP(D102,'Measure &amp; Standard CostIDs'!$C$5:$H$177,1+B102,FALSE)),2)</f>
        <v>8.33</v>
      </c>
      <c r="X102" s="103"/>
      <c r="Y102" s="103"/>
      <c r="Z102" s="103" t="s">
        <v>868</v>
      </c>
      <c r="AA102" s="103" t="s">
        <v>869</v>
      </c>
      <c r="AB102" s="103" t="s">
        <v>153</v>
      </c>
      <c r="AC102" s="103">
        <v>0</v>
      </c>
      <c r="AD102" s="156">
        <v>42005</v>
      </c>
      <c r="AE102" s="103"/>
      <c r="AF102" s="103" t="s">
        <v>870</v>
      </c>
      <c r="AG102" s="103" t="s">
        <v>871</v>
      </c>
      <c r="AH102" s="103" t="s">
        <v>872</v>
      </c>
      <c r="AI102" s="103">
        <v>0</v>
      </c>
      <c r="AJ102" s="103"/>
      <c r="AK102" s="103"/>
      <c r="AL102" s="103"/>
      <c r="AM102" s="103"/>
      <c r="AN102" s="103"/>
      <c r="AO102" s="103" t="str">
        <f t="shared" si="3"/>
        <v>CFLscw-Candle(12w)Wtd-Pack</v>
      </c>
    </row>
    <row r="103" spans="1:41">
      <c r="A103" s="177">
        <f>IFERROR(MATCH(D103,'Measure &amp; Standard CostIDs'!C$5:C$177,0),MATCH(D103,'Measure &amp; Standard CostIDs'!S$5:S$177,0))</f>
        <v>99</v>
      </c>
      <c r="B103" s="177">
        <v>1</v>
      </c>
      <c r="C103" s="103" t="s">
        <v>153</v>
      </c>
      <c r="D103" s="103" t="s">
        <v>280</v>
      </c>
      <c r="E103" s="103" t="str">
        <f>IF(LEFT(D103,3)="Std","Base case cost for mix of 60% Incandescent and 40% CFL lamps for CFL TechID: "&amp;INDEX('Measure &amp; Standard CostIDs'!$C$5:$C$177,A103),"&lt;from TechID&gt;")</f>
        <v>&lt;from TechID&gt;</v>
      </c>
      <c r="F103" s="103" t="s">
        <v>860</v>
      </c>
      <c r="G103" s="103" t="s">
        <v>151</v>
      </c>
      <c r="H103" s="103" t="s">
        <v>861</v>
      </c>
      <c r="I103" s="103" t="s">
        <v>862</v>
      </c>
      <c r="J103" s="103" t="s">
        <v>863</v>
      </c>
      <c r="K103" s="103" t="s">
        <v>864</v>
      </c>
      <c r="L103" s="103" t="s">
        <v>153</v>
      </c>
      <c r="M103" s="103" t="s">
        <v>865</v>
      </c>
      <c r="N103" s="103" t="s">
        <v>866</v>
      </c>
      <c r="O103" s="103" t="str">
        <f t="shared" si="2"/>
        <v>CFLscw-Candle(13w)</v>
      </c>
      <c r="P103" s="103" t="s">
        <v>153</v>
      </c>
      <c r="Q103" s="103" t="s">
        <v>153</v>
      </c>
      <c r="R103" s="103" t="s">
        <v>153</v>
      </c>
      <c r="S103" s="103" t="str">
        <f>INDEX('Measure &amp; Standard CostIDs'!$AK$8:$AK$12,B103)</f>
        <v>Wtd-Pack</v>
      </c>
      <c r="T103" s="103" t="s">
        <v>867</v>
      </c>
      <c r="U103" s="103"/>
      <c r="V103" s="103"/>
      <c r="W103" s="103">
        <f>ROUND(IF(LEFT(D103,3)="Std",VLOOKUP(D103,'Measure &amp; Standard CostIDs'!$S$5:$X$177,1+B103,FALSE),VLOOKUP(D103,'Measure &amp; Standard CostIDs'!$C$5:$H$177,1+B103,FALSE)),2)</f>
        <v>8.5399999999999991</v>
      </c>
      <c r="X103" s="103"/>
      <c r="Y103" s="103"/>
      <c r="Z103" s="103" t="s">
        <v>868</v>
      </c>
      <c r="AA103" s="103" t="s">
        <v>869</v>
      </c>
      <c r="AB103" s="103" t="s">
        <v>153</v>
      </c>
      <c r="AC103" s="103">
        <v>0</v>
      </c>
      <c r="AD103" s="156">
        <v>42005</v>
      </c>
      <c r="AE103" s="103"/>
      <c r="AF103" s="103" t="s">
        <v>870</v>
      </c>
      <c r="AG103" s="103" t="s">
        <v>871</v>
      </c>
      <c r="AH103" s="103" t="s">
        <v>872</v>
      </c>
      <c r="AI103" s="103">
        <v>0</v>
      </c>
      <c r="AJ103" s="103"/>
      <c r="AK103" s="103"/>
      <c r="AL103" s="103"/>
      <c r="AM103" s="103"/>
      <c r="AN103" s="103"/>
      <c r="AO103" s="103" t="str">
        <f t="shared" si="3"/>
        <v>CFLscw-Candle(13w)Wtd-Pack</v>
      </c>
    </row>
    <row r="104" spans="1:41">
      <c r="A104" s="177">
        <f>IFERROR(MATCH(D104,'Measure &amp; Standard CostIDs'!C$5:C$177,0),MATCH(D104,'Measure &amp; Standard CostIDs'!S$5:S$177,0))</f>
        <v>100</v>
      </c>
      <c r="B104" s="177">
        <v>1</v>
      </c>
      <c r="C104" s="103" t="s">
        <v>153</v>
      </c>
      <c r="D104" s="103" t="s">
        <v>282</v>
      </c>
      <c r="E104" s="103" t="str">
        <f>IF(LEFT(D104,3)="Std","Base case cost for mix of 60% Incandescent and 40% CFL lamps for CFL TechID: "&amp;INDEX('Measure &amp; Standard CostIDs'!$C$5:$C$177,A104),"&lt;from TechID&gt;")</f>
        <v>&lt;from TechID&gt;</v>
      </c>
      <c r="F104" s="103" t="s">
        <v>860</v>
      </c>
      <c r="G104" s="103" t="s">
        <v>151</v>
      </c>
      <c r="H104" s="103" t="s">
        <v>861</v>
      </c>
      <c r="I104" s="103" t="s">
        <v>862</v>
      </c>
      <c r="J104" s="103" t="s">
        <v>863</v>
      </c>
      <c r="K104" s="103" t="s">
        <v>864</v>
      </c>
      <c r="L104" s="103" t="s">
        <v>153</v>
      </c>
      <c r="M104" s="103" t="s">
        <v>865</v>
      </c>
      <c r="N104" s="103" t="s">
        <v>866</v>
      </c>
      <c r="O104" s="103" t="str">
        <f t="shared" si="2"/>
        <v>CFLscw-Candle(14w)</v>
      </c>
      <c r="P104" s="103" t="s">
        <v>153</v>
      </c>
      <c r="Q104" s="103" t="s">
        <v>153</v>
      </c>
      <c r="R104" s="103" t="s">
        <v>153</v>
      </c>
      <c r="S104" s="103" t="str">
        <f>INDEX('Measure &amp; Standard CostIDs'!$AK$8:$AK$12,B104)</f>
        <v>Wtd-Pack</v>
      </c>
      <c r="T104" s="103" t="s">
        <v>867</v>
      </c>
      <c r="U104" s="103"/>
      <c r="V104" s="103"/>
      <c r="W104" s="103">
        <f>ROUND(IF(LEFT(D104,3)="Std",VLOOKUP(D104,'Measure &amp; Standard CostIDs'!$S$5:$X$177,1+B104,FALSE),VLOOKUP(D104,'Measure &amp; Standard CostIDs'!$C$5:$H$177,1+B104,FALSE)),2)</f>
        <v>8.74</v>
      </c>
      <c r="X104" s="103"/>
      <c r="Y104" s="103"/>
      <c r="Z104" s="103" t="s">
        <v>868</v>
      </c>
      <c r="AA104" s="103" t="s">
        <v>869</v>
      </c>
      <c r="AB104" s="103" t="s">
        <v>153</v>
      </c>
      <c r="AC104" s="103">
        <v>0</v>
      </c>
      <c r="AD104" s="156">
        <v>42005</v>
      </c>
      <c r="AE104" s="103"/>
      <c r="AF104" s="103" t="s">
        <v>870</v>
      </c>
      <c r="AG104" s="103" t="s">
        <v>871</v>
      </c>
      <c r="AH104" s="103" t="s">
        <v>872</v>
      </c>
      <c r="AI104" s="103">
        <v>0</v>
      </c>
      <c r="AJ104" s="103"/>
      <c r="AK104" s="103"/>
      <c r="AL104" s="103"/>
      <c r="AM104" s="103"/>
      <c r="AN104" s="103"/>
      <c r="AO104" s="103" t="str">
        <f t="shared" si="3"/>
        <v>CFLscw-Candle(14w)Wtd-Pack</v>
      </c>
    </row>
    <row r="105" spans="1:41">
      <c r="A105" s="177">
        <f>IFERROR(MATCH(D105,'Measure &amp; Standard CostIDs'!C$5:C$177,0),MATCH(D105,'Measure &amp; Standard CostIDs'!S$5:S$177,0))</f>
        <v>101</v>
      </c>
      <c r="B105" s="177">
        <v>1</v>
      </c>
      <c r="C105" s="103" t="s">
        <v>153</v>
      </c>
      <c r="D105" s="103" t="s">
        <v>284</v>
      </c>
      <c r="E105" s="103" t="str">
        <f>IF(LEFT(D105,3)="Std","Base case cost for mix of 60% Incandescent and 40% CFL lamps for CFL TechID: "&amp;INDEX('Measure &amp; Standard CostIDs'!$C$5:$C$177,A105),"&lt;from TechID&gt;")</f>
        <v>&lt;from TechID&gt;</v>
      </c>
      <c r="F105" s="103" t="s">
        <v>860</v>
      </c>
      <c r="G105" s="103" t="s">
        <v>151</v>
      </c>
      <c r="H105" s="103" t="s">
        <v>861</v>
      </c>
      <c r="I105" s="103" t="s">
        <v>862</v>
      </c>
      <c r="J105" s="103" t="s">
        <v>863</v>
      </c>
      <c r="K105" s="103" t="s">
        <v>864</v>
      </c>
      <c r="L105" s="103" t="s">
        <v>153</v>
      </c>
      <c r="M105" s="103" t="s">
        <v>865</v>
      </c>
      <c r="N105" s="103" t="s">
        <v>866</v>
      </c>
      <c r="O105" s="103" t="str">
        <f t="shared" si="2"/>
        <v>CFLscw-Candle(15w)</v>
      </c>
      <c r="P105" s="103" t="s">
        <v>153</v>
      </c>
      <c r="Q105" s="103" t="s">
        <v>153</v>
      </c>
      <c r="R105" s="103" t="s">
        <v>153</v>
      </c>
      <c r="S105" s="103" t="str">
        <f>INDEX('Measure &amp; Standard CostIDs'!$AK$8:$AK$12,B105)</f>
        <v>Wtd-Pack</v>
      </c>
      <c r="T105" s="103" t="s">
        <v>867</v>
      </c>
      <c r="U105" s="103"/>
      <c r="V105" s="103"/>
      <c r="W105" s="103">
        <f>ROUND(IF(LEFT(D105,3)="Std",VLOOKUP(D105,'Measure &amp; Standard CostIDs'!$S$5:$X$177,1+B105,FALSE),VLOOKUP(D105,'Measure &amp; Standard CostIDs'!$C$5:$H$177,1+B105,FALSE)),2)</f>
        <v>8.9499999999999993</v>
      </c>
      <c r="X105" s="103"/>
      <c r="Y105" s="103"/>
      <c r="Z105" s="103" t="s">
        <v>868</v>
      </c>
      <c r="AA105" s="103" t="s">
        <v>869</v>
      </c>
      <c r="AB105" s="103" t="s">
        <v>153</v>
      </c>
      <c r="AC105" s="103">
        <v>0</v>
      </c>
      <c r="AD105" s="156">
        <v>42005</v>
      </c>
      <c r="AE105" s="103"/>
      <c r="AF105" s="103" t="s">
        <v>870</v>
      </c>
      <c r="AG105" s="103" t="s">
        <v>871</v>
      </c>
      <c r="AH105" s="103" t="s">
        <v>872</v>
      </c>
      <c r="AI105" s="103">
        <v>0</v>
      </c>
      <c r="AJ105" s="103"/>
      <c r="AK105" s="103"/>
      <c r="AL105" s="103"/>
      <c r="AM105" s="103"/>
      <c r="AN105" s="103"/>
      <c r="AO105" s="103" t="str">
        <f t="shared" si="3"/>
        <v>CFLscw-Candle(15w)Wtd-Pack</v>
      </c>
    </row>
    <row r="106" spans="1:41">
      <c r="A106" s="177">
        <f>IFERROR(MATCH(D106,'Measure &amp; Standard CostIDs'!C$5:C$177,0),MATCH(D106,'Measure &amp; Standard CostIDs'!S$5:S$177,0))</f>
        <v>102</v>
      </c>
      <c r="B106" s="177">
        <v>1</v>
      </c>
      <c r="C106" s="103" t="s">
        <v>153</v>
      </c>
      <c r="D106" s="103" t="s">
        <v>320</v>
      </c>
      <c r="E106" s="103" t="str">
        <f>IF(LEFT(D106,3)="Std","Base case cost for mix of 60% Incandescent and 40% CFL lamps for CFL TechID: "&amp;INDEX('Measure &amp; Standard CostIDs'!$C$5:$C$177,A106),"&lt;from TechID&gt;")</f>
        <v>&lt;from TechID&gt;</v>
      </c>
      <c r="F106" s="103" t="s">
        <v>860</v>
      </c>
      <c r="G106" s="103" t="s">
        <v>151</v>
      </c>
      <c r="H106" s="103" t="s">
        <v>861</v>
      </c>
      <c r="I106" s="103" t="s">
        <v>862</v>
      </c>
      <c r="J106" s="103" t="s">
        <v>863</v>
      </c>
      <c r="K106" s="103" t="s">
        <v>864</v>
      </c>
      <c r="L106" s="103" t="s">
        <v>153</v>
      </c>
      <c r="M106" s="103" t="s">
        <v>865</v>
      </c>
      <c r="N106" s="103" t="s">
        <v>866</v>
      </c>
      <c r="O106" s="103" t="str">
        <f t="shared" si="2"/>
        <v>CFLscw-Candle(7w)</v>
      </c>
      <c r="P106" s="103" t="s">
        <v>153</v>
      </c>
      <c r="Q106" s="103" t="s">
        <v>153</v>
      </c>
      <c r="R106" s="103" t="s">
        <v>153</v>
      </c>
      <c r="S106" s="103" t="str">
        <f>INDEX('Measure &amp; Standard CostIDs'!$AK$8:$AK$12,B106)</f>
        <v>Wtd-Pack</v>
      </c>
      <c r="T106" s="103" t="s">
        <v>867</v>
      </c>
      <c r="U106" s="103"/>
      <c r="V106" s="103"/>
      <c r="W106" s="103">
        <f>ROUND(IF(LEFT(D106,3)="Std",VLOOKUP(D106,'Measure &amp; Standard CostIDs'!$S$5:$X$177,1+B106,FALSE),VLOOKUP(D106,'Measure &amp; Standard CostIDs'!$C$5:$H$177,1+B106,FALSE)),2)</f>
        <v>7.3</v>
      </c>
      <c r="X106" s="103"/>
      <c r="Y106" s="103"/>
      <c r="Z106" s="103" t="s">
        <v>868</v>
      </c>
      <c r="AA106" s="103" t="s">
        <v>869</v>
      </c>
      <c r="AB106" s="103" t="s">
        <v>153</v>
      </c>
      <c r="AC106" s="103">
        <v>0</v>
      </c>
      <c r="AD106" s="156">
        <v>42005</v>
      </c>
      <c r="AE106" s="103"/>
      <c r="AF106" s="103" t="s">
        <v>870</v>
      </c>
      <c r="AG106" s="103" t="s">
        <v>871</v>
      </c>
      <c r="AH106" s="103" t="s">
        <v>872</v>
      </c>
      <c r="AI106" s="103">
        <v>0</v>
      </c>
      <c r="AJ106" s="103"/>
      <c r="AK106" s="103"/>
      <c r="AL106" s="103"/>
      <c r="AM106" s="103"/>
      <c r="AN106" s="103"/>
      <c r="AO106" s="103" t="str">
        <f t="shared" si="3"/>
        <v>CFLscw-Candle(7w)Wtd-Pack</v>
      </c>
    </row>
    <row r="107" spans="1:41">
      <c r="A107" s="177">
        <f>IFERROR(MATCH(D107,'Measure &amp; Standard CostIDs'!C$5:C$177,0),MATCH(D107,'Measure &amp; Standard CostIDs'!S$5:S$177,0))</f>
        <v>103</v>
      </c>
      <c r="B107" s="177">
        <v>1</v>
      </c>
      <c r="C107" s="103" t="s">
        <v>153</v>
      </c>
      <c r="D107" s="103" t="s">
        <v>322</v>
      </c>
      <c r="E107" s="103" t="str">
        <f>IF(LEFT(D107,3)="Std","Base case cost for mix of 60% Incandescent and 40% CFL lamps for CFL TechID: "&amp;INDEX('Measure &amp; Standard CostIDs'!$C$5:$C$177,A107),"&lt;from TechID&gt;")</f>
        <v>&lt;from TechID&gt;</v>
      </c>
      <c r="F107" s="103" t="s">
        <v>860</v>
      </c>
      <c r="G107" s="103" t="s">
        <v>151</v>
      </c>
      <c r="H107" s="103" t="s">
        <v>861</v>
      </c>
      <c r="I107" s="103" t="s">
        <v>862</v>
      </c>
      <c r="J107" s="103" t="s">
        <v>863</v>
      </c>
      <c r="K107" s="103" t="s">
        <v>864</v>
      </c>
      <c r="L107" s="103" t="s">
        <v>153</v>
      </c>
      <c r="M107" s="103" t="s">
        <v>865</v>
      </c>
      <c r="N107" s="103" t="s">
        <v>866</v>
      </c>
      <c r="O107" s="103" t="str">
        <f t="shared" si="2"/>
        <v>CFLscw-Candle(8w)</v>
      </c>
      <c r="P107" s="103" t="s">
        <v>153</v>
      </c>
      <c r="Q107" s="103" t="s">
        <v>153</v>
      </c>
      <c r="R107" s="103" t="s">
        <v>153</v>
      </c>
      <c r="S107" s="103" t="str">
        <f>INDEX('Measure &amp; Standard CostIDs'!$AK$8:$AK$12,B107)</f>
        <v>Wtd-Pack</v>
      </c>
      <c r="T107" s="103" t="s">
        <v>867</v>
      </c>
      <c r="U107" s="103"/>
      <c r="V107" s="103"/>
      <c r="W107" s="103">
        <f>ROUND(IF(LEFT(D107,3)="Std",VLOOKUP(D107,'Measure &amp; Standard CostIDs'!$S$5:$X$177,1+B107,FALSE),VLOOKUP(D107,'Measure &amp; Standard CostIDs'!$C$5:$H$177,1+B107,FALSE)),2)</f>
        <v>7.51</v>
      </c>
      <c r="X107" s="103"/>
      <c r="Y107" s="103"/>
      <c r="Z107" s="103" t="s">
        <v>868</v>
      </c>
      <c r="AA107" s="103" t="s">
        <v>869</v>
      </c>
      <c r="AB107" s="103" t="s">
        <v>153</v>
      </c>
      <c r="AC107" s="103">
        <v>0</v>
      </c>
      <c r="AD107" s="156">
        <v>42005</v>
      </c>
      <c r="AE107" s="103"/>
      <c r="AF107" s="103" t="s">
        <v>870</v>
      </c>
      <c r="AG107" s="103" t="s">
        <v>871</v>
      </c>
      <c r="AH107" s="103" t="s">
        <v>872</v>
      </c>
      <c r="AI107" s="103">
        <v>0</v>
      </c>
      <c r="AJ107" s="103"/>
      <c r="AK107" s="103"/>
      <c r="AL107" s="103"/>
      <c r="AM107" s="103"/>
      <c r="AN107" s="103"/>
      <c r="AO107" s="103" t="str">
        <f t="shared" si="3"/>
        <v>CFLscw-Candle(8w)Wtd-Pack</v>
      </c>
    </row>
    <row r="108" spans="1:41">
      <c r="A108" s="177">
        <f>IFERROR(MATCH(D108,'Measure &amp; Standard CostIDs'!C$5:C$177,0),MATCH(D108,'Measure &amp; Standard CostIDs'!S$5:S$177,0))</f>
        <v>104</v>
      </c>
      <c r="B108" s="177">
        <v>1</v>
      </c>
      <c r="C108" s="103" t="s">
        <v>153</v>
      </c>
      <c r="D108" s="103" t="s">
        <v>324</v>
      </c>
      <c r="E108" s="103" t="str">
        <f>IF(LEFT(D108,3)="Std","Base case cost for mix of 60% Incandescent and 40% CFL lamps for CFL TechID: "&amp;INDEX('Measure &amp; Standard CostIDs'!$C$5:$C$177,A108),"&lt;from TechID&gt;")</f>
        <v>&lt;from TechID&gt;</v>
      </c>
      <c r="F108" s="103" t="s">
        <v>860</v>
      </c>
      <c r="G108" s="103" t="s">
        <v>151</v>
      </c>
      <c r="H108" s="103" t="s">
        <v>861</v>
      </c>
      <c r="I108" s="103" t="s">
        <v>862</v>
      </c>
      <c r="J108" s="103" t="s">
        <v>863</v>
      </c>
      <c r="K108" s="103" t="s">
        <v>864</v>
      </c>
      <c r="L108" s="103" t="s">
        <v>153</v>
      </c>
      <c r="M108" s="103" t="s">
        <v>865</v>
      </c>
      <c r="N108" s="103" t="s">
        <v>866</v>
      </c>
      <c r="O108" s="103" t="str">
        <f t="shared" si="2"/>
        <v>CFLscw-Candle(9w)</v>
      </c>
      <c r="P108" s="103" t="s">
        <v>153</v>
      </c>
      <c r="Q108" s="103" t="s">
        <v>153</v>
      </c>
      <c r="R108" s="103" t="s">
        <v>153</v>
      </c>
      <c r="S108" s="103" t="str">
        <f>INDEX('Measure &amp; Standard CostIDs'!$AK$8:$AK$12,B108)</f>
        <v>Wtd-Pack</v>
      </c>
      <c r="T108" s="103" t="s">
        <v>867</v>
      </c>
      <c r="U108" s="103"/>
      <c r="V108" s="103"/>
      <c r="W108" s="103">
        <f>ROUND(IF(LEFT(D108,3)="Std",VLOOKUP(D108,'Measure &amp; Standard CostIDs'!$S$5:$X$177,1+B108,FALSE),VLOOKUP(D108,'Measure &amp; Standard CostIDs'!$C$5:$H$177,1+B108,FALSE)),2)</f>
        <v>7.71</v>
      </c>
      <c r="X108" s="103"/>
      <c r="Y108" s="103"/>
      <c r="Z108" s="103" t="s">
        <v>868</v>
      </c>
      <c r="AA108" s="103" t="s">
        <v>869</v>
      </c>
      <c r="AB108" s="103" t="s">
        <v>153</v>
      </c>
      <c r="AC108" s="103">
        <v>0</v>
      </c>
      <c r="AD108" s="156">
        <v>42005</v>
      </c>
      <c r="AE108" s="103"/>
      <c r="AF108" s="103" t="s">
        <v>870</v>
      </c>
      <c r="AG108" s="103" t="s">
        <v>871</v>
      </c>
      <c r="AH108" s="103" t="s">
        <v>872</v>
      </c>
      <c r="AI108" s="103">
        <v>0</v>
      </c>
      <c r="AJ108" s="103"/>
      <c r="AK108" s="103"/>
      <c r="AL108" s="103"/>
      <c r="AM108" s="103"/>
      <c r="AN108" s="103"/>
      <c r="AO108" s="103" t="str">
        <f t="shared" si="3"/>
        <v>CFLscw-Candle(9w)Wtd-Pack</v>
      </c>
    </row>
    <row r="109" spans="1:41">
      <c r="A109" s="177">
        <f>IFERROR(MATCH(D109,'Measure &amp; Standard CostIDs'!C$5:C$177,0),MATCH(D109,'Measure &amp; Standard CostIDs'!S$5:S$177,0))</f>
        <v>105</v>
      </c>
      <c r="B109" s="177">
        <v>1</v>
      </c>
      <c r="C109" s="103" t="s">
        <v>153</v>
      </c>
      <c r="D109" s="103" t="s">
        <v>349</v>
      </c>
      <c r="E109" s="103" t="str">
        <f>IF(LEFT(D109,3)="Std","Base case cost for mix of 60% Incandescent and 40% CFL lamps for CFL TechID: "&amp;INDEX('Measure &amp; Standard CostIDs'!$C$5:$C$177,A109),"&lt;from TechID&gt;")</f>
        <v>&lt;from TechID&gt;</v>
      </c>
      <c r="F109" s="103" t="s">
        <v>860</v>
      </c>
      <c r="G109" s="103" t="s">
        <v>151</v>
      </c>
      <c r="H109" s="103" t="s">
        <v>861</v>
      </c>
      <c r="I109" s="103" t="s">
        <v>862</v>
      </c>
      <c r="J109" s="103" t="s">
        <v>863</v>
      </c>
      <c r="K109" s="103" t="s">
        <v>864</v>
      </c>
      <c r="L109" s="103" t="s">
        <v>153</v>
      </c>
      <c r="M109" s="103" t="s">
        <v>865</v>
      </c>
      <c r="N109" s="103" t="s">
        <v>866</v>
      </c>
      <c r="O109" s="103" t="str">
        <f t="shared" si="2"/>
        <v>CFLscw-Dim(10w)</v>
      </c>
      <c r="P109" s="103" t="s">
        <v>153</v>
      </c>
      <c r="Q109" s="103" t="s">
        <v>153</v>
      </c>
      <c r="R109" s="103" t="s">
        <v>153</v>
      </c>
      <c r="S109" s="103" t="str">
        <f>INDEX('Measure &amp; Standard CostIDs'!$AK$8:$AK$12,B109)</f>
        <v>Wtd-Pack</v>
      </c>
      <c r="T109" s="103" t="s">
        <v>867</v>
      </c>
      <c r="U109" s="103"/>
      <c r="V109" s="103"/>
      <c r="W109" s="103">
        <f>ROUND(IF(LEFT(D109,3)="Std",VLOOKUP(D109,'Measure &amp; Standard CostIDs'!$S$5:$X$177,1+B109,FALSE),VLOOKUP(D109,'Measure &amp; Standard CostIDs'!$C$5:$H$177,1+B109,FALSE)),2)</f>
        <v>8.6</v>
      </c>
      <c r="X109" s="103"/>
      <c r="Y109" s="103"/>
      <c r="Z109" s="103" t="s">
        <v>868</v>
      </c>
      <c r="AA109" s="103" t="s">
        <v>869</v>
      </c>
      <c r="AB109" s="103" t="s">
        <v>153</v>
      </c>
      <c r="AC109" s="103">
        <v>0</v>
      </c>
      <c r="AD109" s="156">
        <v>42005</v>
      </c>
      <c r="AE109" s="103"/>
      <c r="AF109" s="103" t="s">
        <v>870</v>
      </c>
      <c r="AG109" s="103" t="s">
        <v>871</v>
      </c>
      <c r="AH109" s="103" t="s">
        <v>872</v>
      </c>
      <c r="AI109" s="103">
        <v>0</v>
      </c>
      <c r="AJ109" s="103"/>
      <c r="AK109" s="103"/>
      <c r="AL109" s="103"/>
      <c r="AM109" s="103"/>
      <c r="AN109" s="103"/>
      <c r="AO109" s="103" t="str">
        <f t="shared" si="3"/>
        <v>CFLscw-Dim(10w)Wtd-Pack</v>
      </c>
    </row>
    <row r="110" spans="1:41">
      <c r="A110" s="177">
        <f>IFERROR(MATCH(D110,'Measure &amp; Standard CostIDs'!C$5:C$177,0),MATCH(D110,'Measure &amp; Standard CostIDs'!S$5:S$177,0))</f>
        <v>106</v>
      </c>
      <c r="B110" s="177">
        <v>1</v>
      </c>
      <c r="C110" s="103" t="s">
        <v>153</v>
      </c>
      <c r="D110" s="103" t="s">
        <v>351</v>
      </c>
      <c r="E110" s="103" t="str">
        <f>IF(LEFT(D110,3)="Std","Base case cost for mix of 60% Incandescent and 40% CFL lamps for CFL TechID: "&amp;INDEX('Measure &amp; Standard CostIDs'!$C$5:$C$177,A110),"&lt;from TechID&gt;")</f>
        <v>&lt;from TechID&gt;</v>
      </c>
      <c r="F110" s="103" t="s">
        <v>860</v>
      </c>
      <c r="G110" s="103" t="s">
        <v>151</v>
      </c>
      <c r="H110" s="103" t="s">
        <v>861</v>
      </c>
      <c r="I110" s="103" t="s">
        <v>862</v>
      </c>
      <c r="J110" s="103" t="s">
        <v>863</v>
      </c>
      <c r="K110" s="103" t="s">
        <v>864</v>
      </c>
      <c r="L110" s="103" t="s">
        <v>153</v>
      </c>
      <c r="M110" s="103" t="s">
        <v>865</v>
      </c>
      <c r="N110" s="103" t="s">
        <v>866</v>
      </c>
      <c r="O110" s="103" t="str">
        <f t="shared" si="2"/>
        <v>CFLscw-Dim(11w)</v>
      </c>
      <c r="P110" s="103" t="s">
        <v>153</v>
      </c>
      <c r="Q110" s="103" t="s">
        <v>153</v>
      </c>
      <c r="R110" s="103" t="s">
        <v>153</v>
      </c>
      <c r="S110" s="103" t="str">
        <f>INDEX('Measure &amp; Standard CostIDs'!$AK$8:$AK$12,B110)</f>
        <v>Wtd-Pack</v>
      </c>
      <c r="T110" s="103" t="s">
        <v>867</v>
      </c>
      <c r="U110" s="103"/>
      <c r="V110" s="103"/>
      <c r="W110" s="103">
        <f>ROUND(IF(LEFT(D110,3)="Std",VLOOKUP(D110,'Measure &amp; Standard CostIDs'!$S$5:$X$177,1+B110,FALSE),VLOOKUP(D110,'Measure &amp; Standard CostIDs'!$C$5:$H$177,1+B110,FALSE)),2)</f>
        <v>8.67</v>
      </c>
      <c r="X110" s="103"/>
      <c r="Y110" s="103"/>
      <c r="Z110" s="103" t="s">
        <v>868</v>
      </c>
      <c r="AA110" s="103" t="s">
        <v>869</v>
      </c>
      <c r="AB110" s="103" t="s">
        <v>153</v>
      </c>
      <c r="AC110" s="103">
        <v>0</v>
      </c>
      <c r="AD110" s="156">
        <v>42005</v>
      </c>
      <c r="AE110" s="103"/>
      <c r="AF110" s="103" t="s">
        <v>870</v>
      </c>
      <c r="AG110" s="103" t="s">
        <v>871</v>
      </c>
      <c r="AH110" s="103" t="s">
        <v>872</v>
      </c>
      <c r="AI110" s="103">
        <v>0</v>
      </c>
      <c r="AJ110" s="103"/>
      <c r="AK110" s="103"/>
      <c r="AL110" s="103"/>
      <c r="AM110" s="103"/>
      <c r="AN110" s="103"/>
      <c r="AO110" s="103" t="str">
        <f t="shared" si="3"/>
        <v>CFLscw-Dim(11w)Wtd-Pack</v>
      </c>
    </row>
    <row r="111" spans="1:41">
      <c r="A111" s="177">
        <f>IFERROR(MATCH(D111,'Measure &amp; Standard CostIDs'!C$5:C$177,0),MATCH(D111,'Measure &amp; Standard CostIDs'!S$5:S$177,0))</f>
        <v>107</v>
      </c>
      <c r="B111" s="177">
        <v>1</v>
      </c>
      <c r="C111" s="103" t="s">
        <v>153</v>
      </c>
      <c r="D111" s="103" t="s">
        <v>353</v>
      </c>
      <c r="E111" s="103" t="str">
        <f>IF(LEFT(D111,3)="Std","Base case cost for mix of 60% Incandescent and 40% CFL lamps for CFL TechID: "&amp;INDEX('Measure &amp; Standard CostIDs'!$C$5:$C$177,A111),"&lt;from TechID&gt;")</f>
        <v>&lt;from TechID&gt;</v>
      </c>
      <c r="F111" s="103" t="s">
        <v>860</v>
      </c>
      <c r="G111" s="103" t="s">
        <v>151</v>
      </c>
      <c r="H111" s="103" t="s">
        <v>861</v>
      </c>
      <c r="I111" s="103" t="s">
        <v>862</v>
      </c>
      <c r="J111" s="103" t="s">
        <v>863</v>
      </c>
      <c r="K111" s="103" t="s">
        <v>864</v>
      </c>
      <c r="L111" s="103" t="s">
        <v>153</v>
      </c>
      <c r="M111" s="103" t="s">
        <v>865</v>
      </c>
      <c r="N111" s="103" t="s">
        <v>866</v>
      </c>
      <c r="O111" s="103" t="str">
        <f t="shared" si="2"/>
        <v>CFLscw-Dim(14w)</v>
      </c>
      <c r="P111" s="103" t="s">
        <v>153</v>
      </c>
      <c r="Q111" s="103" t="s">
        <v>153</v>
      </c>
      <c r="R111" s="103" t="s">
        <v>153</v>
      </c>
      <c r="S111" s="103" t="str">
        <f>INDEX('Measure &amp; Standard CostIDs'!$AK$8:$AK$12,B111)</f>
        <v>Wtd-Pack</v>
      </c>
      <c r="T111" s="103" t="s">
        <v>867</v>
      </c>
      <c r="U111" s="103"/>
      <c r="V111" s="103"/>
      <c r="W111" s="103">
        <f>ROUND(IF(LEFT(D111,3)="Std",VLOOKUP(D111,'Measure &amp; Standard CostIDs'!$S$5:$X$177,1+B111,FALSE),VLOOKUP(D111,'Measure &amp; Standard CostIDs'!$C$5:$H$177,1+B111,FALSE)),2)</f>
        <v>8.8699999999999992</v>
      </c>
      <c r="X111" s="103"/>
      <c r="Y111" s="103"/>
      <c r="Z111" s="103" t="s">
        <v>868</v>
      </c>
      <c r="AA111" s="103" t="s">
        <v>869</v>
      </c>
      <c r="AB111" s="103" t="s">
        <v>153</v>
      </c>
      <c r="AC111" s="103">
        <v>0</v>
      </c>
      <c r="AD111" s="156">
        <v>42005</v>
      </c>
      <c r="AE111" s="103"/>
      <c r="AF111" s="103" t="s">
        <v>870</v>
      </c>
      <c r="AG111" s="103" t="s">
        <v>871</v>
      </c>
      <c r="AH111" s="103" t="s">
        <v>872</v>
      </c>
      <c r="AI111" s="103">
        <v>0</v>
      </c>
      <c r="AJ111" s="103"/>
      <c r="AK111" s="103"/>
      <c r="AL111" s="103"/>
      <c r="AM111" s="103"/>
      <c r="AN111" s="103"/>
      <c r="AO111" s="103" t="str">
        <f t="shared" si="3"/>
        <v>CFLscw-Dim(14w)Wtd-Pack</v>
      </c>
    </row>
    <row r="112" spans="1:41">
      <c r="A112" s="177">
        <f>IFERROR(MATCH(D112,'Measure &amp; Standard CostIDs'!C$5:C$177,0),MATCH(D112,'Measure &amp; Standard CostIDs'!S$5:S$177,0))</f>
        <v>108</v>
      </c>
      <c r="B112" s="177">
        <v>1</v>
      </c>
      <c r="C112" s="103" t="s">
        <v>153</v>
      </c>
      <c r="D112" s="103" t="s">
        <v>356</v>
      </c>
      <c r="E112" s="103" t="str">
        <f>IF(LEFT(D112,3)="Std","Base case cost for mix of 60% Incandescent and 40% CFL lamps for CFL TechID: "&amp;INDEX('Measure &amp; Standard CostIDs'!$C$5:$C$177,A112),"&lt;from TechID&gt;")</f>
        <v>&lt;from TechID&gt;</v>
      </c>
      <c r="F112" s="103" t="s">
        <v>860</v>
      </c>
      <c r="G112" s="103" t="s">
        <v>151</v>
      </c>
      <c r="H112" s="103" t="s">
        <v>861</v>
      </c>
      <c r="I112" s="103" t="s">
        <v>862</v>
      </c>
      <c r="J112" s="103" t="s">
        <v>863</v>
      </c>
      <c r="K112" s="103" t="s">
        <v>864</v>
      </c>
      <c r="L112" s="103" t="s">
        <v>153</v>
      </c>
      <c r="M112" s="103" t="s">
        <v>865</v>
      </c>
      <c r="N112" s="103" t="s">
        <v>866</v>
      </c>
      <c r="O112" s="103" t="str">
        <f t="shared" si="2"/>
        <v>CFLscw-Dim(15w)</v>
      </c>
      <c r="P112" s="103" t="s">
        <v>153</v>
      </c>
      <c r="Q112" s="103" t="s">
        <v>153</v>
      </c>
      <c r="R112" s="103" t="s">
        <v>153</v>
      </c>
      <c r="S112" s="103" t="str">
        <f>INDEX('Measure &amp; Standard CostIDs'!$AK$8:$AK$12,B112)</f>
        <v>Wtd-Pack</v>
      </c>
      <c r="T112" s="103" t="s">
        <v>867</v>
      </c>
      <c r="U112" s="103"/>
      <c r="V112" s="103"/>
      <c r="W112" s="103">
        <f>ROUND(IF(LEFT(D112,3)="Std",VLOOKUP(D112,'Measure &amp; Standard CostIDs'!$S$5:$X$177,1+B112,FALSE),VLOOKUP(D112,'Measure &amp; Standard CostIDs'!$C$5:$H$177,1+B112,FALSE)),2)</f>
        <v>8.93</v>
      </c>
      <c r="X112" s="103"/>
      <c r="Y112" s="103"/>
      <c r="Z112" s="103" t="s">
        <v>868</v>
      </c>
      <c r="AA112" s="103" t="s">
        <v>869</v>
      </c>
      <c r="AB112" s="103" t="s">
        <v>153</v>
      </c>
      <c r="AC112" s="103">
        <v>0</v>
      </c>
      <c r="AD112" s="156">
        <v>42005</v>
      </c>
      <c r="AE112" s="103"/>
      <c r="AF112" s="103" t="s">
        <v>870</v>
      </c>
      <c r="AG112" s="103" t="s">
        <v>871</v>
      </c>
      <c r="AH112" s="103" t="s">
        <v>872</v>
      </c>
      <c r="AI112" s="103">
        <v>0</v>
      </c>
      <c r="AJ112" s="103"/>
      <c r="AK112" s="103"/>
      <c r="AL112" s="103"/>
      <c r="AM112" s="103"/>
      <c r="AN112" s="103"/>
      <c r="AO112" s="103" t="str">
        <f t="shared" si="3"/>
        <v>CFLscw-Dim(15w)Wtd-Pack</v>
      </c>
    </row>
    <row r="113" spans="1:41">
      <c r="A113" s="177">
        <f>IFERROR(MATCH(D113,'Measure &amp; Standard CostIDs'!C$5:C$177,0),MATCH(D113,'Measure &amp; Standard CostIDs'!S$5:S$177,0))</f>
        <v>109</v>
      </c>
      <c r="B113" s="177">
        <v>1</v>
      </c>
      <c r="C113" s="103" t="s">
        <v>153</v>
      </c>
      <c r="D113" s="103" t="s">
        <v>358</v>
      </c>
      <c r="E113" s="103" t="str">
        <f>IF(LEFT(D113,3)="Std","Base case cost for mix of 60% Incandescent and 40% CFL lamps for CFL TechID: "&amp;INDEX('Measure &amp; Standard CostIDs'!$C$5:$C$177,A113),"&lt;from TechID&gt;")</f>
        <v>&lt;from TechID&gt;</v>
      </c>
      <c r="F113" s="103" t="s">
        <v>860</v>
      </c>
      <c r="G113" s="103" t="s">
        <v>151</v>
      </c>
      <c r="H113" s="103" t="s">
        <v>861</v>
      </c>
      <c r="I113" s="103" t="s">
        <v>862</v>
      </c>
      <c r="J113" s="103" t="s">
        <v>863</v>
      </c>
      <c r="K113" s="103" t="s">
        <v>864</v>
      </c>
      <c r="L113" s="103" t="s">
        <v>153</v>
      </c>
      <c r="M113" s="103" t="s">
        <v>865</v>
      </c>
      <c r="N113" s="103" t="s">
        <v>866</v>
      </c>
      <c r="O113" s="103" t="str">
        <f t="shared" si="2"/>
        <v>CFLscw-Dim(16w)</v>
      </c>
      <c r="P113" s="103" t="s">
        <v>153</v>
      </c>
      <c r="Q113" s="103" t="s">
        <v>153</v>
      </c>
      <c r="R113" s="103" t="s">
        <v>153</v>
      </c>
      <c r="S113" s="103" t="str">
        <f>INDEX('Measure &amp; Standard CostIDs'!$AK$8:$AK$12,B113)</f>
        <v>Wtd-Pack</v>
      </c>
      <c r="T113" s="103" t="s">
        <v>867</v>
      </c>
      <c r="U113" s="103"/>
      <c r="V113" s="103"/>
      <c r="W113" s="103">
        <f>ROUND(IF(LEFT(D113,3)="Std",VLOOKUP(D113,'Measure &amp; Standard CostIDs'!$S$5:$X$177,1+B113,FALSE),VLOOKUP(D113,'Measure &amp; Standard CostIDs'!$C$5:$H$177,1+B113,FALSE)),2)</f>
        <v>9</v>
      </c>
      <c r="X113" s="103"/>
      <c r="Y113" s="103"/>
      <c r="Z113" s="103" t="s">
        <v>868</v>
      </c>
      <c r="AA113" s="103" t="s">
        <v>869</v>
      </c>
      <c r="AB113" s="103" t="s">
        <v>153</v>
      </c>
      <c r="AC113" s="103">
        <v>0</v>
      </c>
      <c r="AD113" s="156">
        <v>42005</v>
      </c>
      <c r="AE113" s="103"/>
      <c r="AF113" s="103" t="s">
        <v>870</v>
      </c>
      <c r="AG113" s="103" t="s">
        <v>871</v>
      </c>
      <c r="AH113" s="103" t="s">
        <v>872</v>
      </c>
      <c r="AI113" s="103">
        <v>0</v>
      </c>
      <c r="AJ113" s="103"/>
      <c r="AK113" s="103"/>
      <c r="AL113" s="103"/>
      <c r="AM113" s="103"/>
      <c r="AN113" s="103"/>
      <c r="AO113" s="103" t="str">
        <f t="shared" si="3"/>
        <v>CFLscw-Dim(16w)Wtd-Pack</v>
      </c>
    </row>
    <row r="114" spans="1:41">
      <c r="A114" s="177">
        <f>IFERROR(MATCH(D114,'Measure &amp; Standard CostIDs'!C$5:C$177,0),MATCH(D114,'Measure &amp; Standard CostIDs'!S$5:S$177,0))</f>
        <v>110</v>
      </c>
      <c r="B114" s="177">
        <v>1</v>
      </c>
      <c r="C114" s="103" t="s">
        <v>153</v>
      </c>
      <c r="D114" s="103" t="s">
        <v>360</v>
      </c>
      <c r="E114" s="103" t="str">
        <f>IF(LEFT(D114,3)="Std","Base case cost for mix of 60% Incandescent and 40% CFL lamps for CFL TechID: "&amp;INDEX('Measure &amp; Standard CostIDs'!$C$5:$C$177,A114),"&lt;from TechID&gt;")</f>
        <v>&lt;from TechID&gt;</v>
      </c>
      <c r="F114" s="103" t="s">
        <v>860</v>
      </c>
      <c r="G114" s="103" t="s">
        <v>151</v>
      </c>
      <c r="H114" s="103" t="s">
        <v>861</v>
      </c>
      <c r="I114" s="103" t="s">
        <v>862</v>
      </c>
      <c r="J114" s="103" t="s">
        <v>863</v>
      </c>
      <c r="K114" s="103" t="s">
        <v>864</v>
      </c>
      <c r="L114" s="103" t="s">
        <v>153</v>
      </c>
      <c r="M114" s="103" t="s">
        <v>865</v>
      </c>
      <c r="N114" s="103" t="s">
        <v>866</v>
      </c>
      <c r="O114" s="103" t="str">
        <f t="shared" si="2"/>
        <v>CFLscw-Dim(18w)</v>
      </c>
      <c r="P114" s="103" t="s">
        <v>153</v>
      </c>
      <c r="Q114" s="103" t="s">
        <v>153</v>
      </c>
      <c r="R114" s="103" t="s">
        <v>153</v>
      </c>
      <c r="S114" s="103" t="str">
        <f>INDEX('Measure &amp; Standard CostIDs'!$AK$8:$AK$12,B114)</f>
        <v>Wtd-Pack</v>
      </c>
      <c r="T114" s="103" t="s">
        <v>867</v>
      </c>
      <c r="U114" s="103"/>
      <c r="V114" s="103"/>
      <c r="W114" s="103">
        <f>ROUND(IF(LEFT(D114,3)="Std",VLOOKUP(D114,'Measure &amp; Standard CostIDs'!$S$5:$X$177,1+B114,FALSE),VLOOKUP(D114,'Measure &amp; Standard CostIDs'!$C$5:$H$177,1+B114,FALSE)),2)</f>
        <v>9.1300000000000008</v>
      </c>
      <c r="X114" s="103"/>
      <c r="Y114" s="103"/>
      <c r="Z114" s="103" t="s">
        <v>868</v>
      </c>
      <c r="AA114" s="103" t="s">
        <v>869</v>
      </c>
      <c r="AB114" s="103" t="s">
        <v>153</v>
      </c>
      <c r="AC114" s="103">
        <v>0</v>
      </c>
      <c r="AD114" s="156">
        <v>42005</v>
      </c>
      <c r="AE114" s="103"/>
      <c r="AF114" s="103" t="s">
        <v>870</v>
      </c>
      <c r="AG114" s="103" t="s">
        <v>871</v>
      </c>
      <c r="AH114" s="103" t="s">
        <v>872</v>
      </c>
      <c r="AI114" s="103">
        <v>0</v>
      </c>
      <c r="AJ114" s="103"/>
      <c r="AK114" s="103"/>
      <c r="AL114" s="103"/>
      <c r="AM114" s="103"/>
      <c r="AN114" s="103"/>
      <c r="AO114" s="103" t="str">
        <f t="shared" si="3"/>
        <v>CFLscw-Dim(18w)Wtd-Pack</v>
      </c>
    </row>
    <row r="115" spans="1:41">
      <c r="A115" s="177">
        <f>IFERROR(MATCH(D115,'Measure &amp; Standard CostIDs'!C$5:C$177,0),MATCH(D115,'Measure &amp; Standard CostIDs'!S$5:S$177,0))</f>
        <v>111</v>
      </c>
      <c r="B115" s="177">
        <v>1</v>
      </c>
      <c r="C115" s="103" t="s">
        <v>153</v>
      </c>
      <c r="D115" s="103" t="s">
        <v>362</v>
      </c>
      <c r="E115" s="103" t="str">
        <f>IF(LEFT(D115,3)="Std","Base case cost for mix of 60% Incandescent and 40% CFL lamps for CFL TechID: "&amp;INDEX('Measure &amp; Standard CostIDs'!$C$5:$C$177,A115),"&lt;from TechID&gt;")</f>
        <v>&lt;from TechID&gt;</v>
      </c>
      <c r="F115" s="103" t="s">
        <v>860</v>
      </c>
      <c r="G115" s="103" t="s">
        <v>151</v>
      </c>
      <c r="H115" s="103" t="s">
        <v>861</v>
      </c>
      <c r="I115" s="103" t="s">
        <v>862</v>
      </c>
      <c r="J115" s="103" t="s">
        <v>863</v>
      </c>
      <c r="K115" s="103" t="s">
        <v>864</v>
      </c>
      <c r="L115" s="103" t="s">
        <v>153</v>
      </c>
      <c r="M115" s="103" t="s">
        <v>865</v>
      </c>
      <c r="N115" s="103" t="s">
        <v>866</v>
      </c>
      <c r="O115" s="103" t="str">
        <f t="shared" si="2"/>
        <v>CFLscw-Dim(19w)</v>
      </c>
      <c r="P115" s="103" t="s">
        <v>153</v>
      </c>
      <c r="Q115" s="103" t="s">
        <v>153</v>
      </c>
      <c r="R115" s="103" t="s">
        <v>153</v>
      </c>
      <c r="S115" s="103" t="str">
        <f>INDEX('Measure &amp; Standard CostIDs'!$AK$8:$AK$12,B115)</f>
        <v>Wtd-Pack</v>
      </c>
      <c r="T115" s="103" t="s">
        <v>867</v>
      </c>
      <c r="U115" s="103"/>
      <c r="V115" s="103"/>
      <c r="W115" s="103">
        <f>ROUND(IF(LEFT(D115,3)="Std",VLOOKUP(D115,'Measure &amp; Standard CostIDs'!$S$5:$X$177,1+B115,FALSE),VLOOKUP(D115,'Measure &amp; Standard CostIDs'!$C$5:$H$177,1+B115,FALSE)),2)</f>
        <v>9.1999999999999993</v>
      </c>
      <c r="X115" s="103"/>
      <c r="Y115" s="103"/>
      <c r="Z115" s="103" t="s">
        <v>868</v>
      </c>
      <c r="AA115" s="103" t="s">
        <v>869</v>
      </c>
      <c r="AB115" s="103" t="s">
        <v>153</v>
      </c>
      <c r="AC115" s="103">
        <v>0</v>
      </c>
      <c r="AD115" s="156">
        <v>42005</v>
      </c>
      <c r="AE115" s="103"/>
      <c r="AF115" s="103" t="s">
        <v>870</v>
      </c>
      <c r="AG115" s="103" t="s">
        <v>871</v>
      </c>
      <c r="AH115" s="103" t="s">
        <v>872</v>
      </c>
      <c r="AI115" s="103">
        <v>0</v>
      </c>
      <c r="AJ115" s="103"/>
      <c r="AK115" s="103"/>
      <c r="AL115" s="103"/>
      <c r="AM115" s="103"/>
      <c r="AN115" s="103"/>
      <c r="AO115" s="103" t="str">
        <f t="shared" si="3"/>
        <v>CFLscw-Dim(19w)Wtd-Pack</v>
      </c>
    </row>
    <row r="116" spans="1:41">
      <c r="A116" s="177">
        <f>IFERROR(MATCH(D116,'Measure &amp; Standard CostIDs'!C$5:C$177,0),MATCH(D116,'Measure &amp; Standard CostIDs'!S$5:S$177,0))</f>
        <v>112</v>
      </c>
      <c r="B116" s="177">
        <v>1</v>
      </c>
      <c r="C116" s="103" t="s">
        <v>153</v>
      </c>
      <c r="D116" s="103" t="s">
        <v>364</v>
      </c>
      <c r="E116" s="103" t="str">
        <f>IF(LEFT(D116,3)="Std","Base case cost for mix of 60% Incandescent and 40% CFL lamps for CFL TechID: "&amp;INDEX('Measure &amp; Standard CostIDs'!$C$5:$C$177,A116),"&lt;from TechID&gt;")</f>
        <v>&lt;from TechID&gt;</v>
      </c>
      <c r="F116" s="103" t="s">
        <v>860</v>
      </c>
      <c r="G116" s="103" t="s">
        <v>151</v>
      </c>
      <c r="H116" s="103" t="s">
        <v>861</v>
      </c>
      <c r="I116" s="103" t="s">
        <v>862</v>
      </c>
      <c r="J116" s="103" t="s">
        <v>863</v>
      </c>
      <c r="K116" s="103" t="s">
        <v>864</v>
      </c>
      <c r="L116" s="103" t="s">
        <v>153</v>
      </c>
      <c r="M116" s="103" t="s">
        <v>865</v>
      </c>
      <c r="N116" s="103" t="s">
        <v>866</v>
      </c>
      <c r="O116" s="103" t="str">
        <f t="shared" si="2"/>
        <v>CFLscw-Dim(20w)</v>
      </c>
      <c r="P116" s="103" t="s">
        <v>153</v>
      </c>
      <c r="Q116" s="103" t="s">
        <v>153</v>
      </c>
      <c r="R116" s="103" t="s">
        <v>153</v>
      </c>
      <c r="S116" s="103" t="str">
        <f>INDEX('Measure &amp; Standard CostIDs'!$AK$8:$AK$12,B116)</f>
        <v>Wtd-Pack</v>
      </c>
      <c r="T116" s="103" t="s">
        <v>867</v>
      </c>
      <c r="U116" s="103"/>
      <c r="V116" s="103"/>
      <c r="W116" s="103">
        <f>ROUND(IF(LEFT(D116,3)="Std",VLOOKUP(D116,'Measure &amp; Standard CostIDs'!$S$5:$X$177,1+B116,FALSE),VLOOKUP(D116,'Measure &amp; Standard CostIDs'!$C$5:$H$177,1+B116,FALSE)),2)</f>
        <v>9.27</v>
      </c>
      <c r="X116" s="103"/>
      <c r="Y116" s="103"/>
      <c r="Z116" s="103" t="s">
        <v>868</v>
      </c>
      <c r="AA116" s="103" t="s">
        <v>869</v>
      </c>
      <c r="AB116" s="103" t="s">
        <v>153</v>
      </c>
      <c r="AC116" s="103">
        <v>0</v>
      </c>
      <c r="AD116" s="156">
        <v>42005</v>
      </c>
      <c r="AE116" s="103"/>
      <c r="AF116" s="103" t="s">
        <v>870</v>
      </c>
      <c r="AG116" s="103" t="s">
        <v>871</v>
      </c>
      <c r="AH116" s="103" t="s">
        <v>872</v>
      </c>
      <c r="AI116" s="103">
        <v>0</v>
      </c>
      <c r="AJ116" s="103"/>
      <c r="AK116" s="103"/>
      <c r="AL116" s="103"/>
      <c r="AM116" s="103"/>
      <c r="AN116" s="103"/>
      <c r="AO116" s="103" t="str">
        <f t="shared" si="3"/>
        <v>CFLscw-Dim(20w)Wtd-Pack</v>
      </c>
    </row>
    <row r="117" spans="1:41">
      <c r="A117" s="177">
        <f>IFERROR(MATCH(D117,'Measure &amp; Standard CostIDs'!C$5:C$177,0),MATCH(D117,'Measure &amp; Standard CostIDs'!S$5:S$177,0))</f>
        <v>113</v>
      </c>
      <c r="B117" s="177">
        <v>1</v>
      </c>
      <c r="C117" s="103" t="s">
        <v>153</v>
      </c>
      <c r="D117" s="103" t="s">
        <v>366</v>
      </c>
      <c r="E117" s="103" t="str">
        <f>IF(LEFT(D117,3)="Std","Base case cost for mix of 60% Incandescent and 40% CFL lamps for CFL TechID: "&amp;INDEX('Measure &amp; Standard CostIDs'!$C$5:$C$177,A117),"&lt;from TechID&gt;")</f>
        <v>&lt;from TechID&gt;</v>
      </c>
      <c r="F117" s="103" t="s">
        <v>860</v>
      </c>
      <c r="G117" s="103" t="s">
        <v>151</v>
      </c>
      <c r="H117" s="103" t="s">
        <v>861</v>
      </c>
      <c r="I117" s="103" t="s">
        <v>862</v>
      </c>
      <c r="J117" s="103" t="s">
        <v>863</v>
      </c>
      <c r="K117" s="103" t="s">
        <v>864</v>
      </c>
      <c r="L117" s="103" t="s">
        <v>153</v>
      </c>
      <c r="M117" s="103" t="s">
        <v>865</v>
      </c>
      <c r="N117" s="103" t="s">
        <v>866</v>
      </c>
      <c r="O117" s="103" t="str">
        <f t="shared" si="2"/>
        <v>CFLscw-Dim(23w)</v>
      </c>
      <c r="P117" s="103" t="s">
        <v>153</v>
      </c>
      <c r="Q117" s="103" t="s">
        <v>153</v>
      </c>
      <c r="R117" s="103" t="s">
        <v>153</v>
      </c>
      <c r="S117" s="103" t="str">
        <f>INDEX('Measure &amp; Standard CostIDs'!$AK$8:$AK$12,B117)</f>
        <v>Wtd-Pack</v>
      </c>
      <c r="T117" s="103" t="s">
        <v>867</v>
      </c>
      <c r="U117" s="103"/>
      <c r="V117" s="103"/>
      <c r="W117" s="103">
        <f>ROUND(IF(LEFT(D117,3)="Std",VLOOKUP(D117,'Measure &amp; Standard CostIDs'!$S$5:$X$177,1+B117,FALSE),VLOOKUP(D117,'Measure &amp; Standard CostIDs'!$C$5:$H$177,1+B117,FALSE)),2)</f>
        <v>9.4700000000000006</v>
      </c>
      <c r="X117" s="103"/>
      <c r="Y117" s="103"/>
      <c r="Z117" s="103" t="s">
        <v>868</v>
      </c>
      <c r="AA117" s="103" t="s">
        <v>869</v>
      </c>
      <c r="AB117" s="103" t="s">
        <v>153</v>
      </c>
      <c r="AC117" s="103">
        <v>0</v>
      </c>
      <c r="AD117" s="156">
        <v>42005</v>
      </c>
      <c r="AE117" s="103"/>
      <c r="AF117" s="103" t="s">
        <v>870</v>
      </c>
      <c r="AG117" s="103" t="s">
        <v>871</v>
      </c>
      <c r="AH117" s="103" t="s">
        <v>872</v>
      </c>
      <c r="AI117" s="103">
        <v>0</v>
      </c>
      <c r="AJ117" s="103"/>
      <c r="AK117" s="103"/>
      <c r="AL117" s="103"/>
      <c r="AM117" s="103"/>
      <c r="AN117" s="103"/>
      <c r="AO117" s="103" t="str">
        <f t="shared" si="3"/>
        <v>CFLscw-Dim(23w)Wtd-Pack</v>
      </c>
    </row>
    <row r="118" spans="1:41">
      <c r="A118" s="177">
        <f>IFERROR(MATCH(D118,'Measure &amp; Standard CostIDs'!C$5:C$177,0),MATCH(D118,'Measure &amp; Standard CostIDs'!S$5:S$177,0))</f>
        <v>114</v>
      </c>
      <c r="B118" s="177">
        <v>1</v>
      </c>
      <c r="C118" s="103" t="s">
        <v>153</v>
      </c>
      <c r="D118" s="103" t="s">
        <v>368</v>
      </c>
      <c r="E118" s="103" t="str">
        <f>IF(LEFT(D118,3)="Std","Base case cost for mix of 60% Incandescent and 40% CFL lamps for CFL TechID: "&amp;INDEX('Measure &amp; Standard CostIDs'!$C$5:$C$177,A118),"&lt;from TechID&gt;")</f>
        <v>&lt;from TechID&gt;</v>
      </c>
      <c r="F118" s="103" t="s">
        <v>860</v>
      </c>
      <c r="G118" s="103" t="s">
        <v>151</v>
      </c>
      <c r="H118" s="103" t="s">
        <v>861</v>
      </c>
      <c r="I118" s="103" t="s">
        <v>862</v>
      </c>
      <c r="J118" s="103" t="s">
        <v>863</v>
      </c>
      <c r="K118" s="103" t="s">
        <v>864</v>
      </c>
      <c r="L118" s="103" t="s">
        <v>153</v>
      </c>
      <c r="M118" s="103" t="s">
        <v>865</v>
      </c>
      <c r="N118" s="103" t="s">
        <v>866</v>
      </c>
      <c r="O118" s="103" t="str">
        <f t="shared" si="2"/>
        <v>CFLscw-Dim(25w)</v>
      </c>
      <c r="P118" s="103" t="s">
        <v>153</v>
      </c>
      <c r="Q118" s="103" t="s">
        <v>153</v>
      </c>
      <c r="R118" s="103" t="s">
        <v>153</v>
      </c>
      <c r="S118" s="103" t="str">
        <f>INDEX('Measure &amp; Standard CostIDs'!$AK$8:$AK$12,B118)</f>
        <v>Wtd-Pack</v>
      </c>
      <c r="T118" s="103" t="s">
        <v>867</v>
      </c>
      <c r="U118" s="103"/>
      <c r="V118" s="103"/>
      <c r="W118" s="103">
        <f>ROUND(IF(LEFT(D118,3)="Std",VLOOKUP(D118,'Measure &amp; Standard CostIDs'!$S$5:$X$177,1+B118,FALSE),VLOOKUP(D118,'Measure &amp; Standard CostIDs'!$C$5:$H$177,1+B118,FALSE)),2)</f>
        <v>9.6</v>
      </c>
      <c r="X118" s="103"/>
      <c r="Y118" s="103"/>
      <c r="Z118" s="103" t="s">
        <v>868</v>
      </c>
      <c r="AA118" s="103" t="s">
        <v>869</v>
      </c>
      <c r="AB118" s="103" t="s">
        <v>153</v>
      </c>
      <c r="AC118" s="103">
        <v>0</v>
      </c>
      <c r="AD118" s="156">
        <v>42005</v>
      </c>
      <c r="AE118" s="103"/>
      <c r="AF118" s="103" t="s">
        <v>870</v>
      </c>
      <c r="AG118" s="103" t="s">
        <v>871</v>
      </c>
      <c r="AH118" s="103" t="s">
        <v>872</v>
      </c>
      <c r="AI118" s="103">
        <v>0</v>
      </c>
      <c r="AJ118" s="103"/>
      <c r="AK118" s="103"/>
      <c r="AL118" s="103"/>
      <c r="AM118" s="103"/>
      <c r="AN118" s="103"/>
      <c r="AO118" s="103" t="str">
        <f t="shared" si="3"/>
        <v>CFLscw-Dim(25w)Wtd-Pack</v>
      </c>
    </row>
    <row r="119" spans="1:41">
      <c r="A119" s="177">
        <f>IFERROR(MATCH(D119,'Measure &amp; Standard CostIDs'!C$5:C$177,0),MATCH(D119,'Measure &amp; Standard CostIDs'!S$5:S$177,0))</f>
        <v>115</v>
      </c>
      <c r="B119" s="177">
        <v>1</v>
      </c>
      <c r="C119" s="103" t="s">
        <v>153</v>
      </c>
      <c r="D119" s="103" t="s">
        <v>370</v>
      </c>
      <c r="E119" s="103" t="str">
        <f>IF(LEFT(D119,3)="Std","Base case cost for mix of 60% Incandescent and 40% CFL lamps for CFL TechID: "&amp;INDEX('Measure &amp; Standard CostIDs'!$C$5:$C$177,A119),"&lt;from TechID&gt;")</f>
        <v>&lt;from TechID&gt;</v>
      </c>
      <c r="F119" s="103" t="s">
        <v>860</v>
      </c>
      <c r="G119" s="103" t="s">
        <v>151</v>
      </c>
      <c r="H119" s="103" t="s">
        <v>861</v>
      </c>
      <c r="I119" s="103" t="s">
        <v>862</v>
      </c>
      <c r="J119" s="103" t="s">
        <v>863</v>
      </c>
      <c r="K119" s="103" t="s">
        <v>864</v>
      </c>
      <c r="L119" s="103" t="s">
        <v>153</v>
      </c>
      <c r="M119" s="103" t="s">
        <v>865</v>
      </c>
      <c r="N119" s="103" t="s">
        <v>866</v>
      </c>
      <c r="O119" s="103" t="str">
        <f t="shared" si="2"/>
        <v>CFLscw-Dim(26w)</v>
      </c>
      <c r="P119" s="103" t="s">
        <v>153</v>
      </c>
      <c r="Q119" s="103" t="s">
        <v>153</v>
      </c>
      <c r="R119" s="103" t="s">
        <v>153</v>
      </c>
      <c r="S119" s="103" t="str">
        <f>INDEX('Measure &amp; Standard CostIDs'!$AK$8:$AK$12,B119)</f>
        <v>Wtd-Pack</v>
      </c>
      <c r="T119" s="103" t="s">
        <v>867</v>
      </c>
      <c r="U119" s="103"/>
      <c r="V119" s="103"/>
      <c r="W119" s="103">
        <f>ROUND(IF(LEFT(D119,3)="Std",VLOOKUP(D119,'Measure &amp; Standard CostIDs'!$S$5:$X$177,1+B119,FALSE),VLOOKUP(D119,'Measure &amp; Standard CostIDs'!$C$5:$H$177,1+B119,FALSE)),2)</f>
        <v>9.76</v>
      </c>
      <c r="X119" s="103"/>
      <c r="Y119" s="103"/>
      <c r="Z119" s="103" t="s">
        <v>868</v>
      </c>
      <c r="AA119" s="103" t="s">
        <v>869</v>
      </c>
      <c r="AB119" s="103" t="s">
        <v>153</v>
      </c>
      <c r="AC119" s="103">
        <v>0</v>
      </c>
      <c r="AD119" s="156">
        <v>42005</v>
      </c>
      <c r="AE119" s="103"/>
      <c r="AF119" s="103" t="s">
        <v>870</v>
      </c>
      <c r="AG119" s="103" t="s">
        <v>871</v>
      </c>
      <c r="AH119" s="103" t="s">
        <v>872</v>
      </c>
      <c r="AI119" s="103">
        <v>0</v>
      </c>
      <c r="AJ119" s="103"/>
      <c r="AK119" s="103"/>
      <c r="AL119" s="103"/>
      <c r="AM119" s="103"/>
      <c r="AN119" s="103"/>
      <c r="AO119" s="103" t="str">
        <f t="shared" si="3"/>
        <v>CFLscw-Dim(26w)Wtd-Pack</v>
      </c>
    </row>
    <row r="120" spans="1:41">
      <c r="A120" s="177">
        <f>IFERROR(MATCH(D120,'Measure &amp; Standard CostIDs'!C$5:C$177,0),MATCH(D120,'Measure &amp; Standard CostIDs'!S$5:S$177,0))</f>
        <v>116</v>
      </c>
      <c r="B120" s="177">
        <v>1</v>
      </c>
      <c r="C120" s="103" t="s">
        <v>153</v>
      </c>
      <c r="D120" s="103" t="s">
        <v>372</v>
      </c>
      <c r="E120" s="103" t="str">
        <f>IF(LEFT(D120,3)="Std","Base case cost for mix of 60% Incandescent and 40% CFL lamps for CFL TechID: "&amp;INDEX('Measure &amp; Standard CostIDs'!$C$5:$C$177,A120),"&lt;from TechID&gt;")</f>
        <v>&lt;from TechID&gt;</v>
      </c>
      <c r="F120" s="103" t="s">
        <v>860</v>
      </c>
      <c r="G120" s="103" t="s">
        <v>151</v>
      </c>
      <c r="H120" s="103" t="s">
        <v>861</v>
      </c>
      <c r="I120" s="103" t="s">
        <v>862</v>
      </c>
      <c r="J120" s="103" t="s">
        <v>863</v>
      </c>
      <c r="K120" s="103" t="s">
        <v>864</v>
      </c>
      <c r="L120" s="103" t="s">
        <v>153</v>
      </c>
      <c r="M120" s="103" t="s">
        <v>865</v>
      </c>
      <c r="N120" s="103" t="s">
        <v>866</v>
      </c>
      <c r="O120" s="103" t="str">
        <f t="shared" si="2"/>
        <v>CFLscw-Dim(28w)</v>
      </c>
      <c r="P120" s="103" t="s">
        <v>153</v>
      </c>
      <c r="Q120" s="103" t="s">
        <v>153</v>
      </c>
      <c r="R120" s="103" t="s">
        <v>153</v>
      </c>
      <c r="S120" s="103" t="str">
        <f>INDEX('Measure &amp; Standard CostIDs'!$AK$8:$AK$12,B120)</f>
        <v>Wtd-Pack</v>
      </c>
      <c r="T120" s="103" t="s">
        <v>867</v>
      </c>
      <c r="U120" s="103"/>
      <c r="V120" s="103"/>
      <c r="W120" s="103">
        <f>ROUND(IF(LEFT(D120,3)="Std",VLOOKUP(D120,'Measure &amp; Standard CostIDs'!$S$5:$X$177,1+B120,FALSE),VLOOKUP(D120,'Measure &amp; Standard CostIDs'!$C$5:$H$177,1+B120,FALSE)),2)</f>
        <v>10.08</v>
      </c>
      <c r="X120" s="103"/>
      <c r="Y120" s="103"/>
      <c r="Z120" s="103" t="s">
        <v>868</v>
      </c>
      <c r="AA120" s="103" t="s">
        <v>869</v>
      </c>
      <c r="AB120" s="103" t="s">
        <v>153</v>
      </c>
      <c r="AC120" s="103">
        <v>0</v>
      </c>
      <c r="AD120" s="156">
        <v>42005</v>
      </c>
      <c r="AE120" s="103"/>
      <c r="AF120" s="103" t="s">
        <v>870</v>
      </c>
      <c r="AG120" s="103" t="s">
        <v>871</v>
      </c>
      <c r="AH120" s="103" t="s">
        <v>872</v>
      </c>
      <c r="AI120" s="103">
        <v>0</v>
      </c>
      <c r="AJ120" s="103"/>
      <c r="AK120" s="103"/>
      <c r="AL120" s="103"/>
      <c r="AM120" s="103"/>
      <c r="AN120" s="103"/>
      <c r="AO120" s="103" t="str">
        <f t="shared" si="3"/>
        <v>CFLscw-Dim(28w)Wtd-Pack</v>
      </c>
    </row>
    <row r="121" spans="1:41">
      <c r="A121" s="177">
        <f>IFERROR(MATCH(D121,'Measure &amp; Standard CostIDs'!C$5:C$177,0),MATCH(D121,'Measure &amp; Standard CostIDs'!S$5:S$177,0))</f>
        <v>117</v>
      </c>
      <c r="B121" s="177">
        <v>1</v>
      </c>
      <c r="C121" s="103" t="s">
        <v>153</v>
      </c>
      <c r="D121" s="103" t="s">
        <v>374</v>
      </c>
      <c r="E121" s="103" t="str">
        <f>IF(LEFT(D121,3)="Std","Base case cost for mix of 60% Incandescent and 40% CFL lamps for CFL TechID: "&amp;INDEX('Measure &amp; Standard CostIDs'!$C$5:$C$177,A121),"&lt;from TechID&gt;")</f>
        <v>&lt;from TechID&gt;</v>
      </c>
      <c r="F121" s="103" t="s">
        <v>860</v>
      </c>
      <c r="G121" s="103" t="s">
        <v>151</v>
      </c>
      <c r="H121" s="103" t="s">
        <v>861</v>
      </c>
      <c r="I121" s="103" t="s">
        <v>862</v>
      </c>
      <c r="J121" s="103" t="s">
        <v>863</v>
      </c>
      <c r="K121" s="103" t="s">
        <v>864</v>
      </c>
      <c r="L121" s="103" t="s">
        <v>153</v>
      </c>
      <c r="M121" s="103" t="s">
        <v>865</v>
      </c>
      <c r="N121" s="103" t="s">
        <v>866</v>
      </c>
      <c r="O121" s="103" t="str">
        <f t="shared" si="2"/>
        <v>CFLscw-Dim(30w)</v>
      </c>
      <c r="P121" s="103" t="s">
        <v>153</v>
      </c>
      <c r="Q121" s="103" t="s">
        <v>153</v>
      </c>
      <c r="R121" s="103" t="s">
        <v>153</v>
      </c>
      <c r="S121" s="103" t="str">
        <f>INDEX('Measure &amp; Standard CostIDs'!$AK$8:$AK$12,B121)</f>
        <v>Wtd-Pack</v>
      </c>
      <c r="T121" s="103" t="s">
        <v>867</v>
      </c>
      <c r="U121" s="103"/>
      <c r="V121" s="103"/>
      <c r="W121" s="103">
        <f>ROUND(IF(LEFT(D121,3)="Std",VLOOKUP(D121,'Measure &amp; Standard CostIDs'!$S$5:$X$177,1+B121,FALSE),VLOOKUP(D121,'Measure &amp; Standard CostIDs'!$C$5:$H$177,1+B121,FALSE)),2)</f>
        <v>10.4</v>
      </c>
      <c r="X121" s="103"/>
      <c r="Y121" s="103"/>
      <c r="Z121" s="103" t="s">
        <v>868</v>
      </c>
      <c r="AA121" s="103" t="s">
        <v>869</v>
      </c>
      <c r="AB121" s="103" t="s">
        <v>153</v>
      </c>
      <c r="AC121" s="103">
        <v>0</v>
      </c>
      <c r="AD121" s="156">
        <v>42005</v>
      </c>
      <c r="AE121" s="103"/>
      <c r="AF121" s="103" t="s">
        <v>870</v>
      </c>
      <c r="AG121" s="103" t="s">
        <v>871</v>
      </c>
      <c r="AH121" s="103" t="s">
        <v>872</v>
      </c>
      <c r="AI121" s="103">
        <v>0</v>
      </c>
      <c r="AJ121" s="103"/>
      <c r="AK121" s="103"/>
      <c r="AL121" s="103"/>
      <c r="AM121" s="103"/>
      <c r="AN121" s="103"/>
      <c r="AO121" s="103" t="str">
        <f t="shared" si="3"/>
        <v>CFLscw-Dim(30w)Wtd-Pack</v>
      </c>
    </row>
    <row r="122" spans="1:41">
      <c r="A122" s="177">
        <f>IFERROR(MATCH(D122,'Measure &amp; Standard CostIDs'!C$5:C$177,0),MATCH(D122,'Measure &amp; Standard CostIDs'!S$5:S$177,0))</f>
        <v>118</v>
      </c>
      <c r="B122" s="177">
        <v>1</v>
      </c>
      <c r="C122" s="103" t="s">
        <v>153</v>
      </c>
      <c r="D122" s="103" t="s">
        <v>376</v>
      </c>
      <c r="E122" s="103" t="str">
        <f>IF(LEFT(D122,3)="Std","Base case cost for mix of 60% Incandescent and 40% CFL lamps for CFL TechID: "&amp;INDEX('Measure &amp; Standard CostIDs'!$C$5:$C$177,A122),"&lt;from TechID&gt;")</f>
        <v>&lt;from TechID&gt;</v>
      </c>
      <c r="F122" s="103" t="s">
        <v>860</v>
      </c>
      <c r="G122" s="103" t="s">
        <v>151</v>
      </c>
      <c r="H122" s="103" t="s">
        <v>861</v>
      </c>
      <c r="I122" s="103" t="s">
        <v>862</v>
      </c>
      <c r="J122" s="103" t="s">
        <v>863</v>
      </c>
      <c r="K122" s="103" t="s">
        <v>864</v>
      </c>
      <c r="L122" s="103" t="s">
        <v>153</v>
      </c>
      <c r="M122" s="103" t="s">
        <v>865</v>
      </c>
      <c r="N122" s="103" t="s">
        <v>866</v>
      </c>
      <c r="O122" s="103" t="str">
        <f t="shared" si="2"/>
        <v>CFLscw-Dim(33w)</v>
      </c>
      <c r="P122" s="103" t="s">
        <v>153</v>
      </c>
      <c r="Q122" s="103" t="s">
        <v>153</v>
      </c>
      <c r="R122" s="103" t="s">
        <v>153</v>
      </c>
      <c r="S122" s="103" t="str">
        <f>INDEX('Measure &amp; Standard CostIDs'!$AK$8:$AK$12,B122)</f>
        <v>Wtd-Pack</v>
      </c>
      <c r="T122" s="103" t="s">
        <v>867</v>
      </c>
      <c r="U122" s="103"/>
      <c r="V122" s="103"/>
      <c r="W122" s="103">
        <f>ROUND(IF(LEFT(D122,3)="Std",VLOOKUP(D122,'Measure &amp; Standard CostIDs'!$S$5:$X$177,1+B122,FALSE),VLOOKUP(D122,'Measure &amp; Standard CostIDs'!$C$5:$H$177,1+B122,FALSE)),2)</f>
        <v>10.88</v>
      </c>
      <c r="X122" s="103"/>
      <c r="Y122" s="103"/>
      <c r="Z122" s="103" t="s">
        <v>868</v>
      </c>
      <c r="AA122" s="103" t="s">
        <v>869</v>
      </c>
      <c r="AB122" s="103" t="s">
        <v>153</v>
      </c>
      <c r="AC122" s="103">
        <v>0</v>
      </c>
      <c r="AD122" s="156">
        <v>42005</v>
      </c>
      <c r="AE122" s="103"/>
      <c r="AF122" s="103" t="s">
        <v>870</v>
      </c>
      <c r="AG122" s="103" t="s">
        <v>871</v>
      </c>
      <c r="AH122" s="103" t="s">
        <v>872</v>
      </c>
      <c r="AI122" s="103">
        <v>0</v>
      </c>
      <c r="AJ122" s="103"/>
      <c r="AK122" s="103"/>
      <c r="AL122" s="103"/>
      <c r="AM122" s="103"/>
      <c r="AN122" s="103"/>
      <c r="AO122" s="103" t="str">
        <f t="shared" si="3"/>
        <v>CFLscw-Dim(33w)Wtd-Pack</v>
      </c>
    </row>
    <row r="123" spans="1:41">
      <c r="A123" s="177">
        <f>IFERROR(MATCH(D123,'Measure &amp; Standard CostIDs'!C$5:C$177,0),MATCH(D123,'Measure &amp; Standard CostIDs'!S$5:S$177,0))</f>
        <v>119</v>
      </c>
      <c r="B123" s="177">
        <v>1</v>
      </c>
      <c r="C123" s="103" t="s">
        <v>153</v>
      </c>
      <c r="D123" s="103" t="s">
        <v>378</v>
      </c>
      <c r="E123" s="103" t="str">
        <f>IF(LEFT(D123,3)="Std","Base case cost for mix of 60% Incandescent and 40% CFL lamps for CFL TechID: "&amp;INDEX('Measure &amp; Standard CostIDs'!$C$5:$C$177,A123),"&lt;from TechID&gt;")</f>
        <v>&lt;from TechID&gt;</v>
      </c>
      <c r="F123" s="103" t="s">
        <v>860</v>
      </c>
      <c r="G123" s="103" t="s">
        <v>151</v>
      </c>
      <c r="H123" s="103" t="s">
        <v>861</v>
      </c>
      <c r="I123" s="103" t="s">
        <v>862</v>
      </c>
      <c r="J123" s="103" t="s">
        <v>863</v>
      </c>
      <c r="K123" s="103" t="s">
        <v>864</v>
      </c>
      <c r="L123" s="103" t="s">
        <v>153</v>
      </c>
      <c r="M123" s="103" t="s">
        <v>865</v>
      </c>
      <c r="N123" s="103" t="s">
        <v>866</v>
      </c>
      <c r="O123" s="103" t="str">
        <f t="shared" si="2"/>
        <v>CFLscw-Dim(35w)</v>
      </c>
      <c r="P123" s="103" t="s">
        <v>153</v>
      </c>
      <c r="Q123" s="103" t="s">
        <v>153</v>
      </c>
      <c r="R123" s="103" t="s">
        <v>153</v>
      </c>
      <c r="S123" s="103" t="str">
        <f>INDEX('Measure &amp; Standard CostIDs'!$AK$8:$AK$12,B123)</f>
        <v>Wtd-Pack</v>
      </c>
      <c r="T123" s="103" t="s">
        <v>867</v>
      </c>
      <c r="U123" s="103"/>
      <c r="V123" s="103"/>
      <c r="W123" s="103">
        <f>ROUND(IF(LEFT(D123,3)="Std",VLOOKUP(D123,'Measure &amp; Standard CostIDs'!$S$5:$X$177,1+B123,FALSE),VLOOKUP(D123,'Measure &amp; Standard CostIDs'!$C$5:$H$177,1+B123,FALSE)),2)</f>
        <v>11.2</v>
      </c>
      <c r="X123" s="103"/>
      <c r="Y123" s="103"/>
      <c r="Z123" s="103" t="s">
        <v>868</v>
      </c>
      <c r="AA123" s="103" t="s">
        <v>869</v>
      </c>
      <c r="AB123" s="103" t="s">
        <v>153</v>
      </c>
      <c r="AC123" s="103">
        <v>0</v>
      </c>
      <c r="AD123" s="156">
        <v>42005</v>
      </c>
      <c r="AE123" s="103"/>
      <c r="AF123" s="103" t="s">
        <v>870</v>
      </c>
      <c r="AG123" s="103" t="s">
        <v>871</v>
      </c>
      <c r="AH123" s="103" t="s">
        <v>872</v>
      </c>
      <c r="AI123" s="103">
        <v>0</v>
      </c>
      <c r="AJ123" s="103"/>
      <c r="AK123" s="103"/>
      <c r="AL123" s="103"/>
      <c r="AM123" s="103"/>
      <c r="AN123" s="103"/>
      <c r="AO123" s="103" t="str">
        <f t="shared" si="3"/>
        <v>CFLscw-Dim(35w)Wtd-Pack</v>
      </c>
    </row>
    <row r="124" spans="1:41">
      <c r="A124" s="177">
        <f>IFERROR(MATCH(D124,'Measure &amp; Standard CostIDs'!C$5:C$177,0),MATCH(D124,'Measure &amp; Standard CostIDs'!S$5:S$177,0))</f>
        <v>120</v>
      </c>
      <c r="B124" s="177">
        <v>1</v>
      </c>
      <c r="C124" s="103" t="s">
        <v>153</v>
      </c>
      <c r="D124" s="103" t="s">
        <v>380</v>
      </c>
      <c r="E124" s="103" t="str">
        <f>IF(LEFT(D124,3)="Std","Base case cost for mix of 60% Incandescent and 40% CFL lamps for CFL TechID: "&amp;INDEX('Measure &amp; Standard CostIDs'!$C$5:$C$177,A124),"&lt;from TechID&gt;")</f>
        <v>&lt;from TechID&gt;</v>
      </c>
      <c r="F124" s="103" t="s">
        <v>860</v>
      </c>
      <c r="G124" s="103" t="s">
        <v>151</v>
      </c>
      <c r="H124" s="103" t="s">
        <v>861</v>
      </c>
      <c r="I124" s="103" t="s">
        <v>862</v>
      </c>
      <c r="J124" s="103" t="s">
        <v>863</v>
      </c>
      <c r="K124" s="103" t="s">
        <v>864</v>
      </c>
      <c r="L124" s="103" t="s">
        <v>153</v>
      </c>
      <c r="M124" s="103" t="s">
        <v>865</v>
      </c>
      <c r="N124" s="103" t="s">
        <v>866</v>
      </c>
      <c r="O124" s="103" t="str">
        <f t="shared" si="2"/>
        <v>CFLscw-Dim(38w)</v>
      </c>
      <c r="P124" s="103" t="s">
        <v>153</v>
      </c>
      <c r="Q124" s="103" t="s">
        <v>153</v>
      </c>
      <c r="R124" s="103" t="s">
        <v>153</v>
      </c>
      <c r="S124" s="103" t="str">
        <f>INDEX('Measure &amp; Standard CostIDs'!$AK$8:$AK$12,B124)</f>
        <v>Wtd-Pack</v>
      </c>
      <c r="T124" s="103" t="s">
        <v>867</v>
      </c>
      <c r="U124" s="103"/>
      <c r="V124" s="103"/>
      <c r="W124" s="103">
        <f>ROUND(IF(LEFT(D124,3)="Std",VLOOKUP(D124,'Measure &amp; Standard CostIDs'!$S$5:$X$177,1+B124,FALSE),VLOOKUP(D124,'Measure &amp; Standard CostIDs'!$C$5:$H$177,1+B124,FALSE)),2)</f>
        <v>11.68</v>
      </c>
      <c r="X124" s="103"/>
      <c r="Y124" s="103"/>
      <c r="Z124" s="103" t="s">
        <v>868</v>
      </c>
      <c r="AA124" s="103" t="s">
        <v>869</v>
      </c>
      <c r="AB124" s="103" t="s">
        <v>153</v>
      </c>
      <c r="AC124" s="103">
        <v>0</v>
      </c>
      <c r="AD124" s="156">
        <v>42005</v>
      </c>
      <c r="AE124" s="103"/>
      <c r="AF124" s="103" t="s">
        <v>870</v>
      </c>
      <c r="AG124" s="103" t="s">
        <v>871</v>
      </c>
      <c r="AH124" s="103" t="s">
        <v>872</v>
      </c>
      <c r="AI124" s="103">
        <v>0</v>
      </c>
      <c r="AJ124" s="103"/>
      <c r="AK124" s="103"/>
      <c r="AL124" s="103"/>
      <c r="AM124" s="103"/>
      <c r="AN124" s="103"/>
      <c r="AO124" s="103" t="str">
        <f t="shared" si="3"/>
        <v>CFLscw-Dim(38w)Wtd-Pack</v>
      </c>
    </row>
    <row r="125" spans="1:41">
      <c r="A125" s="177">
        <f>IFERROR(MATCH(D125,'Measure &amp; Standard CostIDs'!C$5:C$177,0),MATCH(D125,'Measure &amp; Standard CostIDs'!S$5:S$177,0))</f>
        <v>121</v>
      </c>
      <c r="B125" s="177">
        <v>1</v>
      </c>
      <c r="C125" s="103" t="s">
        <v>153</v>
      </c>
      <c r="D125" s="103" t="s">
        <v>382</v>
      </c>
      <c r="E125" s="103" t="str">
        <f>IF(LEFT(D125,3)="Std","Base case cost for mix of 60% Incandescent and 40% CFL lamps for CFL TechID: "&amp;INDEX('Measure &amp; Standard CostIDs'!$C$5:$C$177,A125),"&lt;from TechID&gt;")</f>
        <v>&lt;from TechID&gt;</v>
      </c>
      <c r="F125" s="103" t="s">
        <v>860</v>
      </c>
      <c r="G125" s="103" t="s">
        <v>151</v>
      </c>
      <c r="H125" s="103" t="s">
        <v>861</v>
      </c>
      <c r="I125" s="103" t="s">
        <v>862</v>
      </c>
      <c r="J125" s="103" t="s">
        <v>863</v>
      </c>
      <c r="K125" s="103" t="s">
        <v>864</v>
      </c>
      <c r="L125" s="103" t="s">
        <v>153</v>
      </c>
      <c r="M125" s="103" t="s">
        <v>865</v>
      </c>
      <c r="N125" s="103" t="s">
        <v>866</v>
      </c>
      <c r="O125" s="103" t="str">
        <f t="shared" si="2"/>
        <v>CFLscw-Dim(40w)</v>
      </c>
      <c r="P125" s="103" t="s">
        <v>153</v>
      </c>
      <c r="Q125" s="103" t="s">
        <v>153</v>
      </c>
      <c r="R125" s="103" t="s">
        <v>153</v>
      </c>
      <c r="S125" s="103" t="str">
        <f>INDEX('Measure &amp; Standard CostIDs'!$AK$8:$AK$12,B125)</f>
        <v>Wtd-Pack</v>
      </c>
      <c r="T125" s="103" t="s">
        <v>867</v>
      </c>
      <c r="U125" s="103"/>
      <c r="V125" s="103"/>
      <c r="W125" s="103">
        <f>ROUND(IF(LEFT(D125,3)="Std",VLOOKUP(D125,'Measure &amp; Standard CostIDs'!$S$5:$X$177,1+B125,FALSE),VLOOKUP(D125,'Measure &amp; Standard CostIDs'!$C$5:$H$177,1+B125,FALSE)),2)</f>
        <v>12</v>
      </c>
      <c r="X125" s="103"/>
      <c r="Y125" s="103"/>
      <c r="Z125" s="103" t="s">
        <v>868</v>
      </c>
      <c r="AA125" s="103" t="s">
        <v>869</v>
      </c>
      <c r="AB125" s="103" t="s">
        <v>153</v>
      </c>
      <c r="AC125" s="103">
        <v>0</v>
      </c>
      <c r="AD125" s="156">
        <v>42005</v>
      </c>
      <c r="AE125" s="103"/>
      <c r="AF125" s="103" t="s">
        <v>870</v>
      </c>
      <c r="AG125" s="103" t="s">
        <v>871</v>
      </c>
      <c r="AH125" s="103" t="s">
        <v>872</v>
      </c>
      <c r="AI125" s="103">
        <v>0</v>
      </c>
      <c r="AJ125" s="103"/>
      <c r="AK125" s="103"/>
      <c r="AL125" s="103"/>
      <c r="AM125" s="103"/>
      <c r="AN125" s="103"/>
      <c r="AO125" s="103" t="str">
        <f t="shared" si="3"/>
        <v>CFLscw-Dim(40w)Wtd-Pack</v>
      </c>
    </row>
    <row r="126" spans="1:41">
      <c r="A126" s="177">
        <f>IFERROR(MATCH(D126,'Measure &amp; Standard CostIDs'!C$5:C$177,0),MATCH(D126,'Measure &amp; Standard CostIDs'!S$5:S$177,0))</f>
        <v>122</v>
      </c>
      <c r="B126" s="177">
        <v>1</v>
      </c>
      <c r="C126" s="103" t="s">
        <v>153</v>
      </c>
      <c r="D126" s="103" t="s">
        <v>384</v>
      </c>
      <c r="E126" s="103" t="str">
        <f>IF(LEFT(D126,3)="Std","Base case cost for mix of 60% Incandescent and 40% CFL lamps for CFL TechID: "&amp;INDEX('Measure &amp; Standard CostIDs'!$C$5:$C$177,A126),"&lt;from TechID&gt;")</f>
        <v>&lt;from TechID&gt;</v>
      </c>
      <c r="F126" s="103" t="s">
        <v>860</v>
      </c>
      <c r="G126" s="103" t="s">
        <v>151</v>
      </c>
      <c r="H126" s="103" t="s">
        <v>861</v>
      </c>
      <c r="I126" s="103" t="s">
        <v>862</v>
      </c>
      <c r="J126" s="103" t="s">
        <v>863</v>
      </c>
      <c r="K126" s="103" t="s">
        <v>864</v>
      </c>
      <c r="L126" s="103" t="s">
        <v>153</v>
      </c>
      <c r="M126" s="103" t="s">
        <v>865</v>
      </c>
      <c r="N126" s="103" t="s">
        <v>866</v>
      </c>
      <c r="O126" s="103" t="str">
        <f t="shared" si="2"/>
        <v>CFLscw-Dim(45w)</v>
      </c>
      <c r="P126" s="103" t="s">
        <v>153</v>
      </c>
      <c r="Q126" s="103" t="s">
        <v>153</v>
      </c>
      <c r="R126" s="103" t="s">
        <v>153</v>
      </c>
      <c r="S126" s="103" t="str">
        <f>INDEX('Measure &amp; Standard CostIDs'!$AK$8:$AK$12,B126)</f>
        <v>Wtd-Pack</v>
      </c>
      <c r="T126" s="103" t="s">
        <v>867</v>
      </c>
      <c r="U126" s="103"/>
      <c r="V126" s="103"/>
      <c r="W126" s="103">
        <f>ROUND(IF(LEFT(D126,3)="Std",VLOOKUP(D126,'Measure &amp; Standard CostIDs'!$S$5:$X$177,1+B126,FALSE),VLOOKUP(D126,'Measure &amp; Standard CostIDs'!$C$5:$H$177,1+B126,FALSE)),2)</f>
        <v>12.8</v>
      </c>
      <c r="X126" s="103"/>
      <c r="Y126" s="103"/>
      <c r="Z126" s="103" t="s">
        <v>868</v>
      </c>
      <c r="AA126" s="103" t="s">
        <v>869</v>
      </c>
      <c r="AB126" s="103" t="s">
        <v>153</v>
      </c>
      <c r="AC126" s="103">
        <v>0</v>
      </c>
      <c r="AD126" s="156">
        <v>42005</v>
      </c>
      <c r="AE126" s="103"/>
      <c r="AF126" s="103" t="s">
        <v>870</v>
      </c>
      <c r="AG126" s="103" t="s">
        <v>871</v>
      </c>
      <c r="AH126" s="103" t="s">
        <v>872</v>
      </c>
      <c r="AI126" s="103">
        <v>0</v>
      </c>
      <c r="AJ126" s="103"/>
      <c r="AK126" s="103"/>
      <c r="AL126" s="103"/>
      <c r="AM126" s="103"/>
      <c r="AN126" s="103"/>
      <c r="AO126" s="103" t="str">
        <f t="shared" si="3"/>
        <v>CFLscw-Dim(45w)Wtd-Pack</v>
      </c>
    </row>
    <row r="127" spans="1:41">
      <c r="A127" s="177">
        <f>IFERROR(MATCH(D127,'Measure &amp; Standard CostIDs'!C$5:C$177,0),MATCH(D127,'Measure &amp; Standard CostIDs'!S$5:S$177,0))</f>
        <v>123</v>
      </c>
      <c r="B127" s="177">
        <v>1</v>
      </c>
      <c r="C127" s="103" t="s">
        <v>153</v>
      </c>
      <c r="D127" s="103" t="s">
        <v>386</v>
      </c>
      <c r="E127" s="103" t="str">
        <f>IF(LEFT(D127,3)="Std","Base case cost for mix of 60% Incandescent and 40% CFL lamps for CFL TechID: "&amp;INDEX('Measure &amp; Standard CostIDs'!$C$5:$C$177,A127),"&lt;from TechID&gt;")</f>
        <v>&lt;from TechID&gt;</v>
      </c>
      <c r="F127" s="103" t="s">
        <v>860</v>
      </c>
      <c r="G127" s="103" t="s">
        <v>151</v>
      </c>
      <c r="H127" s="103" t="s">
        <v>861</v>
      </c>
      <c r="I127" s="103" t="s">
        <v>862</v>
      </c>
      <c r="J127" s="103" t="s">
        <v>863</v>
      </c>
      <c r="K127" s="103" t="s">
        <v>864</v>
      </c>
      <c r="L127" s="103" t="s">
        <v>153</v>
      </c>
      <c r="M127" s="103" t="s">
        <v>865</v>
      </c>
      <c r="N127" s="103" t="s">
        <v>866</v>
      </c>
      <c r="O127" s="103" t="str">
        <f t="shared" si="2"/>
        <v>CFLscw-Dim(47w)</v>
      </c>
      <c r="P127" s="103" t="s">
        <v>153</v>
      </c>
      <c r="Q127" s="103" t="s">
        <v>153</v>
      </c>
      <c r="R127" s="103" t="s">
        <v>153</v>
      </c>
      <c r="S127" s="103" t="str">
        <f>INDEX('Measure &amp; Standard CostIDs'!$AK$8:$AK$12,B127)</f>
        <v>Wtd-Pack</v>
      </c>
      <c r="T127" s="103" t="s">
        <v>867</v>
      </c>
      <c r="U127" s="103"/>
      <c r="V127" s="103"/>
      <c r="W127" s="103">
        <f>ROUND(IF(LEFT(D127,3)="Std",VLOOKUP(D127,'Measure &amp; Standard CostIDs'!$S$5:$X$177,1+B127,FALSE),VLOOKUP(D127,'Measure &amp; Standard CostIDs'!$C$5:$H$177,1+B127,FALSE)),2)</f>
        <v>13.12</v>
      </c>
      <c r="X127" s="103"/>
      <c r="Y127" s="103"/>
      <c r="Z127" s="103" t="s">
        <v>868</v>
      </c>
      <c r="AA127" s="103" t="s">
        <v>869</v>
      </c>
      <c r="AB127" s="103" t="s">
        <v>153</v>
      </c>
      <c r="AC127" s="103">
        <v>0</v>
      </c>
      <c r="AD127" s="156">
        <v>42005</v>
      </c>
      <c r="AE127" s="103"/>
      <c r="AF127" s="103" t="s">
        <v>870</v>
      </c>
      <c r="AG127" s="103" t="s">
        <v>871</v>
      </c>
      <c r="AH127" s="103" t="s">
        <v>872</v>
      </c>
      <c r="AI127" s="103">
        <v>0</v>
      </c>
      <c r="AJ127" s="103"/>
      <c r="AK127" s="103"/>
      <c r="AL127" s="103"/>
      <c r="AM127" s="103"/>
      <c r="AN127" s="103"/>
      <c r="AO127" s="103" t="str">
        <f t="shared" si="3"/>
        <v>CFLscw-Dim(47w)Wtd-Pack</v>
      </c>
    </row>
    <row r="128" spans="1:41">
      <c r="A128" s="177">
        <f>IFERROR(MATCH(D128,'Measure &amp; Standard CostIDs'!C$5:C$177,0),MATCH(D128,'Measure &amp; Standard CostIDs'!S$5:S$177,0))</f>
        <v>124</v>
      </c>
      <c r="B128" s="177">
        <v>1</v>
      </c>
      <c r="C128" s="103" t="s">
        <v>153</v>
      </c>
      <c r="D128" s="103" t="s">
        <v>388</v>
      </c>
      <c r="E128" s="103" t="str">
        <f>IF(LEFT(D128,3)="Std","Base case cost for mix of 60% Incandescent and 40% CFL lamps for CFL TechID: "&amp;INDEX('Measure &amp; Standard CostIDs'!$C$5:$C$177,A128),"&lt;from TechID&gt;")</f>
        <v>&lt;from TechID&gt;</v>
      </c>
      <c r="F128" s="103" t="s">
        <v>860</v>
      </c>
      <c r="G128" s="103" t="s">
        <v>151</v>
      </c>
      <c r="H128" s="103" t="s">
        <v>861</v>
      </c>
      <c r="I128" s="103" t="s">
        <v>862</v>
      </c>
      <c r="J128" s="103" t="s">
        <v>863</v>
      </c>
      <c r="K128" s="103" t="s">
        <v>864</v>
      </c>
      <c r="L128" s="103" t="s">
        <v>153</v>
      </c>
      <c r="M128" s="103" t="s">
        <v>865</v>
      </c>
      <c r="N128" s="103" t="s">
        <v>866</v>
      </c>
      <c r="O128" s="103" t="str">
        <f t="shared" si="2"/>
        <v>CFLscw-Dim(50w)</v>
      </c>
      <c r="P128" s="103" t="s">
        <v>153</v>
      </c>
      <c r="Q128" s="103" t="s">
        <v>153</v>
      </c>
      <c r="R128" s="103" t="s">
        <v>153</v>
      </c>
      <c r="S128" s="103" t="str">
        <f>INDEX('Measure &amp; Standard CostIDs'!$AK$8:$AK$12,B128)</f>
        <v>Wtd-Pack</v>
      </c>
      <c r="T128" s="103" t="s">
        <v>867</v>
      </c>
      <c r="U128" s="103"/>
      <c r="V128" s="103"/>
      <c r="W128" s="103">
        <f>ROUND(IF(LEFT(D128,3)="Std",VLOOKUP(D128,'Measure &amp; Standard CostIDs'!$S$5:$X$177,1+B128,FALSE),VLOOKUP(D128,'Measure &amp; Standard CostIDs'!$C$5:$H$177,1+B128,FALSE)),2)</f>
        <v>13.6</v>
      </c>
      <c r="X128" s="103"/>
      <c r="Y128" s="103"/>
      <c r="Z128" s="103" t="s">
        <v>868</v>
      </c>
      <c r="AA128" s="103" t="s">
        <v>869</v>
      </c>
      <c r="AB128" s="103" t="s">
        <v>153</v>
      </c>
      <c r="AC128" s="103">
        <v>0</v>
      </c>
      <c r="AD128" s="156">
        <v>42005</v>
      </c>
      <c r="AE128" s="103"/>
      <c r="AF128" s="103" t="s">
        <v>870</v>
      </c>
      <c r="AG128" s="103" t="s">
        <v>871</v>
      </c>
      <c r="AH128" s="103" t="s">
        <v>872</v>
      </c>
      <c r="AI128" s="103">
        <v>0</v>
      </c>
      <c r="AJ128" s="103"/>
      <c r="AK128" s="103"/>
      <c r="AL128" s="103"/>
      <c r="AM128" s="103"/>
      <c r="AN128" s="103"/>
      <c r="AO128" s="103" t="str">
        <f t="shared" si="3"/>
        <v>CFLscw-Dim(50w)Wtd-Pack</v>
      </c>
    </row>
    <row r="129" spans="1:41">
      <c r="A129" s="177">
        <f>IFERROR(MATCH(D129,'Measure &amp; Standard CostIDs'!C$5:C$177,0),MATCH(D129,'Measure &amp; Standard CostIDs'!S$5:S$177,0))</f>
        <v>125</v>
      </c>
      <c r="B129" s="177">
        <v>1</v>
      </c>
      <c r="C129" s="103" t="s">
        <v>153</v>
      </c>
      <c r="D129" s="103" t="s">
        <v>448</v>
      </c>
      <c r="E129" s="103" t="str">
        <f>IF(LEFT(D129,3)="Std","Base case cost for mix of 60% Incandescent and 40% CFL lamps for CFL TechID: "&amp;INDEX('Measure &amp; Standard CostIDs'!$C$5:$C$177,A129),"&lt;from TechID&gt;")</f>
        <v>&lt;from TechID&gt;</v>
      </c>
      <c r="F129" s="103" t="s">
        <v>860</v>
      </c>
      <c r="G129" s="103" t="s">
        <v>151</v>
      </c>
      <c r="H129" s="103" t="s">
        <v>861</v>
      </c>
      <c r="I129" s="103" t="s">
        <v>862</v>
      </c>
      <c r="J129" s="103" t="s">
        <v>863</v>
      </c>
      <c r="K129" s="103" t="s">
        <v>864</v>
      </c>
      <c r="L129" s="103" t="s">
        <v>153</v>
      </c>
      <c r="M129" s="103" t="s">
        <v>865</v>
      </c>
      <c r="N129" s="103" t="s">
        <v>866</v>
      </c>
      <c r="O129" s="103" t="str">
        <f t="shared" si="2"/>
        <v>CFLscw-Glb(10w)</v>
      </c>
      <c r="P129" s="103" t="s">
        <v>153</v>
      </c>
      <c r="Q129" s="103" t="s">
        <v>153</v>
      </c>
      <c r="R129" s="103" t="s">
        <v>153</v>
      </c>
      <c r="S129" s="103" t="str">
        <f>INDEX('Measure &amp; Standard CostIDs'!$AK$8:$AK$12,B129)</f>
        <v>Wtd-Pack</v>
      </c>
      <c r="T129" s="103" t="s">
        <v>867</v>
      </c>
      <c r="U129" s="103"/>
      <c r="V129" s="103"/>
      <c r="W129" s="103">
        <f>ROUND(IF(LEFT(D129,3)="Std",VLOOKUP(D129,'Measure &amp; Standard CostIDs'!$S$5:$X$177,1+B129,FALSE),VLOOKUP(D129,'Measure &amp; Standard CostIDs'!$C$5:$H$177,1+B129,FALSE)),2)</f>
        <v>7.36</v>
      </c>
      <c r="X129" s="103"/>
      <c r="Y129" s="103"/>
      <c r="Z129" s="103" t="s">
        <v>868</v>
      </c>
      <c r="AA129" s="103" t="s">
        <v>869</v>
      </c>
      <c r="AB129" s="103" t="s">
        <v>153</v>
      </c>
      <c r="AC129" s="103">
        <v>0</v>
      </c>
      <c r="AD129" s="156">
        <v>42005</v>
      </c>
      <c r="AE129" s="103"/>
      <c r="AF129" s="103" t="s">
        <v>870</v>
      </c>
      <c r="AG129" s="103" t="s">
        <v>871</v>
      </c>
      <c r="AH129" s="103" t="s">
        <v>872</v>
      </c>
      <c r="AI129" s="103">
        <v>0</v>
      </c>
      <c r="AJ129" s="103"/>
      <c r="AK129" s="103"/>
      <c r="AL129" s="103"/>
      <c r="AM129" s="103"/>
      <c r="AN129" s="103"/>
      <c r="AO129" s="103" t="str">
        <f t="shared" si="3"/>
        <v>CFLscw-Glb(10w)Wtd-Pack</v>
      </c>
    </row>
    <row r="130" spans="1:41">
      <c r="A130" s="177">
        <f>IFERROR(MATCH(D130,'Measure &amp; Standard CostIDs'!C$5:C$177,0),MATCH(D130,'Measure &amp; Standard CostIDs'!S$5:S$177,0))</f>
        <v>126</v>
      </c>
      <c r="B130" s="177">
        <v>1</v>
      </c>
      <c r="C130" s="103" t="s">
        <v>153</v>
      </c>
      <c r="D130" s="103" t="s">
        <v>451</v>
      </c>
      <c r="E130" s="103" t="str">
        <f>IF(LEFT(D130,3)="Std","Base case cost for mix of 60% Incandescent and 40% CFL lamps for CFL TechID: "&amp;INDEX('Measure &amp; Standard CostIDs'!$C$5:$C$177,A130),"&lt;from TechID&gt;")</f>
        <v>&lt;from TechID&gt;</v>
      </c>
      <c r="F130" s="103" t="s">
        <v>860</v>
      </c>
      <c r="G130" s="103" t="s">
        <v>151</v>
      </c>
      <c r="H130" s="103" t="s">
        <v>861</v>
      </c>
      <c r="I130" s="103" t="s">
        <v>862</v>
      </c>
      <c r="J130" s="103" t="s">
        <v>863</v>
      </c>
      <c r="K130" s="103" t="s">
        <v>864</v>
      </c>
      <c r="L130" s="103" t="s">
        <v>153</v>
      </c>
      <c r="M130" s="103" t="s">
        <v>865</v>
      </c>
      <c r="N130" s="103" t="s">
        <v>866</v>
      </c>
      <c r="O130" s="103" t="str">
        <f t="shared" si="2"/>
        <v>CFLscw-Glb(11w)</v>
      </c>
      <c r="P130" s="103" t="s">
        <v>153</v>
      </c>
      <c r="Q130" s="103" t="s">
        <v>153</v>
      </c>
      <c r="R130" s="103" t="s">
        <v>153</v>
      </c>
      <c r="S130" s="103" t="str">
        <f>INDEX('Measure &amp; Standard CostIDs'!$AK$8:$AK$12,B130)</f>
        <v>Wtd-Pack</v>
      </c>
      <c r="T130" s="103" t="s">
        <v>867</v>
      </c>
      <c r="U130" s="103"/>
      <c r="V130" s="103"/>
      <c r="W130" s="103">
        <f>ROUND(IF(LEFT(D130,3)="Std",VLOOKUP(D130,'Measure &amp; Standard CostIDs'!$S$5:$X$177,1+B130,FALSE),VLOOKUP(D130,'Measure &amp; Standard CostIDs'!$C$5:$H$177,1+B130,FALSE)),2)</f>
        <v>7.33</v>
      </c>
      <c r="X130" s="103"/>
      <c r="Y130" s="103"/>
      <c r="Z130" s="103" t="s">
        <v>868</v>
      </c>
      <c r="AA130" s="103" t="s">
        <v>869</v>
      </c>
      <c r="AB130" s="103" t="s">
        <v>153</v>
      </c>
      <c r="AC130" s="103">
        <v>0</v>
      </c>
      <c r="AD130" s="156">
        <v>42005</v>
      </c>
      <c r="AE130" s="103"/>
      <c r="AF130" s="103" t="s">
        <v>870</v>
      </c>
      <c r="AG130" s="103" t="s">
        <v>871</v>
      </c>
      <c r="AH130" s="103" t="s">
        <v>872</v>
      </c>
      <c r="AI130" s="103">
        <v>0</v>
      </c>
      <c r="AJ130" s="103"/>
      <c r="AK130" s="103"/>
      <c r="AL130" s="103"/>
      <c r="AM130" s="103"/>
      <c r="AN130" s="103"/>
      <c r="AO130" s="103" t="str">
        <f t="shared" si="3"/>
        <v>CFLscw-Glb(11w)Wtd-Pack</v>
      </c>
    </row>
    <row r="131" spans="1:41">
      <c r="A131" s="177">
        <f>IFERROR(MATCH(D131,'Measure &amp; Standard CostIDs'!C$5:C$177,0),MATCH(D131,'Measure &amp; Standard CostIDs'!S$5:S$177,0))</f>
        <v>127</v>
      </c>
      <c r="B131" s="177">
        <v>1</v>
      </c>
      <c r="C131" s="103" t="s">
        <v>153</v>
      </c>
      <c r="D131" s="103" t="s">
        <v>453</v>
      </c>
      <c r="E131" s="103" t="str">
        <f>IF(LEFT(D131,3)="Std","Base case cost for mix of 60% Incandescent and 40% CFL lamps for CFL TechID: "&amp;INDEX('Measure &amp; Standard CostIDs'!$C$5:$C$177,A131),"&lt;from TechID&gt;")</f>
        <v>&lt;from TechID&gt;</v>
      </c>
      <c r="F131" s="103" t="s">
        <v>860</v>
      </c>
      <c r="G131" s="103" t="s">
        <v>151</v>
      </c>
      <c r="H131" s="103" t="s">
        <v>861</v>
      </c>
      <c r="I131" s="103" t="s">
        <v>862</v>
      </c>
      <c r="J131" s="103" t="s">
        <v>863</v>
      </c>
      <c r="K131" s="103" t="s">
        <v>864</v>
      </c>
      <c r="L131" s="103" t="s">
        <v>153</v>
      </c>
      <c r="M131" s="103" t="s">
        <v>865</v>
      </c>
      <c r="N131" s="103" t="s">
        <v>866</v>
      </c>
      <c r="O131" s="103" t="str">
        <f t="shared" si="2"/>
        <v>CFLscw-Glb(12w)</v>
      </c>
      <c r="P131" s="103" t="s">
        <v>153</v>
      </c>
      <c r="Q131" s="103" t="s">
        <v>153</v>
      </c>
      <c r="R131" s="103" t="s">
        <v>153</v>
      </c>
      <c r="S131" s="103" t="str">
        <f>INDEX('Measure &amp; Standard CostIDs'!$AK$8:$AK$12,B131)</f>
        <v>Wtd-Pack</v>
      </c>
      <c r="T131" s="103" t="s">
        <v>867</v>
      </c>
      <c r="U131" s="103"/>
      <c r="V131" s="103"/>
      <c r="W131" s="103">
        <f>ROUND(IF(LEFT(D131,3)="Std",VLOOKUP(D131,'Measure &amp; Standard CostIDs'!$S$5:$X$177,1+B131,FALSE),VLOOKUP(D131,'Measure &amp; Standard CostIDs'!$C$5:$H$177,1+B131,FALSE)),2)</f>
        <v>7.3</v>
      </c>
      <c r="X131" s="103"/>
      <c r="Y131" s="103"/>
      <c r="Z131" s="103" t="s">
        <v>868</v>
      </c>
      <c r="AA131" s="103" t="s">
        <v>869</v>
      </c>
      <c r="AB131" s="103" t="s">
        <v>153</v>
      </c>
      <c r="AC131" s="103">
        <v>0</v>
      </c>
      <c r="AD131" s="156">
        <v>42005</v>
      </c>
      <c r="AE131" s="103"/>
      <c r="AF131" s="103" t="s">
        <v>870</v>
      </c>
      <c r="AG131" s="103" t="s">
        <v>871</v>
      </c>
      <c r="AH131" s="103" t="s">
        <v>872</v>
      </c>
      <c r="AI131" s="103">
        <v>0</v>
      </c>
      <c r="AJ131" s="103"/>
      <c r="AK131" s="103"/>
      <c r="AL131" s="103"/>
      <c r="AM131" s="103"/>
      <c r="AN131" s="103"/>
      <c r="AO131" s="103" t="str">
        <f t="shared" si="3"/>
        <v>CFLscw-Glb(12w)Wtd-Pack</v>
      </c>
    </row>
    <row r="132" spans="1:41">
      <c r="A132" s="177">
        <f>IFERROR(MATCH(D132,'Measure &amp; Standard CostIDs'!C$5:C$177,0),MATCH(D132,'Measure &amp; Standard CostIDs'!S$5:S$177,0))</f>
        <v>128</v>
      </c>
      <c r="B132" s="177">
        <v>1</v>
      </c>
      <c r="C132" s="103" t="s">
        <v>153</v>
      </c>
      <c r="D132" s="103" t="s">
        <v>455</v>
      </c>
      <c r="E132" s="103" t="str">
        <f>IF(LEFT(D132,3)="Std","Base case cost for mix of 60% Incandescent and 40% CFL lamps for CFL TechID: "&amp;INDEX('Measure &amp; Standard CostIDs'!$C$5:$C$177,A132),"&lt;from TechID&gt;")</f>
        <v>&lt;from TechID&gt;</v>
      </c>
      <c r="F132" s="103" t="s">
        <v>860</v>
      </c>
      <c r="G132" s="103" t="s">
        <v>151</v>
      </c>
      <c r="H132" s="103" t="s">
        <v>861</v>
      </c>
      <c r="I132" s="103" t="s">
        <v>862</v>
      </c>
      <c r="J132" s="103" t="s">
        <v>863</v>
      </c>
      <c r="K132" s="103" t="s">
        <v>864</v>
      </c>
      <c r="L132" s="103" t="s">
        <v>153</v>
      </c>
      <c r="M132" s="103" t="s">
        <v>865</v>
      </c>
      <c r="N132" s="103" t="s">
        <v>866</v>
      </c>
      <c r="O132" s="103" t="str">
        <f t="shared" si="2"/>
        <v>CFLscw-Glb(13w)</v>
      </c>
      <c r="P132" s="103" t="s">
        <v>153</v>
      </c>
      <c r="Q132" s="103" t="s">
        <v>153</v>
      </c>
      <c r="R132" s="103" t="s">
        <v>153</v>
      </c>
      <c r="S132" s="103" t="str">
        <f>INDEX('Measure &amp; Standard CostIDs'!$AK$8:$AK$12,B132)</f>
        <v>Wtd-Pack</v>
      </c>
      <c r="T132" s="103" t="s">
        <v>867</v>
      </c>
      <c r="U132" s="103"/>
      <c r="V132" s="103"/>
      <c r="W132" s="103">
        <f>ROUND(IF(LEFT(D132,3)="Std",VLOOKUP(D132,'Measure &amp; Standard CostIDs'!$S$5:$X$177,1+B132,FALSE),VLOOKUP(D132,'Measure &amp; Standard CostIDs'!$C$5:$H$177,1+B132,FALSE)),2)</f>
        <v>7.28</v>
      </c>
      <c r="X132" s="103"/>
      <c r="Y132" s="103"/>
      <c r="Z132" s="103" t="s">
        <v>868</v>
      </c>
      <c r="AA132" s="103" t="s">
        <v>869</v>
      </c>
      <c r="AB132" s="103" t="s">
        <v>153</v>
      </c>
      <c r="AC132" s="103">
        <v>0</v>
      </c>
      <c r="AD132" s="156">
        <v>42005</v>
      </c>
      <c r="AE132" s="103"/>
      <c r="AF132" s="103" t="s">
        <v>870</v>
      </c>
      <c r="AG132" s="103" t="s">
        <v>871</v>
      </c>
      <c r="AH132" s="103" t="s">
        <v>872</v>
      </c>
      <c r="AI132" s="103">
        <v>0</v>
      </c>
      <c r="AJ132" s="103"/>
      <c r="AK132" s="103"/>
      <c r="AL132" s="103"/>
      <c r="AM132" s="103"/>
      <c r="AN132" s="103"/>
      <c r="AO132" s="103" t="str">
        <f t="shared" si="3"/>
        <v>CFLscw-Glb(13w)Wtd-Pack</v>
      </c>
    </row>
    <row r="133" spans="1:41">
      <c r="A133" s="177">
        <f>IFERROR(MATCH(D133,'Measure &amp; Standard CostIDs'!C$5:C$177,0),MATCH(D133,'Measure &amp; Standard CostIDs'!S$5:S$177,0))</f>
        <v>129</v>
      </c>
      <c r="B133" s="177">
        <v>1</v>
      </c>
      <c r="C133" s="103" t="s">
        <v>153</v>
      </c>
      <c r="D133" s="103" t="s">
        <v>457</v>
      </c>
      <c r="E133" s="103" t="str">
        <f>IF(LEFT(D133,3)="Std","Base case cost for mix of 60% Incandescent and 40% CFL lamps for CFL TechID: "&amp;INDEX('Measure &amp; Standard CostIDs'!$C$5:$C$177,A133),"&lt;from TechID&gt;")</f>
        <v>&lt;from TechID&gt;</v>
      </c>
      <c r="F133" s="103" t="s">
        <v>860</v>
      </c>
      <c r="G133" s="103" t="s">
        <v>151</v>
      </c>
      <c r="H133" s="103" t="s">
        <v>861</v>
      </c>
      <c r="I133" s="103" t="s">
        <v>862</v>
      </c>
      <c r="J133" s="103" t="s">
        <v>863</v>
      </c>
      <c r="K133" s="103" t="s">
        <v>864</v>
      </c>
      <c r="L133" s="103" t="s">
        <v>153</v>
      </c>
      <c r="M133" s="103" t="s">
        <v>865</v>
      </c>
      <c r="N133" s="103" t="s">
        <v>866</v>
      </c>
      <c r="O133" s="103" t="str">
        <f t="shared" si="2"/>
        <v>CFLscw-Glb(14w)</v>
      </c>
      <c r="P133" s="103" t="s">
        <v>153</v>
      </c>
      <c r="Q133" s="103" t="s">
        <v>153</v>
      </c>
      <c r="R133" s="103" t="s">
        <v>153</v>
      </c>
      <c r="S133" s="103" t="str">
        <f>INDEX('Measure &amp; Standard CostIDs'!$AK$8:$AK$12,B133)</f>
        <v>Wtd-Pack</v>
      </c>
      <c r="T133" s="103" t="s">
        <v>867</v>
      </c>
      <c r="U133" s="103"/>
      <c r="V133" s="103"/>
      <c r="W133" s="103">
        <f>ROUND(IF(LEFT(D133,3)="Std",VLOOKUP(D133,'Measure &amp; Standard CostIDs'!$S$5:$X$177,1+B133,FALSE),VLOOKUP(D133,'Measure &amp; Standard CostIDs'!$C$5:$H$177,1+B133,FALSE)),2)</f>
        <v>7.25</v>
      </c>
      <c r="X133" s="103"/>
      <c r="Y133" s="103"/>
      <c r="Z133" s="103" t="s">
        <v>868</v>
      </c>
      <c r="AA133" s="103" t="s">
        <v>869</v>
      </c>
      <c r="AB133" s="103" t="s">
        <v>153</v>
      </c>
      <c r="AC133" s="103">
        <v>0</v>
      </c>
      <c r="AD133" s="156">
        <v>42005</v>
      </c>
      <c r="AE133" s="103"/>
      <c r="AF133" s="103" t="s">
        <v>870</v>
      </c>
      <c r="AG133" s="103" t="s">
        <v>871</v>
      </c>
      <c r="AH133" s="103" t="s">
        <v>872</v>
      </c>
      <c r="AI133" s="103">
        <v>0</v>
      </c>
      <c r="AJ133" s="103"/>
      <c r="AK133" s="103"/>
      <c r="AL133" s="103"/>
      <c r="AM133" s="103"/>
      <c r="AN133" s="103"/>
      <c r="AO133" s="103" t="str">
        <f t="shared" si="3"/>
        <v>CFLscw-Glb(14w)Wtd-Pack</v>
      </c>
    </row>
    <row r="134" spans="1:41">
      <c r="A134" s="177">
        <f>IFERROR(MATCH(D134,'Measure &amp; Standard CostIDs'!C$5:C$177,0),MATCH(D134,'Measure &amp; Standard CostIDs'!S$5:S$177,0))</f>
        <v>130</v>
      </c>
      <c r="B134" s="177">
        <v>1</v>
      </c>
      <c r="C134" s="103" t="s">
        <v>153</v>
      </c>
      <c r="D134" s="103" t="s">
        <v>459</v>
      </c>
      <c r="E134" s="103" t="str">
        <f>IF(LEFT(D134,3)="Std","Base case cost for mix of 60% Incandescent and 40% CFL lamps for CFL TechID: "&amp;INDEX('Measure &amp; Standard CostIDs'!$C$5:$C$177,A134),"&lt;from TechID&gt;")</f>
        <v>&lt;from TechID&gt;</v>
      </c>
      <c r="F134" s="103" t="s">
        <v>860</v>
      </c>
      <c r="G134" s="103" t="s">
        <v>151</v>
      </c>
      <c r="H134" s="103" t="s">
        <v>861</v>
      </c>
      <c r="I134" s="103" t="s">
        <v>862</v>
      </c>
      <c r="J134" s="103" t="s">
        <v>863</v>
      </c>
      <c r="K134" s="103" t="s">
        <v>864</v>
      </c>
      <c r="L134" s="103" t="s">
        <v>153</v>
      </c>
      <c r="M134" s="103" t="s">
        <v>865</v>
      </c>
      <c r="N134" s="103" t="s">
        <v>866</v>
      </c>
      <c r="O134" s="103" t="str">
        <f t="shared" ref="O134:O197" si="4">IF(LEFT(D134,3)="Std","",D134)</f>
        <v>CFLscw-Glb(15w)</v>
      </c>
      <c r="P134" s="103" t="s">
        <v>153</v>
      </c>
      <c r="Q134" s="103" t="s">
        <v>153</v>
      </c>
      <c r="R134" s="103" t="s">
        <v>153</v>
      </c>
      <c r="S134" s="103" t="str">
        <f>INDEX('Measure &amp; Standard CostIDs'!$AK$8:$AK$12,B134)</f>
        <v>Wtd-Pack</v>
      </c>
      <c r="T134" s="103" t="s">
        <v>867</v>
      </c>
      <c r="U134" s="103"/>
      <c r="V134" s="103"/>
      <c r="W134" s="103">
        <f>ROUND(IF(LEFT(D134,3)="Std",VLOOKUP(D134,'Measure &amp; Standard CostIDs'!$S$5:$X$177,1+B134,FALSE),VLOOKUP(D134,'Measure &amp; Standard CostIDs'!$C$5:$H$177,1+B134,FALSE)),2)</f>
        <v>7.23</v>
      </c>
      <c r="X134" s="103"/>
      <c r="Y134" s="103"/>
      <c r="Z134" s="103" t="s">
        <v>868</v>
      </c>
      <c r="AA134" s="103" t="s">
        <v>869</v>
      </c>
      <c r="AB134" s="103" t="s">
        <v>153</v>
      </c>
      <c r="AC134" s="103">
        <v>0</v>
      </c>
      <c r="AD134" s="156">
        <v>42005</v>
      </c>
      <c r="AE134" s="103"/>
      <c r="AF134" s="103" t="s">
        <v>870</v>
      </c>
      <c r="AG134" s="103" t="s">
        <v>871</v>
      </c>
      <c r="AH134" s="103" t="s">
        <v>872</v>
      </c>
      <c r="AI134" s="103">
        <v>0</v>
      </c>
      <c r="AJ134" s="103"/>
      <c r="AK134" s="103"/>
      <c r="AL134" s="103"/>
      <c r="AM134" s="103"/>
      <c r="AN134" s="103"/>
      <c r="AO134" s="103" t="str">
        <f t="shared" ref="AO134:AO197" si="5">D134&amp;S134</f>
        <v>CFLscw-Glb(15w)Wtd-Pack</v>
      </c>
    </row>
    <row r="135" spans="1:41">
      <c r="A135" s="177">
        <f>IFERROR(MATCH(D135,'Measure &amp; Standard CostIDs'!C$5:C$177,0),MATCH(D135,'Measure &amp; Standard CostIDs'!S$5:S$177,0))</f>
        <v>131</v>
      </c>
      <c r="B135" s="177">
        <v>1</v>
      </c>
      <c r="C135" s="103" t="s">
        <v>153</v>
      </c>
      <c r="D135" s="103" t="s">
        <v>461</v>
      </c>
      <c r="E135" s="103" t="str">
        <f>IF(LEFT(D135,3)="Std","Base case cost for mix of 60% Incandescent and 40% CFL lamps for CFL TechID: "&amp;INDEX('Measure &amp; Standard CostIDs'!$C$5:$C$177,A135),"&lt;from TechID&gt;")</f>
        <v>&lt;from TechID&gt;</v>
      </c>
      <c r="F135" s="103" t="s">
        <v>860</v>
      </c>
      <c r="G135" s="103" t="s">
        <v>151</v>
      </c>
      <c r="H135" s="103" t="s">
        <v>861</v>
      </c>
      <c r="I135" s="103" t="s">
        <v>862</v>
      </c>
      <c r="J135" s="103" t="s">
        <v>863</v>
      </c>
      <c r="K135" s="103" t="s">
        <v>864</v>
      </c>
      <c r="L135" s="103" t="s">
        <v>153</v>
      </c>
      <c r="M135" s="103" t="s">
        <v>865</v>
      </c>
      <c r="N135" s="103" t="s">
        <v>866</v>
      </c>
      <c r="O135" s="103" t="str">
        <f t="shared" si="4"/>
        <v>CFLscw-Glb(16w)</v>
      </c>
      <c r="P135" s="103" t="s">
        <v>153</v>
      </c>
      <c r="Q135" s="103" t="s">
        <v>153</v>
      </c>
      <c r="R135" s="103" t="s">
        <v>153</v>
      </c>
      <c r="S135" s="103" t="str">
        <f>INDEX('Measure &amp; Standard CostIDs'!$AK$8:$AK$12,B135)</f>
        <v>Wtd-Pack</v>
      </c>
      <c r="T135" s="103" t="s">
        <v>867</v>
      </c>
      <c r="U135" s="103"/>
      <c r="V135" s="103"/>
      <c r="W135" s="103">
        <f>ROUND(IF(LEFT(D135,3)="Std",VLOOKUP(D135,'Measure &amp; Standard CostIDs'!$S$5:$X$177,1+B135,FALSE),VLOOKUP(D135,'Measure &amp; Standard CostIDs'!$C$5:$H$177,1+B135,FALSE)),2)</f>
        <v>7.2</v>
      </c>
      <c r="X135" s="103"/>
      <c r="Y135" s="103"/>
      <c r="Z135" s="103" t="s">
        <v>868</v>
      </c>
      <c r="AA135" s="103" t="s">
        <v>869</v>
      </c>
      <c r="AB135" s="103" t="s">
        <v>153</v>
      </c>
      <c r="AC135" s="103">
        <v>0</v>
      </c>
      <c r="AD135" s="156">
        <v>42005</v>
      </c>
      <c r="AE135" s="103"/>
      <c r="AF135" s="103" t="s">
        <v>870</v>
      </c>
      <c r="AG135" s="103" t="s">
        <v>871</v>
      </c>
      <c r="AH135" s="103" t="s">
        <v>872</v>
      </c>
      <c r="AI135" s="103">
        <v>0</v>
      </c>
      <c r="AJ135" s="103"/>
      <c r="AK135" s="103"/>
      <c r="AL135" s="103"/>
      <c r="AM135" s="103"/>
      <c r="AN135" s="103"/>
      <c r="AO135" s="103" t="str">
        <f t="shared" si="5"/>
        <v>CFLscw-Glb(16w)Wtd-Pack</v>
      </c>
    </row>
    <row r="136" spans="1:41">
      <c r="A136" s="177">
        <f>IFERROR(MATCH(D136,'Measure &amp; Standard CostIDs'!C$5:C$177,0),MATCH(D136,'Measure &amp; Standard CostIDs'!S$5:S$177,0))</f>
        <v>132</v>
      </c>
      <c r="B136" s="177">
        <v>1</v>
      </c>
      <c r="C136" s="103" t="s">
        <v>153</v>
      </c>
      <c r="D136" s="103" t="s">
        <v>463</v>
      </c>
      <c r="E136" s="103" t="str">
        <f>IF(LEFT(D136,3)="Std","Base case cost for mix of 60% Incandescent and 40% CFL lamps for CFL TechID: "&amp;INDEX('Measure &amp; Standard CostIDs'!$C$5:$C$177,A136),"&lt;from TechID&gt;")</f>
        <v>&lt;from TechID&gt;</v>
      </c>
      <c r="F136" s="103" t="s">
        <v>860</v>
      </c>
      <c r="G136" s="103" t="s">
        <v>151</v>
      </c>
      <c r="H136" s="103" t="s">
        <v>861</v>
      </c>
      <c r="I136" s="103" t="s">
        <v>862</v>
      </c>
      <c r="J136" s="103" t="s">
        <v>863</v>
      </c>
      <c r="K136" s="103" t="s">
        <v>864</v>
      </c>
      <c r="L136" s="103" t="s">
        <v>153</v>
      </c>
      <c r="M136" s="103" t="s">
        <v>865</v>
      </c>
      <c r="N136" s="103" t="s">
        <v>866</v>
      </c>
      <c r="O136" s="103" t="str">
        <f t="shared" si="4"/>
        <v>CFLscw-Glb(18w)</v>
      </c>
      <c r="P136" s="103" t="s">
        <v>153</v>
      </c>
      <c r="Q136" s="103" t="s">
        <v>153</v>
      </c>
      <c r="R136" s="103" t="s">
        <v>153</v>
      </c>
      <c r="S136" s="103" t="str">
        <f>INDEX('Measure &amp; Standard CostIDs'!$AK$8:$AK$12,B136)</f>
        <v>Wtd-Pack</v>
      </c>
      <c r="T136" s="103" t="s">
        <v>867</v>
      </c>
      <c r="U136" s="103"/>
      <c r="V136" s="103"/>
      <c r="W136" s="103">
        <f>ROUND(IF(LEFT(D136,3)="Std",VLOOKUP(D136,'Measure &amp; Standard CostIDs'!$S$5:$X$177,1+B136,FALSE),VLOOKUP(D136,'Measure &amp; Standard CostIDs'!$C$5:$H$177,1+B136,FALSE)),2)</f>
        <v>7.15</v>
      </c>
      <c r="X136" s="103"/>
      <c r="Y136" s="103"/>
      <c r="Z136" s="103" t="s">
        <v>868</v>
      </c>
      <c r="AA136" s="103" t="s">
        <v>869</v>
      </c>
      <c r="AB136" s="103" t="s">
        <v>153</v>
      </c>
      <c r="AC136" s="103">
        <v>0</v>
      </c>
      <c r="AD136" s="156">
        <v>42005</v>
      </c>
      <c r="AE136" s="103"/>
      <c r="AF136" s="103" t="s">
        <v>870</v>
      </c>
      <c r="AG136" s="103" t="s">
        <v>871</v>
      </c>
      <c r="AH136" s="103" t="s">
        <v>872</v>
      </c>
      <c r="AI136" s="103">
        <v>0</v>
      </c>
      <c r="AJ136" s="103"/>
      <c r="AK136" s="103"/>
      <c r="AL136" s="103"/>
      <c r="AM136" s="103"/>
      <c r="AN136" s="103"/>
      <c r="AO136" s="103" t="str">
        <f t="shared" si="5"/>
        <v>CFLscw-Glb(18w)Wtd-Pack</v>
      </c>
    </row>
    <row r="137" spans="1:41">
      <c r="A137" s="177">
        <f>IFERROR(MATCH(D137,'Measure &amp; Standard CostIDs'!C$5:C$177,0),MATCH(D137,'Measure &amp; Standard CostIDs'!S$5:S$177,0))</f>
        <v>133</v>
      </c>
      <c r="B137" s="177">
        <v>1</v>
      </c>
      <c r="C137" s="103" t="s">
        <v>153</v>
      </c>
      <c r="D137" s="103" t="s">
        <v>465</v>
      </c>
      <c r="E137" s="103" t="str">
        <f>IF(LEFT(D137,3)="Std","Base case cost for mix of 60% Incandescent and 40% CFL lamps for CFL TechID: "&amp;INDEX('Measure &amp; Standard CostIDs'!$C$5:$C$177,A137),"&lt;from TechID&gt;")</f>
        <v>&lt;from TechID&gt;</v>
      </c>
      <c r="F137" s="103" t="s">
        <v>860</v>
      </c>
      <c r="G137" s="103" t="s">
        <v>151</v>
      </c>
      <c r="H137" s="103" t="s">
        <v>861</v>
      </c>
      <c r="I137" s="103" t="s">
        <v>862</v>
      </c>
      <c r="J137" s="103" t="s">
        <v>863</v>
      </c>
      <c r="K137" s="103" t="s">
        <v>864</v>
      </c>
      <c r="L137" s="103" t="s">
        <v>153</v>
      </c>
      <c r="M137" s="103" t="s">
        <v>865</v>
      </c>
      <c r="N137" s="103" t="s">
        <v>866</v>
      </c>
      <c r="O137" s="103" t="str">
        <f t="shared" si="4"/>
        <v>CFLscw-Glb(19w)</v>
      </c>
      <c r="P137" s="103" t="s">
        <v>153</v>
      </c>
      <c r="Q137" s="103" t="s">
        <v>153</v>
      </c>
      <c r="R137" s="103" t="s">
        <v>153</v>
      </c>
      <c r="S137" s="103" t="str">
        <f>INDEX('Measure &amp; Standard CostIDs'!$AK$8:$AK$12,B137)</f>
        <v>Wtd-Pack</v>
      </c>
      <c r="T137" s="103" t="s">
        <v>867</v>
      </c>
      <c r="U137" s="103"/>
      <c r="V137" s="103"/>
      <c r="W137" s="103">
        <f>ROUND(IF(LEFT(D137,3)="Std",VLOOKUP(D137,'Measure &amp; Standard CostIDs'!$S$5:$X$177,1+B137,FALSE),VLOOKUP(D137,'Measure &amp; Standard CostIDs'!$C$5:$H$177,1+B137,FALSE)),2)</f>
        <v>7.12</v>
      </c>
      <c r="X137" s="103"/>
      <c r="Y137" s="103"/>
      <c r="Z137" s="103" t="s">
        <v>868</v>
      </c>
      <c r="AA137" s="103" t="s">
        <v>869</v>
      </c>
      <c r="AB137" s="103" t="s">
        <v>153</v>
      </c>
      <c r="AC137" s="103">
        <v>0</v>
      </c>
      <c r="AD137" s="156">
        <v>42005</v>
      </c>
      <c r="AE137" s="103"/>
      <c r="AF137" s="103" t="s">
        <v>870</v>
      </c>
      <c r="AG137" s="103" t="s">
        <v>871</v>
      </c>
      <c r="AH137" s="103" t="s">
        <v>872</v>
      </c>
      <c r="AI137" s="103">
        <v>0</v>
      </c>
      <c r="AJ137" s="103"/>
      <c r="AK137" s="103"/>
      <c r="AL137" s="103"/>
      <c r="AM137" s="103"/>
      <c r="AN137" s="103"/>
      <c r="AO137" s="103" t="str">
        <f t="shared" si="5"/>
        <v>CFLscw-Glb(19w)Wtd-Pack</v>
      </c>
    </row>
    <row r="138" spans="1:41">
      <c r="A138" s="177">
        <f>IFERROR(MATCH(D138,'Measure &amp; Standard CostIDs'!C$5:C$177,0),MATCH(D138,'Measure &amp; Standard CostIDs'!S$5:S$177,0))</f>
        <v>134</v>
      </c>
      <c r="B138" s="177">
        <v>1</v>
      </c>
      <c r="C138" s="103" t="s">
        <v>153</v>
      </c>
      <c r="D138" s="103" t="s">
        <v>467</v>
      </c>
      <c r="E138" s="103" t="str">
        <f>IF(LEFT(D138,3)="Std","Base case cost for mix of 60% Incandescent and 40% CFL lamps for CFL TechID: "&amp;INDEX('Measure &amp; Standard CostIDs'!$C$5:$C$177,A138),"&lt;from TechID&gt;")</f>
        <v>&lt;from TechID&gt;</v>
      </c>
      <c r="F138" s="103" t="s">
        <v>860</v>
      </c>
      <c r="G138" s="103" t="s">
        <v>151</v>
      </c>
      <c r="H138" s="103" t="s">
        <v>861</v>
      </c>
      <c r="I138" s="103" t="s">
        <v>862</v>
      </c>
      <c r="J138" s="103" t="s">
        <v>863</v>
      </c>
      <c r="K138" s="103" t="s">
        <v>864</v>
      </c>
      <c r="L138" s="103" t="s">
        <v>153</v>
      </c>
      <c r="M138" s="103" t="s">
        <v>865</v>
      </c>
      <c r="N138" s="103" t="s">
        <v>866</v>
      </c>
      <c r="O138" s="103" t="str">
        <f t="shared" si="4"/>
        <v>CFLscw-Glb(20w)</v>
      </c>
      <c r="P138" s="103" t="s">
        <v>153</v>
      </c>
      <c r="Q138" s="103" t="s">
        <v>153</v>
      </c>
      <c r="R138" s="103" t="s">
        <v>153</v>
      </c>
      <c r="S138" s="103" t="str">
        <f>INDEX('Measure &amp; Standard CostIDs'!$AK$8:$AK$12,B138)</f>
        <v>Wtd-Pack</v>
      </c>
      <c r="T138" s="103" t="s">
        <v>867</v>
      </c>
      <c r="U138" s="103"/>
      <c r="V138" s="103"/>
      <c r="W138" s="103">
        <f>ROUND(IF(LEFT(D138,3)="Std",VLOOKUP(D138,'Measure &amp; Standard CostIDs'!$S$5:$X$177,1+B138,FALSE),VLOOKUP(D138,'Measure &amp; Standard CostIDs'!$C$5:$H$177,1+B138,FALSE)),2)</f>
        <v>7.09</v>
      </c>
      <c r="X138" s="103"/>
      <c r="Y138" s="103"/>
      <c r="Z138" s="103" t="s">
        <v>868</v>
      </c>
      <c r="AA138" s="103" t="s">
        <v>869</v>
      </c>
      <c r="AB138" s="103" t="s">
        <v>153</v>
      </c>
      <c r="AC138" s="103">
        <v>0</v>
      </c>
      <c r="AD138" s="156">
        <v>42005</v>
      </c>
      <c r="AE138" s="103"/>
      <c r="AF138" s="103" t="s">
        <v>870</v>
      </c>
      <c r="AG138" s="103" t="s">
        <v>871</v>
      </c>
      <c r="AH138" s="103" t="s">
        <v>872</v>
      </c>
      <c r="AI138" s="103">
        <v>0</v>
      </c>
      <c r="AJ138" s="103"/>
      <c r="AK138" s="103"/>
      <c r="AL138" s="103"/>
      <c r="AM138" s="103"/>
      <c r="AN138" s="103"/>
      <c r="AO138" s="103" t="str">
        <f t="shared" si="5"/>
        <v>CFLscw-Glb(20w)Wtd-Pack</v>
      </c>
    </row>
    <row r="139" spans="1:41">
      <c r="A139" s="177">
        <f>IFERROR(MATCH(D139,'Measure &amp; Standard CostIDs'!C$5:C$177,0),MATCH(D139,'Measure &amp; Standard CostIDs'!S$5:S$177,0))</f>
        <v>135</v>
      </c>
      <c r="B139" s="177">
        <v>1</v>
      </c>
      <c r="C139" s="103" t="s">
        <v>153</v>
      </c>
      <c r="D139" s="103" t="s">
        <v>469</v>
      </c>
      <c r="E139" s="103" t="str">
        <f>IF(LEFT(D139,3)="Std","Base case cost for mix of 60% Incandescent and 40% CFL lamps for CFL TechID: "&amp;INDEX('Measure &amp; Standard CostIDs'!$C$5:$C$177,A139),"&lt;from TechID&gt;")</f>
        <v>&lt;from TechID&gt;</v>
      </c>
      <c r="F139" s="103" t="s">
        <v>860</v>
      </c>
      <c r="G139" s="103" t="s">
        <v>151</v>
      </c>
      <c r="H139" s="103" t="s">
        <v>861</v>
      </c>
      <c r="I139" s="103" t="s">
        <v>862</v>
      </c>
      <c r="J139" s="103" t="s">
        <v>863</v>
      </c>
      <c r="K139" s="103" t="s">
        <v>864</v>
      </c>
      <c r="L139" s="103" t="s">
        <v>153</v>
      </c>
      <c r="M139" s="103" t="s">
        <v>865</v>
      </c>
      <c r="N139" s="103" t="s">
        <v>866</v>
      </c>
      <c r="O139" s="103" t="str">
        <f t="shared" si="4"/>
        <v>CFLscw-Glb(22w)</v>
      </c>
      <c r="P139" s="103" t="s">
        <v>153</v>
      </c>
      <c r="Q139" s="103" t="s">
        <v>153</v>
      </c>
      <c r="R139" s="103" t="s">
        <v>153</v>
      </c>
      <c r="S139" s="103" t="str">
        <f>INDEX('Measure &amp; Standard CostIDs'!$AK$8:$AK$12,B139)</f>
        <v>Wtd-Pack</v>
      </c>
      <c r="T139" s="103" t="s">
        <v>867</v>
      </c>
      <c r="U139" s="103"/>
      <c r="V139" s="103"/>
      <c r="W139" s="103">
        <f>ROUND(IF(LEFT(D139,3)="Std",VLOOKUP(D139,'Measure &amp; Standard CostIDs'!$S$5:$X$177,1+B139,FALSE),VLOOKUP(D139,'Measure &amp; Standard CostIDs'!$C$5:$H$177,1+B139,FALSE)),2)</f>
        <v>7.04</v>
      </c>
      <c r="X139" s="103"/>
      <c r="Y139" s="103"/>
      <c r="Z139" s="103" t="s">
        <v>868</v>
      </c>
      <c r="AA139" s="103" t="s">
        <v>869</v>
      </c>
      <c r="AB139" s="103" t="s">
        <v>153</v>
      </c>
      <c r="AC139" s="103">
        <v>0</v>
      </c>
      <c r="AD139" s="156">
        <v>42005</v>
      </c>
      <c r="AE139" s="103"/>
      <c r="AF139" s="103" t="s">
        <v>870</v>
      </c>
      <c r="AG139" s="103" t="s">
        <v>871</v>
      </c>
      <c r="AH139" s="103" t="s">
        <v>872</v>
      </c>
      <c r="AI139" s="103">
        <v>0</v>
      </c>
      <c r="AJ139" s="103"/>
      <c r="AK139" s="103"/>
      <c r="AL139" s="103"/>
      <c r="AM139" s="103"/>
      <c r="AN139" s="103"/>
      <c r="AO139" s="103" t="str">
        <f t="shared" si="5"/>
        <v>CFLscw-Glb(22w)Wtd-Pack</v>
      </c>
    </row>
    <row r="140" spans="1:41">
      <c r="A140" s="177">
        <f>IFERROR(MATCH(D140,'Measure &amp; Standard CostIDs'!C$5:C$177,0),MATCH(D140,'Measure &amp; Standard CostIDs'!S$5:S$177,0))</f>
        <v>136</v>
      </c>
      <c r="B140" s="177">
        <v>1</v>
      </c>
      <c r="C140" s="103" t="s">
        <v>153</v>
      </c>
      <c r="D140" s="103" t="s">
        <v>471</v>
      </c>
      <c r="E140" s="103" t="str">
        <f>IF(LEFT(D140,3)="Std","Base case cost for mix of 60% Incandescent and 40% CFL lamps for CFL TechID: "&amp;INDEX('Measure &amp; Standard CostIDs'!$C$5:$C$177,A140),"&lt;from TechID&gt;")</f>
        <v>&lt;from TechID&gt;</v>
      </c>
      <c r="F140" s="103" t="s">
        <v>860</v>
      </c>
      <c r="G140" s="103" t="s">
        <v>151</v>
      </c>
      <c r="H140" s="103" t="s">
        <v>861</v>
      </c>
      <c r="I140" s="103" t="s">
        <v>862</v>
      </c>
      <c r="J140" s="103" t="s">
        <v>863</v>
      </c>
      <c r="K140" s="103" t="s">
        <v>864</v>
      </c>
      <c r="L140" s="103" t="s">
        <v>153</v>
      </c>
      <c r="M140" s="103" t="s">
        <v>865</v>
      </c>
      <c r="N140" s="103" t="s">
        <v>866</v>
      </c>
      <c r="O140" s="103" t="str">
        <f t="shared" si="4"/>
        <v>CFLscw-Glb(23w)</v>
      </c>
      <c r="P140" s="103" t="s">
        <v>153</v>
      </c>
      <c r="Q140" s="103" t="s">
        <v>153</v>
      </c>
      <c r="R140" s="103" t="s">
        <v>153</v>
      </c>
      <c r="S140" s="103" t="str">
        <f>INDEX('Measure &amp; Standard CostIDs'!$AK$8:$AK$12,B140)</f>
        <v>Wtd-Pack</v>
      </c>
      <c r="T140" s="103" t="s">
        <v>867</v>
      </c>
      <c r="U140" s="103"/>
      <c r="V140" s="103"/>
      <c r="W140" s="103">
        <f>ROUND(IF(LEFT(D140,3)="Std",VLOOKUP(D140,'Measure &amp; Standard CostIDs'!$S$5:$X$177,1+B140,FALSE),VLOOKUP(D140,'Measure &amp; Standard CostIDs'!$C$5:$H$177,1+B140,FALSE)),2)</f>
        <v>7.02</v>
      </c>
      <c r="X140" s="103"/>
      <c r="Y140" s="103"/>
      <c r="Z140" s="103" t="s">
        <v>868</v>
      </c>
      <c r="AA140" s="103" t="s">
        <v>869</v>
      </c>
      <c r="AB140" s="103" t="s">
        <v>153</v>
      </c>
      <c r="AC140" s="103">
        <v>0</v>
      </c>
      <c r="AD140" s="156">
        <v>42005</v>
      </c>
      <c r="AE140" s="103"/>
      <c r="AF140" s="103" t="s">
        <v>870</v>
      </c>
      <c r="AG140" s="103" t="s">
        <v>871</v>
      </c>
      <c r="AH140" s="103" t="s">
        <v>872</v>
      </c>
      <c r="AI140" s="103">
        <v>0</v>
      </c>
      <c r="AJ140" s="103"/>
      <c r="AK140" s="103"/>
      <c r="AL140" s="103"/>
      <c r="AM140" s="103"/>
      <c r="AN140" s="103"/>
      <c r="AO140" s="103" t="str">
        <f t="shared" si="5"/>
        <v>CFLscw-Glb(23w)Wtd-Pack</v>
      </c>
    </row>
    <row r="141" spans="1:41">
      <c r="A141" s="177">
        <f>IFERROR(MATCH(D141,'Measure &amp; Standard CostIDs'!C$5:C$177,0),MATCH(D141,'Measure &amp; Standard CostIDs'!S$5:S$177,0))</f>
        <v>137</v>
      </c>
      <c r="B141" s="177">
        <v>1</v>
      </c>
      <c r="C141" s="103" t="s">
        <v>153</v>
      </c>
      <c r="D141" s="103" t="s">
        <v>499</v>
      </c>
      <c r="E141" s="103" t="str">
        <f>IF(LEFT(D141,3)="Std","Base case cost for mix of 60% Incandescent and 40% CFL lamps for CFL TechID: "&amp;INDEX('Measure &amp; Standard CostIDs'!$C$5:$C$177,A141),"&lt;from TechID&gt;")</f>
        <v>&lt;from TechID&gt;</v>
      </c>
      <c r="F141" s="103" t="s">
        <v>860</v>
      </c>
      <c r="G141" s="103" t="s">
        <v>151</v>
      </c>
      <c r="H141" s="103" t="s">
        <v>861</v>
      </c>
      <c r="I141" s="103" t="s">
        <v>862</v>
      </c>
      <c r="J141" s="103" t="s">
        <v>863</v>
      </c>
      <c r="K141" s="103" t="s">
        <v>864</v>
      </c>
      <c r="L141" s="103" t="s">
        <v>153</v>
      </c>
      <c r="M141" s="103" t="s">
        <v>865</v>
      </c>
      <c r="N141" s="103" t="s">
        <v>866</v>
      </c>
      <c r="O141" s="103" t="str">
        <f t="shared" si="4"/>
        <v>CFLscw-Glb(9w)</v>
      </c>
      <c r="P141" s="103" t="s">
        <v>153</v>
      </c>
      <c r="Q141" s="103" t="s">
        <v>153</v>
      </c>
      <c r="R141" s="103" t="s">
        <v>153</v>
      </c>
      <c r="S141" s="103" t="str">
        <f>INDEX('Measure &amp; Standard CostIDs'!$AK$8:$AK$12,B141)</f>
        <v>Wtd-Pack</v>
      </c>
      <c r="T141" s="103" t="s">
        <v>867</v>
      </c>
      <c r="U141" s="103"/>
      <c r="V141" s="103"/>
      <c r="W141" s="103">
        <f>ROUND(IF(LEFT(D141,3)="Std",VLOOKUP(D141,'Measure &amp; Standard CostIDs'!$S$5:$X$177,1+B141,FALSE),VLOOKUP(D141,'Measure &amp; Standard CostIDs'!$C$5:$H$177,1+B141,FALSE)),2)</f>
        <v>7.38</v>
      </c>
      <c r="X141" s="103"/>
      <c r="Y141" s="103"/>
      <c r="Z141" s="103" t="s">
        <v>868</v>
      </c>
      <c r="AA141" s="103" t="s">
        <v>869</v>
      </c>
      <c r="AB141" s="103" t="s">
        <v>153</v>
      </c>
      <c r="AC141" s="103">
        <v>0</v>
      </c>
      <c r="AD141" s="156">
        <v>42005</v>
      </c>
      <c r="AE141" s="103"/>
      <c r="AF141" s="103" t="s">
        <v>870</v>
      </c>
      <c r="AG141" s="103" t="s">
        <v>871</v>
      </c>
      <c r="AH141" s="103" t="s">
        <v>872</v>
      </c>
      <c r="AI141" s="103">
        <v>0</v>
      </c>
      <c r="AJ141" s="103"/>
      <c r="AK141" s="103"/>
      <c r="AL141" s="103"/>
      <c r="AM141" s="103"/>
      <c r="AN141" s="103"/>
      <c r="AO141" s="103" t="str">
        <f t="shared" si="5"/>
        <v>CFLscw-Glb(9w)Wtd-Pack</v>
      </c>
    </row>
    <row r="142" spans="1:41">
      <c r="A142" s="177">
        <f>IFERROR(MATCH(D142,'Measure &amp; Standard CostIDs'!C$5:C$177,0),MATCH(D142,'Measure &amp; Standard CostIDs'!S$5:S$177,0))</f>
        <v>138</v>
      </c>
      <c r="B142" s="177">
        <v>1</v>
      </c>
      <c r="C142" s="103" t="s">
        <v>153</v>
      </c>
      <c r="D142" s="103" t="s">
        <v>42</v>
      </c>
      <c r="E142" s="103" t="str">
        <f>IF(LEFT(D142,3)="Std","Base case cost for mix of 60% Incandescent and 40% CFL lamps for CFL TechID: "&amp;INDEX('Measure &amp; Standard CostIDs'!$C$5:$C$177,A142),"&lt;from TechID&gt;")</f>
        <v>&lt;from TechID&gt;</v>
      </c>
      <c r="F142" s="103" t="s">
        <v>860</v>
      </c>
      <c r="G142" s="103" t="s">
        <v>151</v>
      </c>
      <c r="H142" s="103" t="s">
        <v>861</v>
      </c>
      <c r="I142" s="103" t="s">
        <v>862</v>
      </c>
      <c r="J142" s="103" t="s">
        <v>863</v>
      </c>
      <c r="K142" s="103" t="s">
        <v>864</v>
      </c>
      <c r="L142" s="103" t="s">
        <v>153</v>
      </c>
      <c r="M142" s="103" t="s">
        <v>865</v>
      </c>
      <c r="N142" s="103" t="s">
        <v>866</v>
      </c>
      <c r="O142" s="103" t="str">
        <f t="shared" si="4"/>
        <v>CFLscw-PAR38(23w)</v>
      </c>
      <c r="P142" s="103" t="s">
        <v>153</v>
      </c>
      <c r="Q142" s="103" t="s">
        <v>153</v>
      </c>
      <c r="R142" s="103" t="s">
        <v>153</v>
      </c>
      <c r="S142" s="103" t="str">
        <f>INDEX('Measure &amp; Standard CostIDs'!$AK$8:$AK$12,B142)</f>
        <v>Wtd-Pack</v>
      </c>
      <c r="T142" s="103" t="s">
        <v>867</v>
      </c>
      <c r="U142" s="103"/>
      <c r="V142" s="103"/>
      <c r="W142" s="103">
        <f>ROUND(IF(LEFT(D142,3)="Std",VLOOKUP(D142,'Measure &amp; Standard CostIDs'!$S$5:$X$177,1+B142,FALSE),VLOOKUP(D142,'Measure &amp; Standard CostIDs'!$C$5:$H$177,1+B142,FALSE)),2)</f>
        <v>9.01</v>
      </c>
      <c r="X142" s="103"/>
      <c r="Y142" s="103"/>
      <c r="Z142" s="103" t="s">
        <v>868</v>
      </c>
      <c r="AA142" s="103" t="s">
        <v>869</v>
      </c>
      <c r="AB142" s="103" t="s">
        <v>153</v>
      </c>
      <c r="AC142" s="103">
        <v>0</v>
      </c>
      <c r="AD142" s="156">
        <v>42005</v>
      </c>
      <c r="AE142" s="103"/>
      <c r="AF142" s="103" t="s">
        <v>870</v>
      </c>
      <c r="AG142" s="103" t="s">
        <v>871</v>
      </c>
      <c r="AH142" s="103" t="s">
        <v>872</v>
      </c>
      <c r="AI142" s="103">
        <v>0</v>
      </c>
      <c r="AJ142" s="103"/>
      <c r="AK142" s="103"/>
      <c r="AL142" s="103"/>
      <c r="AM142" s="103"/>
      <c r="AN142" s="103"/>
      <c r="AO142" s="103" t="str">
        <f t="shared" si="5"/>
        <v>CFLscw-PAR38(23w)Wtd-Pack</v>
      </c>
    </row>
    <row r="143" spans="1:41">
      <c r="A143" s="177">
        <f>IFERROR(MATCH(D143,'Measure &amp; Standard CostIDs'!C$5:C$177,0),MATCH(D143,'Measure &amp; Standard CostIDs'!S$5:S$177,0))</f>
        <v>139</v>
      </c>
      <c r="B143" s="177">
        <v>1</v>
      </c>
      <c r="C143" s="103" t="s">
        <v>153</v>
      </c>
      <c r="D143" s="103" t="s">
        <v>537</v>
      </c>
      <c r="E143" s="103" t="str">
        <f>IF(LEFT(D143,3)="Std","Base case cost for mix of 60% Incandescent and 40% CFL lamps for CFL TechID: "&amp;INDEX('Measure &amp; Standard CostIDs'!$C$5:$C$177,A143),"&lt;from TechID&gt;")</f>
        <v>&lt;from TechID&gt;</v>
      </c>
      <c r="F143" s="103" t="s">
        <v>860</v>
      </c>
      <c r="G143" s="103" t="s">
        <v>151</v>
      </c>
      <c r="H143" s="103" t="s">
        <v>861</v>
      </c>
      <c r="I143" s="103" t="s">
        <v>862</v>
      </c>
      <c r="J143" s="103" t="s">
        <v>863</v>
      </c>
      <c r="K143" s="103" t="s">
        <v>864</v>
      </c>
      <c r="L143" s="103" t="s">
        <v>153</v>
      </c>
      <c r="M143" s="103" t="s">
        <v>865</v>
      </c>
      <c r="N143" s="103" t="s">
        <v>866</v>
      </c>
      <c r="O143" s="103" t="str">
        <f t="shared" si="4"/>
        <v>CFLscw-Refl(10w)</v>
      </c>
      <c r="P143" s="103" t="s">
        <v>153</v>
      </c>
      <c r="Q143" s="103" t="s">
        <v>153</v>
      </c>
      <c r="R143" s="103" t="s">
        <v>153</v>
      </c>
      <c r="S143" s="103" t="str">
        <f>INDEX('Measure &amp; Standard CostIDs'!$AK$8:$AK$12,B143)</f>
        <v>Wtd-Pack</v>
      </c>
      <c r="T143" s="103" t="s">
        <v>867</v>
      </c>
      <c r="U143" s="103"/>
      <c r="V143" s="103"/>
      <c r="W143" s="103">
        <f>ROUND(IF(LEFT(D143,3)="Std",VLOOKUP(D143,'Measure &amp; Standard CostIDs'!$S$5:$X$177,1+B143,FALSE),VLOOKUP(D143,'Measure &amp; Standard CostIDs'!$C$5:$H$177,1+B143,FALSE)),2)</f>
        <v>7.1</v>
      </c>
      <c r="X143" s="103"/>
      <c r="Y143" s="103"/>
      <c r="Z143" s="103" t="s">
        <v>868</v>
      </c>
      <c r="AA143" s="103" t="s">
        <v>869</v>
      </c>
      <c r="AB143" s="103" t="s">
        <v>153</v>
      </c>
      <c r="AC143" s="103">
        <v>0</v>
      </c>
      <c r="AD143" s="156">
        <v>42005</v>
      </c>
      <c r="AE143" s="103"/>
      <c r="AF143" s="103" t="s">
        <v>870</v>
      </c>
      <c r="AG143" s="103" t="s">
        <v>871</v>
      </c>
      <c r="AH143" s="103" t="s">
        <v>872</v>
      </c>
      <c r="AI143" s="103">
        <v>0</v>
      </c>
      <c r="AJ143" s="103"/>
      <c r="AK143" s="103"/>
      <c r="AL143" s="103"/>
      <c r="AM143" s="103"/>
      <c r="AN143" s="103"/>
      <c r="AO143" s="103" t="str">
        <f t="shared" si="5"/>
        <v>CFLscw-Refl(10w)Wtd-Pack</v>
      </c>
    </row>
    <row r="144" spans="1:41">
      <c r="A144" s="177">
        <f>IFERROR(MATCH(D144,'Measure &amp; Standard CostIDs'!C$5:C$177,0),MATCH(D144,'Measure &amp; Standard CostIDs'!S$5:S$177,0))</f>
        <v>140</v>
      </c>
      <c r="B144" s="177">
        <v>1</v>
      </c>
      <c r="C144" s="103" t="s">
        <v>153</v>
      </c>
      <c r="D144" s="103" t="s">
        <v>540</v>
      </c>
      <c r="E144" s="103" t="str">
        <f>IF(LEFT(D144,3)="Std","Base case cost for mix of 60% Incandescent and 40% CFL lamps for CFL TechID: "&amp;INDEX('Measure &amp; Standard CostIDs'!$C$5:$C$177,A144),"&lt;from TechID&gt;")</f>
        <v>&lt;from TechID&gt;</v>
      </c>
      <c r="F144" s="103" t="s">
        <v>860</v>
      </c>
      <c r="G144" s="103" t="s">
        <v>151</v>
      </c>
      <c r="H144" s="103" t="s">
        <v>861</v>
      </c>
      <c r="I144" s="103" t="s">
        <v>862</v>
      </c>
      <c r="J144" s="103" t="s">
        <v>863</v>
      </c>
      <c r="K144" s="103" t="s">
        <v>864</v>
      </c>
      <c r="L144" s="103" t="s">
        <v>153</v>
      </c>
      <c r="M144" s="103" t="s">
        <v>865</v>
      </c>
      <c r="N144" s="103" t="s">
        <v>866</v>
      </c>
      <c r="O144" s="103" t="str">
        <f t="shared" si="4"/>
        <v>CFLscw-Refl(11w)</v>
      </c>
      <c r="P144" s="103" t="s">
        <v>153</v>
      </c>
      <c r="Q144" s="103" t="s">
        <v>153</v>
      </c>
      <c r="R144" s="103" t="s">
        <v>153</v>
      </c>
      <c r="S144" s="103" t="str">
        <f>INDEX('Measure &amp; Standard CostIDs'!$AK$8:$AK$12,B144)</f>
        <v>Wtd-Pack</v>
      </c>
      <c r="T144" s="103" t="s">
        <v>867</v>
      </c>
      <c r="U144" s="103"/>
      <c r="V144" s="103"/>
      <c r="W144" s="103">
        <f>ROUND(IF(LEFT(D144,3)="Std",VLOOKUP(D144,'Measure &amp; Standard CostIDs'!$S$5:$X$177,1+B144,FALSE),VLOOKUP(D144,'Measure &amp; Standard CostIDs'!$C$5:$H$177,1+B144,FALSE)),2)</f>
        <v>7.25</v>
      </c>
      <c r="X144" s="103"/>
      <c r="Y144" s="103"/>
      <c r="Z144" s="103" t="s">
        <v>868</v>
      </c>
      <c r="AA144" s="103" t="s">
        <v>869</v>
      </c>
      <c r="AB144" s="103" t="s">
        <v>153</v>
      </c>
      <c r="AC144" s="103">
        <v>0</v>
      </c>
      <c r="AD144" s="156">
        <v>42005</v>
      </c>
      <c r="AE144" s="103"/>
      <c r="AF144" s="103" t="s">
        <v>870</v>
      </c>
      <c r="AG144" s="103" t="s">
        <v>871</v>
      </c>
      <c r="AH144" s="103" t="s">
        <v>872</v>
      </c>
      <c r="AI144" s="103">
        <v>0</v>
      </c>
      <c r="AJ144" s="103"/>
      <c r="AK144" s="103"/>
      <c r="AL144" s="103"/>
      <c r="AM144" s="103"/>
      <c r="AN144" s="103"/>
      <c r="AO144" s="103" t="str">
        <f t="shared" si="5"/>
        <v>CFLscw-Refl(11w)Wtd-Pack</v>
      </c>
    </row>
    <row r="145" spans="1:41">
      <c r="A145" s="177">
        <f>IFERROR(MATCH(D145,'Measure &amp; Standard CostIDs'!C$5:C$177,0),MATCH(D145,'Measure &amp; Standard CostIDs'!S$5:S$177,0))</f>
        <v>141</v>
      </c>
      <c r="B145" s="177">
        <v>1</v>
      </c>
      <c r="C145" s="103" t="s">
        <v>153</v>
      </c>
      <c r="D145" s="103" t="s">
        <v>543</v>
      </c>
      <c r="E145" s="103" t="str">
        <f>IF(LEFT(D145,3)="Std","Base case cost for mix of 60% Incandescent and 40% CFL lamps for CFL TechID: "&amp;INDEX('Measure &amp; Standard CostIDs'!$C$5:$C$177,A145),"&lt;from TechID&gt;")</f>
        <v>&lt;from TechID&gt;</v>
      </c>
      <c r="F145" s="103" t="s">
        <v>860</v>
      </c>
      <c r="G145" s="103" t="s">
        <v>151</v>
      </c>
      <c r="H145" s="103" t="s">
        <v>861</v>
      </c>
      <c r="I145" s="103" t="s">
        <v>862</v>
      </c>
      <c r="J145" s="103" t="s">
        <v>863</v>
      </c>
      <c r="K145" s="103" t="s">
        <v>864</v>
      </c>
      <c r="L145" s="103" t="s">
        <v>153</v>
      </c>
      <c r="M145" s="103" t="s">
        <v>865</v>
      </c>
      <c r="N145" s="103" t="s">
        <v>866</v>
      </c>
      <c r="O145" s="103" t="str">
        <f t="shared" si="4"/>
        <v>CFLscw-Refl(12w)</v>
      </c>
      <c r="P145" s="103" t="s">
        <v>153</v>
      </c>
      <c r="Q145" s="103" t="s">
        <v>153</v>
      </c>
      <c r="R145" s="103" t="s">
        <v>153</v>
      </c>
      <c r="S145" s="103" t="str">
        <f>INDEX('Measure &amp; Standard CostIDs'!$AK$8:$AK$12,B145)</f>
        <v>Wtd-Pack</v>
      </c>
      <c r="T145" s="103" t="s">
        <v>867</v>
      </c>
      <c r="U145" s="103"/>
      <c r="V145" s="103"/>
      <c r="W145" s="103">
        <f>ROUND(IF(LEFT(D145,3)="Std",VLOOKUP(D145,'Measure &amp; Standard CostIDs'!$S$5:$X$177,1+B145,FALSE),VLOOKUP(D145,'Measure &amp; Standard CostIDs'!$C$5:$H$177,1+B145,FALSE)),2)</f>
        <v>7.39</v>
      </c>
      <c r="X145" s="103"/>
      <c r="Y145" s="103"/>
      <c r="Z145" s="103" t="s">
        <v>868</v>
      </c>
      <c r="AA145" s="103" t="s">
        <v>869</v>
      </c>
      <c r="AB145" s="103" t="s">
        <v>153</v>
      </c>
      <c r="AC145" s="103">
        <v>0</v>
      </c>
      <c r="AD145" s="156">
        <v>42005</v>
      </c>
      <c r="AE145" s="103"/>
      <c r="AF145" s="103" t="s">
        <v>870</v>
      </c>
      <c r="AG145" s="103" t="s">
        <v>871</v>
      </c>
      <c r="AH145" s="103" t="s">
        <v>872</v>
      </c>
      <c r="AI145" s="103">
        <v>0</v>
      </c>
      <c r="AJ145" s="103"/>
      <c r="AK145" s="103"/>
      <c r="AL145" s="103"/>
      <c r="AM145" s="103"/>
      <c r="AN145" s="103"/>
      <c r="AO145" s="103" t="str">
        <f t="shared" si="5"/>
        <v>CFLscw-Refl(12w)Wtd-Pack</v>
      </c>
    </row>
    <row r="146" spans="1:41">
      <c r="A146" s="177">
        <f>IFERROR(MATCH(D146,'Measure &amp; Standard CostIDs'!C$5:C$177,0),MATCH(D146,'Measure &amp; Standard CostIDs'!S$5:S$177,0))</f>
        <v>142</v>
      </c>
      <c r="B146" s="177">
        <v>1</v>
      </c>
      <c r="C146" s="103" t="s">
        <v>153</v>
      </c>
      <c r="D146" s="103" t="s">
        <v>546</v>
      </c>
      <c r="E146" s="103" t="str">
        <f>IF(LEFT(D146,3)="Std","Base case cost for mix of 60% Incandescent and 40% CFL lamps for CFL TechID: "&amp;INDEX('Measure &amp; Standard CostIDs'!$C$5:$C$177,A146),"&lt;from TechID&gt;")</f>
        <v>&lt;from TechID&gt;</v>
      </c>
      <c r="F146" s="103" t="s">
        <v>860</v>
      </c>
      <c r="G146" s="103" t="s">
        <v>151</v>
      </c>
      <c r="H146" s="103" t="s">
        <v>861</v>
      </c>
      <c r="I146" s="103" t="s">
        <v>862</v>
      </c>
      <c r="J146" s="103" t="s">
        <v>863</v>
      </c>
      <c r="K146" s="103" t="s">
        <v>864</v>
      </c>
      <c r="L146" s="103" t="s">
        <v>153</v>
      </c>
      <c r="M146" s="103" t="s">
        <v>865</v>
      </c>
      <c r="N146" s="103" t="s">
        <v>866</v>
      </c>
      <c r="O146" s="103" t="str">
        <f t="shared" si="4"/>
        <v>CFLscw-Refl(13w)</v>
      </c>
      <c r="P146" s="103" t="s">
        <v>153</v>
      </c>
      <c r="Q146" s="103" t="s">
        <v>153</v>
      </c>
      <c r="R146" s="103" t="s">
        <v>153</v>
      </c>
      <c r="S146" s="103" t="str">
        <f>INDEX('Measure &amp; Standard CostIDs'!$AK$8:$AK$12,B146)</f>
        <v>Wtd-Pack</v>
      </c>
      <c r="T146" s="103" t="s">
        <v>867</v>
      </c>
      <c r="U146" s="103"/>
      <c r="V146" s="103"/>
      <c r="W146" s="103">
        <f>ROUND(IF(LEFT(D146,3)="Std",VLOOKUP(D146,'Measure &amp; Standard CostIDs'!$S$5:$X$177,1+B146,FALSE),VLOOKUP(D146,'Measure &amp; Standard CostIDs'!$C$5:$H$177,1+B146,FALSE)),2)</f>
        <v>7.54</v>
      </c>
      <c r="X146" s="103"/>
      <c r="Y146" s="103"/>
      <c r="Z146" s="103" t="s">
        <v>868</v>
      </c>
      <c r="AA146" s="103" t="s">
        <v>869</v>
      </c>
      <c r="AB146" s="103" t="s">
        <v>153</v>
      </c>
      <c r="AC146" s="103">
        <v>0</v>
      </c>
      <c r="AD146" s="156">
        <v>42005</v>
      </c>
      <c r="AE146" s="103"/>
      <c r="AF146" s="103" t="s">
        <v>870</v>
      </c>
      <c r="AG146" s="103" t="s">
        <v>871</v>
      </c>
      <c r="AH146" s="103" t="s">
        <v>872</v>
      </c>
      <c r="AI146" s="103">
        <v>0</v>
      </c>
      <c r="AJ146" s="103"/>
      <c r="AK146" s="103"/>
      <c r="AL146" s="103"/>
      <c r="AM146" s="103"/>
      <c r="AN146" s="103"/>
      <c r="AO146" s="103" t="str">
        <f t="shared" si="5"/>
        <v>CFLscw-Refl(13w)Wtd-Pack</v>
      </c>
    </row>
    <row r="147" spans="1:41">
      <c r="A147" s="177">
        <f>IFERROR(MATCH(D147,'Measure &amp; Standard CostIDs'!C$5:C$177,0),MATCH(D147,'Measure &amp; Standard CostIDs'!S$5:S$177,0))</f>
        <v>143</v>
      </c>
      <c r="B147" s="177">
        <v>1</v>
      </c>
      <c r="C147" s="103" t="s">
        <v>153</v>
      </c>
      <c r="D147" s="103" t="s">
        <v>549</v>
      </c>
      <c r="E147" s="103" t="str">
        <f>IF(LEFT(D147,3)="Std","Base case cost for mix of 60% Incandescent and 40% CFL lamps for CFL TechID: "&amp;INDEX('Measure &amp; Standard CostIDs'!$C$5:$C$177,A147),"&lt;from TechID&gt;")</f>
        <v>&lt;from TechID&gt;</v>
      </c>
      <c r="F147" s="103" t="s">
        <v>860</v>
      </c>
      <c r="G147" s="103" t="s">
        <v>151</v>
      </c>
      <c r="H147" s="103" t="s">
        <v>861</v>
      </c>
      <c r="I147" s="103" t="s">
        <v>862</v>
      </c>
      <c r="J147" s="103" t="s">
        <v>863</v>
      </c>
      <c r="K147" s="103" t="s">
        <v>864</v>
      </c>
      <c r="L147" s="103" t="s">
        <v>153</v>
      </c>
      <c r="M147" s="103" t="s">
        <v>865</v>
      </c>
      <c r="N147" s="103" t="s">
        <v>866</v>
      </c>
      <c r="O147" s="103" t="str">
        <f t="shared" si="4"/>
        <v>CFLscw-Refl(14w)</v>
      </c>
      <c r="P147" s="103" t="s">
        <v>153</v>
      </c>
      <c r="Q147" s="103" t="s">
        <v>153</v>
      </c>
      <c r="R147" s="103" t="s">
        <v>153</v>
      </c>
      <c r="S147" s="103" t="str">
        <f>INDEX('Measure &amp; Standard CostIDs'!$AK$8:$AK$12,B147)</f>
        <v>Wtd-Pack</v>
      </c>
      <c r="T147" s="103" t="s">
        <v>867</v>
      </c>
      <c r="U147" s="103"/>
      <c r="V147" s="103"/>
      <c r="W147" s="103">
        <f>ROUND(IF(LEFT(D147,3)="Std",VLOOKUP(D147,'Measure &amp; Standard CostIDs'!$S$5:$X$177,1+B147,FALSE),VLOOKUP(D147,'Measure &amp; Standard CostIDs'!$C$5:$H$177,1+B147,FALSE)),2)</f>
        <v>7.69</v>
      </c>
      <c r="X147" s="103"/>
      <c r="Y147" s="103"/>
      <c r="Z147" s="103" t="s">
        <v>868</v>
      </c>
      <c r="AA147" s="103" t="s">
        <v>869</v>
      </c>
      <c r="AB147" s="103" t="s">
        <v>153</v>
      </c>
      <c r="AC147" s="103">
        <v>0</v>
      </c>
      <c r="AD147" s="156">
        <v>42005</v>
      </c>
      <c r="AE147" s="103"/>
      <c r="AF147" s="103" t="s">
        <v>870</v>
      </c>
      <c r="AG147" s="103" t="s">
        <v>871</v>
      </c>
      <c r="AH147" s="103" t="s">
        <v>872</v>
      </c>
      <c r="AI147" s="103">
        <v>0</v>
      </c>
      <c r="AJ147" s="103"/>
      <c r="AK147" s="103"/>
      <c r="AL147" s="103"/>
      <c r="AM147" s="103"/>
      <c r="AN147" s="103"/>
      <c r="AO147" s="103" t="str">
        <f t="shared" si="5"/>
        <v>CFLscw-Refl(14w)Wtd-Pack</v>
      </c>
    </row>
    <row r="148" spans="1:41">
      <c r="A148" s="177">
        <f>IFERROR(MATCH(D148,'Measure &amp; Standard CostIDs'!C$5:C$177,0),MATCH(D148,'Measure &amp; Standard CostIDs'!S$5:S$177,0))</f>
        <v>144</v>
      </c>
      <c r="B148" s="177">
        <v>1</v>
      </c>
      <c r="C148" s="103" t="s">
        <v>153</v>
      </c>
      <c r="D148" s="103" t="s">
        <v>555</v>
      </c>
      <c r="E148" s="103" t="str">
        <f>IF(LEFT(D148,3)="Std","Base case cost for mix of 60% Incandescent and 40% CFL lamps for CFL TechID: "&amp;INDEX('Measure &amp; Standard CostIDs'!$C$5:$C$177,A148),"&lt;from TechID&gt;")</f>
        <v>&lt;from TechID&gt;</v>
      </c>
      <c r="F148" s="103" t="s">
        <v>860</v>
      </c>
      <c r="G148" s="103" t="s">
        <v>151</v>
      </c>
      <c r="H148" s="103" t="s">
        <v>861</v>
      </c>
      <c r="I148" s="103" t="s">
        <v>862</v>
      </c>
      <c r="J148" s="103" t="s">
        <v>863</v>
      </c>
      <c r="K148" s="103" t="s">
        <v>864</v>
      </c>
      <c r="L148" s="103" t="s">
        <v>153</v>
      </c>
      <c r="M148" s="103" t="s">
        <v>865</v>
      </c>
      <c r="N148" s="103" t="s">
        <v>866</v>
      </c>
      <c r="O148" s="103" t="str">
        <f t="shared" si="4"/>
        <v>CFLscw-Refl(16w)</v>
      </c>
      <c r="P148" s="103" t="s">
        <v>153</v>
      </c>
      <c r="Q148" s="103" t="s">
        <v>153</v>
      </c>
      <c r="R148" s="103" t="s">
        <v>153</v>
      </c>
      <c r="S148" s="103" t="str">
        <f>INDEX('Measure &amp; Standard CostIDs'!$AK$8:$AK$12,B148)</f>
        <v>Wtd-Pack</v>
      </c>
      <c r="T148" s="103" t="s">
        <v>867</v>
      </c>
      <c r="U148" s="103"/>
      <c r="V148" s="103"/>
      <c r="W148" s="103">
        <f>ROUND(IF(LEFT(D148,3)="Std",VLOOKUP(D148,'Measure &amp; Standard CostIDs'!$S$5:$X$177,1+B148,FALSE),VLOOKUP(D148,'Measure &amp; Standard CostIDs'!$C$5:$H$177,1+B148,FALSE)),2)</f>
        <v>7.98</v>
      </c>
      <c r="X148" s="103"/>
      <c r="Y148" s="103"/>
      <c r="Z148" s="103" t="s">
        <v>868</v>
      </c>
      <c r="AA148" s="103" t="s">
        <v>869</v>
      </c>
      <c r="AB148" s="103" t="s">
        <v>153</v>
      </c>
      <c r="AC148" s="103">
        <v>0</v>
      </c>
      <c r="AD148" s="156">
        <v>42005</v>
      </c>
      <c r="AE148" s="103"/>
      <c r="AF148" s="103" t="s">
        <v>870</v>
      </c>
      <c r="AG148" s="103" t="s">
        <v>871</v>
      </c>
      <c r="AH148" s="103" t="s">
        <v>872</v>
      </c>
      <c r="AI148" s="103">
        <v>0</v>
      </c>
      <c r="AJ148" s="103"/>
      <c r="AK148" s="103"/>
      <c r="AL148" s="103"/>
      <c r="AM148" s="103"/>
      <c r="AN148" s="103"/>
      <c r="AO148" s="103" t="str">
        <f t="shared" si="5"/>
        <v>CFLscw-Refl(16w)Wtd-Pack</v>
      </c>
    </row>
    <row r="149" spans="1:41">
      <c r="A149" s="177">
        <f>IFERROR(MATCH(D149,'Measure &amp; Standard CostIDs'!C$5:C$177,0),MATCH(D149,'Measure &amp; Standard CostIDs'!S$5:S$177,0))</f>
        <v>145</v>
      </c>
      <c r="B149" s="177">
        <v>1</v>
      </c>
      <c r="C149" s="103" t="s">
        <v>153</v>
      </c>
      <c r="D149" s="103" t="s">
        <v>558</v>
      </c>
      <c r="E149" s="103" t="str">
        <f>IF(LEFT(D149,3)="Std","Base case cost for mix of 60% Incandescent and 40% CFL lamps for CFL TechID: "&amp;INDEX('Measure &amp; Standard CostIDs'!$C$5:$C$177,A149),"&lt;from TechID&gt;")</f>
        <v>&lt;from TechID&gt;</v>
      </c>
      <c r="F149" s="103" t="s">
        <v>860</v>
      </c>
      <c r="G149" s="103" t="s">
        <v>151</v>
      </c>
      <c r="H149" s="103" t="s">
        <v>861</v>
      </c>
      <c r="I149" s="103" t="s">
        <v>862</v>
      </c>
      <c r="J149" s="103" t="s">
        <v>863</v>
      </c>
      <c r="K149" s="103" t="s">
        <v>864</v>
      </c>
      <c r="L149" s="103" t="s">
        <v>153</v>
      </c>
      <c r="M149" s="103" t="s">
        <v>865</v>
      </c>
      <c r="N149" s="103" t="s">
        <v>866</v>
      </c>
      <c r="O149" s="103" t="str">
        <f t="shared" si="4"/>
        <v>CFLscw-Refl(17w)</v>
      </c>
      <c r="P149" s="103" t="s">
        <v>153</v>
      </c>
      <c r="Q149" s="103" t="s">
        <v>153</v>
      </c>
      <c r="R149" s="103" t="s">
        <v>153</v>
      </c>
      <c r="S149" s="103" t="str">
        <f>INDEX('Measure &amp; Standard CostIDs'!$AK$8:$AK$12,B149)</f>
        <v>Wtd-Pack</v>
      </c>
      <c r="T149" s="103" t="s">
        <v>867</v>
      </c>
      <c r="U149" s="103"/>
      <c r="V149" s="103"/>
      <c r="W149" s="103">
        <f>ROUND(IF(LEFT(D149,3)="Std",VLOOKUP(D149,'Measure &amp; Standard CostIDs'!$S$5:$X$177,1+B149,FALSE),VLOOKUP(D149,'Measure &amp; Standard CostIDs'!$C$5:$H$177,1+B149,FALSE)),2)</f>
        <v>8.1300000000000008</v>
      </c>
      <c r="X149" s="103"/>
      <c r="Y149" s="103"/>
      <c r="Z149" s="103" t="s">
        <v>868</v>
      </c>
      <c r="AA149" s="103" t="s">
        <v>869</v>
      </c>
      <c r="AB149" s="103" t="s">
        <v>153</v>
      </c>
      <c r="AC149" s="103">
        <v>0</v>
      </c>
      <c r="AD149" s="156">
        <v>42005</v>
      </c>
      <c r="AE149" s="103"/>
      <c r="AF149" s="103" t="s">
        <v>870</v>
      </c>
      <c r="AG149" s="103" t="s">
        <v>871</v>
      </c>
      <c r="AH149" s="103" t="s">
        <v>872</v>
      </c>
      <c r="AI149" s="103">
        <v>0</v>
      </c>
      <c r="AJ149" s="103"/>
      <c r="AK149" s="103"/>
      <c r="AL149" s="103"/>
      <c r="AM149" s="103"/>
      <c r="AN149" s="103"/>
      <c r="AO149" s="103" t="str">
        <f t="shared" si="5"/>
        <v>CFLscw-Refl(17w)Wtd-Pack</v>
      </c>
    </row>
    <row r="150" spans="1:41">
      <c r="A150" s="177">
        <f>IFERROR(MATCH(D150,'Measure &amp; Standard CostIDs'!C$5:C$177,0),MATCH(D150,'Measure &amp; Standard CostIDs'!S$5:S$177,0))</f>
        <v>146</v>
      </c>
      <c r="B150" s="177">
        <v>1</v>
      </c>
      <c r="C150" s="103" t="s">
        <v>153</v>
      </c>
      <c r="D150" s="103" t="s">
        <v>561</v>
      </c>
      <c r="E150" s="103" t="str">
        <f>IF(LEFT(D150,3)="Std","Base case cost for mix of 60% Incandescent and 40% CFL lamps for CFL TechID: "&amp;INDEX('Measure &amp; Standard CostIDs'!$C$5:$C$177,A150),"&lt;from TechID&gt;")</f>
        <v>&lt;from TechID&gt;</v>
      </c>
      <c r="F150" s="103" t="s">
        <v>860</v>
      </c>
      <c r="G150" s="103" t="s">
        <v>151</v>
      </c>
      <c r="H150" s="103" t="s">
        <v>861</v>
      </c>
      <c r="I150" s="103" t="s">
        <v>862</v>
      </c>
      <c r="J150" s="103" t="s">
        <v>863</v>
      </c>
      <c r="K150" s="103" t="s">
        <v>864</v>
      </c>
      <c r="L150" s="103" t="s">
        <v>153</v>
      </c>
      <c r="M150" s="103" t="s">
        <v>865</v>
      </c>
      <c r="N150" s="103" t="s">
        <v>866</v>
      </c>
      <c r="O150" s="103" t="str">
        <f t="shared" si="4"/>
        <v>CFLscw-Refl(18w)</v>
      </c>
      <c r="P150" s="103" t="s">
        <v>153</v>
      </c>
      <c r="Q150" s="103" t="s">
        <v>153</v>
      </c>
      <c r="R150" s="103" t="s">
        <v>153</v>
      </c>
      <c r="S150" s="103" t="str">
        <f>INDEX('Measure &amp; Standard CostIDs'!$AK$8:$AK$12,B150)</f>
        <v>Wtd-Pack</v>
      </c>
      <c r="T150" s="103" t="s">
        <v>867</v>
      </c>
      <c r="U150" s="103"/>
      <c r="V150" s="103"/>
      <c r="W150" s="103">
        <f>ROUND(IF(LEFT(D150,3)="Std",VLOOKUP(D150,'Measure &amp; Standard CostIDs'!$S$5:$X$177,1+B150,FALSE),VLOOKUP(D150,'Measure &amp; Standard CostIDs'!$C$5:$H$177,1+B150,FALSE)),2)</f>
        <v>8.2799999999999994</v>
      </c>
      <c r="X150" s="103"/>
      <c r="Y150" s="103"/>
      <c r="Z150" s="103" t="s">
        <v>868</v>
      </c>
      <c r="AA150" s="103" t="s">
        <v>869</v>
      </c>
      <c r="AB150" s="103" t="s">
        <v>153</v>
      </c>
      <c r="AC150" s="103">
        <v>0</v>
      </c>
      <c r="AD150" s="156">
        <v>42005</v>
      </c>
      <c r="AE150" s="103"/>
      <c r="AF150" s="103" t="s">
        <v>870</v>
      </c>
      <c r="AG150" s="103" t="s">
        <v>871</v>
      </c>
      <c r="AH150" s="103" t="s">
        <v>872</v>
      </c>
      <c r="AI150" s="103">
        <v>0</v>
      </c>
      <c r="AJ150" s="103"/>
      <c r="AK150" s="103"/>
      <c r="AL150" s="103"/>
      <c r="AM150" s="103"/>
      <c r="AN150" s="103"/>
      <c r="AO150" s="103" t="str">
        <f t="shared" si="5"/>
        <v>CFLscw-Refl(18w)Wtd-Pack</v>
      </c>
    </row>
    <row r="151" spans="1:41">
      <c r="A151" s="177">
        <f>IFERROR(MATCH(D151,'Measure &amp; Standard CostIDs'!C$5:C$177,0),MATCH(D151,'Measure &amp; Standard CostIDs'!S$5:S$177,0))</f>
        <v>147</v>
      </c>
      <c r="B151" s="177">
        <v>1</v>
      </c>
      <c r="C151" s="103" t="s">
        <v>153</v>
      </c>
      <c r="D151" s="103" t="s">
        <v>564</v>
      </c>
      <c r="E151" s="103" t="str">
        <f>IF(LEFT(D151,3)="Std","Base case cost for mix of 60% Incandescent and 40% CFL lamps for CFL TechID: "&amp;INDEX('Measure &amp; Standard CostIDs'!$C$5:$C$177,A151),"&lt;from TechID&gt;")</f>
        <v>&lt;from TechID&gt;</v>
      </c>
      <c r="F151" s="103" t="s">
        <v>860</v>
      </c>
      <c r="G151" s="103" t="s">
        <v>151</v>
      </c>
      <c r="H151" s="103" t="s">
        <v>861</v>
      </c>
      <c r="I151" s="103" t="s">
        <v>862</v>
      </c>
      <c r="J151" s="103" t="s">
        <v>863</v>
      </c>
      <c r="K151" s="103" t="s">
        <v>864</v>
      </c>
      <c r="L151" s="103" t="s">
        <v>153</v>
      </c>
      <c r="M151" s="103" t="s">
        <v>865</v>
      </c>
      <c r="N151" s="103" t="s">
        <v>866</v>
      </c>
      <c r="O151" s="103" t="str">
        <f t="shared" si="4"/>
        <v>CFLscw-Refl(19w)</v>
      </c>
      <c r="P151" s="103" t="s">
        <v>153</v>
      </c>
      <c r="Q151" s="103" t="s">
        <v>153</v>
      </c>
      <c r="R151" s="103" t="s">
        <v>153</v>
      </c>
      <c r="S151" s="103" t="str">
        <f>INDEX('Measure &amp; Standard CostIDs'!$AK$8:$AK$12,B151)</f>
        <v>Wtd-Pack</v>
      </c>
      <c r="T151" s="103" t="s">
        <v>867</v>
      </c>
      <c r="U151" s="103"/>
      <c r="V151" s="103"/>
      <c r="W151" s="103">
        <f>ROUND(IF(LEFT(D151,3)="Std",VLOOKUP(D151,'Measure &amp; Standard CostIDs'!$S$5:$X$177,1+B151,FALSE),VLOOKUP(D151,'Measure &amp; Standard CostIDs'!$C$5:$H$177,1+B151,FALSE)),2)</f>
        <v>8.42</v>
      </c>
      <c r="X151" s="103"/>
      <c r="Y151" s="103"/>
      <c r="Z151" s="103" t="s">
        <v>868</v>
      </c>
      <c r="AA151" s="103" t="s">
        <v>869</v>
      </c>
      <c r="AB151" s="103" t="s">
        <v>153</v>
      </c>
      <c r="AC151" s="103">
        <v>0</v>
      </c>
      <c r="AD151" s="156">
        <v>42005</v>
      </c>
      <c r="AE151" s="103"/>
      <c r="AF151" s="103" t="s">
        <v>870</v>
      </c>
      <c r="AG151" s="103" t="s">
        <v>871</v>
      </c>
      <c r="AH151" s="103" t="s">
        <v>872</v>
      </c>
      <c r="AI151" s="103">
        <v>0</v>
      </c>
      <c r="AJ151" s="103"/>
      <c r="AK151" s="103"/>
      <c r="AL151" s="103"/>
      <c r="AM151" s="103"/>
      <c r="AN151" s="103"/>
      <c r="AO151" s="103" t="str">
        <f t="shared" si="5"/>
        <v>CFLscw-Refl(19w)Wtd-Pack</v>
      </c>
    </row>
    <row r="152" spans="1:41">
      <c r="A152" s="177">
        <f>IFERROR(MATCH(D152,'Measure &amp; Standard CostIDs'!C$5:C$177,0),MATCH(D152,'Measure &amp; Standard CostIDs'!S$5:S$177,0))</f>
        <v>148</v>
      </c>
      <c r="B152" s="177">
        <v>1</v>
      </c>
      <c r="C152" s="103" t="s">
        <v>153</v>
      </c>
      <c r="D152" s="103" t="s">
        <v>570</v>
      </c>
      <c r="E152" s="103" t="str">
        <f>IF(LEFT(D152,3)="Std","Base case cost for mix of 60% Incandescent and 40% CFL lamps for CFL TechID: "&amp;INDEX('Measure &amp; Standard CostIDs'!$C$5:$C$177,A152),"&lt;from TechID&gt;")</f>
        <v>&lt;from TechID&gt;</v>
      </c>
      <c r="F152" s="103" t="s">
        <v>860</v>
      </c>
      <c r="G152" s="103" t="s">
        <v>151</v>
      </c>
      <c r="H152" s="103" t="s">
        <v>861</v>
      </c>
      <c r="I152" s="103" t="s">
        <v>862</v>
      </c>
      <c r="J152" s="103" t="s">
        <v>863</v>
      </c>
      <c r="K152" s="103" t="s">
        <v>864</v>
      </c>
      <c r="L152" s="103" t="s">
        <v>153</v>
      </c>
      <c r="M152" s="103" t="s">
        <v>865</v>
      </c>
      <c r="N152" s="103" t="s">
        <v>866</v>
      </c>
      <c r="O152" s="103" t="str">
        <f t="shared" si="4"/>
        <v>CFLscw-Refl(20w)</v>
      </c>
      <c r="P152" s="103" t="s">
        <v>153</v>
      </c>
      <c r="Q152" s="103" t="s">
        <v>153</v>
      </c>
      <c r="R152" s="103" t="s">
        <v>153</v>
      </c>
      <c r="S152" s="103" t="str">
        <f>INDEX('Measure &amp; Standard CostIDs'!$AK$8:$AK$12,B152)</f>
        <v>Wtd-Pack</v>
      </c>
      <c r="T152" s="103" t="s">
        <v>867</v>
      </c>
      <c r="U152" s="103"/>
      <c r="V152" s="103"/>
      <c r="W152" s="103">
        <f>ROUND(IF(LEFT(D152,3)="Std",VLOOKUP(D152,'Measure &amp; Standard CostIDs'!$S$5:$X$177,1+B152,FALSE),VLOOKUP(D152,'Measure &amp; Standard CostIDs'!$C$5:$H$177,1+B152,FALSE)),2)</f>
        <v>8.57</v>
      </c>
      <c r="X152" s="103"/>
      <c r="Y152" s="103"/>
      <c r="Z152" s="103" t="s">
        <v>868</v>
      </c>
      <c r="AA152" s="103" t="s">
        <v>869</v>
      </c>
      <c r="AB152" s="103" t="s">
        <v>153</v>
      </c>
      <c r="AC152" s="103">
        <v>0</v>
      </c>
      <c r="AD152" s="156">
        <v>42005</v>
      </c>
      <c r="AE152" s="103"/>
      <c r="AF152" s="103" t="s">
        <v>870</v>
      </c>
      <c r="AG152" s="103" t="s">
        <v>871</v>
      </c>
      <c r="AH152" s="103" t="s">
        <v>872</v>
      </c>
      <c r="AI152" s="103">
        <v>0</v>
      </c>
      <c r="AJ152" s="103"/>
      <c r="AK152" s="103"/>
      <c r="AL152" s="103"/>
      <c r="AM152" s="103"/>
      <c r="AN152" s="103"/>
      <c r="AO152" s="103" t="str">
        <f t="shared" si="5"/>
        <v>CFLscw-Refl(20w)Wtd-Pack</v>
      </c>
    </row>
    <row r="153" spans="1:41">
      <c r="A153" s="177">
        <f>IFERROR(MATCH(D153,'Measure &amp; Standard CostIDs'!C$5:C$177,0),MATCH(D153,'Measure &amp; Standard CostIDs'!S$5:S$177,0))</f>
        <v>149</v>
      </c>
      <c r="B153" s="177">
        <v>1</v>
      </c>
      <c r="C153" s="103" t="s">
        <v>153</v>
      </c>
      <c r="D153" s="103" t="s">
        <v>573</v>
      </c>
      <c r="E153" s="103" t="str">
        <f>IF(LEFT(D153,3)="Std","Base case cost for mix of 60% Incandescent and 40% CFL lamps for CFL TechID: "&amp;INDEX('Measure &amp; Standard CostIDs'!$C$5:$C$177,A153),"&lt;from TechID&gt;")</f>
        <v>&lt;from TechID&gt;</v>
      </c>
      <c r="F153" s="103" t="s">
        <v>860</v>
      </c>
      <c r="G153" s="103" t="s">
        <v>151</v>
      </c>
      <c r="H153" s="103" t="s">
        <v>861</v>
      </c>
      <c r="I153" s="103" t="s">
        <v>862</v>
      </c>
      <c r="J153" s="103" t="s">
        <v>863</v>
      </c>
      <c r="K153" s="103" t="s">
        <v>864</v>
      </c>
      <c r="L153" s="103" t="s">
        <v>153</v>
      </c>
      <c r="M153" s="103" t="s">
        <v>865</v>
      </c>
      <c r="N153" s="103" t="s">
        <v>866</v>
      </c>
      <c r="O153" s="103" t="str">
        <f t="shared" si="4"/>
        <v>CFLscw-Refl(21w)</v>
      </c>
      <c r="P153" s="103" t="s">
        <v>153</v>
      </c>
      <c r="Q153" s="103" t="s">
        <v>153</v>
      </c>
      <c r="R153" s="103" t="s">
        <v>153</v>
      </c>
      <c r="S153" s="103" t="str">
        <f>INDEX('Measure &amp; Standard CostIDs'!$AK$8:$AK$12,B153)</f>
        <v>Wtd-Pack</v>
      </c>
      <c r="T153" s="103" t="s">
        <v>867</v>
      </c>
      <c r="U153" s="103"/>
      <c r="V153" s="103"/>
      <c r="W153" s="103">
        <f>ROUND(IF(LEFT(D153,3)="Std",VLOOKUP(D153,'Measure &amp; Standard CostIDs'!$S$5:$X$177,1+B153,FALSE),VLOOKUP(D153,'Measure &amp; Standard CostIDs'!$C$5:$H$177,1+B153,FALSE)),2)</f>
        <v>8.7200000000000006</v>
      </c>
      <c r="X153" s="103"/>
      <c r="Y153" s="103"/>
      <c r="Z153" s="103" t="s">
        <v>868</v>
      </c>
      <c r="AA153" s="103" t="s">
        <v>869</v>
      </c>
      <c r="AB153" s="103" t="s">
        <v>153</v>
      </c>
      <c r="AC153" s="103">
        <v>0</v>
      </c>
      <c r="AD153" s="156">
        <v>42005</v>
      </c>
      <c r="AE153" s="103"/>
      <c r="AF153" s="103" t="s">
        <v>870</v>
      </c>
      <c r="AG153" s="103" t="s">
        <v>871</v>
      </c>
      <c r="AH153" s="103" t="s">
        <v>872</v>
      </c>
      <c r="AI153" s="103">
        <v>0</v>
      </c>
      <c r="AJ153" s="103"/>
      <c r="AK153" s="103"/>
      <c r="AL153" s="103"/>
      <c r="AM153" s="103"/>
      <c r="AN153" s="103"/>
      <c r="AO153" s="103" t="str">
        <f t="shared" si="5"/>
        <v>CFLscw-Refl(21w)Wtd-Pack</v>
      </c>
    </row>
    <row r="154" spans="1:41">
      <c r="A154" s="177">
        <f>IFERROR(MATCH(D154,'Measure &amp; Standard CostIDs'!C$5:C$177,0),MATCH(D154,'Measure &amp; Standard CostIDs'!S$5:S$177,0))</f>
        <v>150</v>
      </c>
      <c r="B154" s="177">
        <v>1</v>
      </c>
      <c r="C154" s="103" t="s">
        <v>153</v>
      </c>
      <c r="D154" s="103" t="s">
        <v>576</v>
      </c>
      <c r="E154" s="103" t="str">
        <f>IF(LEFT(D154,3)="Std","Base case cost for mix of 60% Incandescent and 40% CFL lamps for CFL TechID: "&amp;INDEX('Measure &amp; Standard CostIDs'!$C$5:$C$177,A154),"&lt;from TechID&gt;")</f>
        <v>&lt;from TechID&gt;</v>
      </c>
      <c r="F154" s="103" t="s">
        <v>860</v>
      </c>
      <c r="G154" s="103" t="s">
        <v>151</v>
      </c>
      <c r="H154" s="103" t="s">
        <v>861</v>
      </c>
      <c r="I154" s="103" t="s">
        <v>862</v>
      </c>
      <c r="J154" s="103" t="s">
        <v>863</v>
      </c>
      <c r="K154" s="103" t="s">
        <v>864</v>
      </c>
      <c r="L154" s="103" t="s">
        <v>153</v>
      </c>
      <c r="M154" s="103" t="s">
        <v>865</v>
      </c>
      <c r="N154" s="103" t="s">
        <v>866</v>
      </c>
      <c r="O154" s="103" t="str">
        <f t="shared" si="4"/>
        <v>CFLscw-Refl(22w)</v>
      </c>
      <c r="P154" s="103" t="s">
        <v>153</v>
      </c>
      <c r="Q154" s="103" t="s">
        <v>153</v>
      </c>
      <c r="R154" s="103" t="s">
        <v>153</v>
      </c>
      <c r="S154" s="103" t="str">
        <f>INDEX('Measure &amp; Standard CostIDs'!$AK$8:$AK$12,B154)</f>
        <v>Wtd-Pack</v>
      </c>
      <c r="T154" s="103" t="s">
        <v>867</v>
      </c>
      <c r="U154" s="103"/>
      <c r="V154" s="103"/>
      <c r="W154" s="103">
        <f>ROUND(IF(LEFT(D154,3)="Std",VLOOKUP(D154,'Measure &amp; Standard CostIDs'!$S$5:$X$177,1+B154,FALSE),VLOOKUP(D154,'Measure &amp; Standard CostIDs'!$C$5:$H$177,1+B154,FALSE)),2)</f>
        <v>8.8699999999999992</v>
      </c>
      <c r="X154" s="103"/>
      <c r="Y154" s="103"/>
      <c r="Z154" s="103" t="s">
        <v>868</v>
      </c>
      <c r="AA154" s="103" t="s">
        <v>869</v>
      </c>
      <c r="AB154" s="103" t="s">
        <v>153</v>
      </c>
      <c r="AC154" s="103">
        <v>0</v>
      </c>
      <c r="AD154" s="156">
        <v>42005</v>
      </c>
      <c r="AE154" s="103"/>
      <c r="AF154" s="103" t="s">
        <v>870</v>
      </c>
      <c r="AG154" s="103" t="s">
        <v>871</v>
      </c>
      <c r="AH154" s="103" t="s">
        <v>872</v>
      </c>
      <c r="AI154" s="103">
        <v>0</v>
      </c>
      <c r="AJ154" s="103"/>
      <c r="AK154" s="103"/>
      <c r="AL154" s="103"/>
      <c r="AM154" s="103"/>
      <c r="AN154" s="103"/>
      <c r="AO154" s="103" t="str">
        <f t="shared" si="5"/>
        <v>CFLscw-Refl(22w)Wtd-Pack</v>
      </c>
    </row>
    <row r="155" spans="1:41">
      <c r="A155" s="177">
        <f>IFERROR(MATCH(D155,'Measure &amp; Standard CostIDs'!C$5:C$177,0),MATCH(D155,'Measure &amp; Standard CostIDs'!S$5:S$177,0))</f>
        <v>151</v>
      </c>
      <c r="B155" s="177">
        <v>1</v>
      </c>
      <c r="C155" s="103" t="s">
        <v>153</v>
      </c>
      <c r="D155" s="103" t="s">
        <v>579</v>
      </c>
      <c r="E155" s="103" t="str">
        <f>IF(LEFT(D155,3)="Std","Base case cost for mix of 60% Incandescent and 40% CFL lamps for CFL TechID: "&amp;INDEX('Measure &amp; Standard CostIDs'!$C$5:$C$177,A155),"&lt;from TechID&gt;")</f>
        <v>&lt;from TechID&gt;</v>
      </c>
      <c r="F155" s="103" t="s">
        <v>860</v>
      </c>
      <c r="G155" s="103" t="s">
        <v>151</v>
      </c>
      <c r="H155" s="103" t="s">
        <v>861</v>
      </c>
      <c r="I155" s="103" t="s">
        <v>862</v>
      </c>
      <c r="J155" s="103" t="s">
        <v>863</v>
      </c>
      <c r="K155" s="103" t="s">
        <v>864</v>
      </c>
      <c r="L155" s="103" t="s">
        <v>153</v>
      </c>
      <c r="M155" s="103" t="s">
        <v>865</v>
      </c>
      <c r="N155" s="103" t="s">
        <v>866</v>
      </c>
      <c r="O155" s="103" t="str">
        <f t="shared" si="4"/>
        <v>CFLscw-Refl(24w)</v>
      </c>
      <c r="P155" s="103" t="s">
        <v>153</v>
      </c>
      <c r="Q155" s="103" t="s">
        <v>153</v>
      </c>
      <c r="R155" s="103" t="s">
        <v>153</v>
      </c>
      <c r="S155" s="103" t="str">
        <f>INDEX('Measure &amp; Standard CostIDs'!$AK$8:$AK$12,B155)</f>
        <v>Wtd-Pack</v>
      </c>
      <c r="T155" s="103" t="s">
        <v>867</v>
      </c>
      <c r="U155" s="103"/>
      <c r="V155" s="103"/>
      <c r="W155" s="103">
        <f>ROUND(IF(LEFT(D155,3)="Std",VLOOKUP(D155,'Measure &amp; Standard CostIDs'!$S$5:$X$177,1+B155,FALSE),VLOOKUP(D155,'Measure &amp; Standard CostIDs'!$C$5:$H$177,1+B155,FALSE)),2)</f>
        <v>9.16</v>
      </c>
      <c r="X155" s="103"/>
      <c r="Y155" s="103"/>
      <c r="Z155" s="103" t="s">
        <v>868</v>
      </c>
      <c r="AA155" s="103" t="s">
        <v>869</v>
      </c>
      <c r="AB155" s="103" t="s">
        <v>153</v>
      </c>
      <c r="AC155" s="103">
        <v>0</v>
      </c>
      <c r="AD155" s="156">
        <v>42005</v>
      </c>
      <c r="AE155" s="103"/>
      <c r="AF155" s="103" t="s">
        <v>870</v>
      </c>
      <c r="AG155" s="103" t="s">
        <v>871</v>
      </c>
      <c r="AH155" s="103" t="s">
        <v>872</v>
      </c>
      <c r="AI155" s="103">
        <v>0</v>
      </c>
      <c r="AJ155" s="103"/>
      <c r="AK155" s="103"/>
      <c r="AL155" s="103"/>
      <c r="AM155" s="103"/>
      <c r="AN155" s="103"/>
      <c r="AO155" s="103" t="str">
        <f t="shared" si="5"/>
        <v>CFLscw-Refl(24w)Wtd-Pack</v>
      </c>
    </row>
    <row r="156" spans="1:41">
      <c r="A156" s="177">
        <f>IFERROR(MATCH(D156,'Measure &amp; Standard CostIDs'!C$5:C$177,0),MATCH(D156,'Measure &amp; Standard CostIDs'!S$5:S$177,0))</f>
        <v>152</v>
      </c>
      <c r="B156" s="177">
        <v>1</v>
      </c>
      <c r="C156" s="103" t="s">
        <v>153</v>
      </c>
      <c r="D156" s="103" t="s">
        <v>582</v>
      </c>
      <c r="E156" s="103" t="str">
        <f>IF(LEFT(D156,3)="Std","Base case cost for mix of 60% Incandescent and 40% CFL lamps for CFL TechID: "&amp;INDEX('Measure &amp; Standard CostIDs'!$C$5:$C$177,A156),"&lt;from TechID&gt;")</f>
        <v>&lt;from TechID&gt;</v>
      </c>
      <c r="F156" s="103" t="s">
        <v>860</v>
      </c>
      <c r="G156" s="103" t="s">
        <v>151</v>
      </c>
      <c r="H156" s="103" t="s">
        <v>861</v>
      </c>
      <c r="I156" s="103" t="s">
        <v>862</v>
      </c>
      <c r="J156" s="103" t="s">
        <v>863</v>
      </c>
      <c r="K156" s="103" t="s">
        <v>864</v>
      </c>
      <c r="L156" s="103" t="s">
        <v>153</v>
      </c>
      <c r="M156" s="103" t="s">
        <v>865</v>
      </c>
      <c r="N156" s="103" t="s">
        <v>866</v>
      </c>
      <c r="O156" s="103" t="str">
        <f t="shared" si="4"/>
        <v>CFLscw-Refl(25w)</v>
      </c>
      <c r="P156" s="103" t="s">
        <v>153</v>
      </c>
      <c r="Q156" s="103" t="s">
        <v>153</v>
      </c>
      <c r="R156" s="103" t="s">
        <v>153</v>
      </c>
      <c r="S156" s="103" t="str">
        <f>INDEX('Measure &amp; Standard CostIDs'!$AK$8:$AK$12,B156)</f>
        <v>Wtd-Pack</v>
      </c>
      <c r="T156" s="103" t="s">
        <v>867</v>
      </c>
      <c r="U156" s="103"/>
      <c r="V156" s="103"/>
      <c r="W156" s="103">
        <f>ROUND(IF(LEFT(D156,3)="Std",VLOOKUP(D156,'Measure &amp; Standard CostIDs'!$S$5:$X$177,1+B156,FALSE),VLOOKUP(D156,'Measure &amp; Standard CostIDs'!$C$5:$H$177,1+B156,FALSE)),2)</f>
        <v>9.31</v>
      </c>
      <c r="X156" s="103"/>
      <c r="Y156" s="103"/>
      <c r="Z156" s="103" t="s">
        <v>868</v>
      </c>
      <c r="AA156" s="103" t="s">
        <v>869</v>
      </c>
      <c r="AB156" s="103" t="s">
        <v>153</v>
      </c>
      <c r="AC156" s="103">
        <v>0</v>
      </c>
      <c r="AD156" s="156">
        <v>42005</v>
      </c>
      <c r="AE156" s="103"/>
      <c r="AF156" s="103" t="s">
        <v>870</v>
      </c>
      <c r="AG156" s="103" t="s">
        <v>871</v>
      </c>
      <c r="AH156" s="103" t="s">
        <v>872</v>
      </c>
      <c r="AI156" s="103">
        <v>0</v>
      </c>
      <c r="AJ156" s="103"/>
      <c r="AK156" s="103"/>
      <c r="AL156" s="103"/>
      <c r="AM156" s="103"/>
      <c r="AN156" s="103"/>
      <c r="AO156" s="103" t="str">
        <f t="shared" si="5"/>
        <v>CFLscw-Refl(25w)Wtd-Pack</v>
      </c>
    </row>
    <row r="157" spans="1:41">
      <c r="A157" s="177">
        <f>IFERROR(MATCH(D157,'Measure &amp; Standard CostIDs'!C$5:C$177,0),MATCH(D157,'Measure &amp; Standard CostIDs'!S$5:S$177,0))</f>
        <v>153</v>
      </c>
      <c r="B157" s="177">
        <v>1</v>
      </c>
      <c r="C157" s="103" t="s">
        <v>153</v>
      </c>
      <c r="D157" s="103" t="s">
        <v>585</v>
      </c>
      <c r="E157" s="103" t="str">
        <f>IF(LEFT(D157,3)="Std","Base case cost for mix of 60% Incandescent and 40% CFL lamps for CFL TechID: "&amp;INDEX('Measure &amp; Standard CostIDs'!$C$5:$C$177,A157),"&lt;from TechID&gt;")</f>
        <v>&lt;from TechID&gt;</v>
      </c>
      <c r="F157" s="103" t="s">
        <v>860</v>
      </c>
      <c r="G157" s="103" t="s">
        <v>151</v>
      </c>
      <c r="H157" s="103" t="s">
        <v>861</v>
      </c>
      <c r="I157" s="103" t="s">
        <v>862</v>
      </c>
      <c r="J157" s="103" t="s">
        <v>863</v>
      </c>
      <c r="K157" s="103" t="s">
        <v>864</v>
      </c>
      <c r="L157" s="103" t="s">
        <v>153</v>
      </c>
      <c r="M157" s="103" t="s">
        <v>865</v>
      </c>
      <c r="N157" s="103" t="s">
        <v>866</v>
      </c>
      <c r="O157" s="103" t="str">
        <f t="shared" si="4"/>
        <v>CFLscw-Refl(26w)</v>
      </c>
      <c r="P157" s="103" t="s">
        <v>153</v>
      </c>
      <c r="Q157" s="103" t="s">
        <v>153</v>
      </c>
      <c r="R157" s="103" t="s">
        <v>153</v>
      </c>
      <c r="S157" s="103" t="str">
        <f>INDEX('Measure &amp; Standard CostIDs'!$AK$8:$AK$12,B157)</f>
        <v>Wtd-Pack</v>
      </c>
      <c r="T157" s="103" t="s">
        <v>867</v>
      </c>
      <c r="U157" s="103"/>
      <c r="V157" s="103"/>
      <c r="W157" s="103">
        <f>ROUND(IF(LEFT(D157,3)="Std",VLOOKUP(D157,'Measure &amp; Standard CostIDs'!$S$5:$X$177,1+B157,FALSE),VLOOKUP(D157,'Measure &amp; Standard CostIDs'!$C$5:$H$177,1+B157,FALSE)),2)</f>
        <v>9.4600000000000009</v>
      </c>
      <c r="X157" s="103"/>
      <c r="Y157" s="103"/>
      <c r="Z157" s="103" t="s">
        <v>868</v>
      </c>
      <c r="AA157" s="103" t="s">
        <v>869</v>
      </c>
      <c r="AB157" s="103" t="s">
        <v>153</v>
      </c>
      <c r="AC157" s="103">
        <v>0</v>
      </c>
      <c r="AD157" s="156">
        <v>42005</v>
      </c>
      <c r="AE157" s="103"/>
      <c r="AF157" s="103" t="s">
        <v>870</v>
      </c>
      <c r="AG157" s="103" t="s">
        <v>871</v>
      </c>
      <c r="AH157" s="103" t="s">
        <v>872</v>
      </c>
      <c r="AI157" s="103">
        <v>0</v>
      </c>
      <c r="AJ157" s="103"/>
      <c r="AK157" s="103"/>
      <c r="AL157" s="103"/>
      <c r="AM157" s="103"/>
      <c r="AN157" s="103"/>
      <c r="AO157" s="103" t="str">
        <f t="shared" si="5"/>
        <v>CFLscw-Refl(26w)Wtd-Pack</v>
      </c>
    </row>
    <row r="158" spans="1:41">
      <c r="A158" s="177">
        <f>IFERROR(MATCH(D158,'Measure &amp; Standard CostIDs'!C$5:C$177,0),MATCH(D158,'Measure &amp; Standard CostIDs'!S$5:S$177,0))</f>
        <v>154</v>
      </c>
      <c r="B158" s="177">
        <v>1</v>
      </c>
      <c r="C158" s="103" t="s">
        <v>153</v>
      </c>
      <c r="D158" s="103" t="s">
        <v>622</v>
      </c>
      <c r="E158" s="103" t="str">
        <f>IF(LEFT(D158,3)="Std","Base case cost for mix of 60% Incandescent and 40% CFL lamps for CFL TechID: "&amp;INDEX('Measure &amp; Standard CostIDs'!$C$5:$C$177,A158),"&lt;from TechID&gt;")</f>
        <v>&lt;from TechID&gt;</v>
      </c>
      <c r="F158" s="103" t="s">
        <v>860</v>
      </c>
      <c r="G158" s="103" t="s">
        <v>151</v>
      </c>
      <c r="H158" s="103" t="s">
        <v>861</v>
      </c>
      <c r="I158" s="103" t="s">
        <v>862</v>
      </c>
      <c r="J158" s="103" t="s">
        <v>863</v>
      </c>
      <c r="K158" s="103" t="s">
        <v>864</v>
      </c>
      <c r="L158" s="103" t="s">
        <v>153</v>
      </c>
      <c r="M158" s="103" t="s">
        <v>865</v>
      </c>
      <c r="N158" s="103" t="s">
        <v>866</v>
      </c>
      <c r="O158" s="103" t="str">
        <f t="shared" si="4"/>
        <v>CFLscw-Refl(5w)</v>
      </c>
      <c r="P158" s="103" t="s">
        <v>153</v>
      </c>
      <c r="Q158" s="103" t="s">
        <v>153</v>
      </c>
      <c r="R158" s="103" t="s">
        <v>153</v>
      </c>
      <c r="S158" s="103" t="str">
        <f>INDEX('Measure &amp; Standard CostIDs'!$AK$8:$AK$12,B158)</f>
        <v>Wtd-Pack</v>
      </c>
      <c r="T158" s="103" t="s">
        <v>867</v>
      </c>
      <c r="U158" s="103"/>
      <c r="V158" s="103"/>
      <c r="W158" s="103">
        <f>ROUND(IF(LEFT(D158,3)="Std",VLOOKUP(D158,'Measure &amp; Standard CostIDs'!$S$5:$X$177,1+B158,FALSE),VLOOKUP(D158,'Measure &amp; Standard CostIDs'!$C$5:$H$177,1+B158,FALSE)),2)</f>
        <v>6.36</v>
      </c>
      <c r="X158" s="103"/>
      <c r="Y158" s="103"/>
      <c r="Z158" s="103" t="s">
        <v>868</v>
      </c>
      <c r="AA158" s="103" t="s">
        <v>869</v>
      </c>
      <c r="AB158" s="103" t="s">
        <v>153</v>
      </c>
      <c r="AC158" s="103">
        <v>0</v>
      </c>
      <c r="AD158" s="156">
        <v>42005</v>
      </c>
      <c r="AE158" s="103"/>
      <c r="AF158" s="103" t="s">
        <v>870</v>
      </c>
      <c r="AG158" s="103" t="s">
        <v>871</v>
      </c>
      <c r="AH158" s="103" t="s">
        <v>872</v>
      </c>
      <c r="AI158" s="103">
        <v>0</v>
      </c>
      <c r="AJ158" s="103"/>
      <c r="AK158" s="103"/>
      <c r="AL158" s="103"/>
      <c r="AM158" s="103"/>
      <c r="AN158" s="103"/>
      <c r="AO158" s="103" t="str">
        <f t="shared" si="5"/>
        <v>CFLscw-Refl(5w)Wtd-Pack</v>
      </c>
    </row>
    <row r="159" spans="1:41">
      <c r="A159" s="177">
        <f>IFERROR(MATCH(D159,'Measure &amp; Standard CostIDs'!C$5:C$177,0),MATCH(D159,'Measure &amp; Standard CostIDs'!S$5:S$177,0))</f>
        <v>155</v>
      </c>
      <c r="B159" s="177">
        <v>1</v>
      </c>
      <c r="C159" s="103" t="s">
        <v>153</v>
      </c>
      <c r="D159" s="103" t="s">
        <v>628</v>
      </c>
      <c r="E159" s="103" t="str">
        <f>IF(LEFT(D159,3)="Std","Base case cost for mix of 60% Incandescent and 40% CFL lamps for CFL TechID: "&amp;INDEX('Measure &amp; Standard CostIDs'!$C$5:$C$177,A159),"&lt;from TechID&gt;")</f>
        <v>&lt;from TechID&gt;</v>
      </c>
      <c r="F159" s="103" t="s">
        <v>860</v>
      </c>
      <c r="G159" s="103" t="s">
        <v>151</v>
      </c>
      <c r="H159" s="103" t="s">
        <v>861</v>
      </c>
      <c r="I159" s="103" t="s">
        <v>862</v>
      </c>
      <c r="J159" s="103" t="s">
        <v>863</v>
      </c>
      <c r="K159" s="103" t="s">
        <v>864</v>
      </c>
      <c r="L159" s="103" t="s">
        <v>153</v>
      </c>
      <c r="M159" s="103" t="s">
        <v>865</v>
      </c>
      <c r="N159" s="103" t="s">
        <v>866</v>
      </c>
      <c r="O159" s="103" t="str">
        <f t="shared" si="4"/>
        <v>CFLscw-Refl(6w)</v>
      </c>
      <c r="P159" s="103" t="s">
        <v>153</v>
      </c>
      <c r="Q159" s="103" t="s">
        <v>153</v>
      </c>
      <c r="R159" s="103" t="s">
        <v>153</v>
      </c>
      <c r="S159" s="103" t="str">
        <f>INDEX('Measure &amp; Standard CostIDs'!$AK$8:$AK$12,B159)</f>
        <v>Wtd-Pack</v>
      </c>
      <c r="T159" s="103" t="s">
        <v>867</v>
      </c>
      <c r="U159" s="103"/>
      <c r="V159" s="103"/>
      <c r="W159" s="103">
        <f>ROUND(IF(LEFT(D159,3)="Std",VLOOKUP(D159,'Measure &amp; Standard CostIDs'!$S$5:$X$177,1+B159,FALSE),VLOOKUP(D159,'Measure &amp; Standard CostIDs'!$C$5:$H$177,1+B159,FALSE)),2)</f>
        <v>6.51</v>
      </c>
      <c r="X159" s="103"/>
      <c r="Y159" s="103"/>
      <c r="Z159" s="103" t="s">
        <v>868</v>
      </c>
      <c r="AA159" s="103" t="s">
        <v>869</v>
      </c>
      <c r="AB159" s="103" t="s">
        <v>153</v>
      </c>
      <c r="AC159" s="103">
        <v>0</v>
      </c>
      <c r="AD159" s="156">
        <v>42005</v>
      </c>
      <c r="AE159" s="103"/>
      <c r="AF159" s="103" t="s">
        <v>870</v>
      </c>
      <c r="AG159" s="103" t="s">
        <v>871</v>
      </c>
      <c r="AH159" s="103" t="s">
        <v>872</v>
      </c>
      <c r="AI159" s="103">
        <v>0</v>
      </c>
      <c r="AJ159" s="103"/>
      <c r="AK159" s="103"/>
      <c r="AL159" s="103"/>
      <c r="AM159" s="103"/>
      <c r="AN159" s="103"/>
      <c r="AO159" s="103" t="str">
        <f t="shared" si="5"/>
        <v>CFLscw-Refl(6w)Wtd-Pack</v>
      </c>
    </row>
    <row r="160" spans="1:41">
      <c r="A160" s="177">
        <f>IFERROR(MATCH(D160,'Measure &amp; Standard CostIDs'!C$5:C$177,0),MATCH(D160,'Measure &amp; Standard CostIDs'!S$5:S$177,0))</f>
        <v>156</v>
      </c>
      <c r="B160" s="177">
        <v>1</v>
      </c>
      <c r="C160" s="103" t="s">
        <v>153</v>
      </c>
      <c r="D160" s="103" t="s">
        <v>631</v>
      </c>
      <c r="E160" s="103" t="str">
        <f>IF(LEFT(D160,3)="Std","Base case cost for mix of 60% Incandescent and 40% CFL lamps for CFL TechID: "&amp;INDEX('Measure &amp; Standard CostIDs'!$C$5:$C$177,A160),"&lt;from TechID&gt;")</f>
        <v>&lt;from TechID&gt;</v>
      </c>
      <c r="F160" s="103" t="s">
        <v>860</v>
      </c>
      <c r="G160" s="103" t="s">
        <v>151</v>
      </c>
      <c r="H160" s="103" t="s">
        <v>861</v>
      </c>
      <c r="I160" s="103" t="s">
        <v>862</v>
      </c>
      <c r="J160" s="103" t="s">
        <v>863</v>
      </c>
      <c r="K160" s="103" t="s">
        <v>864</v>
      </c>
      <c r="L160" s="103" t="s">
        <v>153</v>
      </c>
      <c r="M160" s="103" t="s">
        <v>865</v>
      </c>
      <c r="N160" s="103" t="s">
        <v>866</v>
      </c>
      <c r="O160" s="103" t="str">
        <f t="shared" si="4"/>
        <v>CFLscw-Refl(7w)</v>
      </c>
      <c r="P160" s="103" t="s">
        <v>153</v>
      </c>
      <c r="Q160" s="103" t="s">
        <v>153</v>
      </c>
      <c r="R160" s="103" t="s">
        <v>153</v>
      </c>
      <c r="S160" s="103" t="str">
        <f>INDEX('Measure &amp; Standard CostIDs'!$AK$8:$AK$12,B160)</f>
        <v>Wtd-Pack</v>
      </c>
      <c r="T160" s="103" t="s">
        <v>867</v>
      </c>
      <c r="U160" s="103"/>
      <c r="V160" s="103"/>
      <c r="W160" s="103">
        <f>ROUND(IF(LEFT(D160,3)="Std",VLOOKUP(D160,'Measure &amp; Standard CostIDs'!$S$5:$X$177,1+B160,FALSE),VLOOKUP(D160,'Measure &amp; Standard CostIDs'!$C$5:$H$177,1+B160,FALSE)),2)</f>
        <v>6.66</v>
      </c>
      <c r="X160" s="103"/>
      <c r="Y160" s="103"/>
      <c r="Z160" s="103" t="s">
        <v>868</v>
      </c>
      <c r="AA160" s="103" t="s">
        <v>869</v>
      </c>
      <c r="AB160" s="103" t="s">
        <v>153</v>
      </c>
      <c r="AC160" s="103">
        <v>0</v>
      </c>
      <c r="AD160" s="156">
        <v>42005</v>
      </c>
      <c r="AE160" s="103"/>
      <c r="AF160" s="103" t="s">
        <v>870</v>
      </c>
      <c r="AG160" s="103" t="s">
        <v>871</v>
      </c>
      <c r="AH160" s="103" t="s">
        <v>872</v>
      </c>
      <c r="AI160" s="103">
        <v>0</v>
      </c>
      <c r="AJ160" s="103"/>
      <c r="AK160" s="103"/>
      <c r="AL160" s="103"/>
      <c r="AM160" s="103"/>
      <c r="AN160" s="103"/>
      <c r="AO160" s="103" t="str">
        <f t="shared" si="5"/>
        <v>CFLscw-Refl(7w)Wtd-Pack</v>
      </c>
    </row>
    <row r="161" spans="1:41">
      <c r="A161" s="177">
        <f>IFERROR(MATCH(D161,'Measure &amp; Standard CostIDs'!C$5:C$177,0),MATCH(D161,'Measure &amp; Standard CostIDs'!S$5:S$177,0))</f>
        <v>157</v>
      </c>
      <c r="B161" s="177">
        <v>1</v>
      </c>
      <c r="C161" s="103" t="s">
        <v>153</v>
      </c>
      <c r="D161" s="103" t="s">
        <v>637</v>
      </c>
      <c r="E161" s="103" t="str">
        <f>IF(LEFT(D161,3)="Std","Base case cost for mix of 60% Incandescent and 40% CFL lamps for CFL TechID: "&amp;INDEX('Measure &amp; Standard CostIDs'!$C$5:$C$177,A161),"&lt;from TechID&gt;")</f>
        <v>&lt;from TechID&gt;</v>
      </c>
      <c r="F161" s="103" t="s">
        <v>860</v>
      </c>
      <c r="G161" s="103" t="s">
        <v>151</v>
      </c>
      <c r="H161" s="103" t="s">
        <v>861</v>
      </c>
      <c r="I161" s="103" t="s">
        <v>862</v>
      </c>
      <c r="J161" s="103" t="s">
        <v>863</v>
      </c>
      <c r="K161" s="103" t="s">
        <v>864</v>
      </c>
      <c r="L161" s="103" t="s">
        <v>153</v>
      </c>
      <c r="M161" s="103" t="s">
        <v>865</v>
      </c>
      <c r="N161" s="103" t="s">
        <v>866</v>
      </c>
      <c r="O161" s="103" t="str">
        <f t="shared" si="4"/>
        <v>CFLscw-Refl(8w)</v>
      </c>
      <c r="P161" s="103" t="s">
        <v>153</v>
      </c>
      <c r="Q161" s="103" t="s">
        <v>153</v>
      </c>
      <c r="R161" s="103" t="s">
        <v>153</v>
      </c>
      <c r="S161" s="103" t="str">
        <f>INDEX('Measure &amp; Standard CostIDs'!$AK$8:$AK$12,B161)</f>
        <v>Wtd-Pack</v>
      </c>
      <c r="T161" s="103" t="s">
        <v>867</v>
      </c>
      <c r="U161" s="103"/>
      <c r="V161" s="103"/>
      <c r="W161" s="103">
        <f>ROUND(IF(LEFT(D161,3)="Std",VLOOKUP(D161,'Measure &amp; Standard CostIDs'!$S$5:$X$177,1+B161,FALSE),VLOOKUP(D161,'Measure &amp; Standard CostIDs'!$C$5:$H$177,1+B161,FALSE)),2)</f>
        <v>6.8</v>
      </c>
      <c r="X161" s="103"/>
      <c r="Y161" s="103"/>
      <c r="Z161" s="103" t="s">
        <v>868</v>
      </c>
      <c r="AA161" s="103" t="s">
        <v>869</v>
      </c>
      <c r="AB161" s="103" t="s">
        <v>153</v>
      </c>
      <c r="AC161" s="103">
        <v>0</v>
      </c>
      <c r="AD161" s="156">
        <v>42005</v>
      </c>
      <c r="AE161" s="103"/>
      <c r="AF161" s="103" t="s">
        <v>870</v>
      </c>
      <c r="AG161" s="103" t="s">
        <v>871</v>
      </c>
      <c r="AH161" s="103" t="s">
        <v>872</v>
      </c>
      <c r="AI161" s="103">
        <v>0</v>
      </c>
      <c r="AJ161" s="103"/>
      <c r="AK161" s="103"/>
      <c r="AL161" s="103"/>
      <c r="AM161" s="103"/>
      <c r="AN161" s="103"/>
      <c r="AO161" s="103" t="str">
        <f t="shared" si="5"/>
        <v>CFLscw-Refl(8w)Wtd-Pack</v>
      </c>
    </row>
    <row r="162" spans="1:41">
      <c r="A162" s="177">
        <f>IFERROR(MATCH(D162,'Measure &amp; Standard CostIDs'!C$5:C$177,0),MATCH(D162,'Measure &amp; Standard CostIDs'!S$5:S$177,0))</f>
        <v>158</v>
      </c>
      <c r="B162" s="177">
        <v>1</v>
      </c>
      <c r="C162" s="103" t="s">
        <v>153</v>
      </c>
      <c r="D162" s="103" t="s">
        <v>640</v>
      </c>
      <c r="E162" s="103" t="str">
        <f>IF(LEFT(D162,3)="Std","Base case cost for mix of 60% Incandescent and 40% CFL lamps for CFL TechID: "&amp;INDEX('Measure &amp; Standard CostIDs'!$C$5:$C$177,A162),"&lt;from TechID&gt;")</f>
        <v>&lt;from TechID&gt;</v>
      </c>
      <c r="F162" s="103" t="s">
        <v>860</v>
      </c>
      <c r="G162" s="103" t="s">
        <v>151</v>
      </c>
      <c r="H162" s="103" t="s">
        <v>861</v>
      </c>
      <c r="I162" s="103" t="s">
        <v>862</v>
      </c>
      <c r="J162" s="103" t="s">
        <v>863</v>
      </c>
      <c r="K162" s="103" t="s">
        <v>864</v>
      </c>
      <c r="L162" s="103" t="s">
        <v>153</v>
      </c>
      <c r="M162" s="103" t="s">
        <v>865</v>
      </c>
      <c r="N162" s="103" t="s">
        <v>866</v>
      </c>
      <c r="O162" s="103" t="str">
        <f t="shared" si="4"/>
        <v>CFLscw-Refl(9w)</v>
      </c>
      <c r="P162" s="103" t="s">
        <v>153</v>
      </c>
      <c r="Q162" s="103" t="s">
        <v>153</v>
      </c>
      <c r="R162" s="103" t="s">
        <v>153</v>
      </c>
      <c r="S162" s="103" t="str">
        <f>INDEX('Measure &amp; Standard CostIDs'!$AK$8:$AK$12,B162)</f>
        <v>Wtd-Pack</v>
      </c>
      <c r="T162" s="103" t="s">
        <v>867</v>
      </c>
      <c r="U162" s="103"/>
      <c r="V162" s="103"/>
      <c r="W162" s="103">
        <f>ROUND(IF(LEFT(D162,3)="Std",VLOOKUP(D162,'Measure &amp; Standard CostIDs'!$S$5:$X$177,1+B162,FALSE),VLOOKUP(D162,'Measure &amp; Standard CostIDs'!$C$5:$H$177,1+B162,FALSE)),2)</f>
        <v>6.95</v>
      </c>
      <c r="X162" s="103"/>
      <c r="Y162" s="103"/>
      <c r="Z162" s="103" t="s">
        <v>868</v>
      </c>
      <c r="AA162" s="103" t="s">
        <v>869</v>
      </c>
      <c r="AB162" s="103" t="s">
        <v>153</v>
      </c>
      <c r="AC162" s="103">
        <v>0</v>
      </c>
      <c r="AD162" s="156">
        <v>42005</v>
      </c>
      <c r="AE162" s="103"/>
      <c r="AF162" s="103" t="s">
        <v>870</v>
      </c>
      <c r="AG162" s="103" t="s">
        <v>871</v>
      </c>
      <c r="AH162" s="103" t="s">
        <v>872</v>
      </c>
      <c r="AI162" s="103">
        <v>0</v>
      </c>
      <c r="AJ162" s="103"/>
      <c r="AK162" s="103"/>
      <c r="AL162" s="103"/>
      <c r="AM162" s="103"/>
      <c r="AN162" s="103"/>
      <c r="AO162" s="103" t="str">
        <f t="shared" si="5"/>
        <v>CFLscw-Refl(9w)Wtd-Pack</v>
      </c>
    </row>
    <row r="163" spans="1:41">
      <c r="A163" s="177">
        <f>IFERROR(MATCH(D163,'Measure &amp; Standard CostIDs'!C$5:C$177,0),MATCH(D163,'Measure &amp; Standard CostIDs'!S$5:S$177,0))</f>
        <v>159</v>
      </c>
      <c r="B163" s="177">
        <v>1</v>
      </c>
      <c r="C163" s="103" t="s">
        <v>153</v>
      </c>
      <c r="D163" s="103" t="s">
        <v>43</v>
      </c>
      <c r="E163" s="103" t="str">
        <f>IF(LEFT(D163,3)="Std","Base case cost for mix of 60% Incandescent and 40% CFL lamps for CFL TechID: "&amp;INDEX('Measure &amp; Standard CostIDs'!$C$5:$C$177,A163),"&lt;from TechID&gt;")</f>
        <v>&lt;from TechID&gt;</v>
      </c>
      <c r="F163" s="103" t="s">
        <v>860</v>
      </c>
      <c r="G163" s="103" t="s">
        <v>151</v>
      </c>
      <c r="H163" s="103" t="s">
        <v>861</v>
      </c>
      <c r="I163" s="103" t="s">
        <v>862</v>
      </c>
      <c r="J163" s="103" t="s">
        <v>863</v>
      </c>
      <c r="K163" s="103" t="s">
        <v>864</v>
      </c>
      <c r="L163" s="103" t="s">
        <v>153</v>
      </c>
      <c r="M163" s="103" t="s">
        <v>865</v>
      </c>
      <c r="N163" s="103" t="s">
        <v>866</v>
      </c>
      <c r="O163" s="103" t="str">
        <f t="shared" si="4"/>
        <v>CFLscw-Refl-1(15w)</v>
      </c>
      <c r="P163" s="103" t="s">
        <v>153</v>
      </c>
      <c r="Q163" s="103" t="s">
        <v>153</v>
      </c>
      <c r="R163" s="103" t="s">
        <v>153</v>
      </c>
      <c r="S163" s="103" t="str">
        <f>INDEX('Measure &amp; Standard CostIDs'!$AK$8:$AK$12,B163)</f>
        <v>Wtd-Pack</v>
      </c>
      <c r="T163" s="103" t="s">
        <v>867</v>
      </c>
      <c r="U163" s="103"/>
      <c r="V163" s="103"/>
      <c r="W163" s="103">
        <f>ROUND(IF(LEFT(D163,3)="Std",VLOOKUP(D163,'Measure &amp; Standard CostIDs'!$S$5:$X$177,1+B163,FALSE),VLOOKUP(D163,'Measure &amp; Standard CostIDs'!$C$5:$H$177,1+B163,FALSE)),2)</f>
        <v>7.84</v>
      </c>
      <c r="X163" s="103"/>
      <c r="Y163" s="103"/>
      <c r="Z163" s="103" t="s">
        <v>868</v>
      </c>
      <c r="AA163" s="103" t="s">
        <v>869</v>
      </c>
      <c r="AB163" s="103" t="s">
        <v>153</v>
      </c>
      <c r="AC163" s="103">
        <v>0</v>
      </c>
      <c r="AD163" s="156">
        <v>42005</v>
      </c>
      <c r="AE163" s="103"/>
      <c r="AF163" s="103" t="s">
        <v>870</v>
      </c>
      <c r="AG163" s="103" t="s">
        <v>871</v>
      </c>
      <c r="AH163" s="103" t="s">
        <v>872</v>
      </c>
      <c r="AI163" s="103">
        <v>0</v>
      </c>
      <c r="AJ163" s="103"/>
      <c r="AK163" s="103"/>
      <c r="AL163" s="103"/>
      <c r="AM163" s="103"/>
      <c r="AN163" s="103"/>
      <c r="AO163" s="103" t="str">
        <f t="shared" si="5"/>
        <v>CFLscw-Refl-1(15w)Wtd-Pack</v>
      </c>
    </row>
    <row r="164" spans="1:41">
      <c r="A164" s="177">
        <f>IFERROR(MATCH(D164,'Measure &amp; Standard CostIDs'!C$5:C$177,0),MATCH(D164,'Measure &amp; Standard CostIDs'!S$5:S$177,0))</f>
        <v>160</v>
      </c>
      <c r="B164" s="177">
        <v>1</v>
      </c>
      <c r="C164" s="103" t="s">
        <v>153</v>
      </c>
      <c r="D164" s="103" t="s">
        <v>506</v>
      </c>
      <c r="E164" s="103" t="str">
        <f>IF(LEFT(D164,3)="Std","Base case cost for mix of 60% Incandescent and 40% CFL lamps for CFL TechID: "&amp;INDEX('Measure &amp; Standard CostIDs'!$C$5:$C$177,A164),"&lt;from TechID&gt;")</f>
        <v>&lt;from TechID&gt;</v>
      </c>
      <c r="F164" s="103" t="s">
        <v>860</v>
      </c>
      <c r="G164" s="103" t="s">
        <v>151</v>
      </c>
      <c r="H164" s="103" t="s">
        <v>861</v>
      </c>
      <c r="I164" s="103" t="s">
        <v>862</v>
      </c>
      <c r="J164" s="103" t="s">
        <v>863</v>
      </c>
      <c r="K164" s="103" t="s">
        <v>864</v>
      </c>
      <c r="L164" s="103" t="s">
        <v>153</v>
      </c>
      <c r="M164" s="103" t="s">
        <v>865</v>
      </c>
      <c r="N164" s="103" t="s">
        <v>866</v>
      </c>
      <c r="O164" s="103" t="str">
        <f t="shared" si="4"/>
        <v>CFLscw-Refl-1(23w)</v>
      </c>
      <c r="P164" s="103" t="s">
        <v>153</v>
      </c>
      <c r="Q164" s="103" t="s">
        <v>153</v>
      </c>
      <c r="R164" s="103" t="s">
        <v>153</v>
      </c>
      <c r="S164" s="103" t="str">
        <f>INDEX('Measure &amp; Standard CostIDs'!$AK$8:$AK$12,B164)</f>
        <v>Wtd-Pack</v>
      </c>
      <c r="T164" s="103" t="s">
        <v>867</v>
      </c>
      <c r="U164" s="103"/>
      <c r="V164" s="103"/>
      <c r="W164" s="103">
        <f>ROUND(IF(LEFT(D164,3)="Std",VLOOKUP(D164,'Measure &amp; Standard CostIDs'!$S$5:$X$177,1+B164,FALSE),VLOOKUP(D164,'Measure &amp; Standard CostIDs'!$C$5:$H$177,1+B164,FALSE)),2)</f>
        <v>9.01</v>
      </c>
      <c r="X164" s="103"/>
      <c r="Y164" s="103"/>
      <c r="Z164" s="103" t="s">
        <v>868</v>
      </c>
      <c r="AA164" s="103" t="s">
        <v>869</v>
      </c>
      <c r="AB164" s="103" t="s">
        <v>153</v>
      </c>
      <c r="AC164" s="103">
        <v>0</v>
      </c>
      <c r="AD164" s="156">
        <v>42005</v>
      </c>
      <c r="AE164" s="103"/>
      <c r="AF164" s="103" t="s">
        <v>870</v>
      </c>
      <c r="AG164" s="103" t="s">
        <v>871</v>
      </c>
      <c r="AH164" s="103" t="s">
        <v>872</v>
      </c>
      <c r="AI164" s="103">
        <v>0</v>
      </c>
      <c r="AJ164" s="103"/>
      <c r="AK164" s="103"/>
      <c r="AL164" s="103"/>
      <c r="AM164" s="103"/>
      <c r="AN164" s="103"/>
      <c r="AO164" s="103" t="str">
        <f t="shared" si="5"/>
        <v>CFLscw-Refl-1(23w)Wtd-Pack</v>
      </c>
    </row>
    <row r="165" spans="1:41">
      <c r="A165" s="177">
        <f>IFERROR(MATCH(D165,'Measure &amp; Standard CostIDs'!C$5:C$177,0),MATCH(D165,'Measure &amp; Standard CostIDs'!S$5:S$177,0))</f>
        <v>161</v>
      </c>
      <c r="B165" s="177">
        <v>1</v>
      </c>
      <c r="C165" s="103" t="s">
        <v>153</v>
      </c>
      <c r="D165" s="103" t="s">
        <v>508</v>
      </c>
      <c r="E165" s="103" t="str">
        <f>IF(LEFT(D165,3)="Std","Base case cost for mix of 60% Incandescent and 40% CFL lamps for CFL TechID: "&amp;INDEX('Measure &amp; Standard CostIDs'!$C$5:$C$177,A165),"&lt;from TechID&gt;")</f>
        <v>&lt;from TechID&gt;</v>
      </c>
      <c r="F165" s="103" t="s">
        <v>860</v>
      </c>
      <c r="G165" s="103" t="s">
        <v>151</v>
      </c>
      <c r="H165" s="103" t="s">
        <v>861</v>
      </c>
      <c r="I165" s="103" t="s">
        <v>862</v>
      </c>
      <c r="J165" s="103" t="s">
        <v>863</v>
      </c>
      <c r="K165" s="103" t="s">
        <v>864</v>
      </c>
      <c r="L165" s="103" t="s">
        <v>153</v>
      </c>
      <c r="M165" s="103" t="s">
        <v>865</v>
      </c>
      <c r="N165" s="103" t="s">
        <v>866</v>
      </c>
      <c r="O165" s="103" t="str">
        <f t="shared" si="4"/>
        <v>CFLscw-Refl-2(15w)</v>
      </c>
      <c r="P165" s="103" t="s">
        <v>153</v>
      </c>
      <c r="Q165" s="103" t="s">
        <v>153</v>
      </c>
      <c r="R165" s="103" t="s">
        <v>153</v>
      </c>
      <c r="S165" s="103" t="str">
        <f>INDEX('Measure &amp; Standard CostIDs'!$AK$8:$AK$12,B165)</f>
        <v>Wtd-Pack</v>
      </c>
      <c r="T165" s="103" t="s">
        <v>867</v>
      </c>
      <c r="U165" s="103"/>
      <c r="V165" s="103"/>
      <c r="W165" s="103">
        <f>ROUND(IF(LEFT(D165,3)="Std",VLOOKUP(D165,'Measure &amp; Standard CostIDs'!$S$5:$X$177,1+B165,FALSE),VLOOKUP(D165,'Measure &amp; Standard CostIDs'!$C$5:$H$177,1+B165,FALSE)),2)</f>
        <v>7.84</v>
      </c>
      <c r="X165" s="103"/>
      <c r="Y165" s="103"/>
      <c r="Z165" s="103" t="s">
        <v>868</v>
      </c>
      <c r="AA165" s="103" t="s">
        <v>869</v>
      </c>
      <c r="AB165" s="103" t="s">
        <v>153</v>
      </c>
      <c r="AC165" s="103">
        <v>0</v>
      </c>
      <c r="AD165" s="156">
        <v>42005</v>
      </c>
      <c r="AE165" s="103"/>
      <c r="AF165" s="103" t="s">
        <v>870</v>
      </c>
      <c r="AG165" s="103" t="s">
        <v>871</v>
      </c>
      <c r="AH165" s="103" t="s">
        <v>872</v>
      </c>
      <c r="AI165" s="103">
        <v>0</v>
      </c>
      <c r="AJ165" s="103"/>
      <c r="AK165" s="103"/>
      <c r="AL165" s="103"/>
      <c r="AM165" s="103"/>
      <c r="AN165" s="103"/>
      <c r="AO165" s="103" t="str">
        <f t="shared" si="5"/>
        <v>CFLscw-Refl-2(15w)Wtd-Pack</v>
      </c>
    </row>
    <row r="166" spans="1:41">
      <c r="A166" s="177">
        <f>IFERROR(MATCH(D166,'Measure &amp; Standard CostIDs'!C$5:C$177,0),MATCH(D166,'Measure &amp; Standard CostIDs'!S$5:S$177,0))</f>
        <v>162</v>
      </c>
      <c r="B166" s="177">
        <v>1</v>
      </c>
      <c r="C166" s="103" t="s">
        <v>153</v>
      </c>
      <c r="D166" s="103" t="s">
        <v>510</v>
      </c>
      <c r="E166" s="103" t="str">
        <f>IF(LEFT(D166,3)="Std","Base case cost for mix of 60% Incandescent and 40% CFL lamps for CFL TechID: "&amp;INDEX('Measure &amp; Standard CostIDs'!$C$5:$C$177,A166),"&lt;from TechID&gt;")</f>
        <v>&lt;from TechID&gt;</v>
      </c>
      <c r="F166" s="103" t="s">
        <v>860</v>
      </c>
      <c r="G166" s="103" t="s">
        <v>151</v>
      </c>
      <c r="H166" s="103" t="s">
        <v>861</v>
      </c>
      <c r="I166" s="103" t="s">
        <v>862</v>
      </c>
      <c r="J166" s="103" t="s">
        <v>863</v>
      </c>
      <c r="K166" s="103" t="s">
        <v>864</v>
      </c>
      <c r="L166" s="103" t="s">
        <v>153</v>
      </c>
      <c r="M166" s="103" t="s">
        <v>865</v>
      </c>
      <c r="N166" s="103" t="s">
        <v>866</v>
      </c>
      <c r="O166" s="103" t="str">
        <f t="shared" si="4"/>
        <v>CFLscw-Refl-2(23w)</v>
      </c>
      <c r="P166" s="103" t="s">
        <v>153</v>
      </c>
      <c r="Q166" s="103" t="s">
        <v>153</v>
      </c>
      <c r="R166" s="103" t="s">
        <v>153</v>
      </c>
      <c r="S166" s="103" t="str">
        <f>INDEX('Measure &amp; Standard CostIDs'!$AK$8:$AK$12,B166)</f>
        <v>Wtd-Pack</v>
      </c>
      <c r="T166" s="103" t="s">
        <v>867</v>
      </c>
      <c r="U166" s="103"/>
      <c r="V166" s="103"/>
      <c r="W166" s="103">
        <f>ROUND(IF(LEFT(D166,3)="Std",VLOOKUP(D166,'Measure &amp; Standard CostIDs'!$S$5:$X$177,1+B166,FALSE),VLOOKUP(D166,'Measure &amp; Standard CostIDs'!$C$5:$H$177,1+B166,FALSE)),2)</f>
        <v>9.01</v>
      </c>
      <c r="X166" s="103"/>
      <c r="Y166" s="103"/>
      <c r="Z166" s="103" t="s">
        <v>868</v>
      </c>
      <c r="AA166" s="103" t="s">
        <v>869</v>
      </c>
      <c r="AB166" s="103" t="s">
        <v>153</v>
      </c>
      <c r="AC166" s="103">
        <v>0</v>
      </c>
      <c r="AD166" s="156">
        <v>42005</v>
      </c>
      <c r="AE166" s="103"/>
      <c r="AF166" s="103" t="s">
        <v>870</v>
      </c>
      <c r="AG166" s="103" t="s">
        <v>871</v>
      </c>
      <c r="AH166" s="103" t="s">
        <v>872</v>
      </c>
      <c r="AI166" s="103">
        <v>0</v>
      </c>
      <c r="AJ166" s="103"/>
      <c r="AK166" s="103"/>
      <c r="AL166" s="103"/>
      <c r="AM166" s="103"/>
      <c r="AN166" s="103"/>
      <c r="AO166" s="103" t="str">
        <f t="shared" si="5"/>
        <v>CFLscw-Refl-2(23w)Wtd-Pack</v>
      </c>
    </row>
    <row r="167" spans="1:41">
      <c r="A167" s="177">
        <f>IFERROR(MATCH(D167,'Measure &amp; Standard CostIDs'!C$5:C$177,0),MATCH(D167,'Measure &amp; Standard CostIDs'!S$5:S$177,0))</f>
        <v>163</v>
      </c>
      <c r="B167" s="177">
        <v>1</v>
      </c>
      <c r="C167" s="103" t="s">
        <v>153</v>
      </c>
      <c r="D167" s="103" t="s">
        <v>44</v>
      </c>
      <c r="E167" s="103" t="str">
        <f>IF(LEFT(D167,3)="Std","Base case cost for mix of 60% Incandescent and 40% CFL lamps for CFL TechID: "&amp;INDEX('Measure &amp; Standard CostIDs'!$C$5:$C$177,A167),"&lt;from TechID&gt;")</f>
        <v>&lt;from TechID&gt;</v>
      </c>
      <c r="F167" s="103" t="s">
        <v>860</v>
      </c>
      <c r="G167" s="103" t="s">
        <v>151</v>
      </c>
      <c r="H167" s="103" t="s">
        <v>861</v>
      </c>
      <c r="I167" s="103" t="s">
        <v>862</v>
      </c>
      <c r="J167" s="103" t="s">
        <v>863</v>
      </c>
      <c r="K167" s="103" t="s">
        <v>864</v>
      </c>
      <c r="L167" s="103" t="s">
        <v>153</v>
      </c>
      <c r="M167" s="103" t="s">
        <v>865</v>
      </c>
      <c r="N167" s="103" t="s">
        <v>866</v>
      </c>
      <c r="O167" s="103" t="str">
        <f t="shared" si="4"/>
        <v>CFLscw-Refl-Dim(15w)</v>
      </c>
      <c r="P167" s="103" t="s">
        <v>153</v>
      </c>
      <c r="Q167" s="103" t="s">
        <v>153</v>
      </c>
      <c r="R167" s="103" t="s">
        <v>153</v>
      </c>
      <c r="S167" s="103" t="str">
        <f>INDEX('Measure &amp; Standard CostIDs'!$AK$8:$AK$12,B167)</f>
        <v>Wtd-Pack</v>
      </c>
      <c r="T167" s="103" t="s">
        <v>867</v>
      </c>
      <c r="U167" s="103"/>
      <c r="V167" s="103"/>
      <c r="W167" s="103">
        <f>ROUND(IF(LEFT(D167,3)="Std",VLOOKUP(D167,'Measure &amp; Standard CostIDs'!$S$5:$X$177,1+B167,FALSE),VLOOKUP(D167,'Measure &amp; Standard CostIDs'!$C$5:$H$177,1+B167,FALSE)),2)</f>
        <v>11.88</v>
      </c>
      <c r="X167" s="103"/>
      <c r="Y167" s="103"/>
      <c r="Z167" s="103" t="s">
        <v>868</v>
      </c>
      <c r="AA167" s="103" t="s">
        <v>869</v>
      </c>
      <c r="AB167" s="103" t="s">
        <v>153</v>
      </c>
      <c r="AC167" s="103">
        <v>0</v>
      </c>
      <c r="AD167" s="156">
        <v>42005</v>
      </c>
      <c r="AE167" s="103"/>
      <c r="AF167" s="103" t="s">
        <v>870</v>
      </c>
      <c r="AG167" s="103" t="s">
        <v>871</v>
      </c>
      <c r="AH167" s="103" t="s">
        <v>872</v>
      </c>
      <c r="AI167" s="103">
        <v>0</v>
      </c>
      <c r="AJ167" s="103"/>
      <c r="AK167" s="103"/>
      <c r="AL167" s="103"/>
      <c r="AM167" s="103"/>
      <c r="AN167" s="103"/>
      <c r="AO167" s="103" t="str">
        <f t="shared" si="5"/>
        <v>CFLscw-Refl-Dim(15w)Wtd-Pack</v>
      </c>
    </row>
    <row r="168" spans="1:41">
      <c r="A168" s="177">
        <f>IFERROR(MATCH(D168,'Measure &amp; Standard CostIDs'!C$5:C$177,0),MATCH(D168,'Measure &amp; Standard CostIDs'!S$5:S$177,0))</f>
        <v>164</v>
      </c>
      <c r="B168" s="177">
        <v>1</v>
      </c>
      <c r="C168" s="103" t="s">
        <v>153</v>
      </c>
      <c r="D168" s="103" t="s">
        <v>45</v>
      </c>
      <c r="E168" s="103" t="str">
        <f>IF(LEFT(D168,3)="Std","Base case cost for mix of 60% Incandescent and 40% CFL lamps for CFL TechID: "&amp;INDEX('Measure &amp; Standard CostIDs'!$C$5:$C$177,A168),"&lt;from TechID&gt;")</f>
        <v>&lt;from TechID&gt;</v>
      </c>
      <c r="F168" s="103" t="s">
        <v>860</v>
      </c>
      <c r="G168" s="103" t="s">
        <v>151</v>
      </c>
      <c r="H168" s="103" t="s">
        <v>861</v>
      </c>
      <c r="I168" s="103" t="s">
        <v>862</v>
      </c>
      <c r="J168" s="103" t="s">
        <v>863</v>
      </c>
      <c r="K168" s="103" t="s">
        <v>864</v>
      </c>
      <c r="L168" s="103" t="s">
        <v>153</v>
      </c>
      <c r="M168" s="103" t="s">
        <v>865</v>
      </c>
      <c r="N168" s="103" t="s">
        <v>866</v>
      </c>
      <c r="O168" s="103" t="str">
        <f t="shared" si="4"/>
        <v>CFLscw-Refl-Dim(16w)</v>
      </c>
      <c r="P168" s="103" t="s">
        <v>153</v>
      </c>
      <c r="Q168" s="103" t="s">
        <v>153</v>
      </c>
      <c r="R168" s="103" t="s">
        <v>153</v>
      </c>
      <c r="S168" s="103" t="str">
        <f>INDEX('Measure &amp; Standard CostIDs'!$AK$8:$AK$12,B168)</f>
        <v>Wtd-Pack</v>
      </c>
      <c r="T168" s="103" t="s">
        <v>867</v>
      </c>
      <c r="U168" s="103"/>
      <c r="V168" s="103"/>
      <c r="W168" s="103">
        <f>ROUND(IF(LEFT(D168,3)="Std",VLOOKUP(D168,'Measure &amp; Standard CostIDs'!$S$5:$X$177,1+B168,FALSE),VLOOKUP(D168,'Measure &amp; Standard CostIDs'!$C$5:$H$177,1+B168,FALSE)),2)</f>
        <v>12.03</v>
      </c>
      <c r="X168" s="103"/>
      <c r="Y168" s="103"/>
      <c r="Z168" s="103" t="s">
        <v>868</v>
      </c>
      <c r="AA168" s="103" t="s">
        <v>869</v>
      </c>
      <c r="AB168" s="103" t="s">
        <v>153</v>
      </c>
      <c r="AC168" s="103">
        <v>0</v>
      </c>
      <c r="AD168" s="156">
        <v>42005</v>
      </c>
      <c r="AE168" s="103"/>
      <c r="AF168" s="103" t="s">
        <v>870</v>
      </c>
      <c r="AG168" s="103" t="s">
        <v>871</v>
      </c>
      <c r="AH168" s="103" t="s">
        <v>872</v>
      </c>
      <c r="AI168" s="103">
        <v>0</v>
      </c>
      <c r="AJ168" s="103"/>
      <c r="AK168" s="103"/>
      <c r="AL168" s="103"/>
      <c r="AM168" s="103"/>
      <c r="AN168" s="103"/>
      <c r="AO168" s="103" t="str">
        <f t="shared" si="5"/>
        <v>CFLscw-Refl-Dim(16w)Wtd-Pack</v>
      </c>
    </row>
    <row r="169" spans="1:41">
      <c r="A169" s="177">
        <f>IFERROR(MATCH(D169,'Measure &amp; Standard CostIDs'!C$5:C$177,0),MATCH(D169,'Measure &amp; Standard CostIDs'!S$5:S$177,0))</f>
        <v>165</v>
      </c>
      <c r="B169" s="177">
        <v>1</v>
      </c>
      <c r="C169" s="103" t="s">
        <v>153</v>
      </c>
      <c r="D169" s="103" t="s">
        <v>46</v>
      </c>
      <c r="E169" s="103" t="str">
        <f>IF(LEFT(D169,3)="Std","Base case cost for mix of 60% Incandescent and 40% CFL lamps for CFL TechID: "&amp;INDEX('Measure &amp; Standard CostIDs'!$C$5:$C$177,A169),"&lt;from TechID&gt;")</f>
        <v>&lt;from TechID&gt;</v>
      </c>
      <c r="F169" s="103" t="s">
        <v>860</v>
      </c>
      <c r="G169" s="103" t="s">
        <v>151</v>
      </c>
      <c r="H169" s="103" t="s">
        <v>861</v>
      </c>
      <c r="I169" s="103" t="s">
        <v>862</v>
      </c>
      <c r="J169" s="103" t="s">
        <v>863</v>
      </c>
      <c r="K169" s="103" t="s">
        <v>864</v>
      </c>
      <c r="L169" s="103" t="s">
        <v>153</v>
      </c>
      <c r="M169" s="103" t="s">
        <v>865</v>
      </c>
      <c r="N169" s="103" t="s">
        <v>866</v>
      </c>
      <c r="O169" s="103" t="str">
        <f t="shared" si="4"/>
        <v>CFLscw-Refl-Dim(20w)</v>
      </c>
      <c r="P169" s="103" t="s">
        <v>153</v>
      </c>
      <c r="Q169" s="103" t="s">
        <v>153</v>
      </c>
      <c r="R169" s="103" t="s">
        <v>153</v>
      </c>
      <c r="S169" s="103" t="str">
        <f>INDEX('Measure &amp; Standard CostIDs'!$AK$8:$AK$12,B169)</f>
        <v>Wtd-Pack</v>
      </c>
      <c r="T169" s="103" t="s">
        <v>867</v>
      </c>
      <c r="U169" s="103"/>
      <c r="V169" s="103"/>
      <c r="W169" s="103">
        <f>ROUND(IF(LEFT(D169,3)="Std",VLOOKUP(D169,'Measure &amp; Standard CostIDs'!$S$5:$X$177,1+B169,FALSE),VLOOKUP(D169,'Measure &amp; Standard CostIDs'!$C$5:$H$177,1+B169,FALSE)),2)</f>
        <v>12.62</v>
      </c>
      <c r="X169" s="103"/>
      <c r="Y169" s="103"/>
      <c r="Z169" s="103" t="s">
        <v>868</v>
      </c>
      <c r="AA169" s="103" t="s">
        <v>869</v>
      </c>
      <c r="AB169" s="103" t="s">
        <v>153</v>
      </c>
      <c r="AC169" s="103">
        <v>0</v>
      </c>
      <c r="AD169" s="156">
        <v>42005</v>
      </c>
      <c r="AE169" s="103"/>
      <c r="AF169" s="103" t="s">
        <v>870</v>
      </c>
      <c r="AG169" s="103" t="s">
        <v>871</v>
      </c>
      <c r="AH169" s="103" t="s">
        <v>872</v>
      </c>
      <c r="AI169" s="103">
        <v>0</v>
      </c>
      <c r="AJ169" s="103"/>
      <c r="AK169" s="103"/>
      <c r="AL169" s="103"/>
      <c r="AM169" s="103"/>
      <c r="AN169" s="103"/>
      <c r="AO169" s="103" t="str">
        <f t="shared" si="5"/>
        <v>CFLscw-Refl-Dim(20w)Wtd-Pack</v>
      </c>
    </row>
    <row r="170" spans="1:41">
      <c r="A170" s="177">
        <f>IFERROR(MATCH(D170,'Measure &amp; Standard CostIDs'!C$5:C$177,0),MATCH(D170,'Measure &amp; Standard CostIDs'!S$5:S$177,0))</f>
        <v>166</v>
      </c>
      <c r="B170" s="177">
        <v>1</v>
      </c>
      <c r="C170" s="103" t="s">
        <v>153</v>
      </c>
      <c r="D170" s="103" t="s">
        <v>47</v>
      </c>
      <c r="E170" s="103" t="str">
        <f>IF(LEFT(D170,3)="Std","Base case cost for mix of 60% Incandescent and 40% CFL lamps for CFL TechID: "&amp;INDEX('Measure &amp; Standard CostIDs'!$C$5:$C$177,A170),"&lt;from TechID&gt;")</f>
        <v>&lt;from TechID&gt;</v>
      </c>
      <c r="F170" s="103" t="s">
        <v>860</v>
      </c>
      <c r="G170" s="103" t="s">
        <v>151</v>
      </c>
      <c r="H170" s="103" t="s">
        <v>861</v>
      </c>
      <c r="I170" s="103" t="s">
        <v>862</v>
      </c>
      <c r="J170" s="103" t="s">
        <v>863</v>
      </c>
      <c r="K170" s="103" t="s">
        <v>864</v>
      </c>
      <c r="L170" s="103" t="s">
        <v>153</v>
      </c>
      <c r="M170" s="103" t="s">
        <v>865</v>
      </c>
      <c r="N170" s="103" t="s">
        <v>866</v>
      </c>
      <c r="O170" s="103" t="str">
        <f t="shared" si="4"/>
        <v>CFLscw-Refl-Dim(26w)</v>
      </c>
      <c r="P170" s="103" t="s">
        <v>153</v>
      </c>
      <c r="Q170" s="103" t="s">
        <v>153</v>
      </c>
      <c r="R170" s="103" t="s">
        <v>153</v>
      </c>
      <c r="S170" s="103" t="str">
        <f>INDEX('Measure &amp; Standard CostIDs'!$AK$8:$AK$12,B170)</f>
        <v>Wtd-Pack</v>
      </c>
      <c r="T170" s="103" t="s">
        <v>867</v>
      </c>
      <c r="U170" s="103"/>
      <c r="V170" s="103"/>
      <c r="W170" s="103">
        <f>ROUND(IF(LEFT(D170,3)="Std",VLOOKUP(D170,'Measure &amp; Standard CostIDs'!$S$5:$X$177,1+B170,FALSE),VLOOKUP(D170,'Measure &amp; Standard CostIDs'!$C$5:$H$177,1+B170,FALSE)),2)</f>
        <v>13.5</v>
      </c>
      <c r="X170" s="103"/>
      <c r="Y170" s="103"/>
      <c r="Z170" s="103" t="s">
        <v>868</v>
      </c>
      <c r="AA170" s="103" t="s">
        <v>869</v>
      </c>
      <c r="AB170" s="103" t="s">
        <v>153</v>
      </c>
      <c r="AC170" s="103">
        <v>0</v>
      </c>
      <c r="AD170" s="156">
        <v>42005</v>
      </c>
      <c r="AE170" s="103"/>
      <c r="AF170" s="103" t="s">
        <v>870</v>
      </c>
      <c r="AG170" s="103" t="s">
        <v>871</v>
      </c>
      <c r="AH170" s="103" t="s">
        <v>872</v>
      </c>
      <c r="AI170" s="103">
        <v>0</v>
      </c>
      <c r="AJ170" s="103"/>
      <c r="AK170" s="103"/>
      <c r="AL170" s="103"/>
      <c r="AM170" s="103"/>
      <c r="AN170" s="103"/>
      <c r="AO170" s="103" t="str">
        <f t="shared" si="5"/>
        <v>CFLscw-Refl-Dim(26w)Wtd-Pack</v>
      </c>
    </row>
    <row r="171" spans="1:41">
      <c r="A171" s="177">
        <f>IFERROR(MATCH(D171,'Measure &amp; Standard CostIDs'!C$5:C$177,0),MATCH(D171,'Measure &amp; Standard CostIDs'!S$5:S$177,0))</f>
        <v>167</v>
      </c>
      <c r="B171" s="177">
        <v>1</v>
      </c>
      <c r="C171" s="103" t="s">
        <v>153</v>
      </c>
      <c r="D171" s="103" t="s">
        <v>516</v>
      </c>
      <c r="E171" s="103" t="str">
        <f>IF(LEFT(D171,3)="Std","Base case cost for mix of 60% Incandescent and 40% CFL lamps for CFL TechID: "&amp;INDEX('Measure &amp; Standard CostIDs'!$C$5:$C$177,A171),"&lt;from TechID&gt;")</f>
        <v>&lt;from TechID&gt;</v>
      </c>
      <c r="F171" s="103" t="s">
        <v>860</v>
      </c>
      <c r="G171" s="103" t="s">
        <v>151</v>
      </c>
      <c r="H171" s="103" t="s">
        <v>861</v>
      </c>
      <c r="I171" s="103" t="s">
        <v>862</v>
      </c>
      <c r="J171" s="103" t="s">
        <v>863</v>
      </c>
      <c r="K171" s="103" t="s">
        <v>864</v>
      </c>
      <c r="L171" s="103" t="s">
        <v>153</v>
      </c>
      <c r="M171" s="103" t="s">
        <v>865</v>
      </c>
      <c r="N171" s="103" t="s">
        <v>866</v>
      </c>
      <c r="O171" s="103" t="str">
        <f t="shared" si="4"/>
        <v>CFLscw-Refl-Ext(13w)</v>
      </c>
      <c r="P171" s="103" t="s">
        <v>153</v>
      </c>
      <c r="Q171" s="103" t="s">
        <v>153</v>
      </c>
      <c r="R171" s="103" t="s">
        <v>153</v>
      </c>
      <c r="S171" s="103" t="str">
        <f>INDEX('Measure &amp; Standard CostIDs'!$AK$8:$AK$12,B171)</f>
        <v>Wtd-Pack</v>
      </c>
      <c r="T171" s="103" t="s">
        <v>867</v>
      </c>
      <c r="U171" s="103"/>
      <c r="V171" s="103"/>
      <c r="W171" s="103">
        <f>ROUND(IF(LEFT(D171,3)="Std",VLOOKUP(D171,'Measure &amp; Standard CostIDs'!$S$5:$X$177,1+B171,FALSE),VLOOKUP(D171,'Measure &amp; Standard CostIDs'!$C$5:$H$177,1+B171,FALSE)),2)</f>
        <v>7.54</v>
      </c>
      <c r="X171" s="103"/>
      <c r="Y171" s="103"/>
      <c r="Z171" s="103" t="s">
        <v>868</v>
      </c>
      <c r="AA171" s="103" t="s">
        <v>869</v>
      </c>
      <c r="AB171" s="103" t="s">
        <v>153</v>
      </c>
      <c r="AC171" s="103">
        <v>0</v>
      </c>
      <c r="AD171" s="156">
        <v>42005</v>
      </c>
      <c r="AE171" s="103"/>
      <c r="AF171" s="103" t="s">
        <v>870</v>
      </c>
      <c r="AG171" s="103" t="s">
        <v>871</v>
      </c>
      <c r="AH171" s="103" t="s">
        <v>872</v>
      </c>
      <c r="AI171" s="103">
        <v>0</v>
      </c>
      <c r="AJ171" s="103"/>
      <c r="AK171" s="103"/>
      <c r="AL171" s="103"/>
      <c r="AM171" s="103"/>
      <c r="AN171" s="103"/>
      <c r="AO171" s="103" t="str">
        <f t="shared" si="5"/>
        <v>CFLscw-Refl-Ext(13w)Wtd-Pack</v>
      </c>
    </row>
    <row r="172" spans="1:41">
      <c r="A172" s="177">
        <f>IFERROR(MATCH(D172,'Measure &amp; Standard CostIDs'!C$5:C$177,0),MATCH(D172,'Measure &amp; Standard CostIDs'!S$5:S$177,0))</f>
        <v>168</v>
      </c>
      <c r="B172" s="177">
        <v>1</v>
      </c>
      <c r="C172" s="103" t="s">
        <v>153</v>
      </c>
      <c r="D172" s="103" t="s">
        <v>518</v>
      </c>
      <c r="E172" s="103" t="str">
        <f>IF(LEFT(D172,3)="Std","Base case cost for mix of 60% Incandescent and 40% CFL lamps for CFL TechID: "&amp;INDEX('Measure &amp; Standard CostIDs'!$C$5:$C$177,A172),"&lt;from TechID&gt;")</f>
        <v>&lt;from TechID&gt;</v>
      </c>
      <c r="F172" s="103" t="s">
        <v>860</v>
      </c>
      <c r="G172" s="103" t="s">
        <v>151</v>
      </c>
      <c r="H172" s="103" t="s">
        <v>861</v>
      </c>
      <c r="I172" s="103" t="s">
        <v>862</v>
      </c>
      <c r="J172" s="103" t="s">
        <v>863</v>
      </c>
      <c r="K172" s="103" t="s">
        <v>864</v>
      </c>
      <c r="L172" s="103" t="s">
        <v>153</v>
      </c>
      <c r="M172" s="103" t="s">
        <v>865</v>
      </c>
      <c r="N172" s="103" t="s">
        <v>866</v>
      </c>
      <c r="O172" s="103" t="str">
        <f t="shared" si="4"/>
        <v>CFLscw-Refl-Ext(14w)</v>
      </c>
      <c r="P172" s="103" t="s">
        <v>153</v>
      </c>
      <c r="Q172" s="103" t="s">
        <v>153</v>
      </c>
      <c r="R172" s="103" t="s">
        <v>153</v>
      </c>
      <c r="S172" s="103" t="str">
        <f>INDEX('Measure &amp; Standard CostIDs'!$AK$8:$AK$12,B172)</f>
        <v>Wtd-Pack</v>
      </c>
      <c r="T172" s="103" t="s">
        <v>867</v>
      </c>
      <c r="U172" s="103"/>
      <c r="V172" s="103"/>
      <c r="W172" s="103">
        <f>ROUND(IF(LEFT(D172,3)="Std",VLOOKUP(D172,'Measure &amp; Standard CostIDs'!$S$5:$X$177,1+B172,FALSE),VLOOKUP(D172,'Measure &amp; Standard CostIDs'!$C$5:$H$177,1+B172,FALSE)),2)</f>
        <v>7.69</v>
      </c>
      <c r="X172" s="103"/>
      <c r="Y172" s="103"/>
      <c r="Z172" s="103" t="s">
        <v>868</v>
      </c>
      <c r="AA172" s="103" t="s">
        <v>869</v>
      </c>
      <c r="AB172" s="103" t="s">
        <v>153</v>
      </c>
      <c r="AC172" s="103">
        <v>0</v>
      </c>
      <c r="AD172" s="156">
        <v>42005</v>
      </c>
      <c r="AE172" s="103"/>
      <c r="AF172" s="103" t="s">
        <v>870</v>
      </c>
      <c r="AG172" s="103" t="s">
        <v>871</v>
      </c>
      <c r="AH172" s="103" t="s">
        <v>872</v>
      </c>
      <c r="AI172" s="103">
        <v>0</v>
      </c>
      <c r="AJ172" s="103"/>
      <c r="AK172" s="103"/>
      <c r="AL172" s="103"/>
      <c r="AM172" s="103"/>
      <c r="AN172" s="103"/>
      <c r="AO172" s="103" t="str">
        <f t="shared" si="5"/>
        <v>CFLscw-Refl-Ext(14w)Wtd-Pack</v>
      </c>
    </row>
    <row r="173" spans="1:41">
      <c r="A173" s="177">
        <f>IFERROR(MATCH(D173,'Measure &amp; Standard CostIDs'!C$5:C$177,0),MATCH(D173,'Measure &amp; Standard CostIDs'!S$5:S$177,0))</f>
        <v>169</v>
      </c>
      <c r="B173" s="177">
        <v>1</v>
      </c>
      <c r="C173" s="103" t="s">
        <v>153</v>
      </c>
      <c r="D173" s="103" t="s">
        <v>520</v>
      </c>
      <c r="E173" s="103" t="str">
        <f>IF(LEFT(D173,3)="Std","Base case cost for mix of 60% Incandescent and 40% CFL lamps for CFL TechID: "&amp;INDEX('Measure &amp; Standard CostIDs'!$C$5:$C$177,A173),"&lt;from TechID&gt;")</f>
        <v>&lt;from TechID&gt;</v>
      </c>
      <c r="F173" s="103" t="s">
        <v>860</v>
      </c>
      <c r="G173" s="103" t="s">
        <v>151</v>
      </c>
      <c r="H173" s="103" t="s">
        <v>861</v>
      </c>
      <c r="I173" s="103" t="s">
        <v>862</v>
      </c>
      <c r="J173" s="103" t="s">
        <v>863</v>
      </c>
      <c r="K173" s="103" t="s">
        <v>864</v>
      </c>
      <c r="L173" s="103" t="s">
        <v>153</v>
      </c>
      <c r="M173" s="103" t="s">
        <v>865</v>
      </c>
      <c r="N173" s="103" t="s">
        <v>866</v>
      </c>
      <c r="O173" s="103" t="str">
        <f t="shared" si="4"/>
        <v>CFLscw-Refl-Ext(15w)</v>
      </c>
      <c r="P173" s="103" t="s">
        <v>153</v>
      </c>
      <c r="Q173" s="103" t="s">
        <v>153</v>
      </c>
      <c r="R173" s="103" t="s">
        <v>153</v>
      </c>
      <c r="S173" s="103" t="str">
        <f>INDEX('Measure &amp; Standard CostIDs'!$AK$8:$AK$12,B173)</f>
        <v>Wtd-Pack</v>
      </c>
      <c r="T173" s="103" t="s">
        <v>867</v>
      </c>
      <c r="U173" s="103"/>
      <c r="V173" s="103"/>
      <c r="W173" s="103">
        <f>ROUND(IF(LEFT(D173,3)="Std",VLOOKUP(D173,'Measure &amp; Standard CostIDs'!$S$5:$X$177,1+B173,FALSE),VLOOKUP(D173,'Measure &amp; Standard CostIDs'!$C$5:$H$177,1+B173,FALSE)),2)</f>
        <v>7.84</v>
      </c>
      <c r="X173" s="103"/>
      <c r="Y173" s="103"/>
      <c r="Z173" s="103" t="s">
        <v>868</v>
      </c>
      <c r="AA173" s="103" t="s">
        <v>869</v>
      </c>
      <c r="AB173" s="103" t="s">
        <v>153</v>
      </c>
      <c r="AC173" s="103">
        <v>0</v>
      </c>
      <c r="AD173" s="156">
        <v>42005</v>
      </c>
      <c r="AE173" s="103"/>
      <c r="AF173" s="103" t="s">
        <v>870</v>
      </c>
      <c r="AG173" s="103" t="s">
        <v>871</v>
      </c>
      <c r="AH173" s="103" t="s">
        <v>872</v>
      </c>
      <c r="AI173" s="103">
        <v>0</v>
      </c>
      <c r="AJ173" s="103"/>
      <c r="AK173" s="103"/>
      <c r="AL173" s="103"/>
      <c r="AM173" s="103"/>
      <c r="AN173" s="103"/>
      <c r="AO173" s="103" t="str">
        <f t="shared" si="5"/>
        <v>CFLscw-Refl-Ext(15w)Wtd-Pack</v>
      </c>
    </row>
    <row r="174" spans="1:41">
      <c r="A174" s="177">
        <f>IFERROR(MATCH(D174,'Measure &amp; Standard CostIDs'!C$5:C$177,0),MATCH(D174,'Measure &amp; Standard CostIDs'!S$5:S$177,0))</f>
        <v>170</v>
      </c>
      <c r="B174" s="177">
        <v>1</v>
      </c>
      <c r="C174" s="103" t="s">
        <v>153</v>
      </c>
      <c r="D174" s="103" t="s">
        <v>522</v>
      </c>
      <c r="E174" s="103" t="str">
        <f>IF(LEFT(D174,3)="Std","Base case cost for mix of 60% Incandescent and 40% CFL lamps for CFL TechID: "&amp;INDEX('Measure &amp; Standard CostIDs'!$C$5:$C$177,A174),"&lt;from TechID&gt;")</f>
        <v>&lt;from TechID&gt;</v>
      </c>
      <c r="F174" s="103" t="s">
        <v>860</v>
      </c>
      <c r="G174" s="103" t="s">
        <v>151</v>
      </c>
      <c r="H174" s="103" t="s">
        <v>861</v>
      </c>
      <c r="I174" s="103" t="s">
        <v>862</v>
      </c>
      <c r="J174" s="103" t="s">
        <v>863</v>
      </c>
      <c r="K174" s="103" t="s">
        <v>864</v>
      </c>
      <c r="L174" s="103" t="s">
        <v>153</v>
      </c>
      <c r="M174" s="103" t="s">
        <v>865</v>
      </c>
      <c r="N174" s="103" t="s">
        <v>866</v>
      </c>
      <c r="O174" s="103" t="str">
        <f t="shared" si="4"/>
        <v>CFLscw-Refl-Ext(16w)</v>
      </c>
      <c r="P174" s="103" t="s">
        <v>153</v>
      </c>
      <c r="Q174" s="103" t="s">
        <v>153</v>
      </c>
      <c r="R174" s="103" t="s">
        <v>153</v>
      </c>
      <c r="S174" s="103" t="str">
        <f>INDEX('Measure &amp; Standard CostIDs'!$AK$8:$AK$12,B174)</f>
        <v>Wtd-Pack</v>
      </c>
      <c r="T174" s="103" t="s">
        <v>867</v>
      </c>
      <c r="U174" s="103"/>
      <c r="V174" s="103"/>
      <c r="W174" s="103">
        <f>ROUND(IF(LEFT(D174,3)="Std",VLOOKUP(D174,'Measure &amp; Standard CostIDs'!$S$5:$X$177,1+B174,FALSE),VLOOKUP(D174,'Measure &amp; Standard CostIDs'!$C$5:$H$177,1+B174,FALSE)),2)</f>
        <v>7.98</v>
      </c>
      <c r="X174" s="103"/>
      <c r="Y174" s="103"/>
      <c r="Z174" s="103" t="s">
        <v>868</v>
      </c>
      <c r="AA174" s="103" t="s">
        <v>869</v>
      </c>
      <c r="AB174" s="103" t="s">
        <v>153</v>
      </c>
      <c r="AC174" s="103">
        <v>0</v>
      </c>
      <c r="AD174" s="156">
        <v>42005</v>
      </c>
      <c r="AE174" s="103"/>
      <c r="AF174" s="103" t="s">
        <v>870</v>
      </c>
      <c r="AG174" s="103" t="s">
        <v>871</v>
      </c>
      <c r="AH174" s="103" t="s">
        <v>872</v>
      </c>
      <c r="AI174" s="103">
        <v>0</v>
      </c>
      <c r="AJ174" s="103"/>
      <c r="AK174" s="103"/>
      <c r="AL174" s="103"/>
      <c r="AM174" s="103"/>
      <c r="AN174" s="103"/>
      <c r="AO174" s="103" t="str">
        <f t="shared" si="5"/>
        <v>CFLscw-Refl-Ext(16w)Wtd-Pack</v>
      </c>
    </row>
    <row r="175" spans="1:41">
      <c r="A175" s="177">
        <f>IFERROR(MATCH(D175,'Measure &amp; Standard CostIDs'!C$5:C$177,0),MATCH(D175,'Measure &amp; Standard CostIDs'!S$5:S$177,0))</f>
        <v>171</v>
      </c>
      <c r="B175" s="177">
        <v>1</v>
      </c>
      <c r="C175" s="103" t="s">
        <v>153</v>
      </c>
      <c r="D175" s="103" t="s">
        <v>524</v>
      </c>
      <c r="E175" s="103" t="str">
        <f>IF(LEFT(D175,3)="Std","Base case cost for mix of 60% Incandescent and 40% CFL lamps for CFL TechID: "&amp;INDEX('Measure &amp; Standard CostIDs'!$C$5:$C$177,A175),"&lt;from TechID&gt;")</f>
        <v>&lt;from TechID&gt;</v>
      </c>
      <c r="F175" s="103" t="s">
        <v>860</v>
      </c>
      <c r="G175" s="103" t="s">
        <v>151</v>
      </c>
      <c r="H175" s="103" t="s">
        <v>861</v>
      </c>
      <c r="I175" s="103" t="s">
        <v>862</v>
      </c>
      <c r="J175" s="103" t="s">
        <v>863</v>
      </c>
      <c r="K175" s="103" t="s">
        <v>864</v>
      </c>
      <c r="L175" s="103" t="s">
        <v>153</v>
      </c>
      <c r="M175" s="103" t="s">
        <v>865</v>
      </c>
      <c r="N175" s="103" t="s">
        <v>866</v>
      </c>
      <c r="O175" s="103" t="str">
        <f t="shared" si="4"/>
        <v>CFLscw-Refl-Ext(18w)</v>
      </c>
      <c r="P175" s="103" t="s">
        <v>153</v>
      </c>
      <c r="Q175" s="103" t="s">
        <v>153</v>
      </c>
      <c r="R175" s="103" t="s">
        <v>153</v>
      </c>
      <c r="S175" s="103" t="str">
        <f>INDEX('Measure &amp; Standard CostIDs'!$AK$8:$AK$12,B175)</f>
        <v>Wtd-Pack</v>
      </c>
      <c r="T175" s="103" t="s">
        <v>867</v>
      </c>
      <c r="U175" s="103"/>
      <c r="V175" s="103"/>
      <c r="W175" s="103">
        <f>ROUND(IF(LEFT(D175,3)="Std",VLOOKUP(D175,'Measure &amp; Standard CostIDs'!$S$5:$X$177,1+B175,FALSE),VLOOKUP(D175,'Measure &amp; Standard CostIDs'!$C$5:$H$177,1+B175,FALSE)),2)</f>
        <v>8.2799999999999994</v>
      </c>
      <c r="X175" s="103"/>
      <c r="Y175" s="103"/>
      <c r="Z175" s="103" t="s">
        <v>868</v>
      </c>
      <c r="AA175" s="103" t="s">
        <v>869</v>
      </c>
      <c r="AB175" s="103" t="s">
        <v>153</v>
      </c>
      <c r="AC175" s="103">
        <v>0</v>
      </c>
      <c r="AD175" s="156">
        <v>42005</v>
      </c>
      <c r="AE175" s="103"/>
      <c r="AF175" s="103" t="s">
        <v>870</v>
      </c>
      <c r="AG175" s="103" t="s">
        <v>871</v>
      </c>
      <c r="AH175" s="103" t="s">
        <v>872</v>
      </c>
      <c r="AI175" s="103">
        <v>0</v>
      </c>
      <c r="AJ175" s="103"/>
      <c r="AK175" s="103"/>
      <c r="AL175" s="103"/>
      <c r="AM175" s="103"/>
      <c r="AN175" s="103"/>
      <c r="AO175" s="103" t="str">
        <f t="shared" si="5"/>
        <v>CFLscw-Refl-Ext(18w)Wtd-Pack</v>
      </c>
    </row>
    <row r="176" spans="1:41">
      <c r="A176" s="177">
        <f>IFERROR(MATCH(D176,'Measure &amp; Standard CostIDs'!C$5:C$177,0),MATCH(D176,'Measure &amp; Standard CostIDs'!S$5:S$177,0))</f>
        <v>172</v>
      </c>
      <c r="B176" s="177">
        <v>1</v>
      </c>
      <c r="C176" s="103" t="s">
        <v>153</v>
      </c>
      <c r="D176" s="103" t="s">
        <v>526</v>
      </c>
      <c r="E176" s="103" t="str">
        <f>IF(LEFT(D176,3)="Std","Base case cost for mix of 60% Incandescent and 40% CFL lamps for CFL TechID: "&amp;INDEX('Measure &amp; Standard CostIDs'!$C$5:$C$177,A176),"&lt;from TechID&gt;")</f>
        <v>&lt;from TechID&gt;</v>
      </c>
      <c r="F176" s="103" t="s">
        <v>860</v>
      </c>
      <c r="G176" s="103" t="s">
        <v>151</v>
      </c>
      <c r="H176" s="103" t="s">
        <v>861</v>
      </c>
      <c r="I176" s="103" t="s">
        <v>862</v>
      </c>
      <c r="J176" s="103" t="s">
        <v>863</v>
      </c>
      <c r="K176" s="103" t="s">
        <v>864</v>
      </c>
      <c r="L176" s="103" t="s">
        <v>153</v>
      </c>
      <c r="M176" s="103" t="s">
        <v>865</v>
      </c>
      <c r="N176" s="103" t="s">
        <v>866</v>
      </c>
      <c r="O176" s="103" t="str">
        <f t="shared" si="4"/>
        <v>CFLscw-Refl-Ext(20w)</v>
      </c>
      <c r="P176" s="103" t="s">
        <v>153</v>
      </c>
      <c r="Q176" s="103" t="s">
        <v>153</v>
      </c>
      <c r="R176" s="103" t="s">
        <v>153</v>
      </c>
      <c r="S176" s="103" t="str">
        <f>INDEX('Measure &amp; Standard CostIDs'!$AK$8:$AK$12,B176)</f>
        <v>Wtd-Pack</v>
      </c>
      <c r="T176" s="103" t="s">
        <v>867</v>
      </c>
      <c r="U176" s="103"/>
      <c r="V176" s="103"/>
      <c r="W176" s="103">
        <f>ROUND(IF(LEFT(D176,3)="Std",VLOOKUP(D176,'Measure &amp; Standard CostIDs'!$S$5:$X$177,1+B176,FALSE),VLOOKUP(D176,'Measure &amp; Standard CostIDs'!$C$5:$H$177,1+B176,FALSE)),2)</f>
        <v>8.57</v>
      </c>
      <c r="X176" s="103"/>
      <c r="Y176" s="103"/>
      <c r="Z176" s="103" t="s">
        <v>868</v>
      </c>
      <c r="AA176" s="103" t="s">
        <v>869</v>
      </c>
      <c r="AB176" s="103" t="s">
        <v>153</v>
      </c>
      <c r="AC176" s="103">
        <v>0</v>
      </c>
      <c r="AD176" s="156">
        <v>42005</v>
      </c>
      <c r="AE176" s="103"/>
      <c r="AF176" s="103" t="s">
        <v>870</v>
      </c>
      <c r="AG176" s="103" t="s">
        <v>871</v>
      </c>
      <c r="AH176" s="103" t="s">
        <v>872</v>
      </c>
      <c r="AI176" s="103">
        <v>0</v>
      </c>
      <c r="AJ176" s="103"/>
      <c r="AK176" s="103"/>
      <c r="AL176" s="103"/>
      <c r="AM176" s="103"/>
      <c r="AN176" s="103"/>
      <c r="AO176" s="103" t="str">
        <f t="shared" si="5"/>
        <v>CFLscw-Refl-Ext(20w)Wtd-Pack</v>
      </c>
    </row>
    <row r="177" spans="1:41">
      <c r="A177" s="177">
        <f>IFERROR(MATCH(D177,'Measure &amp; Standard CostIDs'!C$5:C$177,0),MATCH(D177,'Measure &amp; Standard CostIDs'!S$5:S$177,0))</f>
        <v>173</v>
      </c>
      <c r="B177" s="177">
        <v>1</v>
      </c>
      <c r="C177" s="103" t="s">
        <v>153</v>
      </c>
      <c r="D177" s="103" t="s">
        <v>528</v>
      </c>
      <c r="E177" s="103" t="str">
        <f>IF(LEFT(D177,3)="Std","Base case cost for mix of 60% Incandescent and 40% CFL lamps for CFL TechID: "&amp;INDEX('Measure &amp; Standard CostIDs'!$C$5:$C$177,A177),"&lt;from TechID&gt;")</f>
        <v>&lt;from TechID&gt;</v>
      </c>
      <c r="F177" s="103" t="s">
        <v>860</v>
      </c>
      <c r="G177" s="103" t="s">
        <v>151</v>
      </c>
      <c r="H177" s="103" t="s">
        <v>861</v>
      </c>
      <c r="I177" s="103" t="s">
        <v>862</v>
      </c>
      <c r="J177" s="103" t="s">
        <v>863</v>
      </c>
      <c r="K177" s="103" t="s">
        <v>864</v>
      </c>
      <c r="L177" s="103" t="s">
        <v>153</v>
      </c>
      <c r="M177" s="103" t="s">
        <v>865</v>
      </c>
      <c r="N177" s="103" t="s">
        <v>866</v>
      </c>
      <c r="O177" s="103" t="str">
        <f t="shared" si="4"/>
        <v>CFLscw-Refl-Ext(23w)</v>
      </c>
      <c r="P177" s="103" t="s">
        <v>153</v>
      </c>
      <c r="Q177" s="103" t="s">
        <v>153</v>
      </c>
      <c r="R177" s="103" t="s">
        <v>153</v>
      </c>
      <c r="S177" s="103" t="str">
        <f>INDEX('Measure &amp; Standard CostIDs'!$AK$8:$AK$12,B177)</f>
        <v>Wtd-Pack</v>
      </c>
      <c r="T177" s="103" t="s">
        <v>867</v>
      </c>
      <c r="U177" s="103"/>
      <c r="V177" s="103"/>
      <c r="W177" s="103">
        <f>ROUND(IF(LEFT(D177,3)="Std",VLOOKUP(D177,'Measure &amp; Standard CostIDs'!$S$5:$X$177,1+B177,FALSE),VLOOKUP(D177,'Measure &amp; Standard CostIDs'!$C$5:$H$177,1+B177,FALSE)),2)</f>
        <v>9.01</v>
      </c>
      <c r="X177" s="103"/>
      <c r="Y177" s="103"/>
      <c r="Z177" s="103" t="s">
        <v>868</v>
      </c>
      <c r="AA177" s="103" t="s">
        <v>869</v>
      </c>
      <c r="AB177" s="103" t="s">
        <v>153</v>
      </c>
      <c r="AC177" s="103">
        <v>0</v>
      </c>
      <c r="AD177" s="156">
        <v>42005</v>
      </c>
      <c r="AE177" s="103"/>
      <c r="AF177" s="103" t="s">
        <v>870</v>
      </c>
      <c r="AG177" s="103" t="s">
        <v>871</v>
      </c>
      <c r="AH177" s="103" t="s">
        <v>872</v>
      </c>
      <c r="AI177" s="103">
        <v>0</v>
      </c>
      <c r="AJ177" s="103"/>
      <c r="AK177" s="103"/>
      <c r="AL177" s="103"/>
      <c r="AM177" s="103"/>
      <c r="AN177" s="103"/>
      <c r="AO177" s="103" t="str">
        <f t="shared" si="5"/>
        <v>CFLscw-Refl-Ext(23w)Wtd-Pack</v>
      </c>
    </row>
    <row r="178" spans="1:41">
      <c r="A178" s="177">
        <f>IFERROR(MATCH(D178,'Measure &amp; Standard CostIDs'!C$5:C$177,0),MATCH(D178,'Measure &amp; Standard CostIDs'!S$5:S$177,0))</f>
        <v>1</v>
      </c>
      <c r="B178" s="177">
        <v>1</v>
      </c>
      <c r="C178" s="103" t="s">
        <v>153</v>
      </c>
      <c r="D178" s="103" t="s">
        <v>873</v>
      </c>
      <c r="E178" s="103" t="str">
        <f>IF(LEFT(D178,3)="Std","Base case cost for mix of 60% Incandescent and 40% CFL lamps for CFL TechID: "&amp;INDEX('Measure &amp; Standard CostIDs'!$C$5:$C$177,A178),"&lt;from TechID&gt;")</f>
        <v>Base case cost for mix of 60% Incandescent and 40% CFL lamps for CFL TechID: CFLscw(10w)</v>
      </c>
      <c r="F178" s="103" t="s">
        <v>860</v>
      </c>
      <c r="G178" s="103" t="s">
        <v>151</v>
      </c>
      <c r="H178" s="103" t="s">
        <v>861</v>
      </c>
      <c r="I178" s="103" t="s">
        <v>862</v>
      </c>
      <c r="J178" s="103" t="s">
        <v>863</v>
      </c>
      <c r="K178" s="103" t="s">
        <v>864</v>
      </c>
      <c r="L178" s="103" t="s">
        <v>153</v>
      </c>
      <c r="M178" s="103" t="s">
        <v>865</v>
      </c>
      <c r="N178" s="103" t="s">
        <v>866</v>
      </c>
      <c r="O178" s="103" t="str">
        <f t="shared" si="4"/>
        <v/>
      </c>
      <c r="P178" s="103" t="s">
        <v>153</v>
      </c>
      <c r="Q178" s="103" t="s">
        <v>153</v>
      </c>
      <c r="R178" s="103" t="s">
        <v>153</v>
      </c>
      <c r="S178" s="103" t="str">
        <f>INDEX('Measure &amp; Standard CostIDs'!$AK$8:$AK$12,B178)</f>
        <v>Wtd-Pack</v>
      </c>
      <c r="T178" s="103" t="s">
        <v>867</v>
      </c>
      <c r="U178" s="103"/>
      <c r="V178" s="103"/>
      <c r="W178" s="103">
        <f>ROUND(IF(LEFT(D178,3)="Std",VLOOKUP(D178,'Measure &amp; Standard CostIDs'!$S$5:$X$177,1+B178,FALSE),VLOOKUP(D178,'Measure &amp; Standard CostIDs'!$C$5:$H$177,1+B178,FALSE)),2)</f>
        <v>1.69</v>
      </c>
      <c r="X178" s="103"/>
      <c r="Y178" s="103"/>
      <c r="Z178" s="103" t="s">
        <v>868</v>
      </c>
      <c r="AA178" s="103" t="s">
        <v>874</v>
      </c>
      <c r="AB178" s="103" t="s">
        <v>153</v>
      </c>
      <c r="AC178" s="103">
        <v>0</v>
      </c>
      <c r="AD178" s="156">
        <v>42005</v>
      </c>
      <c r="AE178" s="103"/>
      <c r="AF178" s="103" t="s">
        <v>870</v>
      </c>
      <c r="AG178" s="103" t="s">
        <v>871</v>
      </c>
      <c r="AH178" s="103" t="s">
        <v>872</v>
      </c>
      <c r="AI178" s="103">
        <v>0</v>
      </c>
      <c r="AJ178" s="103"/>
      <c r="AK178" s="103"/>
      <c r="AL178" s="103"/>
      <c r="AM178" s="103"/>
      <c r="AN178" s="103"/>
      <c r="AO178" s="103" t="str">
        <f t="shared" si="5"/>
        <v>Std_CFLscw(10w)_60pInc-r0248Wtd-Pack</v>
      </c>
    </row>
    <row r="179" spans="1:41">
      <c r="A179" s="177">
        <f>IFERROR(MATCH(D179,'Measure &amp; Standard CostIDs'!C$5:C$177,0),MATCH(D179,'Measure &amp; Standard CostIDs'!S$5:S$177,0))</f>
        <v>2</v>
      </c>
      <c r="B179" s="177">
        <v>1</v>
      </c>
      <c r="C179" s="103" t="s">
        <v>153</v>
      </c>
      <c r="D179" s="103" t="s">
        <v>875</v>
      </c>
      <c r="E179" s="103" t="str">
        <f>IF(LEFT(D179,3)="Std","Base case cost for mix of 60% Incandescent and 40% CFL lamps for CFL TechID: "&amp;INDEX('Measure &amp; Standard CostIDs'!$C$5:$C$177,A179),"&lt;from TechID&gt;")</f>
        <v>Base case cost for mix of 60% Incandescent and 40% CFL lamps for CFL TechID: CFLscw(11w)</v>
      </c>
      <c r="F179" s="103" t="s">
        <v>860</v>
      </c>
      <c r="G179" s="103" t="s">
        <v>151</v>
      </c>
      <c r="H179" s="103" t="s">
        <v>861</v>
      </c>
      <c r="I179" s="103" t="s">
        <v>862</v>
      </c>
      <c r="J179" s="103" t="s">
        <v>863</v>
      </c>
      <c r="K179" s="103" t="s">
        <v>864</v>
      </c>
      <c r="L179" s="103" t="s">
        <v>153</v>
      </c>
      <c r="M179" s="103" t="s">
        <v>865</v>
      </c>
      <c r="N179" s="103" t="s">
        <v>866</v>
      </c>
      <c r="O179" s="103" t="str">
        <f t="shared" si="4"/>
        <v/>
      </c>
      <c r="P179" s="103" t="s">
        <v>153</v>
      </c>
      <c r="Q179" s="103" t="s">
        <v>153</v>
      </c>
      <c r="R179" s="103" t="s">
        <v>153</v>
      </c>
      <c r="S179" s="103" t="str">
        <f>INDEX('Measure &amp; Standard CostIDs'!$AK$8:$AK$12,B179)</f>
        <v>Wtd-Pack</v>
      </c>
      <c r="T179" s="103" t="s">
        <v>867</v>
      </c>
      <c r="U179" s="103"/>
      <c r="V179" s="103"/>
      <c r="W179" s="103">
        <f>ROUND(IF(LEFT(D179,3)="Std",VLOOKUP(D179,'Measure &amp; Standard CostIDs'!$S$5:$X$177,1+B179,FALSE),VLOOKUP(D179,'Measure &amp; Standard CostIDs'!$C$5:$H$177,1+B179,FALSE)),2)</f>
        <v>1.73</v>
      </c>
      <c r="X179" s="103"/>
      <c r="Y179" s="103"/>
      <c r="Z179" s="103" t="s">
        <v>868</v>
      </c>
      <c r="AA179" s="103" t="s">
        <v>874</v>
      </c>
      <c r="AB179" s="103" t="s">
        <v>153</v>
      </c>
      <c r="AC179" s="103">
        <v>0</v>
      </c>
      <c r="AD179" s="156">
        <v>42005</v>
      </c>
      <c r="AE179" s="103"/>
      <c r="AF179" s="103" t="s">
        <v>870</v>
      </c>
      <c r="AG179" s="103" t="s">
        <v>871</v>
      </c>
      <c r="AH179" s="103" t="s">
        <v>872</v>
      </c>
      <c r="AI179" s="103">
        <v>0</v>
      </c>
      <c r="AJ179" s="103"/>
      <c r="AK179" s="103"/>
      <c r="AL179" s="103"/>
      <c r="AM179" s="103"/>
      <c r="AN179" s="103"/>
      <c r="AO179" s="103" t="str">
        <f t="shared" si="5"/>
        <v>Std_CFLscw(11w)_60pInc-r0248Wtd-Pack</v>
      </c>
    </row>
    <row r="180" spans="1:41">
      <c r="A180" s="177">
        <f>IFERROR(MATCH(D180,'Measure &amp; Standard CostIDs'!C$5:C$177,0),MATCH(D180,'Measure &amp; Standard CostIDs'!S$5:S$177,0))</f>
        <v>4</v>
      </c>
      <c r="B180" s="177">
        <v>1</v>
      </c>
      <c r="C180" s="103" t="s">
        <v>153</v>
      </c>
      <c r="D180" s="103" t="s">
        <v>876</v>
      </c>
      <c r="E180" s="103" t="str">
        <f>IF(LEFT(D180,3)="Std","Base case cost for mix of 60% Incandescent and 40% CFL lamps for CFL TechID: "&amp;INDEX('Measure &amp; Standard CostIDs'!$C$5:$C$177,A180),"&lt;from TechID&gt;")</f>
        <v>Base case cost for mix of 60% Incandescent and 40% CFL lamps for CFL TechID: CFLscw(12w)</v>
      </c>
      <c r="F180" s="103" t="s">
        <v>860</v>
      </c>
      <c r="G180" s="103" t="s">
        <v>151</v>
      </c>
      <c r="H180" s="103" t="s">
        <v>861</v>
      </c>
      <c r="I180" s="103" t="s">
        <v>862</v>
      </c>
      <c r="J180" s="103" t="s">
        <v>863</v>
      </c>
      <c r="K180" s="103" t="s">
        <v>864</v>
      </c>
      <c r="L180" s="103" t="s">
        <v>153</v>
      </c>
      <c r="M180" s="103" t="s">
        <v>865</v>
      </c>
      <c r="N180" s="103" t="s">
        <v>866</v>
      </c>
      <c r="O180" s="103" t="str">
        <f t="shared" si="4"/>
        <v/>
      </c>
      <c r="P180" s="103" t="s">
        <v>153</v>
      </c>
      <c r="Q180" s="103" t="s">
        <v>153</v>
      </c>
      <c r="R180" s="103" t="s">
        <v>153</v>
      </c>
      <c r="S180" s="103" t="str">
        <f>INDEX('Measure &amp; Standard CostIDs'!$AK$8:$AK$12,B180)</f>
        <v>Wtd-Pack</v>
      </c>
      <c r="T180" s="103" t="s">
        <v>867</v>
      </c>
      <c r="U180" s="103"/>
      <c r="V180" s="103"/>
      <c r="W180" s="103">
        <f>ROUND(IF(LEFT(D180,3)="Std",VLOOKUP(D180,'Measure &amp; Standard CostIDs'!$S$5:$X$177,1+B180,FALSE),VLOOKUP(D180,'Measure &amp; Standard CostIDs'!$C$5:$H$177,1+B180,FALSE)),2)</f>
        <v>1.78</v>
      </c>
      <c r="X180" s="103"/>
      <c r="Y180" s="103"/>
      <c r="Z180" s="103" t="s">
        <v>868</v>
      </c>
      <c r="AA180" s="103" t="s">
        <v>874</v>
      </c>
      <c r="AB180" s="103" t="s">
        <v>153</v>
      </c>
      <c r="AC180" s="103">
        <v>0</v>
      </c>
      <c r="AD180" s="156">
        <v>42005</v>
      </c>
      <c r="AE180" s="103"/>
      <c r="AF180" s="103" t="s">
        <v>870</v>
      </c>
      <c r="AG180" s="103" t="s">
        <v>871</v>
      </c>
      <c r="AH180" s="103" t="s">
        <v>872</v>
      </c>
      <c r="AI180" s="103">
        <v>0</v>
      </c>
      <c r="AJ180" s="103"/>
      <c r="AK180" s="103"/>
      <c r="AL180" s="103"/>
      <c r="AM180" s="103"/>
      <c r="AN180" s="103"/>
      <c r="AO180" s="103" t="str">
        <f t="shared" si="5"/>
        <v>Std_CFLscw(12w)_60pInc-r0248Wtd-Pack</v>
      </c>
    </row>
    <row r="181" spans="1:41">
      <c r="A181" s="177">
        <f>IFERROR(MATCH(D181,'Measure &amp; Standard CostIDs'!C$5:C$177,0),MATCH(D181,'Measure &amp; Standard CostIDs'!S$5:S$177,0))</f>
        <v>5</v>
      </c>
      <c r="B181" s="177">
        <v>1</v>
      </c>
      <c r="C181" s="103" t="s">
        <v>153</v>
      </c>
      <c r="D181" s="103" t="s">
        <v>877</v>
      </c>
      <c r="E181" s="103" t="str">
        <f>IF(LEFT(D181,3)="Std","Base case cost for mix of 60% Incandescent and 40% CFL lamps for CFL TechID: "&amp;INDEX('Measure &amp; Standard CostIDs'!$C$5:$C$177,A181),"&lt;from TechID&gt;")</f>
        <v>Base case cost for mix of 60% Incandescent and 40% CFL lamps for CFL TechID: CFLscw(13w)</v>
      </c>
      <c r="F181" s="103" t="s">
        <v>860</v>
      </c>
      <c r="G181" s="103" t="s">
        <v>151</v>
      </c>
      <c r="H181" s="103" t="s">
        <v>861</v>
      </c>
      <c r="I181" s="103" t="s">
        <v>862</v>
      </c>
      <c r="J181" s="103" t="s">
        <v>863</v>
      </c>
      <c r="K181" s="103" t="s">
        <v>864</v>
      </c>
      <c r="L181" s="103" t="s">
        <v>153</v>
      </c>
      <c r="M181" s="103" t="s">
        <v>865</v>
      </c>
      <c r="N181" s="103" t="s">
        <v>866</v>
      </c>
      <c r="O181" s="103" t="str">
        <f t="shared" si="4"/>
        <v/>
      </c>
      <c r="P181" s="103" t="s">
        <v>153</v>
      </c>
      <c r="Q181" s="103" t="s">
        <v>153</v>
      </c>
      <c r="R181" s="103" t="s">
        <v>153</v>
      </c>
      <c r="S181" s="103" t="str">
        <f>INDEX('Measure &amp; Standard CostIDs'!$AK$8:$AK$12,B181)</f>
        <v>Wtd-Pack</v>
      </c>
      <c r="T181" s="103" t="s">
        <v>867</v>
      </c>
      <c r="U181" s="103"/>
      <c r="V181" s="103"/>
      <c r="W181" s="103">
        <f>ROUND(IF(LEFT(D181,3)="Std",VLOOKUP(D181,'Measure &amp; Standard CostIDs'!$S$5:$X$177,1+B181,FALSE),VLOOKUP(D181,'Measure &amp; Standard CostIDs'!$C$5:$H$177,1+B181,FALSE)),2)</f>
        <v>1.82</v>
      </c>
      <c r="X181" s="103"/>
      <c r="Y181" s="103"/>
      <c r="Z181" s="103" t="s">
        <v>868</v>
      </c>
      <c r="AA181" s="103" t="s">
        <v>874</v>
      </c>
      <c r="AB181" s="103" t="s">
        <v>153</v>
      </c>
      <c r="AC181" s="103">
        <v>0</v>
      </c>
      <c r="AD181" s="156">
        <v>42005</v>
      </c>
      <c r="AE181" s="103"/>
      <c r="AF181" s="103" t="s">
        <v>870</v>
      </c>
      <c r="AG181" s="103" t="s">
        <v>871</v>
      </c>
      <c r="AH181" s="103" t="s">
        <v>872</v>
      </c>
      <c r="AI181" s="103">
        <v>0</v>
      </c>
      <c r="AJ181" s="103"/>
      <c r="AK181" s="103"/>
      <c r="AL181" s="103"/>
      <c r="AM181" s="103"/>
      <c r="AN181" s="103"/>
      <c r="AO181" s="103" t="str">
        <f t="shared" si="5"/>
        <v>Std_CFLscw(13w)_60pInc-r0248Wtd-Pack</v>
      </c>
    </row>
    <row r="182" spans="1:41">
      <c r="A182" s="177">
        <f>IFERROR(MATCH(D182,'Measure &amp; Standard CostIDs'!C$5:C$177,0),MATCH(D182,'Measure &amp; Standard CostIDs'!S$5:S$177,0))</f>
        <v>6</v>
      </c>
      <c r="B182" s="177">
        <v>1</v>
      </c>
      <c r="C182" s="103" t="s">
        <v>153</v>
      </c>
      <c r="D182" s="103" t="s">
        <v>878</v>
      </c>
      <c r="E182" s="103" t="str">
        <f>IF(LEFT(D182,3)="Std","Base case cost for mix of 60% Incandescent and 40% CFL lamps for CFL TechID: "&amp;INDEX('Measure &amp; Standard CostIDs'!$C$5:$C$177,A182),"&lt;from TechID&gt;")</f>
        <v>Base case cost for mix of 60% Incandescent and 40% CFL lamps for CFL TechID: CFLscw(14w)</v>
      </c>
      <c r="F182" s="103" t="s">
        <v>860</v>
      </c>
      <c r="G182" s="103" t="s">
        <v>151</v>
      </c>
      <c r="H182" s="103" t="s">
        <v>861</v>
      </c>
      <c r="I182" s="103" t="s">
        <v>862</v>
      </c>
      <c r="J182" s="103" t="s">
        <v>863</v>
      </c>
      <c r="K182" s="103" t="s">
        <v>864</v>
      </c>
      <c r="L182" s="103" t="s">
        <v>153</v>
      </c>
      <c r="M182" s="103" t="s">
        <v>865</v>
      </c>
      <c r="N182" s="103" t="s">
        <v>866</v>
      </c>
      <c r="O182" s="103" t="str">
        <f t="shared" si="4"/>
        <v/>
      </c>
      <c r="P182" s="103" t="s">
        <v>153</v>
      </c>
      <c r="Q182" s="103" t="s">
        <v>153</v>
      </c>
      <c r="R182" s="103" t="s">
        <v>153</v>
      </c>
      <c r="S182" s="103" t="str">
        <f>INDEX('Measure &amp; Standard CostIDs'!$AK$8:$AK$12,B182)</f>
        <v>Wtd-Pack</v>
      </c>
      <c r="T182" s="103" t="s">
        <v>867</v>
      </c>
      <c r="U182" s="103"/>
      <c r="V182" s="103"/>
      <c r="W182" s="103">
        <f>ROUND(IF(LEFT(D182,3)="Std",VLOOKUP(D182,'Measure &amp; Standard CostIDs'!$S$5:$X$177,1+B182,FALSE),VLOOKUP(D182,'Measure &amp; Standard CostIDs'!$C$5:$H$177,1+B182,FALSE)),2)</f>
        <v>1.87</v>
      </c>
      <c r="X182" s="103"/>
      <c r="Y182" s="103"/>
      <c r="Z182" s="103" t="s">
        <v>868</v>
      </c>
      <c r="AA182" s="103" t="s">
        <v>874</v>
      </c>
      <c r="AB182" s="103" t="s">
        <v>153</v>
      </c>
      <c r="AC182" s="103">
        <v>0</v>
      </c>
      <c r="AD182" s="156">
        <v>42005</v>
      </c>
      <c r="AE182" s="103"/>
      <c r="AF182" s="103" t="s">
        <v>870</v>
      </c>
      <c r="AG182" s="103" t="s">
        <v>871</v>
      </c>
      <c r="AH182" s="103" t="s">
        <v>872</v>
      </c>
      <c r="AI182" s="103">
        <v>0</v>
      </c>
      <c r="AJ182" s="103"/>
      <c r="AK182" s="103"/>
      <c r="AL182" s="103"/>
      <c r="AM182" s="103"/>
      <c r="AN182" s="103"/>
      <c r="AO182" s="103" t="str">
        <f t="shared" si="5"/>
        <v>Std_CFLscw(14w)_60pInc-r0248Wtd-Pack</v>
      </c>
    </row>
    <row r="183" spans="1:41">
      <c r="A183" s="177">
        <f>IFERROR(MATCH(D183,'Measure &amp; Standard CostIDs'!C$5:C$177,0),MATCH(D183,'Measure &amp; Standard CostIDs'!S$5:S$177,0))</f>
        <v>7</v>
      </c>
      <c r="B183" s="177">
        <v>1</v>
      </c>
      <c r="C183" s="103" t="s">
        <v>153</v>
      </c>
      <c r="D183" s="103" t="s">
        <v>879</v>
      </c>
      <c r="E183" s="103" t="str">
        <f>IF(LEFT(D183,3)="Std","Base case cost for mix of 60% Incandescent and 40% CFL lamps for CFL TechID: "&amp;INDEX('Measure &amp; Standard CostIDs'!$C$5:$C$177,A183),"&lt;from TechID&gt;")</f>
        <v>Base case cost for mix of 60% Incandescent and 40% CFL lamps for CFL TechID: CFLscw(15w)</v>
      </c>
      <c r="F183" s="103" t="s">
        <v>860</v>
      </c>
      <c r="G183" s="103" t="s">
        <v>151</v>
      </c>
      <c r="H183" s="103" t="s">
        <v>861</v>
      </c>
      <c r="I183" s="103" t="s">
        <v>862</v>
      </c>
      <c r="J183" s="103" t="s">
        <v>863</v>
      </c>
      <c r="K183" s="103" t="s">
        <v>864</v>
      </c>
      <c r="L183" s="103" t="s">
        <v>153</v>
      </c>
      <c r="M183" s="103" t="s">
        <v>865</v>
      </c>
      <c r="N183" s="103" t="s">
        <v>866</v>
      </c>
      <c r="O183" s="103" t="str">
        <f t="shared" si="4"/>
        <v/>
      </c>
      <c r="P183" s="103" t="s">
        <v>153</v>
      </c>
      <c r="Q183" s="103" t="s">
        <v>153</v>
      </c>
      <c r="R183" s="103" t="s">
        <v>153</v>
      </c>
      <c r="S183" s="103" t="str">
        <f>INDEX('Measure &amp; Standard CostIDs'!$AK$8:$AK$12,B183)</f>
        <v>Wtd-Pack</v>
      </c>
      <c r="T183" s="103" t="s">
        <v>867</v>
      </c>
      <c r="U183" s="103"/>
      <c r="V183" s="103"/>
      <c r="W183" s="103">
        <f>ROUND(IF(LEFT(D183,3)="Std",VLOOKUP(D183,'Measure &amp; Standard CostIDs'!$S$5:$X$177,1+B183,FALSE),VLOOKUP(D183,'Measure &amp; Standard CostIDs'!$C$5:$H$177,1+B183,FALSE)),2)</f>
        <v>1.91</v>
      </c>
      <c r="X183" s="103"/>
      <c r="Y183" s="103"/>
      <c r="Z183" s="103" t="s">
        <v>868</v>
      </c>
      <c r="AA183" s="103" t="s">
        <v>874</v>
      </c>
      <c r="AB183" s="103" t="s">
        <v>153</v>
      </c>
      <c r="AC183" s="103">
        <v>0</v>
      </c>
      <c r="AD183" s="156">
        <v>42005</v>
      </c>
      <c r="AE183" s="103"/>
      <c r="AF183" s="103" t="s">
        <v>870</v>
      </c>
      <c r="AG183" s="103" t="s">
        <v>871</v>
      </c>
      <c r="AH183" s="103" t="s">
        <v>872</v>
      </c>
      <c r="AI183" s="103">
        <v>0</v>
      </c>
      <c r="AJ183" s="103"/>
      <c r="AK183" s="103"/>
      <c r="AL183" s="103"/>
      <c r="AM183" s="103"/>
      <c r="AN183" s="103"/>
      <c r="AO183" s="103" t="str">
        <f t="shared" si="5"/>
        <v>Std_CFLscw(15w)_60pInc-r0248Wtd-Pack</v>
      </c>
    </row>
    <row r="184" spans="1:41">
      <c r="A184" s="177">
        <f>IFERROR(MATCH(D184,'Measure &amp; Standard CostIDs'!C$5:C$177,0),MATCH(D184,'Measure &amp; Standard CostIDs'!S$5:S$177,0))</f>
        <v>8</v>
      </c>
      <c r="B184" s="177">
        <v>1</v>
      </c>
      <c r="C184" s="103" t="s">
        <v>153</v>
      </c>
      <c r="D184" s="103" t="s">
        <v>880</v>
      </c>
      <c r="E184" s="103" t="str">
        <f>IF(LEFT(D184,3)="Std","Base case cost for mix of 60% Incandescent and 40% CFL lamps for CFL TechID: "&amp;INDEX('Measure &amp; Standard CostIDs'!$C$5:$C$177,A184),"&lt;from TechID&gt;")</f>
        <v>Base case cost for mix of 60% Incandescent and 40% CFL lamps for CFL TechID: CFLscw(16w)</v>
      </c>
      <c r="F184" s="103" t="s">
        <v>860</v>
      </c>
      <c r="G184" s="103" t="s">
        <v>151</v>
      </c>
      <c r="H184" s="103" t="s">
        <v>861</v>
      </c>
      <c r="I184" s="103" t="s">
        <v>862</v>
      </c>
      <c r="J184" s="103" t="s">
        <v>863</v>
      </c>
      <c r="K184" s="103" t="s">
        <v>864</v>
      </c>
      <c r="L184" s="103" t="s">
        <v>153</v>
      </c>
      <c r="M184" s="103" t="s">
        <v>865</v>
      </c>
      <c r="N184" s="103" t="s">
        <v>866</v>
      </c>
      <c r="O184" s="103" t="str">
        <f t="shared" si="4"/>
        <v/>
      </c>
      <c r="P184" s="103" t="s">
        <v>153</v>
      </c>
      <c r="Q184" s="103" t="s">
        <v>153</v>
      </c>
      <c r="R184" s="103" t="s">
        <v>153</v>
      </c>
      <c r="S184" s="103" t="str">
        <f>INDEX('Measure &amp; Standard CostIDs'!$AK$8:$AK$12,B184)</f>
        <v>Wtd-Pack</v>
      </c>
      <c r="T184" s="103" t="s">
        <v>867</v>
      </c>
      <c r="U184" s="103"/>
      <c r="V184" s="103"/>
      <c r="W184" s="103">
        <f>ROUND(IF(LEFT(D184,3)="Std",VLOOKUP(D184,'Measure &amp; Standard CostIDs'!$S$5:$X$177,1+B184,FALSE),VLOOKUP(D184,'Measure &amp; Standard CostIDs'!$C$5:$H$177,1+B184,FALSE)),2)</f>
        <v>1.96</v>
      </c>
      <c r="X184" s="103"/>
      <c r="Y184" s="103"/>
      <c r="Z184" s="103" t="s">
        <v>868</v>
      </c>
      <c r="AA184" s="103" t="s">
        <v>874</v>
      </c>
      <c r="AB184" s="103" t="s">
        <v>153</v>
      </c>
      <c r="AC184" s="103">
        <v>0</v>
      </c>
      <c r="AD184" s="156">
        <v>42005</v>
      </c>
      <c r="AE184" s="103"/>
      <c r="AF184" s="103" t="s">
        <v>870</v>
      </c>
      <c r="AG184" s="103" t="s">
        <v>871</v>
      </c>
      <c r="AH184" s="103" t="s">
        <v>872</v>
      </c>
      <c r="AI184" s="103">
        <v>0</v>
      </c>
      <c r="AJ184" s="103"/>
      <c r="AK184" s="103"/>
      <c r="AL184" s="103"/>
      <c r="AM184" s="103"/>
      <c r="AN184" s="103"/>
      <c r="AO184" s="103" t="str">
        <f t="shared" si="5"/>
        <v>Std_CFLscw(16w)_60pInc-r0248Wtd-Pack</v>
      </c>
    </row>
    <row r="185" spans="1:41">
      <c r="A185" s="177">
        <f>IFERROR(MATCH(D185,'Measure &amp; Standard CostIDs'!C$5:C$177,0),MATCH(D185,'Measure &amp; Standard CostIDs'!S$5:S$177,0))</f>
        <v>9</v>
      </c>
      <c r="B185" s="177">
        <v>1</v>
      </c>
      <c r="C185" s="103" t="s">
        <v>153</v>
      </c>
      <c r="D185" s="103" t="s">
        <v>881</v>
      </c>
      <c r="E185" s="103" t="str">
        <f>IF(LEFT(D185,3)="Std","Base case cost for mix of 60% Incandescent and 40% CFL lamps for CFL TechID: "&amp;INDEX('Measure &amp; Standard CostIDs'!$C$5:$C$177,A185),"&lt;from TechID&gt;")</f>
        <v>Base case cost for mix of 60% Incandescent and 40% CFL lamps for CFL TechID: CFLscw(17w)</v>
      </c>
      <c r="F185" s="103" t="s">
        <v>860</v>
      </c>
      <c r="G185" s="103" t="s">
        <v>151</v>
      </c>
      <c r="H185" s="103" t="s">
        <v>861</v>
      </c>
      <c r="I185" s="103" t="s">
        <v>862</v>
      </c>
      <c r="J185" s="103" t="s">
        <v>863</v>
      </c>
      <c r="K185" s="103" t="s">
        <v>864</v>
      </c>
      <c r="L185" s="103" t="s">
        <v>153</v>
      </c>
      <c r="M185" s="103" t="s">
        <v>865</v>
      </c>
      <c r="N185" s="103" t="s">
        <v>866</v>
      </c>
      <c r="O185" s="103" t="str">
        <f t="shared" si="4"/>
        <v/>
      </c>
      <c r="P185" s="103" t="s">
        <v>153</v>
      </c>
      <c r="Q185" s="103" t="s">
        <v>153</v>
      </c>
      <c r="R185" s="103" t="s">
        <v>153</v>
      </c>
      <c r="S185" s="103" t="str">
        <f>INDEX('Measure &amp; Standard CostIDs'!$AK$8:$AK$12,B185)</f>
        <v>Wtd-Pack</v>
      </c>
      <c r="T185" s="103" t="s">
        <v>867</v>
      </c>
      <c r="U185" s="103"/>
      <c r="V185" s="103"/>
      <c r="W185" s="103">
        <f>ROUND(IF(LEFT(D185,3)="Std",VLOOKUP(D185,'Measure &amp; Standard CostIDs'!$S$5:$X$177,1+B185,FALSE),VLOOKUP(D185,'Measure &amp; Standard CostIDs'!$C$5:$H$177,1+B185,FALSE)),2)</f>
        <v>2.0099999999999998</v>
      </c>
      <c r="X185" s="103"/>
      <c r="Y185" s="103"/>
      <c r="Z185" s="103" t="s">
        <v>868</v>
      </c>
      <c r="AA185" s="103" t="s">
        <v>874</v>
      </c>
      <c r="AB185" s="103" t="s">
        <v>153</v>
      </c>
      <c r="AC185" s="103">
        <v>0</v>
      </c>
      <c r="AD185" s="156">
        <v>42005</v>
      </c>
      <c r="AE185" s="103"/>
      <c r="AF185" s="103" t="s">
        <v>870</v>
      </c>
      <c r="AG185" s="103" t="s">
        <v>871</v>
      </c>
      <c r="AH185" s="103" t="s">
        <v>872</v>
      </c>
      <c r="AI185" s="103">
        <v>0</v>
      </c>
      <c r="AJ185" s="103"/>
      <c r="AK185" s="103"/>
      <c r="AL185" s="103"/>
      <c r="AM185" s="103"/>
      <c r="AN185" s="103"/>
      <c r="AO185" s="103" t="str">
        <f t="shared" si="5"/>
        <v>Std_CFLscw(17w)_60pInc-r0248Wtd-Pack</v>
      </c>
    </row>
    <row r="186" spans="1:41">
      <c r="A186" s="177">
        <f>IFERROR(MATCH(D186,'Measure &amp; Standard CostIDs'!C$5:C$177,0),MATCH(D186,'Measure &amp; Standard CostIDs'!S$5:S$177,0))</f>
        <v>10</v>
      </c>
      <c r="B186" s="177">
        <v>1</v>
      </c>
      <c r="C186" s="103" t="s">
        <v>153</v>
      </c>
      <c r="D186" s="103" t="s">
        <v>882</v>
      </c>
      <c r="E186" s="103" t="str">
        <f>IF(LEFT(D186,3)="Std","Base case cost for mix of 60% Incandescent and 40% CFL lamps for CFL TechID: "&amp;INDEX('Measure &amp; Standard CostIDs'!$C$5:$C$177,A186),"&lt;from TechID&gt;")</f>
        <v>Base case cost for mix of 60% Incandescent and 40% CFL lamps for CFL TechID: CFLscw(18w)</v>
      </c>
      <c r="F186" s="103" t="s">
        <v>860</v>
      </c>
      <c r="G186" s="103" t="s">
        <v>151</v>
      </c>
      <c r="H186" s="103" t="s">
        <v>861</v>
      </c>
      <c r="I186" s="103" t="s">
        <v>862</v>
      </c>
      <c r="J186" s="103" t="s">
        <v>863</v>
      </c>
      <c r="K186" s="103" t="s">
        <v>864</v>
      </c>
      <c r="L186" s="103" t="s">
        <v>153</v>
      </c>
      <c r="M186" s="103" t="s">
        <v>865</v>
      </c>
      <c r="N186" s="103" t="s">
        <v>866</v>
      </c>
      <c r="O186" s="103" t="str">
        <f t="shared" si="4"/>
        <v/>
      </c>
      <c r="P186" s="103" t="s">
        <v>153</v>
      </c>
      <c r="Q186" s="103" t="s">
        <v>153</v>
      </c>
      <c r="R186" s="103" t="s">
        <v>153</v>
      </c>
      <c r="S186" s="103" t="str">
        <f>INDEX('Measure &amp; Standard CostIDs'!$AK$8:$AK$12,B186)</f>
        <v>Wtd-Pack</v>
      </c>
      <c r="T186" s="103" t="s">
        <v>867</v>
      </c>
      <c r="U186" s="103"/>
      <c r="V186" s="103"/>
      <c r="W186" s="103">
        <f>ROUND(IF(LEFT(D186,3)="Std",VLOOKUP(D186,'Measure &amp; Standard CostIDs'!$S$5:$X$177,1+B186,FALSE),VLOOKUP(D186,'Measure &amp; Standard CostIDs'!$C$5:$H$177,1+B186,FALSE)),2)</f>
        <v>2.0499999999999998</v>
      </c>
      <c r="X186" s="103"/>
      <c r="Y186" s="103"/>
      <c r="Z186" s="103" t="s">
        <v>868</v>
      </c>
      <c r="AA186" s="103" t="s">
        <v>874</v>
      </c>
      <c r="AB186" s="103" t="s">
        <v>153</v>
      </c>
      <c r="AC186" s="103">
        <v>0</v>
      </c>
      <c r="AD186" s="156">
        <v>42005</v>
      </c>
      <c r="AE186" s="103"/>
      <c r="AF186" s="103" t="s">
        <v>870</v>
      </c>
      <c r="AG186" s="103" t="s">
        <v>871</v>
      </c>
      <c r="AH186" s="103" t="s">
        <v>872</v>
      </c>
      <c r="AI186" s="103">
        <v>0</v>
      </c>
      <c r="AJ186" s="103"/>
      <c r="AK186" s="103"/>
      <c r="AL186" s="103"/>
      <c r="AM186" s="103"/>
      <c r="AN186" s="103"/>
      <c r="AO186" s="103" t="str">
        <f t="shared" si="5"/>
        <v>Std_CFLscw(18w)_60pInc-r0248Wtd-Pack</v>
      </c>
    </row>
    <row r="187" spans="1:41">
      <c r="A187" s="177">
        <f>IFERROR(MATCH(D187,'Measure &amp; Standard CostIDs'!C$5:C$177,0),MATCH(D187,'Measure &amp; Standard CostIDs'!S$5:S$177,0))</f>
        <v>11</v>
      </c>
      <c r="B187" s="177">
        <v>1</v>
      </c>
      <c r="C187" s="103" t="s">
        <v>153</v>
      </c>
      <c r="D187" s="103" t="s">
        <v>883</v>
      </c>
      <c r="E187" s="103" t="str">
        <f>IF(LEFT(D187,3)="Std","Base case cost for mix of 60% Incandescent and 40% CFL lamps for CFL TechID: "&amp;INDEX('Measure &amp; Standard CostIDs'!$C$5:$C$177,A187),"&lt;from TechID&gt;")</f>
        <v>Base case cost for mix of 60% Incandescent and 40% CFL lamps for CFL TechID: CFLscw(19w)</v>
      </c>
      <c r="F187" s="103" t="s">
        <v>860</v>
      </c>
      <c r="G187" s="103" t="s">
        <v>151</v>
      </c>
      <c r="H187" s="103" t="s">
        <v>861</v>
      </c>
      <c r="I187" s="103" t="s">
        <v>862</v>
      </c>
      <c r="J187" s="103" t="s">
        <v>863</v>
      </c>
      <c r="K187" s="103" t="s">
        <v>864</v>
      </c>
      <c r="L187" s="103" t="s">
        <v>153</v>
      </c>
      <c r="M187" s="103" t="s">
        <v>865</v>
      </c>
      <c r="N187" s="103" t="s">
        <v>866</v>
      </c>
      <c r="O187" s="103" t="str">
        <f t="shared" si="4"/>
        <v/>
      </c>
      <c r="P187" s="103" t="s">
        <v>153</v>
      </c>
      <c r="Q187" s="103" t="s">
        <v>153</v>
      </c>
      <c r="R187" s="103" t="s">
        <v>153</v>
      </c>
      <c r="S187" s="103" t="str">
        <f>INDEX('Measure &amp; Standard CostIDs'!$AK$8:$AK$12,B187)</f>
        <v>Wtd-Pack</v>
      </c>
      <c r="T187" s="103" t="s">
        <v>867</v>
      </c>
      <c r="U187" s="103"/>
      <c r="V187" s="103"/>
      <c r="W187" s="103">
        <f>ROUND(IF(LEFT(D187,3)="Std",VLOOKUP(D187,'Measure &amp; Standard CostIDs'!$S$5:$X$177,1+B187,FALSE),VLOOKUP(D187,'Measure &amp; Standard CostIDs'!$C$5:$H$177,1+B187,FALSE)),2)</f>
        <v>2.1</v>
      </c>
      <c r="X187" s="103"/>
      <c r="Y187" s="103"/>
      <c r="Z187" s="103" t="s">
        <v>868</v>
      </c>
      <c r="AA187" s="103" t="s">
        <v>874</v>
      </c>
      <c r="AB187" s="103" t="s">
        <v>153</v>
      </c>
      <c r="AC187" s="103">
        <v>0</v>
      </c>
      <c r="AD187" s="156">
        <v>42005</v>
      </c>
      <c r="AE187" s="103"/>
      <c r="AF187" s="103" t="s">
        <v>870</v>
      </c>
      <c r="AG187" s="103" t="s">
        <v>871</v>
      </c>
      <c r="AH187" s="103" t="s">
        <v>872</v>
      </c>
      <c r="AI187" s="103">
        <v>0</v>
      </c>
      <c r="AJ187" s="103"/>
      <c r="AK187" s="103"/>
      <c r="AL187" s="103"/>
      <c r="AM187" s="103"/>
      <c r="AN187" s="103"/>
      <c r="AO187" s="103" t="str">
        <f t="shared" si="5"/>
        <v>Std_CFLscw(19w)_60pInc-r0248Wtd-Pack</v>
      </c>
    </row>
    <row r="188" spans="1:41">
      <c r="A188" s="177">
        <f>IFERROR(MATCH(D188,'Measure &amp; Standard CostIDs'!C$5:C$177,0),MATCH(D188,'Measure &amp; Standard CostIDs'!S$5:S$177,0))</f>
        <v>12</v>
      </c>
      <c r="B188" s="177">
        <v>1</v>
      </c>
      <c r="C188" s="103" t="s">
        <v>153</v>
      </c>
      <c r="D188" s="103" t="s">
        <v>884</v>
      </c>
      <c r="E188" s="103" t="str">
        <f>IF(LEFT(D188,3)="Std","Base case cost for mix of 60% Incandescent and 40% CFL lamps for CFL TechID: "&amp;INDEX('Measure &amp; Standard CostIDs'!$C$5:$C$177,A188),"&lt;from TechID&gt;")</f>
        <v>Base case cost for mix of 60% Incandescent and 40% CFL lamps for CFL TechID: CFLscw(20w)</v>
      </c>
      <c r="F188" s="103" t="s">
        <v>860</v>
      </c>
      <c r="G188" s="103" t="s">
        <v>151</v>
      </c>
      <c r="H188" s="103" t="s">
        <v>861</v>
      </c>
      <c r="I188" s="103" t="s">
        <v>862</v>
      </c>
      <c r="J188" s="103" t="s">
        <v>863</v>
      </c>
      <c r="K188" s="103" t="s">
        <v>864</v>
      </c>
      <c r="L188" s="103" t="s">
        <v>153</v>
      </c>
      <c r="M188" s="103" t="s">
        <v>865</v>
      </c>
      <c r="N188" s="103" t="s">
        <v>866</v>
      </c>
      <c r="O188" s="103" t="str">
        <f t="shared" si="4"/>
        <v/>
      </c>
      <c r="P188" s="103" t="s">
        <v>153</v>
      </c>
      <c r="Q188" s="103" t="s">
        <v>153</v>
      </c>
      <c r="R188" s="103" t="s">
        <v>153</v>
      </c>
      <c r="S188" s="103" t="str">
        <f>INDEX('Measure &amp; Standard CostIDs'!$AK$8:$AK$12,B188)</f>
        <v>Wtd-Pack</v>
      </c>
      <c r="T188" s="103" t="s">
        <v>867</v>
      </c>
      <c r="U188" s="103"/>
      <c r="V188" s="103"/>
      <c r="W188" s="103">
        <f>ROUND(IF(LEFT(D188,3)="Std",VLOOKUP(D188,'Measure &amp; Standard CostIDs'!$S$5:$X$177,1+B188,FALSE),VLOOKUP(D188,'Measure &amp; Standard CostIDs'!$C$5:$H$177,1+B188,FALSE)),2)</f>
        <v>2.14</v>
      </c>
      <c r="X188" s="103"/>
      <c r="Y188" s="103"/>
      <c r="Z188" s="103" t="s">
        <v>868</v>
      </c>
      <c r="AA188" s="103" t="s">
        <v>874</v>
      </c>
      <c r="AB188" s="103" t="s">
        <v>153</v>
      </c>
      <c r="AC188" s="103">
        <v>0</v>
      </c>
      <c r="AD188" s="156">
        <v>42005</v>
      </c>
      <c r="AE188" s="103"/>
      <c r="AF188" s="103" t="s">
        <v>870</v>
      </c>
      <c r="AG188" s="103" t="s">
        <v>871</v>
      </c>
      <c r="AH188" s="103" t="s">
        <v>872</v>
      </c>
      <c r="AI188" s="103">
        <v>0</v>
      </c>
      <c r="AJ188" s="103"/>
      <c r="AK188" s="103"/>
      <c r="AL188" s="103"/>
      <c r="AM188" s="103"/>
      <c r="AN188" s="103"/>
      <c r="AO188" s="103" t="str">
        <f t="shared" si="5"/>
        <v>Std_CFLscw(20w)_60pInc-r0248Wtd-Pack</v>
      </c>
    </row>
    <row r="189" spans="1:41">
      <c r="A189" s="177">
        <f>IFERROR(MATCH(D189,'Measure &amp; Standard CostIDs'!C$5:C$177,0),MATCH(D189,'Measure &amp; Standard CostIDs'!S$5:S$177,0))</f>
        <v>13</v>
      </c>
      <c r="B189" s="177">
        <v>1</v>
      </c>
      <c r="C189" s="103" t="s">
        <v>153</v>
      </c>
      <c r="D189" s="103" t="s">
        <v>885</v>
      </c>
      <c r="E189" s="103" t="str">
        <f>IF(LEFT(D189,3)="Std","Base case cost for mix of 60% Incandescent and 40% CFL lamps for CFL TechID: "&amp;INDEX('Measure &amp; Standard CostIDs'!$C$5:$C$177,A189),"&lt;from TechID&gt;")</f>
        <v>Base case cost for mix of 60% Incandescent and 40% CFL lamps for CFL TechID: CFLscw(21w)</v>
      </c>
      <c r="F189" s="103" t="s">
        <v>860</v>
      </c>
      <c r="G189" s="103" t="s">
        <v>151</v>
      </c>
      <c r="H189" s="103" t="s">
        <v>861</v>
      </c>
      <c r="I189" s="103" t="s">
        <v>862</v>
      </c>
      <c r="J189" s="103" t="s">
        <v>863</v>
      </c>
      <c r="K189" s="103" t="s">
        <v>864</v>
      </c>
      <c r="L189" s="103" t="s">
        <v>153</v>
      </c>
      <c r="M189" s="103" t="s">
        <v>865</v>
      </c>
      <c r="N189" s="103" t="s">
        <v>866</v>
      </c>
      <c r="O189" s="103" t="str">
        <f t="shared" si="4"/>
        <v/>
      </c>
      <c r="P189" s="103" t="s">
        <v>153</v>
      </c>
      <c r="Q189" s="103" t="s">
        <v>153</v>
      </c>
      <c r="R189" s="103" t="s">
        <v>153</v>
      </c>
      <c r="S189" s="103" t="str">
        <f>INDEX('Measure &amp; Standard CostIDs'!$AK$8:$AK$12,B189)</f>
        <v>Wtd-Pack</v>
      </c>
      <c r="T189" s="103" t="s">
        <v>867</v>
      </c>
      <c r="U189" s="103"/>
      <c r="V189" s="103"/>
      <c r="W189" s="103">
        <f>ROUND(IF(LEFT(D189,3)="Std",VLOOKUP(D189,'Measure &amp; Standard CostIDs'!$S$5:$X$177,1+B189,FALSE),VLOOKUP(D189,'Measure &amp; Standard CostIDs'!$C$5:$H$177,1+B189,FALSE)),2)</f>
        <v>2.19</v>
      </c>
      <c r="X189" s="103"/>
      <c r="Y189" s="103"/>
      <c r="Z189" s="103" t="s">
        <v>868</v>
      </c>
      <c r="AA189" s="103" t="s">
        <v>874</v>
      </c>
      <c r="AB189" s="103" t="s">
        <v>153</v>
      </c>
      <c r="AC189" s="103">
        <v>0</v>
      </c>
      <c r="AD189" s="156">
        <v>42005</v>
      </c>
      <c r="AE189" s="103"/>
      <c r="AF189" s="103" t="s">
        <v>870</v>
      </c>
      <c r="AG189" s="103" t="s">
        <v>871</v>
      </c>
      <c r="AH189" s="103" t="s">
        <v>872</v>
      </c>
      <c r="AI189" s="103">
        <v>0</v>
      </c>
      <c r="AJ189" s="103"/>
      <c r="AK189" s="103"/>
      <c r="AL189" s="103"/>
      <c r="AM189" s="103"/>
      <c r="AN189" s="103"/>
      <c r="AO189" s="103" t="str">
        <f t="shared" si="5"/>
        <v>Std_CFLscw(21w)_60pInc-r0248Wtd-Pack</v>
      </c>
    </row>
    <row r="190" spans="1:41">
      <c r="A190" s="177">
        <f>IFERROR(MATCH(D190,'Measure &amp; Standard CostIDs'!C$5:C$177,0),MATCH(D190,'Measure &amp; Standard CostIDs'!S$5:S$177,0))</f>
        <v>14</v>
      </c>
      <c r="B190" s="177">
        <v>1</v>
      </c>
      <c r="C190" s="103" t="s">
        <v>153</v>
      </c>
      <c r="D190" s="103" t="s">
        <v>886</v>
      </c>
      <c r="E190" s="103" t="str">
        <f>IF(LEFT(D190,3)="Std","Base case cost for mix of 60% Incandescent and 40% CFL lamps for CFL TechID: "&amp;INDEX('Measure &amp; Standard CostIDs'!$C$5:$C$177,A190),"&lt;from TechID&gt;")</f>
        <v>Base case cost for mix of 60% Incandescent and 40% CFL lamps for CFL TechID: CFLscw(22w)</v>
      </c>
      <c r="F190" s="103" t="s">
        <v>860</v>
      </c>
      <c r="G190" s="103" t="s">
        <v>151</v>
      </c>
      <c r="H190" s="103" t="s">
        <v>861</v>
      </c>
      <c r="I190" s="103" t="s">
        <v>862</v>
      </c>
      <c r="J190" s="103" t="s">
        <v>863</v>
      </c>
      <c r="K190" s="103" t="s">
        <v>864</v>
      </c>
      <c r="L190" s="103" t="s">
        <v>153</v>
      </c>
      <c r="M190" s="103" t="s">
        <v>865</v>
      </c>
      <c r="N190" s="103" t="s">
        <v>866</v>
      </c>
      <c r="O190" s="103" t="str">
        <f t="shared" si="4"/>
        <v/>
      </c>
      <c r="P190" s="103" t="s">
        <v>153</v>
      </c>
      <c r="Q190" s="103" t="s">
        <v>153</v>
      </c>
      <c r="R190" s="103" t="s">
        <v>153</v>
      </c>
      <c r="S190" s="103" t="str">
        <f>INDEX('Measure &amp; Standard CostIDs'!$AK$8:$AK$12,B190)</f>
        <v>Wtd-Pack</v>
      </c>
      <c r="T190" s="103" t="s">
        <v>867</v>
      </c>
      <c r="U190" s="103"/>
      <c r="V190" s="103"/>
      <c r="W190" s="103">
        <f>ROUND(IF(LEFT(D190,3)="Std",VLOOKUP(D190,'Measure &amp; Standard CostIDs'!$S$5:$X$177,1+B190,FALSE),VLOOKUP(D190,'Measure &amp; Standard CostIDs'!$C$5:$H$177,1+B190,FALSE)),2)</f>
        <v>2.23</v>
      </c>
      <c r="X190" s="103"/>
      <c r="Y190" s="103"/>
      <c r="Z190" s="103" t="s">
        <v>868</v>
      </c>
      <c r="AA190" s="103" t="s">
        <v>874</v>
      </c>
      <c r="AB190" s="103" t="s">
        <v>153</v>
      </c>
      <c r="AC190" s="103">
        <v>0</v>
      </c>
      <c r="AD190" s="156">
        <v>42005</v>
      </c>
      <c r="AE190" s="103"/>
      <c r="AF190" s="103" t="s">
        <v>870</v>
      </c>
      <c r="AG190" s="103" t="s">
        <v>871</v>
      </c>
      <c r="AH190" s="103" t="s">
        <v>872</v>
      </c>
      <c r="AI190" s="103">
        <v>0</v>
      </c>
      <c r="AJ190" s="103"/>
      <c r="AK190" s="103"/>
      <c r="AL190" s="103"/>
      <c r="AM190" s="103"/>
      <c r="AN190" s="103"/>
      <c r="AO190" s="103" t="str">
        <f t="shared" si="5"/>
        <v>Std_CFLscw(22w)_60pInc-r0248Wtd-Pack</v>
      </c>
    </row>
    <row r="191" spans="1:41">
      <c r="A191" s="177">
        <f>IFERROR(MATCH(D191,'Measure &amp; Standard CostIDs'!C$5:C$177,0),MATCH(D191,'Measure &amp; Standard CostIDs'!S$5:S$177,0))</f>
        <v>15</v>
      </c>
      <c r="B191" s="177">
        <v>1</v>
      </c>
      <c r="C191" s="103" t="s">
        <v>153</v>
      </c>
      <c r="D191" s="103" t="s">
        <v>887</v>
      </c>
      <c r="E191" s="103" t="str">
        <f>IF(LEFT(D191,3)="Std","Base case cost for mix of 60% Incandescent and 40% CFL lamps for CFL TechID: "&amp;INDEX('Measure &amp; Standard CostIDs'!$C$5:$C$177,A191),"&lt;from TechID&gt;")</f>
        <v>Base case cost for mix of 60% Incandescent and 40% CFL lamps for CFL TechID: CFLscw(23w)</v>
      </c>
      <c r="F191" s="103" t="s">
        <v>860</v>
      </c>
      <c r="G191" s="103" t="s">
        <v>151</v>
      </c>
      <c r="H191" s="103" t="s">
        <v>861</v>
      </c>
      <c r="I191" s="103" t="s">
        <v>862</v>
      </c>
      <c r="J191" s="103" t="s">
        <v>863</v>
      </c>
      <c r="K191" s="103" t="s">
        <v>864</v>
      </c>
      <c r="L191" s="103" t="s">
        <v>153</v>
      </c>
      <c r="M191" s="103" t="s">
        <v>865</v>
      </c>
      <c r="N191" s="103" t="s">
        <v>866</v>
      </c>
      <c r="O191" s="103" t="str">
        <f t="shared" si="4"/>
        <v/>
      </c>
      <c r="P191" s="103" t="s">
        <v>153</v>
      </c>
      <c r="Q191" s="103" t="s">
        <v>153</v>
      </c>
      <c r="R191" s="103" t="s">
        <v>153</v>
      </c>
      <c r="S191" s="103" t="str">
        <f>INDEX('Measure &amp; Standard CostIDs'!$AK$8:$AK$12,B191)</f>
        <v>Wtd-Pack</v>
      </c>
      <c r="T191" s="103" t="s">
        <v>867</v>
      </c>
      <c r="U191" s="103"/>
      <c r="V191" s="103"/>
      <c r="W191" s="103">
        <f>ROUND(IF(LEFT(D191,3)="Std",VLOOKUP(D191,'Measure &amp; Standard CostIDs'!$S$5:$X$177,1+B191,FALSE),VLOOKUP(D191,'Measure &amp; Standard CostIDs'!$C$5:$H$177,1+B191,FALSE)),2)</f>
        <v>2.2599999999999998</v>
      </c>
      <c r="X191" s="103"/>
      <c r="Y191" s="103"/>
      <c r="Z191" s="103" t="s">
        <v>868</v>
      </c>
      <c r="AA191" s="103" t="s">
        <v>874</v>
      </c>
      <c r="AB191" s="103" t="s">
        <v>153</v>
      </c>
      <c r="AC191" s="103">
        <v>0</v>
      </c>
      <c r="AD191" s="156">
        <v>42005</v>
      </c>
      <c r="AE191" s="103"/>
      <c r="AF191" s="103" t="s">
        <v>870</v>
      </c>
      <c r="AG191" s="103" t="s">
        <v>871</v>
      </c>
      <c r="AH191" s="103" t="s">
        <v>872</v>
      </c>
      <c r="AI191" s="103">
        <v>0</v>
      </c>
      <c r="AJ191" s="103"/>
      <c r="AK191" s="103"/>
      <c r="AL191" s="103"/>
      <c r="AM191" s="103"/>
      <c r="AN191" s="103"/>
      <c r="AO191" s="103" t="str">
        <f t="shared" si="5"/>
        <v>Std_CFLscw(23w)_60pInc-r0248Wtd-Pack</v>
      </c>
    </row>
    <row r="192" spans="1:41">
      <c r="A192" s="177">
        <f>IFERROR(MATCH(D192,'Measure &amp; Standard CostIDs'!C$5:C$177,0),MATCH(D192,'Measure &amp; Standard CostIDs'!S$5:S$177,0))</f>
        <v>16</v>
      </c>
      <c r="B192" s="177">
        <v>1</v>
      </c>
      <c r="C192" s="103" t="s">
        <v>153</v>
      </c>
      <c r="D192" s="103" t="s">
        <v>888</v>
      </c>
      <c r="E192" s="103" t="str">
        <f>IF(LEFT(D192,3)="Std","Base case cost for mix of 60% Incandescent and 40% CFL lamps for CFL TechID: "&amp;INDEX('Measure &amp; Standard CostIDs'!$C$5:$C$177,A192),"&lt;from TechID&gt;")</f>
        <v>Base case cost for mix of 60% Incandescent and 40% CFL lamps for CFL TechID: CFLscw(24w)</v>
      </c>
      <c r="F192" s="103" t="s">
        <v>860</v>
      </c>
      <c r="G192" s="103" t="s">
        <v>151</v>
      </c>
      <c r="H192" s="103" t="s">
        <v>861</v>
      </c>
      <c r="I192" s="103" t="s">
        <v>862</v>
      </c>
      <c r="J192" s="103" t="s">
        <v>863</v>
      </c>
      <c r="K192" s="103" t="s">
        <v>864</v>
      </c>
      <c r="L192" s="103" t="s">
        <v>153</v>
      </c>
      <c r="M192" s="103" t="s">
        <v>865</v>
      </c>
      <c r="N192" s="103" t="s">
        <v>866</v>
      </c>
      <c r="O192" s="103" t="str">
        <f t="shared" si="4"/>
        <v/>
      </c>
      <c r="P192" s="103" t="s">
        <v>153</v>
      </c>
      <c r="Q192" s="103" t="s">
        <v>153</v>
      </c>
      <c r="R192" s="103" t="s">
        <v>153</v>
      </c>
      <c r="S192" s="103" t="str">
        <f>INDEX('Measure &amp; Standard CostIDs'!$AK$8:$AK$12,B192)</f>
        <v>Wtd-Pack</v>
      </c>
      <c r="T192" s="103" t="s">
        <v>867</v>
      </c>
      <c r="U192" s="103"/>
      <c r="V192" s="103"/>
      <c r="W192" s="103">
        <f>ROUND(IF(LEFT(D192,3)="Std",VLOOKUP(D192,'Measure &amp; Standard CostIDs'!$S$5:$X$177,1+B192,FALSE),VLOOKUP(D192,'Measure &amp; Standard CostIDs'!$C$5:$H$177,1+B192,FALSE)),2)</f>
        <v>2.2799999999999998</v>
      </c>
      <c r="X192" s="103"/>
      <c r="Y192" s="103"/>
      <c r="Z192" s="103" t="s">
        <v>868</v>
      </c>
      <c r="AA192" s="103" t="s">
        <v>874</v>
      </c>
      <c r="AB192" s="103" t="s">
        <v>153</v>
      </c>
      <c r="AC192" s="103">
        <v>0</v>
      </c>
      <c r="AD192" s="156">
        <v>42005</v>
      </c>
      <c r="AE192" s="103"/>
      <c r="AF192" s="103" t="s">
        <v>870</v>
      </c>
      <c r="AG192" s="103" t="s">
        <v>871</v>
      </c>
      <c r="AH192" s="103" t="s">
        <v>872</v>
      </c>
      <c r="AI192" s="103">
        <v>0</v>
      </c>
      <c r="AJ192" s="103"/>
      <c r="AK192" s="103"/>
      <c r="AL192" s="103"/>
      <c r="AM192" s="103"/>
      <c r="AN192" s="103"/>
      <c r="AO192" s="103" t="str">
        <f t="shared" si="5"/>
        <v>Std_CFLscw(24w)_60pInc-r0248Wtd-Pack</v>
      </c>
    </row>
    <row r="193" spans="1:41">
      <c r="A193" s="177">
        <f>IFERROR(MATCH(D193,'Measure &amp; Standard CostIDs'!C$5:C$177,0),MATCH(D193,'Measure &amp; Standard CostIDs'!S$5:S$177,0))</f>
        <v>17</v>
      </c>
      <c r="B193" s="177">
        <v>1</v>
      </c>
      <c r="C193" s="103" t="s">
        <v>153</v>
      </c>
      <c r="D193" s="103" t="s">
        <v>889</v>
      </c>
      <c r="E193" s="103" t="str">
        <f>IF(LEFT(D193,3)="Std","Base case cost for mix of 60% Incandescent and 40% CFL lamps for CFL TechID: "&amp;INDEX('Measure &amp; Standard CostIDs'!$C$5:$C$177,A193),"&lt;from TechID&gt;")</f>
        <v>Base case cost for mix of 60% Incandescent and 40% CFL lamps for CFL TechID: CFLscw(25w)</v>
      </c>
      <c r="F193" s="103" t="s">
        <v>860</v>
      </c>
      <c r="G193" s="103" t="s">
        <v>151</v>
      </c>
      <c r="H193" s="103" t="s">
        <v>861</v>
      </c>
      <c r="I193" s="103" t="s">
        <v>862</v>
      </c>
      <c r="J193" s="103" t="s">
        <v>863</v>
      </c>
      <c r="K193" s="103" t="s">
        <v>864</v>
      </c>
      <c r="L193" s="103" t="s">
        <v>153</v>
      </c>
      <c r="M193" s="103" t="s">
        <v>865</v>
      </c>
      <c r="N193" s="103" t="s">
        <v>866</v>
      </c>
      <c r="O193" s="103" t="str">
        <f t="shared" si="4"/>
        <v/>
      </c>
      <c r="P193" s="103" t="s">
        <v>153</v>
      </c>
      <c r="Q193" s="103" t="s">
        <v>153</v>
      </c>
      <c r="R193" s="103" t="s">
        <v>153</v>
      </c>
      <c r="S193" s="103" t="str">
        <f>INDEX('Measure &amp; Standard CostIDs'!$AK$8:$AK$12,B193)</f>
        <v>Wtd-Pack</v>
      </c>
      <c r="T193" s="103" t="s">
        <v>867</v>
      </c>
      <c r="U193" s="103"/>
      <c r="V193" s="103"/>
      <c r="W193" s="103">
        <f>ROUND(IF(LEFT(D193,3)="Std",VLOOKUP(D193,'Measure &amp; Standard CostIDs'!$S$5:$X$177,1+B193,FALSE),VLOOKUP(D193,'Measure &amp; Standard CostIDs'!$C$5:$H$177,1+B193,FALSE)),2)</f>
        <v>2.31</v>
      </c>
      <c r="X193" s="103"/>
      <c r="Y193" s="103"/>
      <c r="Z193" s="103" t="s">
        <v>868</v>
      </c>
      <c r="AA193" s="103" t="s">
        <v>874</v>
      </c>
      <c r="AB193" s="103" t="s">
        <v>153</v>
      </c>
      <c r="AC193" s="103">
        <v>0</v>
      </c>
      <c r="AD193" s="156">
        <v>42005</v>
      </c>
      <c r="AE193" s="103"/>
      <c r="AF193" s="103" t="s">
        <v>870</v>
      </c>
      <c r="AG193" s="103" t="s">
        <v>871</v>
      </c>
      <c r="AH193" s="103" t="s">
        <v>872</v>
      </c>
      <c r="AI193" s="103">
        <v>0</v>
      </c>
      <c r="AJ193" s="103"/>
      <c r="AK193" s="103"/>
      <c r="AL193" s="103"/>
      <c r="AM193" s="103"/>
      <c r="AN193" s="103"/>
      <c r="AO193" s="103" t="str">
        <f t="shared" si="5"/>
        <v>Std_CFLscw(25w)_60pInc-r0248Wtd-Pack</v>
      </c>
    </row>
    <row r="194" spans="1:41">
      <c r="A194" s="177">
        <f>IFERROR(MATCH(D194,'Measure &amp; Standard CostIDs'!C$5:C$177,0),MATCH(D194,'Measure &amp; Standard CostIDs'!S$5:S$177,0))</f>
        <v>18</v>
      </c>
      <c r="B194" s="177">
        <v>1</v>
      </c>
      <c r="C194" s="103" t="s">
        <v>153</v>
      </c>
      <c r="D194" s="103" t="s">
        <v>890</v>
      </c>
      <c r="E194" s="103" t="str">
        <f>IF(LEFT(D194,3)="Std","Base case cost for mix of 60% Incandescent and 40% CFL lamps for CFL TechID: "&amp;INDEX('Measure &amp; Standard CostIDs'!$C$5:$C$177,A194),"&lt;from TechID&gt;")</f>
        <v>Base case cost for mix of 60% Incandescent and 40% CFL lamps for CFL TechID: CFLscw(26w)</v>
      </c>
      <c r="F194" s="103" t="s">
        <v>860</v>
      </c>
      <c r="G194" s="103" t="s">
        <v>151</v>
      </c>
      <c r="H194" s="103" t="s">
        <v>861</v>
      </c>
      <c r="I194" s="103" t="s">
        <v>862</v>
      </c>
      <c r="J194" s="103" t="s">
        <v>863</v>
      </c>
      <c r="K194" s="103" t="s">
        <v>864</v>
      </c>
      <c r="L194" s="103" t="s">
        <v>153</v>
      </c>
      <c r="M194" s="103" t="s">
        <v>865</v>
      </c>
      <c r="N194" s="103" t="s">
        <v>866</v>
      </c>
      <c r="O194" s="103" t="str">
        <f t="shared" si="4"/>
        <v/>
      </c>
      <c r="P194" s="103" t="s">
        <v>153</v>
      </c>
      <c r="Q194" s="103" t="s">
        <v>153</v>
      </c>
      <c r="R194" s="103" t="s">
        <v>153</v>
      </c>
      <c r="S194" s="103" t="str">
        <f>INDEX('Measure &amp; Standard CostIDs'!$AK$8:$AK$12,B194)</f>
        <v>Wtd-Pack</v>
      </c>
      <c r="T194" s="103" t="s">
        <v>867</v>
      </c>
      <c r="U194" s="103"/>
      <c r="V194" s="103"/>
      <c r="W194" s="103">
        <f>ROUND(IF(LEFT(D194,3)="Std",VLOOKUP(D194,'Measure &amp; Standard CostIDs'!$S$5:$X$177,1+B194,FALSE),VLOOKUP(D194,'Measure &amp; Standard CostIDs'!$C$5:$H$177,1+B194,FALSE)),2)</f>
        <v>2.37</v>
      </c>
      <c r="X194" s="103"/>
      <c r="Y194" s="103"/>
      <c r="Z194" s="103" t="s">
        <v>868</v>
      </c>
      <c r="AA194" s="103" t="s">
        <v>874</v>
      </c>
      <c r="AB194" s="103" t="s">
        <v>153</v>
      </c>
      <c r="AC194" s="103">
        <v>0</v>
      </c>
      <c r="AD194" s="156">
        <v>42005</v>
      </c>
      <c r="AE194" s="103"/>
      <c r="AF194" s="103" t="s">
        <v>870</v>
      </c>
      <c r="AG194" s="103" t="s">
        <v>871</v>
      </c>
      <c r="AH194" s="103" t="s">
        <v>872</v>
      </c>
      <c r="AI194" s="103">
        <v>0</v>
      </c>
      <c r="AJ194" s="103"/>
      <c r="AK194" s="103"/>
      <c r="AL194" s="103"/>
      <c r="AM194" s="103"/>
      <c r="AN194" s="103"/>
      <c r="AO194" s="103" t="str">
        <f t="shared" si="5"/>
        <v>Std_CFLscw(26w)_60pInc-r0248Wtd-Pack</v>
      </c>
    </row>
    <row r="195" spans="1:41">
      <c r="A195" s="177">
        <f>IFERROR(MATCH(D195,'Measure &amp; Standard CostIDs'!C$5:C$177,0),MATCH(D195,'Measure &amp; Standard CostIDs'!S$5:S$177,0))</f>
        <v>19</v>
      </c>
      <c r="B195" s="177">
        <v>1</v>
      </c>
      <c r="C195" s="103" t="s">
        <v>153</v>
      </c>
      <c r="D195" s="103" t="s">
        <v>891</v>
      </c>
      <c r="E195" s="103" t="str">
        <f>IF(LEFT(D195,3)="Std","Base case cost for mix of 60% Incandescent and 40% CFL lamps for CFL TechID: "&amp;INDEX('Measure &amp; Standard CostIDs'!$C$5:$C$177,A195),"&lt;from TechID&gt;")</f>
        <v>Base case cost for mix of 60% Incandescent and 40% CFL lamps for CFL TechID: CFLscw(27w)</v>
      </c>
      <c r="F195" s="103" t="s">
        <v>860</v>
      </c>
      <c r="G195" s="103" t="s">
        <v>151</v>
      </c>
      <c r="H195" s="103" t="s">
        <v>861</v>
      </c>
      <c r="I195" s="103" t="s">
        <v>862</v>
      </c>
      <c r="J195" s="103" t="s">
        <v>863</v>
      </c>
      <c r="K195" s="103" t="s">
        <v>864</v>
      </c>
      <c r="L195" s="103" t="s">
        <v>153</v>
      </c>
      <c r="M195" s="103" t="s">
        <v>865</v>
      </c>
      <c r="N195" s="103" t="s">
        <v>866</v>
      </c>
      <c r="O195" s="103" t="str">
        <f t="shared" si="4"/>
        <v/>
      </c>
      <c r="P195" s="103" t="s">
        <v>153</v>
      </c>
      <c r="Q195" s="103" t="s">
        <v>153</v>
      </c>
      <c r="R195" s="103" t="s">
        <v>153</v>
      </c>
      <c r="S195" s="103" t="str">
        <f>INDEX('Measure &amp; Standard CostIDs'!$AK$8:$AK$12,B195)</f>
        <v>Wtd-Pack</v>
      </c>
      <c r="T195" s="103" t="s">
        <v>867</v>
      </c>
      <c r="U195" s="103"/>
      <c r="V195" s="103"/>
      <c r="W195" s="103">
        <f>ROUND(IF(LEFT(D195,3)="Std",VLOOKUP(D195,'Measure &amp; Standard CostIDs'!$S$5:$X$177,1+B195,FALSE),VLOOKUP(D195,'Measure &amp; Standard CostIDs'!$C$5:$H$177,1+B195,FALSE)),2)</f>
        <v>2.44</v>
      </c>
      <c r="X195" s="103"/>
      <c r="Y195" s="103"/>
      <c r="Z195" s="103" t="s">
        <v>868</v>
      </c>
      <c r="AA195" s="103" t="s">
        <v>874</v>
      </c>
      <c r="AB195" s="103" t="s">
        <v>153</v>
      </c>
      <c r="AC195" s="103">
        <v>0</v>
      </c>
      <c r="AD195" s="156">
        <v>42005</v>
      </c>
      <c r="AE195" s="103"/>
      <c r="AF195" s="103" t="s">
        <v>870</v>
      </c>
      <c r="AG195" s="103" t="s">
        <v>871</v>
      </c>
      <c r="AH195" s="103" t="s">
        <v>872</v>
      </c>
      <c r="AI195" s="103">
        <v>0</v>
      </c>
      <c r="AJ195" s="103"/>
      <c r="AK195" s="103"/>
      <c r="AL195" s="103"/>
      <c r="AM195" s="103"/>
      <c r="AN195" s="103"/>
      <c r="AO195" s="103" t="str">
        <f t="shared" si="5"/>
        <v>Std_CFLscw(27w)_60pInc-r0248Wtd-Pack</v>
      </c>
    </row>
    <row r="196" spans="1:41">
      <c r="A196" s="177">
        <f>IFERROR(MATCH(D196,'Measure &amp; Standard CostIDs'!C$5:C$177,0),MATCH(D196,'Measure &amp; Standard CostIDs'!S$5:S$177,0))</f>
        <v>20</v>
      </c>
      <c r="B196" s="177">
        <v>1</v>
      </c>
      <c r="C196" s="103" t="s">
        <v>153</v>
      </c>
      <c r="D196" s="103" t="s">
        <v>892</v>
      </c>
      <c r="E196" s="103" t="str">
        <f>IF(LEFT(D196,3)="Std","Base case cost for mix of 60% Incandescent and 40% CFL lamps for CFL TechID: "&amp;INDEX('Measure &amp; Standard CostIDs'!$C$5:$C$177,A196),"&lt;from TechID&gt;")</f>
        <v>Base case cost for mix of 60% Incandescent and 40% CFL lamps for CFL TechID: CFLscw(28w)</v>
      </c>
      <c r="F196" s="103" t="s">
        <v>860</v>
      </c>
      <c r="G196" s="103" t="s">
        <v>151</v>
      </c>
      <c r="H196" s="103" t="s">
        <v>861</v>
      </c>
      <c r="I196" s="103" t="s">
        <v>862</v>
      </c>
      <c r="J196" s="103" t="s">
        <v>863</v>
      </c>
      <c r="K196" s="103" t="s">
        <v>864</v>
      </c>
      <c r="L196" s="103" t="s">
        <v>153</v>
      </c>
      <c r="M196" s="103" t="s">
        <v>865</v>
      </c>
      <c r="N196" s="103" t="s">
        <v>866</v>
      </c>
      <c r="O196" s="103" t="str">
        <f t="shared" si="4"/>
        <v/>
      </c>
      <c r="P196" s="103" t="s">
        <v>153</v>
      </c>
      <c r="Q196" s="103" t="s">
        <v>153</v>
      </c>
      <c r="R196" s="103" t="s">
        <v>153</v>
      </c>
      <c r="S196" s="103" t="str">
        <f>INDEX('Measure &amp; Standard CostIDs'!$AK$8:$AK$12,B196)</f>
        <v>Wtd-Pack</v>
      </c>
      <c r="T196" s="103" t="s">
        <v>867</v>
      </c>
      <c r="U196" s="103"/>
      <c r="V196" s="103"/>
      <c r="W196" s="103">
        <f>ROUND(IF(LEFT(D196,3)="Std",VLOOKUP(D196,'Measure &amp; Standard CostIDs'!$S$5:$X$177,1+B196,FALSE),VLOOKUP(D196,'Measure &amp; Standard CostIDs'!$C$5:$H$177,1+B196,FALSE)),2)</f>
        <v>2.5</v>
      </c>
      <c r="X196" s="103"/>
      <c r="Y196" s="103"/>
      <c r="Z196" s="103" t="s">
        <v>868</v>
      </c>
      <c r="AA196" s="103" t="s">
        <v>874</v>
      </c>
      <c r="AB196" s="103" t="s">
        <v>153</v>
      </c>
      <c r="AC196" s="103">
        <v>0</v>
      </c>
      <c r="AD196" s="156">
        <v>42005</v>
      </c>
      <c r="AE196" s="103"/>
      <c r="AF196" s="103" t="s">
        <v>870</v>
      </c>
      <c r="AG196" s="103" t="s">
        <v>871</v>
      </c>
      <c r="AH196" s="103" t="s">
        <v>872</v>
      </c>
      <c r="AI196" s="103">
        <v>0</v>
      </c>
      <c r="AJ196" s="103"/>
      <c r="AK196" s="103"/>
      <c r="AL196" s="103"/>
      <c r="AM196" s="103"/>
      <c r="AN196" s="103"/>
      <c r="AO196" s="103" t="str">
        <f t="shared" si="5"/>
        <v>Std_CFLscw(28w)_60pInc-r0248Wtd-Pack</v>
      </c>
    </row>
    <row r="197" spans="1:41">
      <c r="A197" s="177">
        <f>IFERROR(MATCH(D197,'Measure &amp; Standard CostIDs'!C$5:C$177,0),MATCH(D197,'Measure &amp; Standard CostIDs'!S$5:S$177,0))</f>
        <v>21</v>
      </c>
      <c r="B197" s="177">
        <v>1</v>
      </c>
      <c r="C197" s="103" t="s">
        <v>153</v>
      </c>
      <c r="D197" s="103" t="s">
        <v>893</v>
      </c>
      <c r="E197" s="103" t="str">
        <f>IF(LEFT(D197,3)="Std","Base case cost for mix of 60% Incandescent and 40% CFL lamps for CFL TechID: "&amp;INDEX('Measure &amp; Standard CostIDs'!$C$5:$C$177,A197),"&lt;from TechID&gt;")</f>
        <v>Base case cost for mix of 60% Incandescent and 40% CFL lamps for CFL TechID: CFLscw(29w)</v>
      </c>
      <c r="F197" s="103" t="s">
        <v>860</v>
      </c>
      <c r="G197" s="103" t="s">
        <v>151</v>
      </c>
      <c r="H197" s="103" t="s">
        <v>861</v>
      </c>
      <c r="I197" s="103" t="s">
        <v>862</v>
      </c>
      <c r="J197" s="103" t="s">
        <v>863</v>
      </c>
      <c r="K197" s="103" t="s">
        <v>864</v>
      </c>
      <c r="L197" s="103" t="s">
        <v>153</v>
      </c>
      <c r="M197" s="103" t="s">
        <v>865</v>
      </c>
      <c r="N197" s="103" t="s">
        <v>866</v>
      </c>
      <c r="O197" s="103" t="str">
        <f t="shared" si="4"/>
        <v/>
      </c>
      <c r="P197" s="103" t="s">
        <v>153</v>
      </c>
      <c r="Q197" s="103" t="s">
        <v>153</v>
      </c>
      <c r="R197" s="103" t="s">
        <v>153</v>
      </c>
      <c r="S197" s="103" t="str">
        <f>INDEX('Measure &amp; Standard CostIDs'!$AK$8:$AK$12,B197)</f>
        <v>Wtd-Pack</v>
      </c>
      <c r="T197" s="103" t="s">
        <v>867</v>
      </c>
      <c r="U197" s="103"/>
      <c r="V197" s="103"/>
      <c r="W197" s="103">
        <f>ROUND(IF(LEFT(D197,3)="Std",VLOOKUP(D197,'Measure &amp; Standard CostIDs'!$S$5:$X$177,1+B197,FALSE),VLOOKUP(D197,'Measure &amp; Standard CostIDs'!$C$5:$H$177,1+B197,FALSE)),2)</f>
        <v>2.57</v>
      </c>
      <c r="X197" s="103"/>
      <c r="Y197" s="103"/>
      <c r="Z197" s="103" t="s">
        <v>868</v>
      </c>
      <c r="AA197" s="103" t="s">
        <v>874</v>
      </c>
      <c r="AB197" s="103" t="s">
        <v>153</v>
      </c>
      <c r="AC197" s="103">
        <v>0</v>
      </c>
      <c r="AD197" s="156">
        <v>42005</v>
      </c>
      <c r="AE197" s="103"/>
      <c r="AF197" s="103" t="s">
        <v>870</v>
      </c>
      <c r="AG197" s="103" t="s">
        <v>871</v>
      </c>
      <c r="AH197" s="103" t="s">
        <v>872</v>
      </c>
      <c r="AI197" s="103">
        <v>0</v>
      </c>
      <c r="AJ197" s="103"/>
      <c r="AK197" s="103"/>
      <c r="AL197" s="103"/>
      <c r="AM197" s="103"/>
      <c r="AN197" s="103"/>
      <c r="AO197" s="103" t="str">
        <f t="shared" si="5"/>
        <v>Std_CFLscw(29w)_60pInc-r0248Wtd-Pack</v>
      </c>
    </row>
    <row r="198" spans="1:41">
      <c r="A198" s="177">
        <f>IFERROR(MATCH(D198,'Measure &amp; Standard CostIDs'!C$5:C$177,0),MATCH(D198,'Measure &amp; Standard CostIDs'!S$5:S$177,0))</f>
        <v>22</v>
      </c>
      <c r="B198" s="177">
        <v>1</v>
      </c>
      <c r="C198" s="103" t="s">
        <v>153</v>
      </c>
      <c r="D198" s="103" t="s">
        <v>894</v>
      </c>
      <c r="E198" s="103" t="str">
        <f>IF(LEFT(D198,3)="Std","Base case cost for mix of 60% Incandescent and 40% CFL lamps for CFL TechID: "&amp;INDEX('Measure &amp; Standard CostIDs'!$C$5:$C$177,A198),"&lt;from TechID&gt;")</f>
        <v>Base case cost for mix of 60% Incandescent and 40% CFL lamps for CFL TechID: CFLscw(30w)</v>
      </c>
      <c r="F198" s="103" t="s">
        <v>860</v>
      </c>
      <c r="G198" s="103" t="s">
        <v>151</v>
      </c>
      <c r="H198" s="103" t="s">
        <v>861</v>
      </c>
      <c r="I198" s="103" t="s">
        <v>862</v>
      </c>
      <c r="J198" s="103" t="s">
        <v>863</v>
      </c>
      <c r="K198" s="103" t="s">
        <v>864</v>
      </c>
      <c r="L198" s="103" t="s">
        <v>153</v>
      </c>
      <c r="M198" s="103" t="s">
        <v>865</v>
      </c>
      <c r="N198" s="103" t="s">
        <v>866</v>
      </c>
      <c r="O198" s="103" t="str">
        <f t="shared" ref="O198:O261" si="6">IF(LEFT(D198,3)="Std","",D198)</f>
        <v/>
      </c>
      <c r="P198" s="103" t="s">
        <v>153</v>
      </c>
      <c r="Q198" s="103" t="s">
        <v>153</v>
      </c>
      <c r="R198" s="103" t="s">
        <v>153</v>
      </c>
      <c r="S198" s="103" t="str">
        <f>INDEX('Measure &amp; Standard CostIDs'!$AK$8:$AK$12,B198)</f>
        <v>Wtd-Pack</v>
      </c>
      <c r="T198" s="103" t="s">
        <v>867</v>
      </c>
      <c r="U198" s="103"/>
      <c r="V198" s="103"/>
      <c r="W198" s="103">
        <f>ROUND(IF(LEFT(D198,3)="Std",VLOOKUP(D198,'Measure &amp; Standard CostIDs'!$S$5:$X$177,1+B198,FALSE),VLOOKUP(D198,'Measure &amp; Standard CostIDs'!$C$5:$H$177,1+B198,FALSE)),2)</f>
        <v>2.63</v>
      </c>
      <c r="X198" s="103"/>
      <c r="Y198" s="103"/>
      <c r="Z198" s="103" t="s">
        <v>868</v>
      </c>
      <c r="AA198" s="103" t="s">
        <v>874</v>
      </c>
      <c r="AB198" s="103" t="s">
        <v>153</v>
      </c>
      <c r="AC198" s="103">
        <v>0</v>
      </c>
      <c r="AD198" s="156">
        <v>42005</v>
      </c>
      <c r="AE198" s="103"/>
      <c r="AF198" s="103" t="s">
        <v>870</v>
      </c>
      <c r="AG198" s="103" t="s">
        <v>871</v>
      </c>
      <c r="AH198" s="103" t="s">
        <v>872</v>
      </c>
      <c r="AI198" s="103">
        <v>0</v>
      </c>
      <c r="AJ198" s="103"/>
      <c r="AK198" s="103"/>
      <c r="AL198" s="103"/>
      <c r="AM198" s="103"/>
      <c r="AN198" s="103"/>
      <c r="AO198" s="103" t="str">
        <f t="shared" ref="AO198:AO261" si="7">D198&amp;S198</f>
        <v>Std_CFLscw(30w)_60pInc-r0248Wtd-Pack</v>
      </c>
    </row>
    <row r="199" spans="1:41">
      <c r="A199" s="177">
        <f>IFERROR(MATCH(D199,'Measure &amp; Standard CostIDs'!C$5:C$177,0),MATCH(D199,'Measure &amp; Standard CostIDs'!S$5:S$177,0))</f>
        <v>23</v>
      </c>
      <c r="B199" s="177">
        <v>1</v>
      </c>
      <c r="C199" s="103" t="s">
        <v>153</v>
      </c>
      <c r="D199" s="103" t="s">
        <v>895</v>
      </c>
      <c r="E199" s="103" t="str">
        <f>IF(LEFT(D199,3)="Std","Base case cost for mix of 60% Incandescent and 40% CFL lamps for CFL TechID: "&amp;INDEX('Measure &amp; Standard CostIDs'!$C$5:$C$177,A199),"&lt;from TechID&gt;")</f>
        <v>Base case cost for mix of 60% Incandescent and 40% CFL lamps for CFL TechID: CFLscw(31w)</v>
      </c>
      <c r="F199" s="103" t="s">
        <v>860</v>
      </c>
      <c r="G199" s="103" t="s">
        <v>151</v>
      </c>
      <c r="H199" s="103" t="s">
        <v>861</v>
      </c>
      <c r="I199" s="103" t="s">
        <v>862</v>
      </c>
      <c r="J199" s="103" t="s">
        <v>863</v>
      </c>
      <c r="K199" s="103" t="s">
        <v>864</v>
      </c>
      <c r="L199" s="103" t="s">
        <v>153</v>
      </c>
      <c r="M199" s="103" t="s">
        <v>865</v>
      </c>
      <c r="N199" s="103" t="s">
        <v>866</v>
      </c>
      <c r="O199" s="103" t="str">
        <f t="shared" si="6"/>
        <v/>
      </c>
      <c r="P199" s="103" t="s">
        <v>153</v>
      </c>
      <c r="Q199" s="103" t="s">
        <v>153</v>
      </c>
      <c r="R199" s="103" t="s">
        <v>153</v>
      </c>
      <c r="S199" s="103" t="str">
        <f>INDEX('Measure &amp; Standard CostIDs'!$AK$8:$AK$12,B199)</f>
        <v>Wtd-Pack</v>
      </c>
      <c r="T199" s="103" t="s">
        <v>867</v>
      </c>
      <c r="U199" s="103"/>
      <c r="V199" s="103"/>
      <c r="W199" s="103">
        <f>ROUND(IF(LEFT(D199,3)="Std",VLOOKUP(D199,'Measure &amp; Standard CostIDs'!$S$5:$X$177,1+B199,FALSE),VLOOKUP(D199,'Measure &amp; Standard CostIDs'!$C$5:$H$177,1+B199,FALSE)),2)</f>
        <v>2.7</v>
      </c>
      <c r="X199" s="103"/>
      <c r="Y199" s="103"/>
      <c r="Z199" s="103" t="s">
        <v>868</v>
      </c>
      <c r="AA199" s="103" t="s">
        <v>874</v>
      </c>
      <c r="AB199" s="103" t="s">
        <v>153</v>
      </c>
      <c r="AC199" s="103">
        <v>0</v>
      </c>
      <c r="AD199" s="156">
        <v>42005</v>
      </c>
      <c r="AE199" s="103"/>
      <c r="AF199" s="103" t="s">
        <v>870</v>
      </c>
      <c r="AG199" s="103" t="s">
        <v>871</v>
      </c>
      <c r="AH199" s="103" t="s">
        <v>872</v>
      </c>
      <c r="AI199" s="103">
        <v>0</v>
      </c>
      <c r="AJ199" s="103"/>
      <c r="AK199" s="103"/>
      <c r="AL199" s="103"/>
      <c r="AM199" s="103"/>
      <c r="AN199" s="103"/>
      <c r="AO199" s="103" t="str">
        <f t="shared" si="7"/>
        <v>Std_CFLscw(31w)_60pInc-r0248Wtd-Pack</v>
      </c>
    </row>
    <row r="200" spans="1:41">
      <c r="A200" s="177">
        <f>IFERROR(MATCH(D200,'Measure &amp; Standard CostIDs'!C$5:C$177,0),MATCH(D200,'Measure &amp; Standard CostIDs'!S$5:S$177,0))</f>
        <v>24</v>
      </c>
      <c r="B200" s="177">
        <v>1</v>
      </c>
      <c r="C200" s="103" t="s">
        <v>153</v>
      </c>
      <c r="D200" s="103" t="s">
        <v>896</v>
      </c>
      <c r="E200" s="103" t="str">
        <f>IF(LEFT(D200,3)="Std","Base case cost for mix of 60% Incandescent and 40% CFL lamps for CFL TechID: "&amp;INDEX('Measure &amp; Standard CostIDs'!$C$5:$C$177,A200),"&lt;from TechID&gt;")</f>
        <v>Base case cost for mix of 60% Incandescent and 40% CFL lamps for CFL TechID: CFLscw(32w)</v>
      </c>
      <c r="F200" s="103" t="s">
        <v>860</v>
      </c>
      <c r="G200" s="103" t="s">
        <v>151</v>
      </c>
      <c r="H200" s="103" t="s">
        <v>861</v>
      </c>
      <c r="I200" s="103" t="s">
        <v>862</v>
      </c>
      <c r="J200" s="103" t="s">
        <v>863</v>
      </c>
      <c r="K200" s="103" t="s">
        <v>864</v>
      </c>
      <c r="L200" s="103" t="s">
        <v>153</v>
      </c>
      <c r="M200" s="103" t="s">
        <v>865</v>
      </c>
      <c r="N200" s="103" t="s">
        <v>866</v>
      </c>
      <c r="O200" s="103" t="str">
        <f t="shared" si="6"/>
        <v/>
      </c>
      <c r="P200" s="103" t="s">
        <v>153</v>
      </c>
      <c r="Q200" s="103" t="s">
        <v>153</v>
      </c>
      <c r="R200" s="103" t="s">
        <v>153</v>
      </c>
      <c r="S200" s="103" t="str">
        <f>INDEX('Measure &amp; Standard CostIDs'!$AK$8:$AK$12,B200)</f>
        <v>Wtd-Pack</v>
      </c>
      <c r="T200" s="103" t="s">
        <v>867</v>
      </c>
      <c r="U200" s="103"/>
      <c r="V200" s="103"/>
      <c r="W200" s="103">
        <f>ROUND(IF(LEFT(D200,3)="Std",VLOOKUP(D200,'Measure &amp; Standard CostIDs'!$S$5:$X$177,1+B200,FALSE),VLOOKUP(D200,'Measure &amp; Standard CostIDs'!$C$5:$H$177,1+B200,FALSE)),2)</f>
        <v>2.76</v>
      </c>
      <c r="X200" s="103"/>
      <c r="Y200" s="103"/>
      <c r="Z200" s="103" t="s">
        <v>868</v>
      </c>
      <c r="AA200" s="103" t="s">
        <v>874</v>
      </c>
      <c r="AB200" s="103" t="s">
        <v>153</v>
      </c>
      <c r="AC200" s="103">
        <v>0</v>
      </c>
      <c r="AD200" s="156">
        <v>42005</v>
      </c>
      <c r="AE200" s="103"/>
      <c r="AF200" s="103" t="s">
        <v>870</v>
      </c>
      <c r="AG200" s="103" t="s">
        <v>871</v>
      </c>
      <c r="AH200" s="103" t="s">
        <v>872</v>
      </c>
      <c r="AI200" s="103">
        <v>0</v>
      </c>
      <c r="AJ200" s="103"/>
      <c r="AK200" s="103"/>
      <c r="AL200" s="103"/>
      <c r="AM200" s="103"/>
      <c r="AN200" s="103"/>
      <c r="AO200" s="103" t="str">
        <f t="shared" si="7"/>
        <v>Std_CFLscw(32w)_60pInc-r0248Wtd-Pack</v>
      </c>
    </row>
    <row r="201" spans="1:41">
      <c r="A201" s="177">
        <f>IFERROR(MATCH(D201,'Measure &amp; Standard CostIDs'!C$5:C$177,0),MATCH(D201,'Measure &amp; Standard CostIDs'!S$5:S$177,0))</f>
        <v>25</v>
      </c>
      <c r="B201" s="177">
        <v>1</v>
      </c>
      <c r="C201" s="103" t="s">
        <v>153</v>
      </c>
      <c r="D201" s="103" t="s">
        <v>897</v>
      </c>
      <c r="E201" s="103" t="str">
        <f>IF(LEFT(D201,3)="Std","Base case cost for mix of 60% Incandescent and 40% CFL lamps for CFL TechID: "&amp;INDEX('Measure &amp; Standard CostIDs'!$C$5:$C$177,A201),"&lt;from TechID&gt;")</f>
        <v>Base case cost for mix of 60% Incandescent and 40% CFL lamps for CFL TechID: CFLscw(33w)</v>
      </c>
      <c r="F201" s="103" t="s">
        <v>860</v>
      </c>
      <c r="G201" s="103" t="s">
        <v>151</v>
      </c>
      <c r="H201" s="103" t="s">
        <v>861</v>
      </c>
      <c r="I201" s="103" t="s">
        <v>862</v>
      </c>
      <c r="J201" s="103" t="s">
        <v>863</v>
      </c>
      <c r="K201" s="103" t="s">
        <v>864</v>
      </c>
      <c r="L201" s="103" t="s">
        <v>153</v>
      </c>
      <c r="M201" s="103" t="s">
        <v>865</v>
      </c>
      <c r="N201" s="103" t="s">
        <v>866</v>
      </c>
      <c r="O201" s="103" t="str">
        <f t="shared" si="6"/>
        <v/>
      </c>
      <c r="P201" s="103" t="s">
        <v>153</v>
      </c>
      <c r="Q201" s="103" t="s">
        <v>153</v>
      </c>
      <c r="R201" s="103" t="s">
        <v>153</v>
      </c>
      <c r="S201" s="103" t="str">
        <f>INDEX('Measure &amp; Standard CostIDs'!$AK$8:$AK$12,B201)</f>
        <v>Wtd-Pack</v>
      </c>
      <c r="T201" s="103" t="s">
        <v>867</v>
      </c>
      <c r="U201" s="103"/>
      <c r="V201" s="103"/>
      <c r="W201" s="103">
        <f>ROUND(IF(LEFT(D201,3)="Std",VLOOKUP(D201,'Measure &amp; Standard CostIDs'!$S$5:$X$177,1+B201,FALSE),VLOOKUP(D201,'Measure &amp; Standard CostIDs'!$C$5:$H$177,1+B201,FALSE)),2)</f>
        <v>2.83</v>
      </c>
      <c r="X201" s="103"/>
      <c r="Y201" s="103"/>
      <c r="Z201" s="103" t="s">
        <v>868</v>
      </c>
      <c r="AA201" s="103" t="s">
        <v>874</v>
      </c>
      <c r="AB201" s="103" t="s">
        <v>153</v>
      </c>
      <c r="AC201" s="103">
        <v>0</v>
      </c>
      <c r="AD201" s="156">
        <v>42005</v>
      </c>
      <c r="AE201" s="103"/>
      <c r="AF201" s="103" t="s">
        <v>870</v>
      </c>
      <c r="AG201" s="103" t="s">
        <v>871</v>
      </c>
      <c r="AH201" s="103" t="s">
        <v>872</v>
      </c>
      <c r="AI201" s="103">
        <v>0</v>
      </c>
      <c r="AJ201" s="103"/>
      <c r="AK201" s="103"/>
      <c r="AL201" s="103"/>
      <c r="AM201" s="103"/>
      <c r="AN201" s="103"/>
      <c r="AO201" s="103" t="str">
        <f t="shared" si="7"/>
        <v>Std_CFLscw(33w)_60pInc-r0248Wtd-Pack</v>
      </c>
    </row>
    <row r="202" spans="1:41">
      <c r="A202" s="177">
        <f>IFERROR(MATCH(D202,'Measure &amp; Standard CostIDs'!C$5:C$177,0),MATCH(D202,'Measure &amp; Standard CostIDs'!S$5:S$177,0))</f>
        <v>26</v>
      </c>
      <c r="B202" s="177">
        <v>1</v>
      </c>
      <c r="C202" s="103" t="s">
        <v>153</v>
      </c>
      <c r="D202" s="103" t="s">
        <v>898</v>
      </c>
      <c r="E202" s="103" t="str">
        <f>IF(LEFT(D202,3)="Std","Base case cost for mix of 60% Incandescent and 40% CFL lamps for CFL TechID: "&amp;INDEX('Measure &amp; Standard CostIDs'!$C$5:$C$177,A202),"&lt;from TechID&gt;")</f>
        <v>Base case cost for mix of 60% Incandescent and 40% CFL lamps for CFL TechID: CFLscw(36w)</v>
      </c>
      <c r="F202" s="103" t="s">
        <v>860</v>
      </c>
      <c r="G202" s="103" t="s">
        <v>151</v>
      </c>
      <c r="H202" s="103" t="s">
        <v>861</v>
      </c>
      <c r="I202" s="103" t="s">
        <v>862</v>
      </c>
      <c r="J202" s="103" t="s">
        <v>863</v>
      </c>
      <c r="K202" s="103" t="s">
        <v>864</v>
      </c>
      <c r="L202" s="103" t="s">
        <v>153</v>
      </c>
      <c r="M202" s="103" t="s">
        <v>865</v>
      </c>
      <c r="N202" s="103" t="s">
        <v>866</v>
      </c>
      <c r="O202" s="103" t="str">
        <f t="shared" si="6"/>
        <v/>
      </c>
      <c r="P202" s="103" t="s">
        <v>153</v>
      </c>
      <c r="Q202" s="103" t="s">
        <v>153</v>
      </c>
      <c r="R202" s="103" t="s">
        <v>153</v>
      </c>
      <c r="S202" s="103" t="str">
        <f>INDEX('Measure &amp; Standard CostIDs'!$AK$8:$AK$12,B202)</f>
        <v>Wtd-Pack</v>
      </c>
      <c r="T202" s="103" t="s">
        <v>867</v>
      </c>
      <c r="U202" s="103"/>
      <c r="V202" s="103"/>
      <c r="W202" s="103">
        <f>ROUND(IF(LEFT(D202,3)="Std",VLOOKUP(D202,'Measure &amp; Standard CostIDs'!$S$5:$X$177,1+B202,FALSE),VLOOKUP(D202,'Measure &amp; Standard CostIDs'!$C$5:$H$177,1+B202,FALSE)),2)</f>
        <v>3.02</v>
      </c>
      <c r="X202" s="103"/>
      <c r="Y202" s="103"/>
      <c r="Z202" s="103" t="s">
        <v>868</v>
      </c>
      <c r="AA202" s="103" t="s">
        <v>874</v>
      </c>
      <c r="AB202" s="103" t="s">
        <v>153</v>
      </c>
      <c r="AC202" s="103">
        <v>0</v>
      </c>
      <c r="AD202" s="156">
        <v>42005</v>
      </c>
      <c r="AE202" s="103"/>
      <c r="AF202" s="103" t="s">
        <v>870</v>
      </c>
      <c r="AG202" s="103" t="s">
        <v>871</v>
      </c>
      <c r="AH202" s="103" t="s">
        <v>872</v>
      </c>
      <c r="AI202" s="103">
        <v>0</v>
      </c>
      <c r="AJ202" s="103"/>
      <c r="AK202" s="103"/>
      <c r="AL202" s="103"/>
      <c r="AM202" s="103"/>
      <c r="AN202" s="103"/>
      <c r="AO202" s="103" t="str">
        <f t="shared" si="7"/>
        <v>Std_CFLscw(36w)_60pInc-r0248Wtd-Pack</v>
      </c>
    </row>
    <row r="203" spans="1:41">
      <c r="A203" s="177">
        <f>IFERROR(MATCH(D203,'Measure &amp; Standard CostIDs'!C$5:C$177,0),MATCH(D203,'Measure &amp; Standard CostIDs'!S$5:S$177,0))</f>
        <v>27</v>
      </c>
      <c r="B203" s="177">
        <v>1</v>
      </c>
      <c r="C203" s="103" t="s">
        <v>153</v>
      </c>
      <c r="D203" s="103" t="s">
        <v>899</v>
      </c>
      <c r="E203" s="103" t="str">
        <f>IF(LEFT(D203,3)="Std","Base case cost for mix of 60% Incandescent and 40% CFL lamps for CFL TechID: "&amp;INDEX('Measure &amp; Standard CostIDs'!$C$5:$C$177,A203),"&lt;from TechID&gt;")</f>
        <v>Base case cost for mix of 60% Incandescent and 40% CFL lamps for CFL TechID: CFLscw(38w)</v>
      </c>
      <c r="F203" s="103" t="s">
        <v>860</v>
      </c>
      <c r="G203" s="103" t="s">
        <v>151</v>
      </c>
      <c r="H203" s="103" t="s">
        <v>861</v>
      </c>
      <c r="I203" s="103" t="s">
        <v>862</v>
      </c>
      <c r="J203" s="103" t="s">
        <v>863</v>
      </c>
      <c r="K203" s="103" t="s">
        <v>864</v>
      </c>
      <c r="L203" s="103" t="s">
        <v>153</v>
      </c>
      <c r="M203" s="103" t="s">
        <v>865</v>
      </c>
      <c r="N203" s="103" t="s">
        <v>866</v>
      </c>
      <c r="O203" s="103" t="str">
        <f t="shared" si="6"/>
        <v/>
      </c>
      <c r="P203" s="103" t="s">
        <v>153</v>
      </c>
      <c r="Q203" s="103" t="s">
        <v>153</v>
      </c>
      <c r="R203" s="103" t="s">
        <v>153</v>
      </c>
      <c r="S203" s="103" t="str">
        <f>INDEX('Measure &amp; Standard CostIDs'!$AK$8:$AK$12,B203)</f>
        <v>Wtd-Pack</v>
      </c>
      <c r="T203" s="103" t="s">
        <v>867</v>
      </c>
      <c r="U203" s="103"/>
      <c r="V203" s="103"/>
      <c r="W203" s="103">
        <f>ROUND(IF(LEFT(D203,3)="Std",VLOOKUP(D203,'Measure &amp; Standard CostIDs'!$S$5:$X$177,1+B203,FALSE),VLOOKUP(D203,'Measure &amp; Standard CostIDs'!$C$5:$H$177,1+B203,FALSE)),2)</f>
        <v>3.15</v>
      </c>
      <c r="X203" s="103"/>
      <c r="Y203" s="103"/>
      <c r="Z203" s="103" t="s">
        <v>868</v>
      </c>
      <c r="AA203" s="103" t="s">
        <v>874</v>
      </c>
      <c r="AB203" s="103" t="s">
        <v>153</v>
      </c>
      <c r="AC203" s="103">
        <v>0</v>
      </c>
      <c r="AD203" s="156">
        <v>42005</v>
      </c>
      <c r="AE203" s="103"/>
      <c r="AF203" s="103" t="s">
        <v>870</v>
      </c>
      <c r="AG203" s="103" t="s">
        <v>871</v>
      </c>
      <c r="AH203" s="103" t="s">
        <v>872</v>
      </c>
      <c r="AI203" s="103">
        <v>0</v>
      </c>
      <c r="AJ203" s="103"/>
      <c r="AK203" s="103"/>
      <c r="AL203" s="103"/>
      <c r="AM203" s="103"/>
      <c r="AN203" s="103"/>
      <c r="AO203" s="103" t="str">
        <f t="shared" si="7"/>
        <v>Std_CFLscw(38w)_60pInc-r0248Wtd-Pack</v>
      </c>
    </row>
    <row r="204" spans="1:41">
      <c r="A204" s="177">
        <f>IFERROR(MATCH(D204,'Measure &amp; Standard CostIDs'!C$5:C$177,0),MATCH(D204,'Measure &amp; Standard CostIDs'!S$5:S$177,0))</f>
        <v>28</v>
      </c>
      <c r="B204" s="177">
        <v>1</v>
      </c>
      <c r="C204" s="103" t="s">
        <v>153</v>
      </c>
      <c r="D204" s="103" t="s">
        <v>900</v>
      </c>
      <c r="E204" s="103" t="str">
        <f>IF(LEFT(D204,3)="Std","Base case cost for mix of 60% Incandescent and 40% CFL lamps for CFL TechID: "&amp;INDEX('Measure &amp; Standard CostIDs'!$C$5:$C$177,A204),"&lt;from TechID&gt;")</f>
        <v>Base case cost for mix of 60% Incandescent and 40% CFL lamps for CFL TechID: CFLscw(39w)</v>
      </c>
      <c r="F204" s="103" t="s">
        <v>860</v>
      </c>
      <c r="G204" s="103" t="s">
        <v>151</v>
      </c>
      <c r="H204" s="103" t="s">
        <v>861</v>
      </c>
      <c r="I204" s="103" t="s">
        <v>862</v>
      </c>
      <c r="J204" s="103" t="s">
        <v>863</v>
      </c>
      <c r="K204" s="103" t="s">
        <v>864</v>
      </c>
      <c r="L204" s="103" t="s">
        <v>153</v>
      </c>
      <c r="M204" s="103" t="s">
        <v>865</v>
      </c>
      <c r="N204" s="103" t="s">
        <v>866</v>
      </c>
      <c r="O204" s="103" t="str">
        <f t="shared" si="6"/>
        <v/>
      </c>
      <c r="P204" s="103" t="s">
        <v>153</v>
      </c>
      <c r="Q204" s="103" t="s">
        <v>153</v>
      </c>
      <c r="R204" s="103" t="s">
        <v>153</v>
      </c>
      <c r="S204" s="103" t="str">
        <f>INDEX('Measure &amp; Standard CostIDs'!$AK$8:$AK$12,B204)</f>
        <v>Wtd-Pack</v>
      </c>
      <c r="T204" s="103" t="s">
        <v>867</v>
      </c>
      <c r="U204" s="103"/>
      <c r="V204" s="103"/>
      <c r="W204" s="103">
        <f>ROUND(IF(LEFT(D204,3)="Std",VLOOKUP(D204,'Measure &amp; Standard CostIDs'!$S$5:$X$177,1+B204,FALSE),VLOOKUP(D204,'Measure &amp; Standard CostIDs'!$C$5:$H$177,1+B204,FALSE)),2)</f>
        <v>3.22</v>
      </c>
      <c r="X204" s="103"/>
      <c r="Y204" s="103"/>
      <c r="Z204" s="103" t="s">
        <v>868</v>
      </c>
      <c r="AA204" s="103" t="s">
        <v>874</v>
      </c>
      <c r="AB204" s="103" t="s">
        <v>153</v>
      </c>
      <c r="AC204" s="103">
        <v>0</v>
      </c>
      <c r="AD204" s="156">
        <v>42005</v>
      </c>
      <c r="AE204" s="103"/>
      <c r="AF204" s="103" t="s">
        <v>870</v>
      </c>
      <c r="AG204" s="103" t="s">
        <v>871</v>
      </c>
      <c r="AH204" s="103" t="s">
        <v>872</v>
      </c>
      <c r="AI204" s="103">
        <v>0</v>
      </c>
      <c r="AJ204" s="103"/>
      <c r="AK204" s="103"/>
      <c r="AL204" s="103"/>
      <c r="AM204" s="103"/>
      <c r="AN204" s="103"/>
      <c r="AO204" s="103" t="str">
        <f t="shared" si="7"/>
        <v>Std_CFLscw(39w)_60pInc-r0248Wtd-Pack</v>
      </c>
    </row>
    <row r="205" spans="1:41">
      <c r="A205" s="177">
        <f>IFERROR(MATCH(D205,'Measure &amp; Standard CostIDs'!C$5:C$177,0),MATCH(D205,'Measure &amp; Standard CostIDs'!S$5:S$177,0))</f>
        <v>29</v>
      </c>
      <c r="B205" s="177">
        <v>1</v>
      </c>
      <c r="C205" s="103" t="s">
        <v>153</v>
      </c>
      <c r="D205" s="103" t="s">
        <v>901</v>
      </c>
      <c r="E205" s="103" t="str">
        <f>IF(LEFT(D205,3)="Std","Base case cost for mix of 60% Incandescent and 40% CFL lamps for CFL TechID: "&amp;INDEX('Measure &amp; Standard CostIDs'!$C$5:$C$177,A205),"&lt;from TechID&gt;")</f>
        <v>Base case cost for mix of 60% Incandescent and 40% CFL lamps for CFL TechID: CFLscw(3w)</v>
      </c>
      <c r="F205" s="103" t="s">
        <v>860</v>
      </c>
      <c r="G205" s="103" t="s">
        <v>151</v>
      </c>
      <c r="H205" s="103" t="s">
        <v>861</v>
      </c>
      <c r="I205" s="103" t="s">
        <v>862</v>
      </c>
      <c r="J205" s="103" t="s">
        <v>863</v>
      </c>
      <c r="K205" s="103" t="s">
        <v>864</v>
      </c>
      <c r="L205" s="103" t="s">
        <v>153</v>
      </c>
      <c r="M205" s="103" t="s">
        <v>865</v>
      </c>
      <c r="N205" s="103" t="s">
        <v>866</v>
      </c>
      <c r="O205" s="103" t="str">
        <f t="shared" si="6"/>
        <v/>
      </c>
      <c r="P205" s="103" t="s">
        <v>153</v>
      </c>
      <c r="Q205" s="103" t="s">
        <v>153</v>
      </c>
      <c r="R205" s="103" t="s">
        <v>153</v>
      </c>
      <c r="S205" s="103" t="str">
        <f>INDEX('Measure &amp; Standard CostIDs'!$AK$8:$AK$12,B205)</f>
        <v>Wtd-Pack</v>
      </c>
      <c r="T205" s="103" t="s">
        <v>867</v>
      </c>
      <c r="U205" s="103"/>
      <c r="V205" s="103"/>
      <c r="W205" s="103">
        <f>ROUND(IF(LEFT(D205,3)="Std",VLOOKUP(D205,'Measure &amp; Standard CostIDs'!$S$5:$X$177,1+B205,FALSE),VLOOKUP(D205,'Measure &amp; Standard CostIDs'!$C$5:$H$177,1+B205,FALSE)),2)</f>
        <v>1.47</v>
      </c>
      <c r="X205" s="103"/>
      <c r="Y205" s="103"/>
      <c r="Z205" s="103" t="s">
        <v>868</v>
      </c>
      <c r="AA205" s="103" t="s">
        <v>874</v>
      </c>
      <c r="AB205" s="103" t="s">
        <v>153</v>
      </c>
      <c r="AC205" s="103">
        <v>0</v>
      </c>
      <c r="AD205" s="156">
        <v>42005</v>
      </c>
      <c r="AE205" s="103"/>
      <c r="AF205" s="103" t="s">
        <v>870</v>
      </c>
      <c r="AG205" s="103" t="s">
        <v>871</v>
      </c>
      <c r="AH205" s="103" t="s">
        <v>872</v>
      </c>
      <c r="AI205" s="103">
        <v>0</v>
      </c>
      <c r="AJ205" s="103"/>
      <c r="AK205" s="103"/>
      <c r="AL205" s="103"/>
      <c r="AM205" s="103"/>
      <c r="AN205" s="103"/>
      <c r="AO205" s="103" t="str">
        <f t="shared" si="7"/>
        <v>Std_CFLscw(3w)_60pInc-r0248Wtd-Pack</v>
      </c>
    </row>
    <row r="206" spans="1:41">
      <c r="A206" s="177">
        <f>IFERROR(MATCH(D206,'Measure &amp; Standard CostIDs'!C$5:C$177,0),MATCH(D206,'Measure &amp; Standard CostIDs'!S$5:S$177,0))</f>
        <v>30</v>
      </c>
      <c r="B206" s="177">
        <v>1</v>
      </c>
      <c r="C206" s="103" t="s">
        <v>153</v>
      </c>
      <c r="D206" s="103" t="s">
        <v>902</v>
      </c>
      <c r="E206" s="103" t="str">
        <f>IF(LEFT(D206,3)="Std","Base case cost for mix of 60% Incandescent and 40% CFL lamps for CFL TechID: "&amp;INDEX('Measure &amp; Standard CostIDs'!$C$5:$C$177,A206),"&lt;from TechID&gt;")</f>
        <v>Base case cost for mix of 60% Incandescent and 40% CFL lamps for CFL TechID: CFLscw(40w)</v>
      </c>
      <c r="F206" s="103" t="s">
        <v>860</v>
      </c>
      <c r="G206" s="103" t="s">
        <v>151</v>
      </c>
      <c r="H206" s="103" t="s">
        <v>861</v>
      </c>
      <c r="I206" s="103" t="s">
        <v>862</v>
      </c>
      <c r="J206" s="103" t="s">
        <v>863</v>
      </c>
      <c r="K206" s="103" t="s">
        <v>864</v>
      </c>
      <c r="L206" s="103" t="s">
        <v>153</v>
      </c>
      <c r="M206" s="103" t="s">
        <v>865</v>
      </c>
      <c r="N206" s="103" t="s">
        <v>866</v>
      </c>
      <c r="O206" s="103" t="str">
        <f t="shared" si="6"/>
        <v/>
      </c>
      <c r="P206" s="103" t="s">
        <v>153</v>
      </c>
      <c r="Q206" s="103" t="s">
        <v>153</v>
      </c>
      <c r="R206" s="103" t="s">
        <v>153</v>
      </c>
      <c r="S206" s="103" t="str">
        <f>INDEX('Measure &amp; Standard CostIDs'!$AK$8:$AK$12,B206)</f>
        <v>Wtd-Pack</v>
      </c>
      <c r="T206" s="103" t="s">
        <v>867</v>
      </c>
      <c r="U206" s="103"/>
      <c r="V206" s="103"/>
      <c r="W206" s="103">
        <f>ROUND(IF(LEFT(D206,3)="Std",VLOOKUP(D206,'Measure &amp; Standard CostIDs'!$S$5:$X$177,1+B206,FALSE),VLOOKUP(D206,'Measure &amp; Standard CostIDs'!$C$5:$H$177,1+B206,FALSE)),2)</f>
        <v>3.28</v>
      </c>
      <c r="X206" s="103"/>
      <c r="Y206" s="103"/>
      <c r="Z206" s="103" t="s">
        <v>868</v>
      </c>
      <c r="AA206" s="103" t="s">
        <v>874</v>
      </c>
      <c r="AB206" s="103" t="s">
        <v>153</v>
      </c>
      <c r="AC206" s="103">
        <v>0</v>
      </c>
      <c r="AD206" s="156">
        <v>42005</v>
      </c>
      <c r="AE206" s="103"/>
      <c r="AF206" s="103" t="s">
        <v>870</v>
      </c>
      <c r="AG206" s="103" t="s">
        <v>871</v>
      </c>
      <c r="AH206" s="103" t="s">
        <v>872</v>
      </c>
      <c r="AI206" s="103">
        <v>0</v>
      </c>
      <c r="AJ206" s="103"/>
      <c r="AK206" s="103"/>
      <c r="AL206" s="103"/>
      <c r="AM206" s="103"/>
      <c r="AN206" s="103"/>
      <c r="AO206" s="103" t="str">
        <f t="shared" si="7"/>
        <v>Std_CFLscw(40w)_60pInc-r0248Wtd-Pack</v>
      </c>
    </row>
    <row r="207" spans="1:41">
      <c r="A207" s="177">
        <f>IFERROR(MATCH(D207,'Measure &amp; Standard CostIDs'!C$5:C$177,0),MATCH(D207,'Measure &amp; Standard CostIDs'!S$5:S$177,0))</f>
        <v>31</v>
      </c>
      <c r="B207" s="177">
        <v>1</v>
      </c>
      <c r="C207" s="103" t="s">
        <v>153</v>
      </c>
      <c r="D207" s="103" t="s">
        <v>903</v>
      </c>
      <c r="E207" s="103" t="str">
        <f>IF(LEFT(D207,3)="Std","Base case cost for mix of 60% Incandescent and 40% CFL lamps for CFL TechID: "&amp;INDEX('Measure &amp; Standard CostIDs'!$C$5:$C$177,A207),"&lt;from TechID&gt;")</f>
        <v>Base case cost for mix of 60% Incandescent and 40% CFL lamps for CFL TechID: CFLscw(42w)</v>
      </c>
      <c r="F207" s="103" t="s">
        <v>860</v>
      </c>
      <c r="G207" s="103" t="s">
        <v>151</v>
      </c>
      <c r="H207" s="103" t="s">
        <v>861</v>
      </c>
      <c r="I207" s="103" t="s">
        <v>862</v>
      </c>
      <c r="J207" s="103" t="s">
        <v>863</v>
      </c>
      <c r="K207" s="103" t="s">
        <v>864</v>
      </c>
      <c r="L207" s="103" t="s">
        <v>153</v>
      </c>
      <c r="M207" s="103" t="s">
        <v>865</v>
      </c>
      <c r="N207" s="103" t="s">
        <v>866</v>
      </c>
      <c r="O207" s="103" t="str">
        <f t="shared" si="6"/>
        <v/>
      </c>
      <c r="P207" s="103" t="s">
        <v>153</v>
      </c>
      <c r="Q207" s="103" t="s">
        <v>153</v>
      </c>
      <c r="R207" s="103" t="s">
        <v>153</v>
      </c>
      <c r="S207" s="103" t="str">
        <f>INDEX('Measure &amp; Standard CostIDs'!$AK$8:$AK$12,B207)</f>
        <v>Wtd-Pack</v>
      </c>
      <c r="T207" s="103" t="s">
        <v>867</v>
      </c>
      <c r="U207" s="103"/>
      <c r="V207" s="103"/>
      <c r="W207" s="103">
        <f>ROUND(IF(LEFT(D207,3)="Std",VLOOKUP(D207,'Measure &amp; Standard CostIDs'!$S$5:$X$177,1+B207,FALSE),VLOOKUP(D207,'Measure &amp; Standard CostIDs'!$C$5:$H$177,1+B207,FALSE)),2)</f>
        <v>3.41</v>
      </c>
      <c r="X207" s="103"/>
      <c r="Y207" s="103"/>
      <c r="Z207" s="103" t="s">
        <v>868</v>
      </c>
      <c r="AA207" s="103" t="s">
        <v>874</v>
      </c>
      <c r="AB207" s="103" t="s">
        <v>153</v>
      </c>
      <c r="AC207" s="103">
        <v>0</v>
      </c>
      <c r="AD207" s="156">
        <v>42005</v>
      </c>
      <c r="AE207" s="103"/>
      <c r="AF207" s="103" t="s">
        <v>870</v>
      </c>
      <c r="AG207" s="103" t="s">
        <v>871</v>
      </c>
      <c r="AH207" s="103" t="s">
        <v>872</v>
      </c>
      <c r="AI207" s="103">
        <v>0</v>
      </c>
      <c r="AJ207" s="103"/>
      <c r="AK207" s="103"/>
      <c r="AL207" s="103"/>
      <c r="AM207" s="103"/>
      <c r="AN207" s="103"/>
      <c r="AO207" s="103" t="str">
        <f t="shared" si="7"/>
        <v>Std_CFLscw(42w)_60pInc-r0248Wtd-Pack</v>
      </c>
    </row>
    <row r="208" spans="1:41">
      <c r="A208" s="177">
        <f>IFERROR(MATCH(D208,'Measure &amp; Standard CostIDs'!C$5:C$177,0),MATCH(D208,'Measure &amp; Standard CostIDs'!S$5:S$177,0))</f>
        <v>35</v>
      </c>
      <c r="B208" s="177">
        <v>1</v>
      </c>
      <c r="C208" s="103" t="s">
        <v>153</v>
      </c>
      <c r="D208" s="103" t="s">
        <v>904</v>
      </c>
      <c r="E208" s="103" t="str">
        <f>IF(LEFT(D208,3)="Std","Base case cost for mix of 60% Incandescent and 40% CFL lamps for CFL TechID: "&amp;INDEX('Measure &amp; Standard CostIDs'!$C$5:$C$177,A208),"&lt;from TechID&gt;")</f>
        <v>Base case cost for mix of 60% Incandescent and 40% CFL lamps for CFL TechID: CFLscw(4w)</v>
      </c>
      <c r="F208" s="103" t="s">
        <v>860</v>
      </c>
      <c r="G208" s="103" t="s">
        <v>151</v>
      </c>
      <c r="H208" s="103" t="s">
        <v>861</v>
      </c>
      <c r="I208" s="103" t="s">
        <v>862</v>
      </c>
      <c r="J208" s="103" t="s">
        <v>863</v>
      </c>
      <c r="K208" s="103" t="s">
        <v>864</v>
      </c>
      <c r="L208" s="103" t="s">
        <v>153</v>
      </c>
      <c r="M208" s="103" t="s">
        <v>865</v>
      </c>
      <c r="N208" s="103" t="s">
        <v>866</v>
      </c>
      <c r="O208" s="103" t="str">
        <f t="shared" si="6"/>
        <v/>
      </c>
      <c r="P208" s="103" t="s">
        <v>153</v>
      </c>
      <c r="Q208" s="103" t="s">
        <v>153</v>
      </c>
      <c r="R208" s="103" t="s">
        <v>153</v>
      </c>
      <c r="S208" s="103" t="str">
        <f>INDEX('Measure &amp; Standard CostIDs'!$AK$8:$AK$12,B208)</f>
        <v>Wtd-Pack</v>
      </c>
      <c r="T208" s="103" t="s">
        <v>867</v>
      </c>
      <c r="U208" s="103"/>
      <c r="V208" s="103"/>
      <c r="W208" s="103">
        <f>ROUND(IF(LEFT(D208,3)="Std",VLOOKUP(D208,'Measure &amp; Standard CostIDs'!$S$5:$X$177,1+B208,FALSE),VLOOKUP(D208,'Measure &amp; Standard CostIDs'!$C$5:$H$177,1+B208,FALSE)),2)</f>
        <v>1.5</v>
      </c>
      <c r="X208" s="103"/>
      <c r="Y208" s="103"/>
      <c r="Z208" s="103" t="s">
        <v>868</v>
      </c>
      <c r="AA208" s="103" t="s">
        <v>874</v>
      </c>
      <c r="AB208" s="103" t="s">
        <v>153</v>
      </c>
      <c r="AC208" s="103">
        <v>0</v>
      </c>
      <c r="AD208" s="156">
        <v>42005</v>
      </c>
      <c r="AE208" s="103"/>
      <c r="AF208" s="103" t="s">
        <v>870</v>
      </c>
      <c r="AG208" s="103" t="s">
        <v>871</v>
      </c>
      <c r="AH208" s="103" t="s">
        <v>872</v>
      </c>
      <c r="AI208" s="103">
        <v>0</v>
      </c>
      <c r="AJ208" s="103"/>
      <c r="AK208" s="103"/>
      <c r="AL208" s="103"/>
      <c r="AM208" s="103"/>
      <c r="AN208" s="103"/>
      <c r="AO208" s="103" t="str">
        <f t="shared" si="7"/>
        <v>Std_CFLscw(4w)_60pInc-r0248Wtd-Pack</v>
      </c>
    </row>
    <row r="209" spans="1:41">
      <c r="A209" s="177">
        <f>IFERROR(MATCH(D209,'Measure &amp; Standard CostIDs'!C$5:C$177,0),MATCH(D209,'Measure &amp; Standard CostIDs'!S$5:S$177,0))</f>
        <v>39</v>
      </c>
      <c r="B209" s="177">
        <v>1</v>
      </c>
      <c r="C209" s="103" t="s">
        <v>153</v>
      </c>
      <c r="D209" s="103" t="s">
        <v>905</v>
      </c>
      <c r="E209" s="103" t="str">
        <f>IF(LEFT(D209,3)="Std","Base case cost for mix of 60% Incandescent and 40% CFL lamps for CFL TechID: "&amp;INDEX('Measure &amp; Standard CostIDs'!$C$5:$C$177,A209),"&lt;from TechID&gt;")</f>
        <v>Base case cost for mix of 60% Incandescent and 40% CFL lamps for CFL TechID: CFLscw(5w)</v>
      </c>
      <c r="F209" s="103" t="s">
        <v>860</v>
      </c>
      <c r="G209" s="103" t="s">
        <v>151</v>
      </c>
      <c r="H209" s="103" t="s">
        <v>861</v>
      </c>
      <c r="I209" s="103" t="s">
        <v>862</v>
      </c>
      <c r="J209" s="103" t="s">
        <v>863</v>
      </c>
      <c r="K209" s="103" t="s">
        <v>864</v>
      </c>
      <c r="L209" s="103" t="s">
        <v>153</v>
      </c>
      <c r="M209" s="103" t="s">
        <v>865</v>
      </c>
      <c r="N209" s="103" t="s">
        <v>866</v>
      </c>
      <c r="O209" s="103" t="str">
        <f t="shared" si="6"/>
        <v/>
      </c>
      <c r="P209" s="103" t="s">
        <v>153</v>
      </c>
      <c r="Q209" s="103" t="s">
        <v>153</v>
      </c>
      <c r="R209" s="103" t="s">
        <v>153</v>
      </c>
      <c r="S209" s="103" t="str">
        <f>INDEX('Measure &amp; Standard CostIDs'!$AK$8:$AK$12,B209)</f>
        <v>Wtd-Pack</v>
      </c>
      <c r="T209" s="103" t="s">
        <v>867</v>
      </c>
      <c r="U209" s="103"/>
      <c r="V209" s="103"/>
      <c r="W209" s="103">
        <f>ROUND(IF(LEFT(D209,3)="Std",VLOOKUP(D209,'Measure &amp; Standard CostIDs'!$S$5:$X$177,1+B209,FALSE),VLOOKUP(D209,'Measure &amp; Standard CostIDs'!$C$5:$H$177,1+B209,FALSE)),2)</f>
        <v>1.53</v>
      </c>
      <c r="X209" s="103"/>
      <c r="Y209" s="103"/>
      <c r="Z209" s="103" t="s">
        <v>868</v>
      </c>
      <c r="AA209" s="103" t="s">
        <v>874</v>
      </c>
      <c r="AB209" s="103" t="s">
        <v>153</v>
      </c>
      <c r="AC209" s="103">
        <v>0</v>
      </c>
      <c r="AD209" s="156">
        <v>42005</v>
      </c>
      <c r="AE209" s="103"/>
      <c r="AF209" s="103" t="s">
        <v>870</v>
      </c>
      <c r="AG209" s="103" t="s">
        <v>871</v>
      </c>
      <c r="AH209" s="103" t="s">
        <v>872</v>
      </c>
      <c r="AI209" s="103">
        <v>0</v>
      </c>
      <c r="AJ209" s="103"/>
      <c r="AK209" s="103"/>
      <c r="AL209" s="103"/>
      <c r="AM209" s="103"/>
      <c r="AN209" s="103"/>
      <c r="AO209" s="103" t="str">
        <f t="shared" si="7"/>
        <v>Std_CFLscw(5w)_60pInc-r0248Wtd-Pack</v>
      </c>
    </row>
    <row r="210" spans="1:41">
      <c r="A210" s="177">
        <f>IFERROR(MATCH(D210,'Measure &amp; Standard CostIDs'!C$5:C$177,0),MATCH(D210,'Measure &amp; Standard CostIDs'!S$5:S$177,0))</f>
        <v>42</v>
      </c>
      <c r="B210" s="177">
        <v>1</v>
      </c>
      <c r="C210" s="103" t="s">
        <v>153</v>
      </c>
      <c r="D210" s="103" t="s">
        <v>906</v>
      </c>
      <c r="E210" s="103" t="str">
        <f>IF(LEFT(D210,3)="Std","Base case cost for mix of 60% Incandescent and 40% CFL lamps for CFL TechID: "&amp;INDEX('Measure &amp; Standard CostIDs'!$C$5:$C$177,A210),"&lt;from TechID&gt;")</f>
        <v>Base case cost for mix of 60% Incandescent and 40% CFL lamps for CFL TechID: CFLscw(6w)</v>
      </c>
      <c r="F210" s="103" t="s">
        <v>860</v>
      </c>
      <c r="G210" s="103" t="s">
        <v>151</v>
      </c>
      <c r="H210" s="103" t="s">
        <v>861</v>
      </c>
      <c r="I210" s="103" t="s">
        <v>862</v>
      </c>
      <c r="J210" s="103" t="s">
        <v>863</v>
      </c>
      <c r="K210" s="103" t="s">
        <v>864</v>
      </c>
      <c r="L210" s="103" t="s">
        <v>153</v>
      </c>
      <c r="M210" s="103" t="s">
        <v>865</v>
      </c>
      <c r="N210" s="103" t="s">
        <v>866</v>
      </c>
      <c r="O210" s="103" t="str">
        <f t="shared" si="6"/>
        <v/>
      </c>
      <c r="P210" s="103" t="s">
        <v>153</v>
      </c>
      <c r="Q210" s="103" t="s">
        <v>153</v>
      </c>
      <c r="R210" s="103" t="s">
        <v>153</v>
      </c>
      <c r="S210" s="103" t="str">
        <f>INDEX('Measure &amp; Standard CostIDs'!$AK$8:$AK$12,B210)</f>
        <v>Wtd-Pack</v>
      </c>
      <c r="T210" s="103" t="s">
        <v>867</v>
      </c>
      <c r="U210" s="103"/>
      <c r="V210" s="103"/>
      <c r="W210" s="103">
        <f>ROUND(IF(LEFT(D210,3)="Std",VLOOKUP(D210,'Measure &amp; Standard CostIDs'!$S$5:$X$177,1+B210,FALSE),VLOOKUP(D210,'Measure &amp; Standard CostIDs'!$C$5:$H$177,1+B210,FALSE)),2)</f>
        <v>1.55</v>
      </c>
      <c r="X210" s="103"/>
      <c r="Y210" s="103"/>
      <c r="Z210" s="103" t="s">
        <v>868</v>
      </c>
      <c r="AA210" s="103" t="s">
        <v>874</v>
      </c>
      <c r="AB210" s="103" t="s">
        <v>153</v>
      </c>
      <c r="AC210" s="103">
        <v>0</v>
      </c>
      <c r="AD210" s="156">
        <v>42005</v>
      </c>
      <c r="AE210" s="103"/>
      <c r="AF210" s="103" t="s">
        <v>870</v>
      </c>
      <c r="AG210" s="103" t="s">
        <v>871</v>
      </c>
      <c r="AH210" s="103" t="s">
        <v>872</v>
      </c>
      <c r="AI210" s="103">
        <v>0</v>
      </c>
      <c r="AJ210" s="103"/>
      <c r="AK210" s="103"/>
      <c r="AL210" s="103"/>
      <c r="AM210" s="103"/>
      <c r="AN210" s="103"/>
      <c r="AO210" s="103" t="str">
        <f t="shared" si="7"/>
        <v>Std_CFLscw(6w)_60pInc-r0248Wtd-Pack</v>
      </c>
    </row>
    <row r="211" spans="1:41">
      <c r="A211" s="177">
        <f>IFERROR(MATCH(D211,'Measure &amp; Standard CostIDs'!C$5:C$177,0),MATCH(D211,'Measure &amp; Standard CostIDs'!S$5:S$177,0))</f>
        <v>43</v>
      </c>
      <c r="B211" s="177">
        <v>1</v>
      </c>
      <c r="C211" s="103" t="s">
        <v>153</v>
      </c>
      <c r="D211" s="103" t="s">
        <v>907</v>
      </c>
      <c r="E211" s="103" t="str">
        <f>IF(LEFT(D211,3)="Std","Base case cost for mix of 60% Incandescent and 40% CFL lamps for CFL TechID: "&amp;INDEX('Measure &amp; Standard CostIDs'!$C$5:$C$177,A211),"&lt;from TechID&gt;")</f>
        <v>Base case cost for mix of 60% Incandescent and 40% CFL lamps for CFL TechID: CFLscw(7w)</v>
      </c>
      <c r="F211" s="103" t="s">
        <v>860</v>
      </c>
      <c r="G211" s="103" t="s">
        <v>151</v>
      </c>
      <c r="H211" s="103" t="s">
        <v>861</v>
      </c>
      <c r="I211" s="103" t="s">
        <v>862</v>
      </c>
      <c r="J211" s="103" t="s">
        <v>863</v>
      </c>
      <c r="K211" s="103" t="s">
        <v>864</v>
      </c>
      <c r="L211" s="103" t="s">
        <v>153</v>
      </c>
      <c r="M211" s="103" t="s">
        <v>865</v>
      </c>
      <c r="N211" s="103" t="s">
        <v>866</v>
      </c>
      <c r="O211" s="103" t="str">
        <f t="shared" si="6"/>
        <v/>
      </c>
      <c r="P211" s="103" t="s">
        <v>153</v>
      </c>
      <c r="Q211" s="103" t="s">
        <v>153</v>
      </c>
      <c r="R211" s="103" t="s">
        <v>153</v>
      </c>
      <c r="S211" s="103" t="str">
        <f>INDEX('Measure &amp; Standard CostIDs'!$AK$8:$AK$12,B211)</f>
        <v>Wtd-Pack</v>
      </c>
      <c r="T211" s="103" t="s">
        <v>867</v>
      </c>
      <c r="U211" s="103"/>
      <c r="V211" s="103"/>
      <c r="W211" s="103">
        <f>ROUND(IF(LEFT(D211,3)="Std",VLOOKUP(D211,'Measure &amp; Standard CostIDs'!$S$5:$X$177,1+B211,FALSE),VLOOKUP(D211,'Measure &amp; Standard CostIDs'!$C$5:$H$177,1+B211,FALSE)),2)</f>
        <v>1.58</v>
      </c>
      <c r="X211" s="103"/>
      <c r="Y211" s="103"/>
      <c r="Z211" s="103" t="s">
        <v>868</v>
      </c>
      <c r="AA211" s="103" t="s">
        <v>874</v>
      </c>
      <c r="AB211" s="103" t="s">
        <v>153</v>
      </c>
      <c r="AC211" s="103">
        <v>0</v>
      </c>
      <c r="AD211" s="156">
        <v>42005</v>
      </c>
      <c r="AE211" s="103"/>
      <c r="AF211" s="103" t="s">
        <v>870</v>
      </c>
      <c r="AG211" s="103" t="s">
        <v>871</v>
      </c>
      <c r="AH211" s="103" t="s">
        <v>872</v>
      </c>
      <c r="AI211" s="103">
        <v>0</v>
      </c>
      <c r="AJ211" s="103"/>
      <c r="AK211" s="103"/>
      <c r="AL211" s="103"/>
      <c r="AM211" s="103"/>
      <c r="AN211" s="103"/>
      <c r="AO211" s="103" t="str">
        <f t="shared" si="7"/>
        <v>Std_CFLscw(7w)_60pInc-r0248Wtd-Pack</v>
      </c>
    </row>
    <row r="212" spans="1:41">
      <c r="A212" s="177">
        <f>IFERROR(MATCH(D212,'Measure &amp; Standard CostIDs'!C$5:C$177,0),MATCH(D212,'Measure &amp; Standard CostIDs'!S$5:S$177,0))</f>
        <v>46</v>
      </c>
      <c r="B212" s="177">
        <v>1</v>
      </c>
      <c r="C212" s="103" t="s">
        <v>153</v>
      </c>
      <c r="D212" s="103" t="s">
        <v>908</v>
      </c>
      <c r="E212" s="103" t="str">
        <f>IF(LEFT(D212,3)="Std","Base case cost for mix of 60% Incandescent and 40% CFL lamps for CFL TechID: "&amp;INDEX('Measure &amp; Standard CostIDs'!$C$5:$C$177,A212),"&lt;from TechID&gt;")</f>
        <v>Base case cost for mix of 60% Incandescent and 40% CFL lamps for CFL TechID: CFLscw(8w)</v>
      </c>
      <c r="F212" s="103" t="s">
        <v>860</v>
      </c>
      <c r="G212" s="103" t="s">
        <v>151</v>
      </c>
      <c r="H212" s="103" t="s">
        <v>861</v>
      </c>
      <c r="I212" s="103" t="s">
        <v>862</v>
      </c>
      <c r="J212" s="103" t="s">
        <v>863</v>
      </c>
      <c r="K212" s="103" t="s">
        <v>864</v>
      </c>
      <c r="L212" s="103" t="s">
        <v>153</v>
      </c>
      <c r="M212" s="103" t="s">
        <v>865</v>
      </c>
      <c r="N212" s="103" t="s">
        <v>866</v>
      </c>
      <c r="O212" s="103" t="str">
        <f t="shared" si="6"/>
        <v/>
      </c>
      <c r="P212" s="103" t="s">
        <v>153</v>
      </c>
      <c r="Q212" s="103" t="s">
        <v>153</v>
      </c>
      <c r="R212" s="103" t="s">
        <v>153</v>
      </c>
      <c r="S212" s="103" t="str">
        <f>INDEX('Measure &amp; Standard CostIDs'!$AK$8:$AK$12,B212)</f>
        <v>Wtd-Pack</v>
      </c>
      <c r="T212" s="103" t="s">
        <v>867</v>
      </c>
      <c r="U212" s="103"/>
      <c r="V212" s="103"/>
      <c r="W212" s="103">
        <f>ROUND(IF(LEFT(D212,3)="Std",VLOOKUP(D212,'Measure &amp; Standard CostIDs'!$S$5:$X$177,1+B212,FALSE),VLOOKUP(D212,'Measure &amp; Standard CostIDs'!$C$5:$H$177,1+B212,FALSE)),2)</f>
        <v>1.61</v>
      </c>
      <c r="X212" s="103"/>
      <c r="Y212" s="103"/>
      <c r="Z212" s="103" t="s">
        <v>868</v>
      </c>
      <c r="AA212" s="103" t="s">
        <v>874</v>
      </c>
      <c r="AB212" s="103" t="s">
        <v>153</v>
      </c>
      <c r="AC212" s="103">
        <v>0</v>
      </c>
      <c r="AD212" s="156">
        <v>42005</v>
      </c>
      <c r="AE212" s="103"/>
      <c r="AF212" s="103" t="s">
        <v>870</v>
      </c>
      <c r="AG212" s="103" t="s">
        <v>871</v>
      </c>
      <c r="AH212" s="103" t="s">
        <v>872</v>
      </c>
      <c r="AI212" s="103">
        <v>0</v>
      </c>
      <c r="AJ212" s="103"/>
      <c r="AK212" s="103"/>
      <c r="AL212" s="103"/>
      <c r="AM212" s="103"/>
      <c r="AN212" s="103"/>
      <c r="AO212" s="103" t="str">
        <f t="shared" si="7"/>
        <v>Std_CFLscw(8w)_60pInc-r0248Wtd-Pack</v>
      </c>
    </row>
    <row r="213" spans="1:41">
      <c r="A213" s="177">
        <f>IFERROR(MATCH(D213,'Measure &amp; Standard CostIDs'!C$5:C$177,0),MATCH(D213,'Measure &amp; Standard CostIDs'!S$5:S$177,0))</f>
        <v>47</v>
      </c>
      <c r="B213" s="177">
        <v>1</v>
      </c>
      <c r="C213" s="103" t="s">
        <v>153</v>
      </c>
      <c r="D213" s="103" t="s">
        <v>909</v>
      </c>
      <c r="E213" s="103" t="str">
        <f>IF(LEFT(D213,3)="Std","Base case cost for mix of 60% Incandescent and 40% CFL lamps for CFL TechID: "&amp;INDEX('Measure &amp; Standard CostIDs'!$C$5:$C$177,A213),"&lt;from TechID&gt;")</f>
        <v>Base case cost for mix of 60% Incandescent and 40% CFL lamps for CFL TechID: CFLscw(9w)</v>
      </c>
      <c r="F213" s="103" t="s">
        <v>860</v>
      </c>
      <c r="G213" s="103" t="s">
        <v>151</v>
      </c>
      <c r="H213" s="103" t="s">
        <v>861</v>
      </c>
      <c r="I213" s="103" t="s">
        <v>862</v>
      </c>
      <c r="J213" s="103" t="s">
        <v>863</v>
      </c>
      <c r="K213" s="103" t="s">
        <v>864</v>
      </c>
      <c r="L213" s="103" t="s">
        <v>153</v>
      </c>
      <c r="M213" s="103" t="s">
        <v>865</v>
      </c>
      <c r="N213" s="103" t="s">
        <v>866</v>
      </c>
      <c r="O213" s="103" t="str">
        <f t="shared" si="6"/>
        <v/>
      </c>
      <c r="P213" s="103" t="s">
        <v>153</v>
      </c>
      <c r="Q213" s="103" t="s">
        <v>153</v>
      </c>
      <c r="R213" s="103" t="s">
        <v>153</v>
      </c>
      <c r="S213" s="103" t="str">
        <f>INDEX('Measure &amp; Standard CostIDs'!$AK$8:$AK$12,B213)</f>
        <v>Wtd-Pack</v>
      </c>
      <c r="T213" s="103" t="s">
        <v>867</v>
      </c>
      <c r="U213" s="103"/>
      <c r="V213" s="103"/>
      <c r="W213" s="103">
        <f>ROUND(IF(LEFT(D213,3)="Std",VLOOKUP(D213,'Measure &amp; Standard CostIDs'!$S$5:$X$177,1+B213,FALSE),VLOOKUP(D213,'Measure &amp; Standard CostIDs'!$C$5:$H$177,1+B213,FALSE)),2)</f>
        <v>1.64</v>
      </c>
      <c r="X213" s="103"/>
      <c r="Y213" s="103"/>
      <c r="Z213" s="103" t="s">
        <v>868</v>
      </c>
      <c r="AA213" s="103" t="s">
        <v>874</v>
      </c>
      <c r="AB213" s="103" t="s">
        <v>153</v>
      </c>
      <c r="AC213" s="103">
        <v>0</v>
      </c>
      <c r="AD213" s="156">
        <v>42005</v>
      </c>
      <c r="AE213" s="103"/>
      <c r="AF213" s="103" t="s">
        <v>870</v>
      </c>
      <c r="AG213" s="103" t="s">
        <v>871</v>
      </c>
      <c r="AH213" s="103" t="s">
        <v>872</v>
      </c>
      <c r="AI213" s="103">
        <v>0</v>
      </c>
      <c r="AJ213" s="103"/>
      <c r="AK213" s="103"/>
      <c r="AL213" s="103"/>
      <c r="AM213" s="103"/>
      <c r="AN213" s="103"/>
      <c r="AO213" s="103" t="str">
        <f t="shared" si="7"/>
        <v>Std_CFLscw(9w)_60pInc-r0248Wtd-Pack</v>
      </c>
    </row>
    <row r="214" spans="1:41">
      <c r="A214" s="177">
        <f>IFERROR(MATCH(D214,'Measure &amp; Standard CostIDs'!C$5:C$177,0),MATCH(D214,'Measure &amp; Standard CostIDs'!S$5:S$177,0))</f>
        <v>48</v>
      </c>
      <c r="B214" s="177">
        <v>1</v>
      </c>
      <c r="C214" s="103" t="s">
        <v>153</v>
      </c>
      <c r="D214" s="103" t="s">
        <v>910</v>
      </c>
      <c r="E214" s="103" t="str">
        <f>IF(LEFT(D214,3)="Std","Base case cost for mix of 60% Incandescent and 40% CFL lamps for CFL TechID: "&amp;INDEX('Measure &amp; Standard CostIDs'!$C$5:$C$177,A214),"&lt;from TechID&gt;")</f>
        <v>Base case cost for mix of 60% Incandescent and 40% CFL lamps for CFL TechID: CFLscw-3way(13w)</v>
      </c>
      <c r="F214" s="103" t="s">
        <v>860</v>
      </c>
      <c r="G214" s="103" t="s">
        <v>151</v>
      </c>
      <c r="H214" s="103" t="s">
        <v>861</v>
      </c>
      <c r="I214" s="103" t="s">
        <v>862</v>
      </c>
      <c r="J214" s="103" t="s">
        <v>863</v>
      </c>
      <c r="K214" s="103" t="s">
        <v>864</v>
      </c>
      <c r="L214" s="103" t="s">
        <v>153</v>
      </c>
      <c r="M214" s="103" t="s">
        <v>865</v>
      </c>
      <c r="N214" s="103" t="s">
        <v>866</v>
      </c>
      <c r="O214" s="103" t="str">
        <f t="shared" si="6"/>
        <v/>
      </c>
      <c r="P214" s="103" t="s">
        <v>153</v>
      </c>
      <c r="Q214" s="103" t="s">
        <v>153</v>
      </c>
      <c r="R214" s="103" t="s">
        <v>153</v>
      </c>
      <c r="S214" s="103" t="str">
        <f>INDEX('Measure &amp; Standard CostIDs'!$AK$8:$AK$12,B214)</f>
        <v>Wtd-Pack</v>
      </c>
      <c r="T214" s="103" t="s">
        <v>867</v>
      </c>
      <c r="U214" s="103"/>
      <c r="V214" s="103"/>
      <c r="W214" s="103">
        <f>ROUND(IF(LEFT(D214,3)="Std",VLOOKUP(D214,'Measure &amp; Standard CostIDs'!$S$5:$X$177,1+B214,FALSE),VLOOKUP(D214,'Measure &amp; Standard CostIDs'!$C$5:$H$177,1+B214,FALSE)),2)</f>
        <v>4.8</v>
      </c>
      <c r="X214" s="103"/>
      <c r="Y214" s="103"/>
      <c r="Z214" s="103" t="s">
        <v>868</v>
      </c>
      <c r="AA214" s="103" t="s">
        <v>874</v>
      </c>
      <c r="AB214" s="103" t="s">
        <v>153</v>
      </c>
      <c r="AC214" s="103">
        <v>0</v>
      </c>
      <c r="AD214" s="156">
        <v>42005</v>
      </c>
      <c r="AE214" s="103"/>
      <c r="AF214" s="103" t="s">
        <v>870</v>
      </c>
      <c r="AG214" s="103" t="s">
        <v>871</v>
      </c>
      <c r="AH214" s="103" t="s">
        <v>872</v>
      </c>
      <c r="AI214" s="103">
        <v>0</v>
      </c>
      <c r="AJ214" s="103"/>
      <c r="AK214" s="103"/>
      <c r="AL214" s="103"/>
      <c r="AM214" s="103"/>
      <c r="AN214" s="103"/>
      <c r="AO214" s="103" t="str">
        <f t="shared" si="7"/>
        <v>Std_CFLscw-3way(13w)_60pInc-r0248Wtd-Pack</v>
      </c>
    </row>
    <row r="215" spans="1:41">
      <c r="A215" s="177">
        <f>IFERROR(MATCH(D215,'Measure &amp; Standard CostIDs'!C$5:C$177,0),MATCH(D215,'Measure &amp; Standard CostIDs'!S$5:S$177,0))</f>
        <v>49</v>
      </c>
      <c r="B215" s="177">
        <v>1</v>
      </c>
      <c r="C215" s="103" t="s">
        <v>153</v>
      </c>
      <c r="D215" s="103" t="s">
        <v>911</v>
      </c>
      <c r="E215" s="103" t="str">
        <f>IF(LEFT(D215,3)="Std","Base case cost for mix of 60% Incandescent and 40% CFL lamps for CFL TechID: "&amp;INDEX('Measure &amp; Standard CostIDs'!$C$5:$C$177,A215),"&lt;from TechID&gt;")</f>
        <v>Base case cost for mix of 60% Incandescent and 40% CFL lamps for CFL TechID: CFLscw-3way(15w)</v>
      </c>
      <c r="F215" s="103" t="s">
        <v>860</v>
      </c>
      <c r="G215" s="103" t="s">
        <v>151</v>
      </c>
      <c r="H215" s="103" t="s">
        <v>861</v>
      </c>
      <c r="I215" s="103" t="s">
        <v>862</v>
      </c>
      <c r="J215" s="103" t="s">
        <v>863</v>
      </c>
      <c r="K215" s="103" t="s">
        <v>864</v>
      </c>
      <c r="L215" s="103" t="s">
        <v>153</v>
      </c>
      <c r="M215" s="103" t="s">
        <v>865</v>
      </c>
      <c r="N215" s="103" t="s">
        <v>866</v>
      </c>
      <c r="O215" s="103" t="str">
        <f t="shared" si="6"/>
        <v/>
      </c>
      <c r="P215" s="103" t="s">
        <v>153</v>
      </c>
      <c r="Q215" s="103" t="s">
        <v>153</v>
      </c>
      <c r="R215" s="103" t="s">
        <v>153</v>
      </c>
      <c r="S215" s="103" t="str">
        <f>INDEX('Measure &amp; Standard CostIDs'!$AK$8:$AK$12,B215)</f>
        <v>Wtd-Pack</v>
      </c>
      <c r="T215" s="103" t="s">
        <v>867</v>
      </c>
      <c r="U215" s="103"/>
      <c r="V215" s="103"/>
      <c r="W215" s="103">
        <f>ROUND(IF(LEFT(D215,3)="Std",VLOOKUP(D215,'Measure &amp; Standard CostIDs'!$S$5:$X$177,1+B215,FALSE),VLOOKUP(D215,'Measure &amp; Standard CostIDs'!$C$5:$H$177,1+B215,FALSE)),2)</f>
        <v>4.8899999999999997</v>
      </c>
      <c r="X215" s="103"/>
      <c r="Y215" s="103"/>
      <c r="Z215" s="103" t="s">
        <v>868</v>
      </c>
      <c r="AA215" s="103" t="s">
        <v>874</v>
      </c>
      <c r="AB215" s="103" t="s">
        <v>153</v>
      </c>
      <c r="AC215" s="103">
        <v>0</v>
      </c>
      <c r="AD215" s="156">
        <v>42005</v>
      </c>
      <c r="AE215" s="103"/>
      <c r="AF215" s="103" t="s">
        <v>870</v>
      </c>
      <c r="AG215" s="103" t="s">
        <v>871</v>
      </c>
      <c r="AH215" s="103" t="s">
        <v>872</v>
      </c>
      <c r="AI215" s="103">
        <v>0</v>
      </c>
      <c r="AJ215" s="103"/>
      <c r="AK215" s="103"/>
      <c r="AL215" s="103"/>
      <c r="AM215" s="103"/>
      <c r="AN215" s="103"/>
      <c r="AO215" s="103" t="str">
        <f t="shared" si="7"/>
        <v>Std_CFLscw-3way(15w)_60pInc-r0248Wtd-Pack</v>
      </c>
    </row>
    <row r="216" spans="1:41">
      <c r="A216" s="177">
        <f>IFERROR(MATCH(D216,'Measure &amp; Standard CostIDs'!C$5:C$177,0),MATCH(D216,'Measure &amp; Standard CostIDs'!S$5:S$177,0))</f>
        <v>50</v>
      </c>
      <c r="B216" s="177">
        <v>1</v>
      </c>
      <c r="C216" s="103" t="s">
        <v>153</v>
      </c>
      <c r="D216" s="103" t="s">
        <v>912</v>
      </c>
      <c r="E216" s="103" t="str">
        <f>IF(LEFT(D216,3)="Std","Base case cost for mix of 60% Incandescent and 40% CFL lamps for CFL TechID: "&amp;INDEX('Measure &amp; Standard CostIDs'!$C$5:$C$177,A216),"&lt;from TechID&gt;")</f>
        <v>Base case cost for mix of 60% Incandescent and 40% CFL lamps for CFL TechID: CFLscw-3way(16w)</v>
      </c>
      <c r="F216" s="103" t="s">
        <v>860</v>
      </c>
      <c r="G216" s="103" t="s">
        <v>151</v>
      </c>
      <c r="H216" s="103" t="s">
        <v>861</v>
      </c>
      <c r="I216" s="103" t="s">
        <v>862</v>
      </c>
      <c r="J216" s="103" t="s">
        <v>863</v>
      </c>
      <c r="K216" s="103" t="s">
        <v>864</v>
      </c>
      <c r="L216" s="103" t="s">
        <v>153</v>
      </c>
      <c r="M216" s="103" t="s">
        <v>865</v>
      </c>
      <c r="N216" s="103" t="s">
        <v>866</v>
      </c>
      <c r="O216" s="103" t="str">
        <f t="shared" si="6"/>
        <v/>
      </c>
      <c r="P216" s="103" t="s">
        <v>153</v>
      </c>
      <c r="Q216" s="103" t="s">
        <v>153</v>
      </c>
      <c r="R216" s="103" t="s">
        <v>153</v>
      </c>
      <c r="S216" s="103" t="str">
        <f>INDEX('Measure &amp; Standard CostIDs'!$AK$8:$AK$12,B216)</f>
        <v>Wtd-Pack</v>
      </c>
      <c r="T216" s="103" t="s">
        <v>867</v>
      </c>
      <c r="U216" s="103"/>
      <c r="V216" s="103"/>
      <c r="W216" s="103">
        <f>ROUND(IF(LEFT(D216,3)="Std",VLOOKUP(D216,'Measure &amp; Standard CostIDs'!$S$5:$X$177,1+B216,FALSE),VLOOKUP(D216,'Measure &amp; Standard CostIDs'!$C$5:$H$177,1+B216,FALSE)),2)</f>
        <v>4.9400000000000004</v>
      </c>
      <c r="X216" s="103"/>
      <c r="Y216" s="103"/>
      <c r="Z216" s="103" t="s">
        <v>868</v>
      </c>
      <c r="AA216" s="103" t="s">
        <v>874</v>
      </c>
      <c r="AB216" s="103" t="s">
        <v>153</v>
      </c>
      <c r="AC216" s="103">
        <v>0</v>
      </c>
      <c r="AD216" s="156">
        <v>42005</v>
      </c>
      <c r="AE216" s="103"/>
      <c r="AF216" s="103" t="s">
        <v>870</v>
      </c>
      <c r="AG216" s="103" t="s">
        <v>871</v>
      </c>
      <c r="AH216" s="103" t="s">
        <v>872</v>
      </c>
      <c r="AI216" s="103">
        <v>0</v>
      </c>
      <c r="AJ216" s="103"/>
      <c r="AK216" s="103"/>
      <c r="AL216" s="103"/>
      <c r="AM216" s="103"/>
      <c r="AN216" s="103"/>
      <c r="AO216" s="103" t="str">
        <f t="shared" si="7"/>
        <v>Std_CFLscw-3way(16w)_60pInc-r0248Wtd-Pack</v>
      </c>
    </row>
    <row r="217" spans="1:41">
      <c r="A217" s="177">
        <f>IFERROR(MATCH(D217,'Measure &amp; Standard CostIDs'!C$5:C$177,0),MATCH(D217,'Measure &amp; Standard CostIDs'!S$5:S$177,0))</f>
        <v>51</v>
      </c>
      <c r="B217" s="177">
        <v>1</v>
      </c>
      <c r="C217" s="103" t="s">
        <v>153</v>
      </c>
      <c r="D217" s="103" t="s">
        <v>913</v>
      </c>
      <c r="E217" s="103" t="str">
        <f>IF(LEFT(D217,3)="Std","Base case cost for mix of 60% Incandescent and 40% CFL lamps for CFL TechID: "&amp;INDEX('Measure &amp; Standard CostIDs'!$C$5:$C$177,A217),"&lt;from TechID&gt;")</f>
        <v>Base case cost for mix of 60% Incandescent and 40% CFL lamps for CFL TechID: CFLscw-3way(17w)</v>
      </c>
      <c r="F217" s="103" t="s">
        <v>860</v>
      </c>
      <c r="G217" s="103" t="s">
        <v>151</v>
      </c>
      <c r="H217" s="103" t="s">
        <v>861</v>
      </c>
      <c r="I217" s="103" t="s">
        <v>862</v>
      </c>
      <c r="J217" s="103" t="s">
        <v>863</v>
      </c>
      <c r="K217" s="103" t="s">
        <v>864</v>
      </c>
      <c r="L217" s="103" t="s">
        <v>153</v>
      </c>
      <c r="M217" s="103" t="s">
        <v>865</v>
      </c>
      <c r="N217" s="103" t="s">
        <v>866</v>
      </c>
      <c r="O217" s="103" t="str">
        <f t="shared" si="6"/>
        <v/>
      </c>
      <c r="P217" s="103" t="s">
        <v>153</v>
      </c>
      <c r="Q217" s="103" t="s">
        <v>153</v>
      </c>
      <c r="R217" s="103" t="s">
        <v>153</v>
      </c>
      <c r="S217" s="103" t="str">
        <f>INDEX('Measure &amp; Standard CostIDs'!$AK$8:$AK$12,B217)</f>
        <v>Wtd-Pack</v>
      </c>
      <c r="T217" s="103" t="s">
        <v>867</v>
      </c>
      <c r="U217" s="103"/>
      <c r="V217" s="103"/>
      <c r="W217" s="103">
        <f>ROUND(IF(LEFT(D217,3)="Std",VLOOKUP(D217,'Measure &amp; Standard CostIDs'!$S$5:$X$177,1+B217,FALSE),VLOOKUP(D217,'Measure &amp; Standard CostIDs'!$C$5:$H$177,1+B217,FALSE)),2)</f>
        <v>4.9800000000000004</v>
      </c>
      <c r="X217" s="103"/>
      <c r="Y217" s="103"/>
      <c r="Z217" s="103" t="s">
        <v>868</v>
      </c>
      <c r="AA217" s="103" t="s">
        <v>874</v>
      </c>
      <c r="AB217" s="103" t="s">
        <v>153</v>
      </c>
      <c r="AC217" s="103">
        <v>0</v>
      </c>
      <c r="AD217" s="156">
        <v>42005</v>
      </c>
      <c r="AE217" s="103"/>
      <c r="AF217" s="103" t="s">
        <v>870</v>
      </c>
      <c r="AG217" s="103" t="s">
        <v>871</v>
      </c>
      <c r="AH217" s="103" t="s">
        <v>872</v>
      </c>
      <c r="AI217" s="103">
        <v>0</v>
      </c>
      <c r="AJ217" s="103"/>
      <c r="AK217" s="103"/>
      <c r="AL217" s="103"/>
      <c r="AM217" s="103"/>
      <c r="AN217" s="103"/>
      <c r="AO217" s="103" t="str">
        <f t="shared" si="7"/>
        <v>Std_CFLscw-3way(17w)_60pInc-r0248Wtd-Pack</v>
      </c>
    </row>
    <row r="218" spans="1:41">
      <c r="A218" s="177">
        <f>IFERROR(MATCH(D218,'Measure &amp; Standard CostIDs'!C$5:C$177,0),MATCH(D218,'Measure &amp; Standard CostIDs'!S$5:S$177,0))</f>
        <v>52</v>
      </c>
      <c r="B218" s="177">
        <v>1</v>
      </c>
      <c r="C218" s="103" t="s">
        <v>153</v>
      </c>
      <c r="D218" s="103" t="s">
        <v>914</v>
      </c>
      <c r="E218" s="103" t="str">
        <f>IF(LEFT(D218,3)="Std","Base case cost for mix of 60% Incandescent and 40% CFL lamps for CFL TechID: "&amp;INDEX('Measure &amp; Standard CostIDs'!$C$5:$C$177,A218),"&lt;from TechID&gt;")</f>
        <v>Base case cost for mix of 60% Incandescent and 40% CFL lamps for CFL TechID: CFLscw-3way(18w)</v>
      </c>
      <c r="F218" s="103" t="s">
        <v>860</v>
      </c>
      <c r="G218" s="103" t="s">
        <v>151</v>
      </c>
      <c r="H218" s="103" t="s">
        <v>861</v>
      </c>
      <c r="I218" s="103" t="s">
        <v>862</v>
      </c>
      <c r="J218" s="103" t="s">
        <v>863</v>
      </c>
      <c r="K218" s="103" t="s">
        <v>864</v>
      </c>
      <c r="L218" s="103" t="s">
        <v>153</v>
      </c>
      <c r="M218" s="103" t="s">
        <v>865</v>
      </c>
      <c r="N218" s="103" t="s">
        <v>866</v>
      </c>
      <c r="O218" s="103" t="str">
        <f t="shared" si="6"/>
        <v/>
      </c>
      <c r="P218" s="103" t="s">
        <v>153</v>
      </c>
      <c r="Q218" s="103" t="s">
        <v>153</v>
      </c>
      <c r="R218" s="103" t="s">
        <v>153</v>
      </c>
      <c r="S218" s="103" t="str">
        <f>INDEX('Measure &amp; Standard CostIDs'!$AK$8:$AK$12,B218)</f>
        <v>Wtd-Pack</v>
      </c>
      <c r="T218" s="103" t="s">
        <v>867</v>
      </c>
      <c r="U218" s="103"/>
      <c r="V218" s="103"/>
      <c r="W218" s="103">
        <f>ROUND(IF(LEFT(D218,3)="Std",VLOOKUP(D218,'Measure &amp; Standard CostIDs'!$S$5:$X$177,1+B218,FALSE),VLOOKUP(D218,'Measure &amp; Standard CostIDs'!$C$5:$H$177,1+B218,FALSE)),2)</f>
        <v>5.03</v>
      </c>
      <c r="X218" s="103"/>
      <c r="Y218" s="103"/>
      <c r="Z218" s="103" t="s">
        <v>868</v>
      </c>
      <c r="AA218" s="103" t="s">
        <v>874</v>
      </c>
      <c r="AB218" s="103" t="s">
        <v>153</v>
      </c>
      <c r="AC218" s="103">
        <v>0</v>
      </c>
      <c r="AD218" s="156">
        <v>42005</v>
      </c>
      <c r="AE218" s="103"/>
      <c r="AF218" s="103" t="s">
        <v>870</v>
      </c>
      <c r="AG218" s="103" t="s">
        <v>871</v>
      </c>
      <c r="AH218" s="103" t="s">
        <v>872</v>
      </c>
      <c r="AI218" s="103">
        <v>0</v>
      </c>
      <c r="AJ218" s="103"/>
      <c r="AK218" s="103"/>
      <c r="AL218" s="103"/>
      <c r="AM218" s="103"/>
      <c r="AN218" s="103"/>
      <c r="AO218" s="103" t="str">
        <f t="shared" si="7"/>
        <v>Std_CFLscw-3way(18w)_60pInc-r0248Wtd-Pack</v>
      </c>
    </row>
    <row r="219" spans="1:41">
      <c r="A219" s="177">
        <f>IFERROR(MATCH(D219,'Measure &amp; Standard CostIDs'!C$5:C$177,0),MATCH(D219,'Measure &amp; Standard CostIDs'!S$5:S$177,0))</f>
        <v>53</v>
      </c>
      <c r="B219" s="177">
        <v>1</v>
      </c>
      <c r="C219" s="103" t="s">
        <v>153</v>
      </c>
      <c r="D219" s="103" t="s">
        <v>915</v>
      </c>
      <c r="E219" s="103" t="str">
        <f>IF(LEFT(D219,3)="Std","Base case cost for mix of 60% Incandescent and 40% CFL lamps for CFL TechID: "&amp;INDEX('Measure &amp; Standard CostIDs'!$C$5:$C$177,A219),"&lt;from TechID&gt;")</f>
        <v>Base case cost for mix of 60% Incandescent and 40% CFL lamps for CFL TechID: CFLscw-3way(19w)</v>
      </c>
      <c r="F219" s="103" t="s">
        <v>860</v>
      </c>
      <c r="G219" s="103" t="s">
        <v>151</v>
      </c>
      <c r="H219" s="103" t="s">
        <v>861</v>
      </c>
      <c r="I219" s="103" t="s">
        <v>862</v>
      </c>
      <c r="J219" s="103" t="s">
        <v>863</v>
      </c>
      <c r="K219" s="103" t="s">
        <v>864</v>
      </c>
      <c r="L219" s="103" t="s">
        <v>153</v>
      </c>
      <c r="M219" s="103" t="s">
        <v>865</v>
      </c>
      <c r="N219" s="103" t="s">
        <v>866</v>
      </c>
      <c r="O219" s="103" t="str">
        <f t="shared" si="6"/>
        <v/>
      </c>
      <c r="P219" s="103" t="s">
        <v>153</v>
      </c>
      <c r="Q219" s="103" t="s">
        <v>153</v>
      </c>
      <c r="R219" s="103" t="s">
        <v>153</v>
      </c>
      <c r="S219" s="103" t="str">
        <f>INDEX('Measure &amp; Standard CostIDs'!$AK$8:$AK$12,B219)</f>
        <v>Wtd-Pack</v>
      </c>
      <c r="T219" s="103" t="s">
        <v>867</v>
      </c>
      <c r="U219" s="103"/>
      <c r="V219" s="103"/>
      <c r="W219" s="103">
        <f>ROUND(IF(LEFT(D219,3)="Std",VLOOKUP(D219,'Measure &amp; Standard CostIDs'!$S$5:$X$177,1+B219,FALSE),VLOOKUP(D219,'Measure &amp; Standard CostIDs'!$C$5:$H$177,1+B219,FALSE)),2)</f>
        <v>5.08</v>
      </c>
      <c r="X219" s="103"/>
      <c r="Y219" s="103"/>
      <c r="Z219" s="103" t="s">
        <v>868</v>
      </c>
      <c r="AA219" s="103" t="s">
        <v>874</v>
      </c>
      <c r="AB219" s="103" t="s">
        <v>153</v>
      </c>
      <c r="AC219" s="103">
        <v>0</v>
      </c>
      <c r="AD219" s="156">
        <v>42005</v>
      </c>
      <c r="AE219" s="103"/>
      <c r="AF219" s="103" t="s">
        <v>870</v>
      </c>
      <c r="AG219" s="103" t="s">
        <v>871</v>
      </c>
      <c r="AH219" s="103" t="s">
        <v>872</v>
      </c>
      <c r="AI219" s="103">
        <v>0</v>
      </c>
      <c r="AJ219" s="103"/>
      <c r="AK219" s="103"/>
      <c r="AL219" s="103"/>
      <c r="AM219" s="103"/>
      <c r="AN219" s="103"/>
      <c r="AO219" s="103" t="str">
        <f t="shared" si="7"/>
        <v>Std_CFLscw-3way(19w)_60pInc-r0248Wtd-Pack</v>
      </c>
    </row>
    <row r="220" spans="1:41">
      <c r="A220" s="177">
        <f>IFERROR(MATCH(D220,'Measure &amp; Standard CostIDs'!C$5:C$177,0),MATCH(D220,'Measure &amp; Standard CostIDs'!S$5:S$177,0))</f>
        <v>54</v>
      </c>
      <c r="B220" s="177">
        <v>1</v>
      </c>
      <c r="C220" s="103" t="s">
        <v>153</v>
      </c>
      <c r="D220" s="103" t="s">
        <v>916</v>
      </c>
      <c r="E220" s="103" t="str">
        <f>IF(LEFT(D220,3)="Std","Base case cost for mix of 60% Incandescent and 40% CFL lamps for CFL TechID: "&amp;INDEX('Measure &amp; Standard CostIDs'!$C$5:$C$177,A220),"&lt;from TechID&gt;")</f>
        <v>Base case cost for mix of 60% Incandescent and 40% CFL lamps for CFL TechID: CFLscw-3way(20w)</v>
      </c>
      <c r="F220" s="103" t="s">
        <v>860</v>
      </c>
      <c r="G220" s="103" t="s">
        <v>151</v>
      </c>
      <c r="H220" s="103" t="s">
        <v>861</v>
      </c>
      <c r="I220" s="103" t="s">
        <v>862</v>
      </c>
      <c r="J220" s="103" t="s">
        <v>863</v>
      </c>
      <c r="K220" s="103" t="s">
        <v>864</v>
      </c>
      <c r="L220" s="103" t="s">
        <v>153</v>
      </c>
      <c r="M220" s="103" t="s">
        <v>865</v>
      </c>
      <c r="N220" s="103" t="s">
        <v>866</v>
      </c>
      <c r="O220" s="103" t="str">
        <f t="shared" si="6"/>
        <v/>
      </c>
      <c r="P220" s="103" t="s">
        <v>153</v>
      </c>
      <c r="Q220" s="103" t="s">
        <v>153</v>
      </c>
      <c r="R220" s="103" t="s">
        <v>153</v>
      </c>
      <c r="S220" s="103" t="str">
        <f>INDEX('Measure &amp; Standard CostIDs'!$AK$8:$AK$12,B220)</f>
        <v>Wtd-Pack</v>
      </c>
      <c r="T220" s="103" t="s">
        <v>867</v>
      </c>
      <c r="U220" s="103"/>
      <c r="V220" s="103"/>
      <c r="W220" s="103">
        <f>ROUND(IF(LEFT(D220,3)="Std",VLOOKUP(D220,'Measure &amp; Standard CostIDs'!$S$5:$X$177,1+B220,FALSE),VLOOKUP(D220,'Measure &amp; Standard CostIDs'!$C$5:$H$177,1+B220,FALSE)),2)</f>
        <v>5.12</v>
      </c>
      <c r="X220" s="103"/>
      <c r="Y220" s="103"/>
      <c r="Z220" s="103" t="s">
        <v>868</v>
      </c>
      <c r="AA220" s="103" t="s">
        <v>874</v>
      </c>
      <c r="AB220" s="103" t="s">
        <v>153</v>
      </c>
      <c r="AC220" s="103">
        <v>0</v>
      </c>
      <c r="AD220" s="156">
        <v>42005</v>
      </c>
      <c r="AE220" s="103"/>
      <c r="AF220" s="103" t="s">
        <v>870</v>
      </c>
      <c r="AG220" s="103" t="s">
        <v>871</v>
      </c>
      <c r="AH220" s="103" t="s">
        <v>872</v>
      </c>
      <c r="AI220" s="103">
        <v>0</v>
      </c>
      <c r="AJ220" s="103"/>
      <c r="AK220" s="103"/>
      <c r="AL220" s="103"/>
      <c r="AM220" s="103"/>
      <c r="AN220" s="103"/>
      <c r="AO220" s="103" t="str">
        <f t="shared" si="7"/>
        <v>Std_CFLscw-3way(20w)_60pInc-r0248Wtd-Pack</v>
      </c>
    </row>
    <row r="221" spans="1:41">
      <c r="A221" s="177">
        <f>IFERROR(MATCH(D221,'Measure &amp; Standard CostIDs'!C$5:C$177,0),MATCH(D221,'Measure &amp; Standard CostIDs'!S$5:S$177,0))</f>
        <v>55</v>
      </c>
      <c r="B221" s="177">
        <v>1</v>
      </c>
      <c r="C221" s="103" t="s">
        <v>153</v>
      </c>
      <c r="D221" s="103" t="s">
        <v>917</v>
      </c>
      <c r="E221" s="103" t="str">
        <f>IF(LEFT(D221,3)="Std","Base case cost for mix of 60% Incandescent and 40% CFL lamps for CFL TechID: "&amp;INDEX('Measure &amp; Standard CostIDs'!$C$5:$C$177,A221),"&lt;from TechID&gt;")</f>
        <v>Base case cost for mix of 60% Incandescent and 40% CFL lamps for CFL TechID: CFLscw-3way(21w)</v>
      </c>
      <c r="F221" s="103" t="s">
        <v>860</v>
      </c>
      <c r="G221" s="103" t="s">
        <v>151</v>
      </c>
      <c r="H221" s="103" t="s">
        <v>861</v>
      </c>
      <c r="I221" s="103" t="s">
        <v>862</v>
      </c>
      <c r="J221" s="103" t="s">
        <v>863</v>
      </c>
      <c r="K221" s="103" t="s">
        <v>864</v>
      </c>
      <c r="L221" s="103" t="s">
        <v>153</v>
      </c>
      <c r="M221" s="103" t="s">
        <v>865</v>
      </c>
      <c r="N221" s="103" t="s">
        <v>866</v>
      </c>
      <c r="O221" s="103" t="str">
        <f t="shared" si="6"/>
        <v/>
      </c>
      <c r="P221" s="103" t="s">
        <v>153</v>
      </c>
      <c r="Q221" s="103" t="s">
        <v>153</v>
      </c>
      <c r="R221" s="103" t="s">
        <v>153</v>
      </c>
      <c r="S221" s="103" t="str">
        <f>INDEX('Measure &amp; Standard CostIDs'!$AK$8:$AK$12,B221)</f>
        <v>Wtd-Pack</v>
      </c>
      <c r="T221" s="103" t="s">
        <v>867</v>
      </c>
      <c r="U221" s="103"/>
      <c r="V221" s="103"/>
      <c r="W221" s="103">
        <f>ROUND(IF(LEFT(D221,3)="Std",VLOOKUP(D221,'Measure &amp; Standard CostIDs'!$S$5:$X$177,1+B221,FALSE),VLOOKUP(D221,'Measure &amp; Standard CostIDs'!$C$5:$H$177,1+B221,FALSE)),2)</f>
        <v>5.17</v>
      </c>
      <c r="X221" s="103"/>
      <c r="Y221" s="103"/>
      <c r="Z221" s="103" t="s">
        <v>868</v>
      </c>
      <c r="AA221" s="103" t="s">
        <v>874</v>
      </c>
      <c r="AB221" s="103" t="s">
        <v>153</v>
      </c>
      <c r="AC221" s="103">
        <v>0</v>
      </c>
      <c r="AD221" s="156">
        <v>42005</v>
      </c>
      <c r="AE221" s="103"/>
      <c r="AF221" s="103" t="s">
        <v>870</v>
      </c>
      <c r="AG221" s="103" t="s">
        <v>871</v>
      </c>
      <c r="AH221" s="103" t="s">
        <v>872</v>
      </c>
      <c r="AI221" s="103">
        <v>0</v>
      </c>
      <c r="AJ221" s="103"/>
      <c r="AK221" s="103"/>
      <c r="AL221" s="103"/>
      <c r="AM221" s="103"/>
      <c r="AN221" s="103"/>
      <c r="AO221" s="103" t="str">
        <f t="shared" si="7"/>
        <v>Std_CFLscw-3way(21w)_60pInc-r0248Wtd-Pack</v>
      </c>
    </row>
    <row r="222" spans="1:41">
      <c r="A222" s="177">
        <f>IFERROR(MATCH(D222,'Measure &amp; Standard CostIDs'!C$5:C$177,0),MATCH(D222,'Measure &amp; Standard CostIDs'!S$5:S$177,0))</f>
        <v>56</v>
      </c>
      <c r="B222" s="177">
        <v>1</v>
      </c>
      <c r="C222" s="103" t="s">
        <v>153</v>
      </c>
      <c r="D222" s="103" t="s">
        <v>918</v>
      </c>
      <c r="E222" s="103" t="str">
        <f>IF(LEFT(D222,3)="Std","Base case cost for mix of 60% Incandescent and 40% CFL lamps for CFL TechID: "&amp;INDEX('Measure &amp; Standard CostIDs'!$C$5:$C$177,A222),"&lt;from TechID&gt;")</f>
        <v>Base case cost for mix of 60% Incandescent and 40% CFL lamps for CFL TechID: CFLscw-3way(22w)</v>
      </c>
      <c r="F222" s="103" t="s">
        <v>860</v>
      </c>
      <c r="G222" s="103" t="s">
        <v>151</v>
      </c>
      <c r="H222" s="103" t="s">
        <v>861</v>
      </c>
      <c r="I222" s="103" t="s">
        <v>862</v>
      </c>
      <c r="J222" s="103" t="s">
        <v>863</v>
      </c>
      <c r="K222" s="103" t="s">
        <v>864</v>
      </c>
      <c r="L222" s="103" t="s">
        <v>153</v>
      </c>
      <c r="M222" s="103" t="s">
        <v>865</v>
      </c>
      <c r="N222" s="103" t="s">
        <v>866</v>
      </c>
      <c r="O222" s="103" t="str">
        <f t="shared" si="6"/>
        <v/>
      </c>
      <c r="P222" s="103" t="s">
        <v>153</v>
      </c>
      <c r="Q222" s="103" t="s">
        <v>153</v>
      </c>
      <c r="R222" s="103" t="s">
        <v>153</v>
      </c>
      <c r="S222" s="103" t="str">
        <f>INDEX('Measure &amp; Standard CostIDs'!$AK$8:$AK$12,B222)</f>
        <v>Wtd-Pack</v>
      </c>
      <c r="T222" s="103" t="s">
        <v>867</v>
      </c>
      <c r="U222" s="103"/>
      <c r="V222" s="103"/>
      <c r="W222" s="103">
        <f>ROUND(IF(LEFT(D222,3)="Std",VLOOKUP(D222,'Measure &amp; Standard CostIDs'!$S$5:$X$177,1+B222,FALSE),VLOOKUP(D222,'Measure &amp; Standard CostIDs'!$C$5:$H$177,1+B222,FALSE)),2)</f>
        <v>5.2</v>
      </c>
      <c r="X222" s="103"/>
      <c r="Y222" s="103"/>
      <c r="Z222" s="103" t="s">
        <v>868</v>
      </c>
      <c r="AA222" s="103" t="s">
        <v>874</v>
      </c>
      <c r="AB222" s="103" t="s">
        <v>153</v>
      </c>
      <c r="AC222" s="103">
        <v>0</v>
      </c>
      <c r="AD222" s="156">
        <v>42005</v>
      </c>
      <c r="AE222" s="103"/>
      <c r="AF222" s="103" t="s">
        <v>870</v>
      </c>
      <c r="AG222" s="103" t="s">
        <v>871</v>
      </c>
      <c r="AH222" s="103" t="s">
        <v>872</v>
      </c>
      <c r="AI222" s="103">
        <v>0</v>
      </c>
      <c r="AJ222" s="103"/>
      <c r="AK222" s="103"/>
      <c r="AL222" s="103"/>
      <c r="AM222" s="103"/>
      <c r="AN222" s="103"/>
      <c r="AO222" s="103" t="str">
        <f t="shared" si="7"/>
        <v>Std_CFLscw-3way(22w)_60pInc-r0248Wtd-Pack</v>
      </c>
    </row>
    <row r="223" spans="1:41">
      <c r="A223" s="177">
        <f>IFERROR(MATCH(D223,'Measure &amp; Standard CostIDs'!C$5:C$177,0),MATCH(D223,'Measure &amp; Standard CostIDs'!S$5:S$177,0))</f>
        <v>57</v>
      </c>
      <c r="B223" s="177">
        <v>1</v>
      </c>
      <c r="C223" s="103" t="s">
        <v>153</v>
      </c>
      <c r="D223" s="103" t="s">
        <v>919</v>
      </c>
      <c r="E223" s="103" t="str">
        <f>IF(LEFT(D223,3)="Std","Base case cost for mix of 60% Incandescent and 40% CFL lamps for CFL TechID: "&amp;INDEX('Measure &amp; Standard CostIDs'!$C$5:$C$177,A223),"&lt;from TechID&gt;")</f>
        <v>Base case cost for mix of 60% Incandescent and 40% CFL lamps for CFL TechID: CFLscw-3way(23w)</v>
      </c>
      <c r="F223" s="103" t="s">
        <v>860</v>
      </c>
      <c r="G223" s="103" t="s">
        <v>151</v>
      </c>
      <c r="H223" s="103" t="s">
        <v>861</v>
      </c>
      <c r="I223" s="103" t="s">
        <v>862</v>
      </c>
      <c r="J223" s="103" t="s">
        <v>863</v>
      </c>
      <c r="K223" s="103" t="s">
        <v>864</v>
      </c>
      <c r="L223" s="103" t="s">
        <v>153</v>
      </c>
      <c r="M223" s="103" t="s">
        <v>865</v>
      </c>
      <c r="N223" s="103" t="s">
        <v>866</v>
      </c>
      <c r="O223" s="103" t="str">
        <f t="shared" si="6"/>
        <v/>
      </c>
      <c r="P223" s="103" t="s">
        <v>153</v>
      </c>
      <c r="Q223" s="103" t="s">
        <v>153</v>
      </c>
      <c r="R223" s="103" t="s">
        <v>153</v>
      </c>
      <c r="S223" s="103" t="str">
        <f>INDEX('Measure &amp; Standard CostIDs'!$AK$8:$AK$12,B223)</f>
        <v>Wtd-Pack</v>
      </c>
      <c r="T223" s="103" t="s">
        <v>867</v>
      </c>
      <c r="U223" s="103"/>
      <c r="V223" s="103"/>
      <c r="W223" s="103">
        <f>ROUND(IF(LEFT(D223,3)="Std",VLOOKUP(D223,'Measure &amp; Standard CostIDs'!$S$5:$X$177,1+B223,FALSE),VLOOKUP(D223,'Measure &amp; Standard CostIDs'!$C$5:$H$177,1+B223,FALSE)),2)</f>
        <v>5.23</v>
      </c>
      <c r="X223" s="103"/>
      <c r="Y223" s="103"/>
      <c r="Z223" s="103" t="s">
        <v>868</v>
      </c>
      <c r="AA223" s="103" t="s">
        <v>874</v>
      </c>
      <c r="AB223" s="103" t="s">
        <v>153</v>
      </c>
      <c r="AC223" s="103">
        <v>0</v>
      </c>
      <c r="AD223" s="156">
        <v>42005</v>
      </c>
      <c r="AE223" s="103"/>
      <c r="AF223" s="103" t="s">
        <v>870</v>
      </c>
      <c r="AG223" s="103" t="s">
        <v>871</v>
      </c>
      <c r="AH223" s="103" t="s">
        <v>872</v>
      </c>
      <c r="AI223" s="103">
        <v>0</v>
      </c>
      <c r="AJ223" s="103"/>
      <c r="AK223" s="103"/>
      <c r="AL223" s="103"/>
      <c r="AM223" s="103"/>
      <c r="AN223" s="103"/>
      <c r="AO223" s="103" t="str">
        <f t="shared" si="7"/>
        <v>Std_CFLscw-3way(23w)_60pInc-r0248Wtd-Pack</v>
      </c>
    </row>
    <row r="224" spans="1:41">
      <c r="A224" s="177">
        <f>IFERROR(MATCH(D224,'Measure &amp; Standard CostIDs'!C$5:C$177,0),MATCH(D224,'Measure &amp; Standard CostIDs'!S$5:S$177,0))</f>
        <v>58</v>
      </c>
      <c r="B224" s="177">
        <v>1</v>
      </c>
      <c r="C224" s="103" t="s">
        <v>153</v>
      </c>
      <c r="D224" s="103" t="s">
        <v>920</v>
      </c>
      <c r="E224" s="103" t="str">
        <f>IF(LEFT(D224,3)="Std","Base case cost for mix of 60% Incandescent and 40% CFL lamps for CFL TechID: "&amp;INDEX('Measure &amp; Standard CostIDs'!$C$5:$C$177,A224),"&lt;from TechID&gt;")</f>
        <v>Base case cost for mix of 60% Incandescent and 40% CFL lamps for CFL TechID: CFLscw-3way(24w)</v>
      </c>
      <c r="F224" s="103" t="s">
        <v>860</v>
      </c>
      <c r="G224" s="103" t="s">
        <v>151</v>
      </c>
      <c r="H224" s="103" t="s">
        <v>861</v>
      </c>
      <c r="I224" s="103" t="s">
        <v>862</v>
      </c>
      <c r="J224" s="103" t="s">
        <v>863</v>
      </c>
      <c r="K224" s="103" t="s">
        <v>864</v>
      </c>
      <c r="L224" s="103" t="s">
        <v>153</v>
      </c>
      <c r="M224" s="103" t="s">
        <v>865</v>
      </c>
      <c r="N224" s="103" t="s">
        <v>866</v>
      </c>
      <c r="O224" s="103" t="str">
        <f t="shared" si="6"/>
        <v/>
      </c>
      <c r="P224" s="103" t="s">
        <v>153</v>
      </c>
      <c r="Q224" s="103" t="s">
        <v>153</v>
      </c>
      <c r="R224" s="103" t="s">
        <v>153</v>
      </c>
      <c r="S224" s="103" t="str">
        <f>INDEX('Measure &amp; Standard CostIDs'!$AK$8:$AK$12,B224)</f>
        <v>Wtd-Pack</v>
      </c>
      <c r="T224" s="103" t="s">
        <v>867</v>
      </c>
      <c r="U224" s="103"/>
      <c r="V224" s="103"/>
      <c r="W224" s="103">
        <f>ROUND(IF(LEFT(D224,3)="Std",VLOOKUP(D224,'Measure &amp; Standard CostIDs'!$S$5:$X$177,1+B224,FALSE),VLOOKUP(D224,'Measure &amp; Standard CostIDs'!$C$5:$H$177,1+B224,FALSE)),2)</f>
        <v>5.26</v>
      </c>
      <c r="X224" s="103"/>
      <c r="Y224" s="103"/>
      <c r="Z224" s="103" t="s">
        <v>868</v>
      </c>
      <c r="AA224" s="103" t="s">
        <v>874</v>
      </c>
      <c r="AB224" s="103" t="s">
        <v>153</v>
      </c>
      <c r="AC224" s="103">
        <v>0</v>
      </c>
      <c r="AD224" s="156">
        <v>42005</v>
      </c>
      <c r="AE224" s="103"/>
      <c r="AF224" s="103" t="s">
        <v>870</v>
      </c>
      <c r="AG224" s="103" t="s">
        <v>871</v>
      </c>
      <c r="AH224" s="103" t="s">
        <v>872</v>
      </c>
      <c r="AI224" s="103">
        <v>0</v>
      </c>
      <c r="AJ224" s="103"/>
      <c r="AK224" s="103"/>
      <c r="AL224" s="103"/>
      <c r="AM224" s="103"/>
      <c r="AN224" s="103"/>
      <c r="AO224" s="103" t="str">
        <f t="shared" si="7"/>
        <v>Std_CFLscw-3way(24w)_60pInc-r0248Wtd-Pack</v>
      </c>
    </row>
    <row r="225" spans="1:41">
      <c r="A225" s="177">
        <f>IFERROR(MATCH(D225,'Measure &amp; Standard CostIDs'!C$5:C$177,0),MATCH(D225,'Measure &amp; Standard CostIDs'!S$5:S$177,0))</f>
        <v>59</v>
      </c>
      <c r="B225" s="177">
        <v>1</v>
      </c>
      <c r="C225" s="103" t="s">
        <v>153</v>
      </c>
      <c r="D225" s="103" t="s">
        <v>921</v>
      </c>
      <c r="E225" s="103" t="str">
        <f>IF(LEFT(D225,3)="Std","Base case cost for mix of 60% Incandescent and 40% CFL lamps for CFL TechID: "&amp;INDEX('Measure &amp; Standard CostIDs'!$C$5:$C$177,A225),"&lt;from TechID&gt;")</f>
        <v>Base case cost for mix of 60% Incandescent and 40% CFL lamps for CFL TechID: CFLscw-3way(25w)</v>
      </c>
      <c r="F225" s="103" t="s">
        <v>860</v>
      </c>
      <c r="G225" s="103" t="s">
        <v>151</v>
      </c>
      <c r="H225" s="103" t="s">
        <v>861</v>
      </c>
      <c r="I225" s="103" t="s">
        <v>862</v>
      </c>
      <c r="J225" s="103" t="s">
        <v>863</v>
      </c>
      <c r="K225" s="103" t="s">
        <v>864</v>
      </c>
      <c r="L225" s="103" t="s">
        <v>153</v>
      </c>
      <c r="M225" s="103" t="s">
        <v>865</v>
      </c>
      <c r="N225" s="103" t="s">
        <v>866</v>
      </c>
      <c r="O225" s="103" t="str">
        <f t="shared" si="6"/>
        <v/>
      </c>
      <c r="P225" s="103" t="s">
        <v>153</v>
      </c>
      <c r="Q225" s="103" t="s">
        <v>153</v>
      </c>
      <c r="R225" s="103" t="s">
        <v>153</v>
      </c>
      <c r="S225" s="103" t="str">
        <f>INDEX('Measure &amp; Standard CostIDs'!$AK$8:$AK$12,B225)</f>
        <v>Wtd-Pack</v>
      </c>
      <c r="T225" s="103" t="s">
        <v>867</v>
      </c>
      <c r="U225" s="103"/>
      <c r="V225" s="103"/>
      <c r="W225" s="103">
        <f>ROUND(IF(LEFT(D225,3)="Std",VLOOKUP(D225,'Measure &amp; Standard CostIDs'!$S$5:$X$177,1+B225,FALSE),VLOOKUP(D225,'Measure &amp; Standard CostIDs'!$C$5:$H$177,1+B225,FALSE)),2)</f>
        <v>5.29</v>
      </c>
      <c r="X225" s="103"/>
      <c r="Y225" s="103"/>
      <c r="Z225" s="103" t="s">
        <v>868</v>
      </c>
      <c r="AA225" s="103" t="s">
        <v>874</v>
      </c>
      <c r="AB225" s="103" t="s">
        <v>153</v>
      </c>
      <c r="AC225" s="103">
        <v>0</v>
      </c>
      <c r="AD225" s="156">
        <v>42005</v>
      </c>
      <c r="AE225" s="103"/>
      <c r="AF225" s="103" t="s">
        <v>870</v>
      </c>
      <c r="AG225" s="103" t="s">
        <v>871</v>
      </c>
      <c r="AH225" s="103" t="s">
        <v>872</v>
      </c>
      <c r="AI225" s="103">
        <v>0</v>
      </c>
      <c r="AJ225" s="103"/>
      <c r="AK225" s="103"/>
      <c r="AL225" s="103"/>
      <c r="AM225" s="103"/>
      <c r="AN225" s="103"/>
      <c r="AO225" s="103" t="str">
        <f t="shared" si="7"/>
        <v>Std_CFLscw-3way(25w)_60pInc-r0248Wtd-Pack</v>
      </c>
    </row>
    <row r="226" spans="1:41">
      <c r="A226" s="177">
        <f>IFERROR(MATCH(D226,'Measure &amp; Standard CostIDs'!C$5:C$177,0),MATCH(D226,'Measure &amp; Standard CostIDs'!S$5:S$177,0))</f>
        <v>60</v>
      </c>
      <c r="B226" s="177">
        <v>1</v>
      </c>
      <c r="C226" s="103" t="s">
        <v>153</v>
      </c>
      <c r="D226" s="103" t="s">
        <v>922</v>
      </c>
      <c r="E226" s="103" t="str">
        <f>IF(LEFT(D226,3)="Std","Base case cost for mix of 60% Incandescent and 40% CFL lamps for CFL TechID: "&amp;INDEX('Measure &amp; Standard CostIDs'!$C$5:$C$177,A226),"&lt;from TechID&gt;")</f>
        <v>Base case cost for mix of 60% Incandescent and 40% CFL lamps for CFL TechID: CFLscw-3way(26w)</v>
      </c>
      <c r="F226" s="103" t="s">
        <v>860</v>
      </c>
      <c r="G226" s="103" t="s">
        <v>151</v>
      </c>
      <c r="H226" s="103" t="s">
        <v>861</v>
      </c>
      <c r="I226" s="103" t="s">
        <v>862</v>
      </c>
      <c r="J226" s="103" t="s">
        <v>863</v>
      </c>
      <c r="K226" s="103" t="s">
        <v>864</v>
      </c>
      <c r="L226" s="103" t="s">
        <v>153</v>
      </c>
      <c r="M226" s="103" t="s">
        <v>865</v>
      </c>
      <c r="N226" s="103" t="s">
        <v>866</v>
      </c>
      <c r="O226" s="103" t="str">
        <f t="shared" si="6"/>
        <v/>
      </c>
      <c r="P226" s="103" t="s">
        <v>153</v>
      </c>
      <c r="Q226" s="103" t="s">
        <v>153</v>
      </c>
      <c r="R226" s="103" t="s">
        <v>153</v>
      </c>
      <c r="S226" s="103" t="str">
        <f>INDEX('Measure &amp; Standard CostIDs'!$AK$8:$AK$12,B226)</f>
        <v>Wtd-Pack</v>
      </c>
      <c r="T226" s="103" t="s">
        <v>867</v>
      </c>
      <c r="U226" s="103"/>
      <c r="V226" s="103"/>
      <c r="W226" s="103">
        <f>ROUND(IF(LEFT(D226,3)="Std",VLOOKUP(D226,'Measure &amp; Standard CostIDs'!$S$5:$X$177,1+B226,FALSE),VLOOKUP(D226,'Measure &amp; Standard CostIDs'!$C$5:$H$177,1+B226,FALSE)),2)</f>
        <v>5.35</v>
      </c>
      <c r="X226" s="103"/>
      <c r="Y226" s="103"/>
      <c r="Z226" s="103" t="s">
        <v>868</v>
      </c>
      <c r="AA226" s="103" t="s">
        <v>874</v>
      </c>
      <c r="AB226" s="103" t="s">
        <v>153</v>
      </c>
      <c r="AC226" s="103">
        <v>0</v>
      </c>
      <c r="AD226" s="156">
        <v>42005</v>
      </c>
      <c r="AE226" s="103"/>
      <c r="AF226" s="103" t="s">
        <v>870</v>
      </c>
      <c r="AG226" s="103" t="s">
        <v>871</v>
      </c>
      <c r="AH226" s="103" t="s">
        <v>872</v>
      </c>
      <c r="AI226" s="103">
        <v>0</v>
      </c>
      <c r="AJ226" s="103"/>
      <c r="AK226" s="103"/>
      <c r="AL226" s="103"/>
      <c r="AM226" s="103"/>
      <c r="AN226" s="103"/>
      <c r="AO226" s="103" t="str">
        <f t="shared" si="7"/>
        <v>Std_CFLscw-3way(26w)_60pInc-r0248Wtd-Pack</v>
      </c>
    </row>
    <row r="227" spans="1:41">
      <c r="A227" s="177">
        <f>IFERROR(MATCH(D227,'Measure &amp; Standard CostIDs'!C$5:C$177,0),MATCH(D227,'Measure &amp; Standard CostIDs'!S$5:S$177,0))</f>
        <v>61</v>
      </c>
      <c r="B227" s="177">
        <v>1</v>
      </c>
      <c r="C227" s="103" t="s">
        <v>153</v>
      </c>
      <c r="D227" s="103" t="s">
        <v>923</v>
      </c>
      <c r="E227" s="103" t="str">
        <f>IF(LEFT(D227,3)="Std","Base case cost for mix of 60% Incandescent and 40% CFL lamps for CFL TechID: "&amp;INDEX('Measure &amp; Standard CostIDs'!$C$5:$C$177,A227),"&lt;from TechID&gt;")</f>
        <v>Base case cost for mix of 60% Incandescent and 40% CFL lamps for CFL TechID: CFLscw-3way(27w)</v>
      </c>
      <c r="F227" s="103" t="s">
        <v>860</v>
      </c>
      <c r="G227" s="103" t="s">
        <v>151</v>
      </c>
      <c r="H227" s="103" t="s">
        <v>861</v>
      </c>
      <c r="I227" s="103" t="s">
        <v>862</v>
      </c>
      <c r="J227" s="103" t="s">
        <v>863</v>
      </c>
      <c r="K227" s="103" t="s">
        <v>864</v>
      </c>
      <c r="L227" s="103" t="s">
        <v>153</v>
      </c>
      <c r="M227" s="103" t="s">
        <v>865</v>
      </c>
      <c r="N227" s="103" t="s">
        <v>866</v>
      </c>
      <c r="O227" s="103" t="str">
        <f t="shared" si="6"/>
        <v/>
      </c>
      <c r="P227" s="103" t="s">
        <v>153</v>
      </c>
      <c r="Q227" s="103" t="s">
        <v>153</v>
      </c>
      <c r="R227" s="103" t="s">
        <v>153</v>
      </c>
      <c r="S227" s="103" t="str">
        <f>INDEX('Measure &amp; Standard CostIDs'!$AK$8:$AK$12,B227)</f>
        <v>Wtd-Pack</v>
      </c>
      <c r="T227" s="103" t="s">
        <v>867</v>
      </c>
      <c r="U227" s="103"/>
      <c r="V227" s="103"/>
      <c r="W227" s="103">
        <f>ROUND(IF(LEFT(D227,3)="Std",VLOOKUP(D227,'Measure &amp; Standard CostIDs'!$S$5:$X$177,1+B227,FALSE),VLOOKUP(D227,'Measure &amp; Standard CostIDs'!$C$5:$H$177,1+B227,FALSE)),2)</f>
        <v>5.42</v>
      </c>
      <c r="X227" s="103"/>
      <c r="Y227" s="103"/>
      <c r="Z227" s="103" t="s">
        <v>868</v>
      </c>
      <c r="AA227" s="103" t="s">
        <v>874</v>
      </c>
      <c r="AB227" s="103" t="s">
        <v>153</v>
      </c>
      <c r="AC227" s="103">
        <v>0</v>
      </c>
      <c r="AD227" s="156">
        <v>42005</v>
      </c>
      <c r="AE227" s="103"/>
      <c r="AF227" s="103" t="s">
        <v>870</v>
      </c>
      <c r="AG227" s="103" t="s">
        <v>871</v>
      </c>
      <c r="AH227" s="103" t="s">
        <v>872</v>
      </c>
      <c r="AI227" s="103">
        <v>0</v>
      </c>
      <c r="AJ227" s="103"/>
      <c r="AK227" s="103"/>
      <c r="AL227" s="103"/>
      <c r="AM227" s="103"/>
      <c r="AN227" s="103"/>
      <c r="AO227" s="103" t="str">
        <f t="shared" si="7"/>
        <v>Std_CFLscw-3way(27w)_60pInc-r0248Wtd-Pack</v>
      </c>
    </row>
    <row r="228" spans="1:41">
      <c r="A228" s="177">
        <f>IFERROR(MATCH(D228,'Measure &amp; Standard CostIDs'!C$5:C$177,0),MATCH(D228,'Measure &amp; Standard CostIDs'!S$5:S$177,0))</f>
        <v>62</v>
      </c>
      <c r="B228" s="177">
        <v>1</v>
      </c>
      <c r="C228" s="103" t="s">
        <v>153</v>
      </c>
      <c r="D228" s="103" t="s">
        <v>924</v>
      </c>
      <c r="E228" s="103" t="str">
        <f>IF(LEFT(D228,3)="Std","Base case cost for mix of 60% Incandescent and 40% CFL lamps for CFL TechID: "&amp;INDEX('Measure &amp; Standard CostIDs'!$C$5:$C$177,A228),"&lt;from TechID&gt;")</f>
        <v>Base case cost for mix of 60% Incandescent and 40% CFL lamps for CFL TechID: CFLscw-3way(28w)</v>
      </c>
      <c r="F228" s="103" t="s">
        <v>860</v>
      </c>
      <c r="G228" s="103" t="s">
        <v>151</v>
      </c>
      <c r="H228" s="103" t="s">
        <v>861</v>
      </c>
      <c r="I228" s="103" t="s">
        <v>862</v>
      </c>
      <c r="J228" s="103" t="s">
        <v>863</v>
      </c>
      <c r="K228" s="103" t="s">
        <v>864</v>
      </c>
      <c r="L228" s="103" t="s">
        <v>153</v>
      </c>
      <c r="M228" s="103" t="s">
        <v>865</v>
      </c>
      <c r="N228" s="103" t="s">
        <v>866</v>
      </c>
      <c r="O228" s="103" t="str">
        <f t="shared" si="6"/>
        <v/>
      </c>
      <c r="P228" s="103" t="s">
        <v>153</v>
      </c>
      <c r="Q228" s="103" t="s">
        <v>153</v>
      </c>
      <c r="R228" s="103" t="s">
        <v>153</v>
      </c>
      <c r="S228" s="103" t="str">
        <f>INDEX('Measure &amp; Standard CostIDs'!$AK$8:$AK$12,B228)</f>
        <v>Wtd-Pack</v>
      </c>
      <c r="T228" s="103" t="s">
        <v>867</v>
      </c>
      <c r="U228" s="103"/>
      <c r="V228" s="103"/>
      <c r="W228" s="103">
        <f>ROUND(IF(LEFT(D228,3)="Std",VLOOKUP(D228,'Measure &amp; Standard CostIDs'!$S$5:$X$177,1+B228,FALSE),VLOOKUP(D228,'Measure &amp; Standard CostIDs'!$C$5:$H$177,1+B228,FALSE)),2)</f>
        <v>5.48</v>
      </c>
      <c r="X228" s="103"/>
      <c r="Y228" s="103"/>
      <c r="Z228" s="103" t="s">
        <v>868</v>
      </c>
      <c r="AA228" s="103" t="s">
        <v>874</v>
      </c>
      <c r="AB228" s="103" t="s">
        <v>153</v>
      </c>
      <c r="AC228" s="103">
        <v>0</v>
      </c>
      <c r="AD228" s="156">
        <v>42005</v>
      </c>
      <c r="AE228" s="103"/>
      <c r="AF228" s="103" t="s">
        <v>870</v>
      </c>
      <c r="AG228" s="103" t="s">
        <v>871</v>
      </c>
      <c r="AH228" s="103" t="s">
        <v>872</v>
      </c>
      <c r="AI228" s="103">
        <v>0</v>
      </c>
      <c r="AJ228" s="103"/>
      <c r="AK228" s="103"/>
      <c r="AL228" s="103"/>
      <c r="AM228" s="103"/>
      <c r="AN228" s="103"/>
      <c r="AO228" s="103" t="str">
        <f t="shared" si="7"/>
        <v>Std_CFLscw-3way(28w)_60pInc-r0248Wtd-Pack</v>
      </c>
    </row>
    <row r="229" spans="1:41">
      <c r="A229" s="177">
        <f>IFERROR(MATCH(D229,'Measure &amp; Standard CostIDs'!C$5:C$177,0),MATCH(D229,'Measure &amp; Standard CostIDs'!S$5:S$177,0))</f>
        <v>63</v>
      </c>
      <c r="B229" s="177">
        <v>1</v>
      </c>
      <c r="C229" s="103" t="s">
        <v>153</v>
      </c>
      <c r="D229" s="103" t="s">
        <v>925</v>
      </c>
      <c r="E229" s="103" t="str">
        <f>IF(LEFT(D229,3)="Std","Base case cost for mix of 60% Incandescent and 40% CFL lamps for CFL TechID: "&amp;INDEX('Measure &amp; Standard CostIDs'!$C$5:$C$177,A229),"&lt;from TechID&gt;")</f>
        <v>Base case cost for mix of 60% Incandescent and 40% CFL lamps for CFL TechID: CFLscw-3way(29w)</v>
      </c>
      <c r="F229" s="103" t="s">
        <v>860</v>
      </c>
      <c r="G229" s="103" t="s">
        <v>151</v>
      </c>
      <c r="H229" s="103" t="s">
        <v>861</v>
      </c>
      <c r="I229" s="103" t="s">
        <v>862</v>
      </c>
      <c r="J229" s="103" t="s">
        <v>863</v>
      </c>
      <c r="K229" s="103" t="s">
        <v>864</v>
      </c>
      <c r="L229" s="103" t="s">
        <v>153</v>
      </c>
      <c r="M229" s="103" t="s">
        <v>865</v>
      </c>
      <c r="N229" s="103" t="s">
        <v>866</v>
      </c>
      <c r="O229" s="103" t="str">
        <f t="shared" si="6"/>
        <v/>
      </c>
      <c r="P229" s="103" t="s">
        <v>153</v>
      </c>
      <c r="Q229" s="103" t="s">
        <v>153</v>
      </c>
      <c r="R229" s="103" t="s">
        <v>153</v>
      </c>
      <c r="S229" s="103" t="str">
        <f>INDEX('Measure &amp; Standard CostIDs'!$AK$8:$AK$12,B229)</f>
        <v>Wtd-Pack</v>
      </c>
      <c r="T229" s="103" t="s">
        <v>867</v>
      </c>
      <c r="U229" s="103"/>
      <c r="V229" s="103"/>
      <c r="W229" s="103">
        <f>ROUND(IF(LEFT(D229,3)="Std",VLOOKUP(D229,'Measure &amp; Standard CostIDs'!$S$5:$X$177,1+B229,FALSE),VLOOKUP(D229,'Measure &amp; Standard CostIDs'!$C$5:$H$177,1+B229,FALSE)),2)</f>
        <v>5.55</v>
      </c>
      <c r="X229" s="103"/>
      <c r="Y229" s="103"/>
      <c r="Z229" s="103" t="s">
        <v>868</v>
      </c>
      <c r="AA229" s="103" t="s">
        <v>874</v>
      </c>
      <c r="AB229" s="103" t="s">
        <v>153</v>
      </c>
      <c r="AC229" s="103">
        <v>0</v>
      </c>
      <c r="AD229" s="156">
        <v>42005</v>
      </c>
      <c r="AE229" s="103"/>
      <c r="AF229" s="103" t="s">
        <v>870</v>
      </c>
      <c r="AG229" s="103" t="s">
        <v>871</v>
      </c>
      <c r="AH229" s="103" t="s">
        <v>872</v>
      </c>
      <c r="AI229" s="103">
        <v>0</v>
      </c>
      <c r="AJ229" s="103"/>
      <c r="AK229" s="103"/>
      <c r="AL229" s="103"/>
      <c r="AM229" s="103"/>
      <c r="AN229" s="103"/>
      <c r="AO229" s="103" t="str">
        <f t="shared" si="7"/>
        <v>Std_CFLscw-3way(29w)_60pInc-r0248Wtd-Pack</v>
      </c>
    </row>
    <row r="230" spans="1:41">
      <c r="A230" s="177">
        <f>IFERROR(MATCH(D230,'Measure &amp; Standard CostIDs'!C$5:C$177,0),MATCH(D230,'Measure &amp; Standard CostIDs'!S$5:S$177,0))</f>
        <v>64</v>
      </c>
      <c r="B230" s="177">
        <v>1</v>
      </c>
      <c r="C230" s="103" t="s">
        <v>153</v>
      </c>
      <c r="D230" s="103" t="s">
        <v>926</v>
      </c>
      <c r="E230" s="103" t="str">
        <f>IF(LEFT(D230,3)="Std","Base case cost for mix of 60% Incandescent and 40% CFL lamps for CFL TechID: "&amp;INDEX('Measure &amp; Standard CostIDs'!$C$5:$C$177,A230),"&lt;from TechID&gt;")</f>
        <v>Base case cost for mix of 60% Incandescent and 40% CFL lamps for CFL TechID: CFLscw-3way(30w)</v>
      </c>
      <c r="F230" s="103" t="s">
        <v>860</v>
      </c>
      <c r="G230" s="103" t="s">
        <v>151</v>
      </c>
      <c r="H230" s="103" t="s">
        <v>861</v>
      </c>
      <c r="I230" s="103" t="s">
        <v>862</v>
      </c>
      <c r="J230" s="103" t="s">
        <v>863</v>
      </c>
      <c r="K230" s="103" t="s">
        <v>864</v>
      </c>
      <c r="L230" s="103" t="s">
        <v>153</v>
      </c>
      <c r="M230" s="103" t="s">
        <v>865</v>
      </c>
      <c r="N230" s="103" t="s">
        <v>866</v>
      </c>
      <c r="O230" s="103" t="str">
        <f t="shared" si="6"/>
        <v/>
      </c>
      <c r="P230" s="103" t="s">
        <v>153</v>
      </c>
      <c r="Q230" s="103" t="s">
        <v>153</v>
      </c>
      <c r="R230" s="103" t="s">
        <v>153</v>
      </c>
      <c r="S230" s="103" t="str">
        <f>INDEX('Measure &amp; Standard CostIDs'!$AK$8:$AK$12,B230)</f>
        <v>Wtd-Pack</v>
      </c>
      <c r="T230" s="103" t="s">
        <v>867</v>
      </c>
      <c r="U230" s="103"/>
      <c r="V230" s="103"/>
      <c r="W230" s="103">
        <f>ROUND(IF(LEFT(D230,3)="Std",VLOOKUP(D230,'Measure &amp; Standard CostIDs'!$S$5:$X$177,1+B230,FALSE),VLOOKUP(D230,'Measure &amp; Standard CostIDs'!$C$5:$H$177,1+B230,FALSE)),2)</f>
        <v>5.61</v>
      </c>
      <c r="X230" s="103"/>
      <c r="Y230" s="103"/>
      <c r="Z230" s="103" t="s">
        <v>868</v>
      </c>
      <c r="AA230" s="103" t="s">
        <v>874</v>
      </c>
      <c r="AB230" s="103" t="s">
        <v>153</v>
      </c>
      <c r="AC230" s="103">
        <v>0</v>
      </c>
      <c r="AD230" s="156">
        <v>42005</v>
      </c>
      <c r="AE230" s="103"/>
      <c r="AF230" s="103" t="s">
        <v>870</v>
      </c>
      <c r="AG230" s="103" t="s">
        <v>871</v>
      </c>
      <c r="AH230" s="103" t="s">
        <v>872</v>
      </c>
      <c r="AI230" s="103">
        <v>0</v>
      </c>
      <c r="AJ230" s="103"/>
      <c r="AK230" s="103"/>
      <c r="AL230" s="103"/>
      <c r="AM230" s="103"/>
      <c r="AN230" s="103"/>
      <c r="AO230" s="103" t="str">
        <f t="shared" si="7"/>
        <v>Std_CFLscw-3way(30w)_60pInc-r0248Wtd-Pack</v>
      </c>
    </row>
    <row r="231" spans="1:41">
      <c r="A231" s="177">
        <f>IFERROR(MATCH(D231,'Measure &amp; Standard CostIDs'!C$5:C$177,0),MATCH(D231,'Measure &amp; Standard CostIDs'!S$5:S$177,0))</f>
        <v>65</v>
      </c>
      <c r="B231" s="177">
        <v>1</v>
      </c>
      <c r="C231" s="103" t="s">
        <v>153</v>
      </c>
      <c r="D231" s="103" t="s">
        <v>927</v>
      </c>
      <c r="E231" s="103" t="str">
        <f>IF(LEFT(D231,3)="Std","Base case cost for mix of 60% Incandescent and 40% CFL lamps for CFL TechID: "&amp;INDEX('Measure &amp; Standard CostIDs'!$C$5:$C$177,A231),"&lt;from TechID&gt;")</f>
        <v>Base case cost for mix of 60% Incandescent and 40% CFL lamps for CFL TechID: CFLscw-3way(31w)</v>
      </c>
      <c r="F231" s="103" t="s">
        <v>860</v>
      </c>
      <c r="G231" s="103" t="s">
        <v>151</v>
      </c>
      <c r="H231" s="103" t="s">
        <v>861</v>
      </c>
      <c r="I231" s="103" t="s">
        <v>862</v>
      </c>
      <c r="J231" s="103" t="s">
        <v>863</v>
      </c>
      <c r="K231" s="103" t="s">
        <v>864</v>
      </c>
      <c r="L231" s="103" t="s">
        <v>153</v>
      </c>
      <c r="M231" s="103" t="s">
        <v>865</v>
      </c>
      <c r="N231" s="103" t="s">
        <v>866</v>
      </c>
      <c r="O231" s="103" t="str">
        <f t="shared" si="6"/>
        <v/>
      </c>
      <c r="P231" s="103" t="s">
        <v>153</v>
      </c>
      <c r="Q231" s="103" t="s">
        <v>153</v>
      </c>
      <c r="R231" s="103" t="s">
        <v>153</v>
      </c>
      <c r="S231" s="103" t="str">
        <f>INDEX('Measure &amp; Standard CostIDs'!$AK$8:$AK$12,B231)</f>
        <v>Wtd-Pack</v>
      </c>
      <c r="T231" s="103" t="s">
        <v>867</v>
      </c>
      <c r="U231" s="103"/>
      <c r="V231" s="103"/>
      <c r="W231" s="103">
        <f>ROUND(IF(LEFT(D231,3)="Std",VLOOKUP(D231,'Measure &amp; Standard CostIDs'!$S$5:$X$177,1+B231,FALSE),VLOOKUP(D231,'Measure &amp; Standard CostIDs'!$C$5:$H$177,1+B231,FALSE)),2)</f>
        <v>5.68</v>
      </c>
      <c r="X231" s="103"/>
      <c r="Y231" s="103"/>
      <c r="Z231" s="103" t="s">
        <v>868</v>
      </c>
      <c r="AA231" s="103" t="s">
        <v>874</v>
      </c>
      <c r="AB231" s="103" t="s">
        <v>153</v>
      </c>
      <c r="AC231" s="103">
        <v>0</v>
      </c>
      <c r="AD231" s="156">
        <v>42005</v>
      </c>
      <c r="AE231" s="103"/>
      <c r="AF231" s="103" t="s">
        <v>870</v>
      </c>
      <c r="AG231" s="103" t="s">
        <v>871</v>
      </c>
      <c r="AH231" s="103" t="s">
        <v>872</v>
      </c>
      <c r="AI231" s="103">
        <v>0</v>
      </c>
      <c r="AJ231" s="103"/>
      <c r="AK231" s="103"/>
      <c r="AL231" s="103"/>
      <c r="AM231" s="103"/>
      <c r="AN231" s="103"/>
      <c r="AO231" s="103" t="str">
        <f t="shared" si="7"/>
        <v>Std_CFLscw-3way(31w)_60pInc-r0248Wtd-Pack</v>
      </c>
    </row>
    <row r="232" spans="1:41">
      <c r="A232" s="177">
        <f>IFERROR(MATCH(D232,'Measure &amp; Standard CostIDs'!C$5:C$177,0),MATCH(D232,'Measure &amp; Standard CostIDs'!S$5:S$177,0))</f>
        <v>66</v>
      </c>
      <c r="B232" s="177">
        <v>1</v>
      </c>
      <c r="C232" s="103" t="s">
        <v>153</v>
      </c>
      <c r="D232" s="103" t="s">
        <v>928</v>
      </c>
      <c r="E232" s="103" t="str">
        <f>IF(LEFT(D232,3)="Std","Base case cost for mix of 60% Incandescent and 40% CFL lamps for CFL TechID: "&amp;INDEX('Measure &amp; Standard CostIDs'!$C$5:$C$177,A232),"&lt;from TechID&gt;")</f>
        <v>Base case cost for mix of 60% Incandescent and 40% CFL lamps for CFL TechID: CFLscw-3way(32w)</v>
      </c>
      <c r="F232" s="103" t="s">
        <v>860</v>
      </c>
      <c r="G232" s="103" t="s">
        <v>151</v>
      </c>
      <c r="H232" s="103" t="s">
        <v>861</v>
      </c>
      <c r="I232" s="103" t="s">
        <v>862</v>
      </c>
      <c r="J232" s="103" t="s">
        <v>863</v>
      </c>
      <c r="K232" s="103" t="s">
        <v>864</v>
      </c>
      <c r="L232" s="103" t="s">
        <v>153</v>
      </c>
      <c r="M232" s="103" t="s">
        <v>865</v>
      </c>
      <c r="N232" s="103" t="s">
        <v>866</v>
      </c>
      <c r="O232" s="103" t="str">
        <f t="shared" si="6"/>
        <v/>
      </c>
      <c r="P232" s="103" t="s">
        <v>153</v>
      </c>
      <c r="Q232" s="103" t="s">
        <v>153</v>
      </c>
      <c r="R232" s="103" t="s">
        <v>153</v>
      </c>
      <c r="S232" s="103" t="str">
        <f>INDEX('Measure &amp; Standard CostIDs'!$AK$8:$AK$12,B232)</f>
        <v>Wtd-Pack</v>
      </c>
      <c r="T232" s="103" t="s">
        <v>867</v>
      </c>
      <c r="U232" s="103"/>
      <c r="V232" s="103"/>
      <c r="W232" s="103">
        <f>ROUND(IF(LEFT(D232,3)="Std",VLOOKUP(D232,'Measure &amp; Standard CostIDs'!$S$5:$X$177,1+B232,FALSE),VLOOKUP(D232,'Measure &amp; Standard CostIDs'!$C$5:$H$177,1+B232,FALSE)),2)</f>
        <v>5.74</v>
      </c>
      <c r="X232" s="103"/>
      <c r="Y232" s="103"/>
      <c r="Z232" s="103" t="s">
        <v>868</v>
      </c>
      <c r="AA232" s="103" t="s">
        <v>874</v>
      </c>
      <c r="AB232" s="103" t="s">
        <v>153</v>
      </c>
      <c r="AC232" s="103">
        <v>0</v>
      </c>
      <c r="AD232" s="156">
        <v>42005</v>
      </c>
      <c r="AE232" s="103"/>
      <c r="AF232" s="103" t="s">
        <v>870</v>
      </c>
      <c r="AG232" s="103" t="s">
        <v>871</v>
      </c>
      <c r="AH232" s="103" t="s">
        <v>872</v>
      </c>
      <c r="AI232" s="103">
        <v>0</v>
      </c>
      <c r="AJ232" s="103"/>
      <c r="AK232" s="103"/>
      <c r="AL232" s="103"/>
      <c r="AM232" s="103"/>
      <c r="AN232" s="103"/>
      <c r="AO232" s="103" t="str">
        <f t="shared" si="7"/>
        <v>Std_CFLscw-3way(32w)_60pInc-r0248Wtd-Pack</v>
      </c>
    </row>
    <row r="233" spans="1:41">
      <c r="A233" s="177">
        <f>IFERROR(MATCH(D233,'Measure &amp; Standard CostIDs'!C$5:C$177,0),MATCH(D233,'Measure &amp; Standard CostIDs'!S$5:S$177,0))</f>
        <v>67</v>
      </c>
      <c r="B233" s="177">
        <v>1</v>
      </c>
      <c r="C233" s="103" t="s">
        <v>153</v>
      </c>
      <c r="D233" s="103" t="s">
        <v>929</v>
      </c>
      <c r="E233" s="103" t="str">
        <f>IF(LEFT(D233,3)="Std","Base case cost for mix of 60% Incandescent and 40% CFL lamps for CFL TechID: "&amp;INDEX('Measure &amp; Standard CostIDs'!$C$5:$C$177,A233),"&lt;from TechID&gt;")</f>
        <v>Base case cost for mix of 60% Incandescent and 40% CFL lamps for CFL TechID: CFLscw-3way(33w)</v>
      </c>
      <c r="F233" s="103" t="s">
        <v>860</v>
      </c>
      <c r="G233" s="103" t="s">
        <v>151</v>
      </c>
      <c r="H233" s="103" t="s">
        <v>861</v>
      </c>
      <c r="I233" s="103" t="s">
        <v>862</v>
      </c>
      <c r="J233" s="103" t="s">
        <v>863</v>
      </c>
      <c r="K233" s="103" t="s">
        <v>864</v>
      </c>
      <c r="L233" s="103" t="s">
        <v>153</v>
      </c>
      <c r="M233" s="103" t="s">
        <v>865</v>
      </c>
      <c r="N233" s="103" t="s">
        <v>866</v>
      </c>
      <c r="O233" s="103" t="str">
        <f t="shared" si="6"/>
        <v/>
      </c>
      <c r="P233" s="103" t="s">
        <v>153</v>
      </c>
      <c r="Q233" s="103" t="s">
        <v>153</v>
      </c>
      <c r="R233" s="103" t="s">
        <v>153</v>
      </c>
      <c r="S233" s="103" t="str">
        <f>INDEX('Measure &amp; Standard CostIDs'!$AK$8:$AK$12,B233)</f>
        <v>Wtd-Pack</v>
      </c>
      <c r="T233" s="103" t="s">
        <v>867</v>
      </c>
      <c r="U233" s="103"/>
      <c r="V233" s="103"/>
      <c r="W233" s="103">
        <f>ROUND(IF(LEFT(D233,3)="Std",VLOOKUP(D233,'Measure &amp; Standard CostIDs'!$S$5:$X$177,1+B233,FALSE),VLOOKUP(D233,'Measure &amp; Standard CostIDs'!$C$5:$H$177,1+B233,FALSE)),2)</f>
        <v>5.81</v>
      </c>
      <c r="X233" s="103"/>
      <c r="Y233" s="103"/>
      <c r="Z233" s="103" t="s">
        <v>868</v>
      </c>
      <c r="AA233" s="103" t="s">
        <v>874</v>
      </c>
      <c r="AB233" s="103" t="s">
        <v>153</v>
      </c>
      <c r="AC233" s="103">
        <v>0</v>
      </c>
      <c r="AD233" s="156">
        <v>42005</v>
      </c>
      <c r="AE233" s="103"/>
      <c r="AF233" s="103" t="s">
        <v>870</v>
      </c>
      <c r="AG233" s="103" t="s">
        <v>871</v>
      </c>
      <c r="AH233" s="103" t="s">
        <v>872</v>
      </c>
      <c r="AI233" s="103">
        <v>0</v>
      </c>
      <c r="AJ233" s="103"/>
      <c r="AK233" s="103"/>
      <c r="AL233" s="103"/>
      <c r="AM233" s="103"/>
      <c r="AN233" s="103"/>
      <c r="AO233" s="103" t="str">
        <f t="shared" si="7"/>
        <v>Std_CFLscw-3way(33w)_60pInc-r0248Wtd-Pack</v>
      </c>
    </row>
    <row r="234" spans="1:41">
      <c r="A234" s="177">
        <f>IFERROR(MATCH(D234,'Measure &amp; Standard CostIDs'!C$5:C$177,0),MATCH(D234,'Measure &amp; Standard CostIDs'!S$5:S$177,0))</f>
        <v>68</v>
      </c>
      <c r="B234" s="177">
        <v>1</v>
      </c>
      <c r="C234" s="103" t="s">
        <v>153</v>
      </c>
      <c r="D234" s="103" t="s">
        <v>930</v>
      </c>
      <c r="E234" s="103" t="str">
        <f>IF(LEFT(D234,3)="Std","Base case cost for mix of 60% Incandescent and 40% CFL lamps for CFL TechID: "&amp;INDEX('Measure &amp; Standard CostIDs'!$C$5:$C$177,A234),"&lt;from TechID&gt;")</f>
        <v>Base case cost for mix of 60% Incandescent and 40% CFL lamps for CFL TechID: CFLscw-3way(40w)</v>
      </c>
      <c r="F234" s="103" t="s">
        <v>860</v>
      </c>
      <c r="G234" s="103" t="s">
        <v>151</v>
      </c>
      <c r="H234" s="103" t="s">
        <v>861</v>
      </c>
      <c r="I234" s="103" t="s">
        <v>862</v>
      </c>
      <c r="J234" s="103" t="s">
        <v>863</v>
      </c>
      <c r="K234" s="103" t="s">
        <v>864</v>
      </c>
      <c r="L234" s="103" t="s">
        <v>153</v>
      </c>
      <c r="M234" s="103" t="s">
        <v>865</v>
      </c>
      <c r="N234" s="103" t="s">
        <v>866</v>
      </c>
      <c r="O234" s="103" t="str">
        <f t="shared" si="6"/>
        <v/>
      </c>
      <c r="P234" s="103" t="s">
        <v>153</v>
      </c>
      <c r="Q234" s="103" t="s">
        <v>153</v>
      </c>
      <c r="R234" s="103" t="s">
        <v>153</v>
      </c>
      <c r="S234" s="103" t="str">
        <f>INDEX('Measure &amp; Standard CostIDs'!$AK$8:$AK$12,B234)</f>
        <v>Wtd-Pack</v>
      </c>
      <c r="T234" s="103" t="s">
        <v>867</v>
      </c>
      <c r="U234" s="103"/>
      <c r="V234" s="103"/>
      <c r="W234" s="103">
        <f>ROUND(IF(LEFT(D234,3)="Std",VLOOKUP(D234,'Measure &amp; Standard CostIDs'!$S$5:$X$177,1+B234,FALSE),VLOOKUP(D234,'Measure &amp; Standard CostIDs'!$C$5:$H$177,1+B234,FALSE)),2)</f>
        <v>6.26</v>
      </c>
      <c r="X234" s="103"/>
      <c r="Y234" s="103"/>
      <c r="Z234" s="103" t="s">
        <v>868</v>
      </c>
      <c r="AA234" s="103" t="s">
        <v>874</v>
      </c>
      <c r="AB234" s="103" t="s">
        <v>153</v>
      </c>
      <c r="AC234" s="103">
        <v>0</v>
      </c>
      <c r="AD234" s="156">
        <v>42005</v>
      </c>
      <c r="AE234" s="103"/>
      <c r="AF234" s="103" t="s">
        <v>870</v>
      </c>
      <c r="AG234" s="103" t="s">
        <v>871</v>
      </c>
      <c r="AH234" s="103" t="s">
        <v>872</v>
      </c>
      <c r="AI234" s="103">
        <v>0</v>
      </c>
      <c r="AJ234" s="103"/>
      <c r="AK234" s="103"/>
      <c r="AL234" s="103"/>
      <c r="AM234" s="103"/>
      <c r="AN234" s="103"/>
      <c r="AO234" s="103" t="str">
        <f t="shared" si="7"/>
        <v>Std_CFLscw-3way(40w)_60pInc-r0248Wtd-Pack</v>
      </c>
    </row>
    <row r="235" spans="1:41">
      <c r="A235" s="177">
        <f>IFERROR(MATCH(D235,'Measure &amp; Standard CostIDs'!C$5:C$177,0),MATCH(D235,'Measure &amp; Standard CostIDs'!S$5:S$177,0))</f>
        <v>69</v>
      </c>
      <c r="B235" s="177">
        <v>1</v>
      </c>
      <c r="C235" s="103" t="s">
        <v>153</v>
      </c>
      <c r="D235" s="103" t="s">
        <v>931</v>
      </c>
      <c r="E235" s="103" t="str">
        <f>IF(LEFT(D235,3)="Std","Base case cost for mix of 60% Incandescent and 40% CFL lamps for CFL TechID: "&amp;INDEX('Measure &amp; Standard CostIDs'!$C$5:$C$177,A235),"&lt;from TechID&gt;")</f>
        <v>Base case cost for mix of 60% Incandescent and 40% CFL lamps for CFL TechID: CFLscw-3way(42w)</v>
      </c>
      <c r="F235" s="103" t="s">
        <v>860</v>
      </c>
      <c r="G235" s="103" t="s">
        <v>151</v>
      </c>
      <c r="H235" s="103" t="s">
        <v>861</v>
      </c>
      <c r="I235" s="103" t="s">
        <v>862</v>
      </c>
      <c r="J235" s="103" t="s">
        <v>863</v>
      </c>
      <c r="K235" s="103" t="s">
        <v>864</v>
      </c>
      <c r="L235" s="103" t="s">
        <v>153</v>
      </c>
      <c r="M235" s="103" t="s">
        <v>865</v>
      </c>
      <c r="N235" s="103" t="s">
        <v>866</v>
      </c>
      <c r="O235" s="103" t="str">
        <f t="shared" si="6"/>
        <v/>
      </c>
      <c r="P235" s="103" t="s">
        <v>153</v>
      </c>
      <c r="Q235" s="103" t="s">
        <v>153</v>
      </c>
      <c r="R235" s="103" t="s">
        <v>153</v>
      </c>
      <c r="S235" s="103" t="str">
        <f>INDEX('Measure &amp; Standard CostIDs'!$AK$8:$AK$12,B235)</f>
        <v>Wtd-Pack</v>
      </c>
      <c r="T235" s="103" t="s">
        <v>867</v>
      </c>
      <c r="U235" s="103"/>
      <c r="V235" s="103"/>
      <c r="W235" s="103">
        <f>ROUND(IF(LEFT(D235,3)="Std",VLOOKUP(D235,'Measure &amp; Standard CostIDs'!$S$5:$X$177,1+B235,FALSE),VLOOKUP(D235,'Measure &amp; Standard CostIDs'!$C$5:$H$177,1+B235,FALSE)),2)</f>
        <v>6.39</v>
      </c>
      <c r="X235" s="103"/>
      <c r="Y235" s="103"/>
      <c r="Z235" s="103" t="s">
        <v>868</v>
      </c>
      <c r="AA235" s="103" t="s">
        <v>874</v>
      </c>
      <c r="AB235" s="103" t="s">
        <v>153</v>
      </c>
      <c r="AC235" s="103">
        <v>0</v>
      </c>
      <c r="AD235" s="156">
        <v>42005</v>
      </c>
      <c r="AE235" s="103"/>
      <c r="AF235" s="103" t="s">
        <v>870</v>
      </c>
      <c r="AG235" s="103" t="s">
        <v>871</v>
      </c>
      <c r="AH235" s="103" t="s">
        <v>872</v>
      </c>
      <c r="AI235" s="103">
        <v>0</v>
      </c>
      <c r="AJ235" s="103"/>
      <c r="AK235" s="103"/>
      <c r="AL235" s="103"/>
      <c r="AM235" s="103"/>
      <c r="AN235" s="103"/>
      <c r="AO235" s="103" t="str">
        <f t="shared" si="7"/>
        <v>Std_CFLscw-3way(42w)_60pInc-r0248Wtd-Pack</v>
      </c>
    </row>
    <row r="236" spans="1:41">
      <c r="A236" s="177">
        <f>IFERROR(MATCH(D236,'Measure &amp; Standard CostIDs'!C$5:C$177,0),MATCH(D236,'Measure &amp; Standard CostIDs'!S$5:S$177,0))</f>
        <v>70</v>
      </c>
      <c r="B236" s="177">
        <v>1</v>
      </c>
      <c r="C236" s="103" t="s">
        <v>153</v>
      </c>
      <c r="D236" s="103" t="s">
        <v>932</v>
      </c>
      <c r="E236" s="103" t="str">
        <f>IF(LEFT(D236,3)="Std","Base case cost for mix of 60% Incandescent and 40% CFL lamps for CFL TechID: "&amp;INDEX('Measure &amp; Standard CostIDs'!$C$5:$C$177,A236),"&lt;from TechID&gt;")</f>
        <v>Base case cost for mix of 60% Incandescent and 40% CFL lamps for CFL TechID: CFLscw-A(10w)</v>
      </c>
      <c r="F236" s="103" t="s">
        <v>860</v>
      </c>
      <c r="G236" s="103" t="s">
        <v>151</v>
      </c>
      <c r="H236" s="103" t="s">
        <v>861</v>
      </c>
      <c r="I236" s="103" t="s">
        <v>862</v>
      </c>
      <c r="J236" s="103" t="s">
        <v>863</v>
      </c>
      <c r="K236" s="103" t="s">
        <v>864</v>
      </c>
      <c r="L236" s="103" t="s">
        <v>153</v>
      </c>
      <c r="M236" s="103" t="s">
        <v>865</v>
      </c>
      <c r="N236" s="103" t="s">
        <v>866</v>
      </c>
      <c r="O236" s="103" t="str">
        <f t="shared" si="6"/>
        <v/>
      </c>
      <c r="P236" s="103" t="s">
        <v>153</v>
      </c>
      <c r="Q236" s="103" t="s">
        <v>153</v>
      </c>
      <c r="R236" s="103" t="s">
        <v>153</v>
      </c>
      <c r="S236" s="103" t="str">
        <f>INDEX('Measure &amp; Standard CostIDs'!$AK$8:$AK$12,B236)</f>
        <v>Wtd-Pack</v>
      </c>
      <c r="T236" s="103" t="s">
        <v>867</v>
      </c>
      <c r="U236" s="103"/>
      <c r="V236" s="103"/>
      <c r="W236" s="103">
        <f>ROUND(IF(LEFT(D236,3)="Std",VLOOKUP(D236,'Measure &amp; Standard CostIDs'!$S$5:$X$177,1+B236,FALSE),VLOOKUP(D236,'Measure &amp; Standard CostIDs'!$C$5:$H$177,1+B236,FALSE)),2)</f>
        <v>2.42</v>
      </c>
      <c r="X236" s="103"/>
      <c r="Y236" s="103"/>
      <c r="Z236" s="103" t="s">
        <v>868</v>
      </c>
      <c r="AA236" s="103" t="s">
        <v>874</v>
      </c>
      <c r="AB236" s="103" t="s">
        <v>153</v>
      </c>
      <c r="AC236" s="103">
        <v>0</v>
      </c>
      <c r="AD236" s="156">
        <v>42005</v>
      </c>
      <c r="AE236" s="103"/>
      <c r="AF236" s="103" t="s">
        <v>870</v>
      </c>
      <c r="AG236" s="103" t="s">
        <v>871</v>
      </c>
      <c r="AH236" s="103" t="s">
        <v>872</v>
      </c>
      <c r="AI236" s="103">
        <v>0</v>
      </c>
      <c r="AJ236" s="103"/>
      <c r="AK236" s="103"/>
      <c r="AL236" s="103"/>
      <c r="AM236" s="103"/>
      <c r="AN236" s="103"/>
      <c r="AO236" s="103" t="str">
        <f t="shared" si="7"/>
        <v>Std_CFLscw-A(10w)_60pInc-r0248Wtd-Pack</v>
      </c>
    </row>
    <row r="237" spans="1:41">
      <c r="A237" s="177">
        <f>IFERROR(MATCH(D237,'Measure &amp; Standard CostIDs'!C$5:C$177,0),MATCH(D237,'Measure &amp; Standard CostIDs'!S$5:S$177,0))</f>
        <v>71</v>
      </c>
      <c r="B237" s="177">
        <v>1</v>
      </c>
      <c r="C237" s="103" t="s">
        <v>153</v>
      </c>
      <c r="D237" s="103" t="s">
        <v>933</v>
      </c>
      <c r="E237" s="103" t="str">
        <f>IF(LEFT(D237,3)="Std","Base case cost for mix of 60% Incandescent and 40% CFL lamps for CFL TechID: "&amp;INDEX('Measure &amp; Standard CostIDs'!$C$5:$C$177,A237),"&lt;from TechID&gt;")</f>
        <v>Base case cost for mix of 60% Incandescent and 40% CFL lamps for CFL TechID: CFLscw-A(11w)</v>
      </c>
      <c r="F237" s="103" t="s">
        <v>860</v>
      </c>
      <c r="G237" s="103" t="s">
        <v>151</v>
      </c>
      <c r="H237" s="103" t="s">
        <v>861</v>
      </c>
      <c r="I237" s="103" t="s">
        <v>862</v>
      </c>
      <c r="J237" s="103" t="s">
        <v>863</v>
      </c>
      <c r="K237" s="103" t="s">
        <v>864</v>
      </c>
      <c r="L237" s="103" t="s">
        <v>153</v>
      </c>
      <c r="M237" s="103" t="s">
        <v>865</v>
      </c>
      <c r="N237" s="103" t="s">
        <v>866</v>
      </c>
      <c r="O237" s="103" t="str">
        <f t="shared" si="6"/>
        <v/>
      </c>
      <c r="P237" s="103" t="s">
        <v>153</v>
      </c>
      <c r="Q237" s="103" t="s">
        <v>153</v>
      </c>
      <c r="R237" s="103" t="s">
        <v>153</v>
      </c>
      <c r="S237" s="103" t="str">
        <f>INDEX('Measure &amp; Standard CostIDs'!$AK$8:$AK$12,B237)</f>
        <v>Wtd-Pack</v>
      </c>
      <c r="T237" s="103" t="s">
        <v>867</v>
      </c>
      <c r="U237" s="103"/>
      <c r="V237" s="103"/>
      <c r="W237" s="103">
        <f>ROUND(IF(LEFT(D237,3)="Std",VLOOKUP(D237,'Measure &amp; Standard CostIDs'!$S$5:$X$177,1+B237,FALSE),VLOOKUP(D237,'Measure &amp; Standard CostIDs'!$C$5:$H$177,1+B237,FALSE)),2)</f>
        <v>2.4700000000000002</v>
      </c>
      <c r="X237" s="103"/>
      <c r="Y237" s="103"/>
      <c r="Z237" s="103" t="s">
        <v>868</v>
      </c>
      <c r="AA237" s="103" t="s">
        <v>874</v>
      </c>
      <c r="AB237" s="103" t="s">
        <v>153</v>
      </c>
      <c r="AC237" s="103">
        <v>0</v>
      </c>
      <c r="AD237" s="156">
        <v>42005</v>
      </c>
      <c r="AE237" s="103"/>
      <c r="AF237" s="103" t="s">
        <v>870</v>
      </c>
      <c r="AG237" s="103" t="s">
        <v>871</v>
      </c>
      <c r="AH237" s="103" t="s">
        <v>872</v>
      </c>
      <c r="AI237" s="103">
        <v>0</v>
      </c>
      <c r="AJ237" s="103"/>
      <c r="AK237" s="103"/>
      <c r="AL237" s="103"/>
      <c r="AM237" s="103"/>
      <c r="AN237" s="103"/>
      <c r="AO237" s="103" t="str">
        <f t="shared" si="7"/>
        <v>Std_CFLscw-A(11w)_60pInc-r0248Wtd-Pack</v>
      </c>
    </row>
    <row r="238" spans="1:41">
      <c r="A238" s="177">
        <f>IFERROR(MATCH(D238,'Measure &amp; Standard CostIDs'!C$5:C$177,0),MATCH(D238,'Measure &amp; Standard CostIDs'!S$5:S$177,0))</f>
        <v>72</v>
      </c>
      <c r="B238" s="177">
        <v>1</v>
      </c>
      <c r="C238" s="103" t="s">
        <v>153</v>
      </c>
      <c r="D238" s="103" t="s">
        <v>934</v>
      </c>
      <c r="E238" s="103" t="str">
        <f>IF(LEFT(D238,3)="Std","Base case cost for mix of 60% Incandescent and 40% CFL lamps for CFL TechID: "&amp;INDEX('Measure &amp; Standard CostIDs'!$C$5:$C$177,A238),"&lt;from TechID&gt;")</f>
        <v>Base case cost for mix of 60% Incandescent and 40% CFL lamps for CFL TechID: CFLscw-A(12w)</v>
      </c>
      <c r="F238" s="103" t="s">
        <v>860</v>
      </c>
      <c r="G238" s="103" t="s">
        <v>151</v>
      </c>
      <c r="H238" s="103" t="s">
        <v>861</v>
      </c>
      <c r="I238" s="103" t="s">
        <v>862</v>
      </c>
      <c r="J238" s="103" t="s">
        <v>863</v>
      </c>
      <c r="K238" s="103" t="s">
        <v>864</v>
      </c>
      <c r="L238" s="103" t="s">
        <v>153</v>
      </c>
      <c r="M238" s="103" t="s">
        <v>865</v>
      </c>
      <c r="N238" s="103" t="s">
        <v>866</v>
      </c>
      <c r="O238" s="103" t="str">
        <f t="shared" si="6"/>
        <v/>
      </c>
      <c r="P238" s="103" t="s">
        <v>153</v>
      </c>
      <c r="Q238" s="103" t="s">
        <v>153</v>
      </c>
      <c r="R238" s="103" t="s">
        <v>153</v>
      </c>
      <c r="S238" s="103" t="str">
        <f>INDEX('Measure &amp; Standard CostIDs'!$AK$8:$AK$12,B238)</f>
        <v>Wtd-Pack</v>
      </c>
      <c r="T238" s="103" t="s">
        <v>867</v>
      </c>
      <c r="U238" s="103"/>
      <c r="V238" s="103"/>
      <c r="W238" s="103">
        <f>ROUND(IF(LEFT(D238,3)="Std",VLOOKUP(D238,'Measure &amp; Standard CostIDs'!$S$5:$X$177,1+B238,FALSE),VLOOKUP(D238,'Measure &amp; Standard CostIDs'!$C$5:$H$177,1+B238,FALSE)),2)</f>
        <v>2.52</v>
      </c>
      <c r="X238" s="103"/>
      <c r="Y238" s="103"/>
      <c r="Z238" s="103" t="s">
        <v>868</v>
      </c>
      <c r="AA238" s="103" t="s">
        <v>874</v>
      </c>
      <c r="AB238" s="103" t="s">
        <v>153</v>
      </c>
      <c r="AC238" s="103">
        <v>0</v>
      </c>
      <c r="AD238" s="156">
        <v>42005</v>
      </c>
      <c r="AE238" s="103"/>
      <c r="AF238" s="103" t="s">
        <v>870</v>
      </c>
      <c r="AG238" s="103" t="s">
        <v>871</v>
      </c>
      <c r="AH238" s="103" t="s">
        <v>872</v>
      </c>
      <c r="AI238" s="103">
        <v>0</v>
      </c>
      <c r="AJ238" s="103"/>
      <c r="AK238" s="103"/>
      <c r="AL238" s="103"/>
      <c r="AM238" s="103"/>
      <c r="AN238" s="103"/>
      <c r="AO238" s="103" t="str">
        <f t="shared" si="7"/>
        <v>Std_CFLscw-A(12w)_60pInc-r0248Wtd-Pack</v>
      </c>
    </row>
    <row r="239" spans="1:41">
      <c r="A239" s="177">
        <f>IFERROR(MATCH(D239,'Measure &amp; Standard CostIDs'!C$5:C$177,0),MATCH(D239,'Measure &amp; Standard CostIDs'!S$5:S$177,0))</f>
        <v>73</v>
      </c>
      <c r="B239" s="177">
        <v>1</v>
      </c>
      <c r="C239" s="103" t="s">
        <v>153</v>
      </c>
      <c r="D239" s="103" t="s">
        <v>935</v>
      </c>
      <c r="E239" s="103" t="str">
        <f>IF(LEFT(D239,3)="Std","Base case cost for mix of 60% Incandescent and 40% CFL lamps for CFL TechID: "&amp;INDEX('Measure &amp; Standard CostIDs'!$C$5:$C$177,A239),"&lt;from TechID&gt;")</f>
        <v>Base case cost for mix of 60% Incandescent and 40% CFL lamps for CFL TechID: CFLscw-A(13w)</v>
      </c>
      <c r="F239" s="103" t="s">
        <v>860</v>
      </c>
      <c r="G239" s="103" t="s">
        <v>151</v>
      </c>
      <c r="H239" s="103" t="s">
        <v>861</v>
      </c>
      <c r="I239" s="103" t="s">
        <v>862</v>
      </c>
      <c r="J239" s="103" t="s">
        <v>863</v>
      </c>
      <c r="K239" s="103" t="s">
        <v>864</v>
      </c>
      <c r="L239" s="103" t="s">
        <v>153</v>
      </c>
      <c r="M239" s="103" t="s">
        <v>865</v>
      </c>
      <c r="N239" s="103" t="s">
        <v>866</v>
      </c>
      <c r="O239" s="103" t="str">
        <f t="shared" si="6"/>
        <v/>
      </c>
      <c r="P239" s="103" t="s">
        <v>153</v>
      </c>
      <c r="Q239" s="103" t="s">
        <v>153</v>
      </c>
      <c r="R239" s="103" t="s">
        <v>153</v>
      </c>
      <c r="S239" s="103" t="str">
        <f>INDEX('Measure &amp; Standard CostIDs'!$AK$8:$AK$12,B239)</f>
        <v>Wtd-Pack</v>
      </c>
      <c r="T239" s="103" t="s">
        <v>867</v>
      </c>
      <c r="U239" s="103"/>
      <c r="V239" s="103"/>
      <c r="W239" s="103">
        <f>ROUND(IF(LEFT(D239,3)="Std",VLOOKUP(D239,'Measure &amp; Standard CostIDs'!$S$5:$X$177,1+B239,FALSE),VLOOKUP(D239,'Measure &amp; Standard CostIDs'!$C$5:$H$177,1+B239,FALSE)),2)</f>
        <v>2.56</v>
      </c>
      <c r="X239" s="103"/>
      <c r="Y239" s="103"/>
      <c r="Z239" s="103" t="s">
        <v>868</v>
      </c>
      <c r="AA239" s="103" t="s">
        <v>874</v>
      </c>
      <c r="AB239" s="103" t="s">
        <v>153</v>
      </c>
      <c r="AC239" s="103">
        <v>0</v>
      </c>
      <c r="AD239" s="156">
        <v>42005</v>
      </c>
      <c r="AE239" s="103"/>
      <c r="AF239" s="103" t="s">
        <v>870</v>
      </c>
      <c r="AG239" s="103" t="s">
        <v>871</v>
      </c>
      <c r="AH239" s="103" t="s">
        <v>872</v>
      </c>
      <c r="AI239" s="103">
        <v>0</v>
      </c>
      <c r="AJ239" s="103"/>
      <c r="AK239" s="103"/>
      <c r="AL239" s="103"/>
      <c r="AM239" s="103"/>
      <c r="AN239" s="103"/>
      <c r="AO239" s="103" t="str">
        <f t="shared" si="7"/>
        <v>Std_CFLscw-A(13w)_60pInc-r0248Wtd-Pack</v>
      </c>
    </row>
    <row r="240" spans="1:41">
      <c r="A240" s="177">
        <f>IFERROR(MATCH(D240,'Measure &amp; Standard CostIDs'!C$5:C$177,0),MATCH(D240,'Measure &amp; Standard CostIDs'!S$5:S$177,0))</f>
        <v>74</v>
      </c>
      <c r="B240" s="177">
        <v>1</v>
      </c>
      <c r="C240" s="103" t="s">
        <v>153</v>
      </c>
      <c r="D240" s="103" t="s">
        <v>936</v>
      </c>
      <c r="E240" s="103" t="str">
        <f>IF(LEFT(D240,3)="Std","Base case cost for mix of 60% Incandescent and 40% CFL lamps for CFL TechID: "&amp;INDEX('Measure &amp; Standard CostIDs'!$C$5:$C$177,A240),"&lt;from TechID&gt;")</f>
        <v>Base case cost for mix of 60% Incandescent and 40% CFL lamps for CFL TechID: CFLscw-A(14w)</v>
      </c>
      <c r="F240" s="103" t="s">
        <v>860</v>
      </c>
      <c r="G240" s="103" t="s">
        <v>151</v>
      </c>
      <c r="H240" s="103" t="s">
        <v>861</v>
      </c>
      <c r="I240" s="103" t="s">
        <v>862</v>
      </c>
      <c r="J240" s="103" t="s">
        <v>863</v>
      </c>
      <c r="K240" s="103" t="s">
        <v>864</v>
      </c>
      <c r="L240" s="103" t="s">
        <v>153</v>
      </c>
      <c r="M240" s="103" t="s">
        <v>865</v>
      </c>
      <c r="N240" s="103" t="s">
        <v>866</v>
      </c>
      <c r="O240" s="103" t="str">
        <f t="shared" si="6"/>
        <v/>
      </c>
      <c r="P240" s="103" t="s">
        <v>153</v>
      </c>
      <c r="Q240" s="103" t="s">
        <v>153</v>
      </c>
      <c r="R240" s="103" t="s">
        <v>153</v>
      </c>
      <c r="S240" s="103" t="str">
        <f>INDEX('Measure &amp; Standard CostIDs'!$AK$8:$AK$12,B240)</f>
        <v>Wtd-Pack</v>
      </c>
      <c r="T240" s="103" t="s">
        <v>867</v>
      </c>
      <c r="U240" s="103"/>
      <c r="V240" s="103"/>
      <c r="W240" s="103">
        <f>ROUND(IF(LEFT(D240,3)="Std",VLOOKUP(D240,'Measure &amp; Standard CostIDs'!$S$5:$X$177,1+B240,FALSE),VLOOKUP(D240,'Measure &amp; Standard CostIDs'!$C$5:$H$177,1+B240,FALSE)),2)</f>
        <v>2.61</v>
      </c>
      <c r="X240" s="103"/>
      <c r="Y240" s="103"/>
      <c r="Z240" s="103" t="s">
        <v>868</v>
      </c>
      <c r="AA240" s="103" t="s">
        <v>874</v>
      </c>
      <c r="AB240" s="103" t="s">
        <v>153</v>
      </c>
      <c r="AC240" s="103">
        <v>0</v>
      </c>
      <c r="AD240" s="156">
        <v>42005</v>
      </c>
      <c r="AE240" s="103"/>
      <c r="AF240" s="103" t="s">
        <v>870</v>
      </c>
      <c r="AG240" s="103" t="s">
        <v>871</v>
      </c>
      <c r="AH240" s="103" t="s">
        <v>872</v>
      </c>
      <c r="AI240" s="103">
        <v>0</v>
      </c>
      <c r="AJ240" s="103"/>
      <c r="AK240" s="103"/>
      <c r="AL240" s="103"/>
      <c r="AM240" s="103"/>
      <c r="AN240" s="103"/>
      <c r="AO240" s="103" t="str">
        <f t="shared" si="7"/>
        <v>Std_CFLscw-A(14w)_60pInc-r0248Wtd-Pack</v>
      </c>
    </row>
    <row r="241" spans="1:41">
      <c r="A241" s="177">
        <f>IFERROR(MATCH(D241,'Measure &amp; Standard CostIDs'!C$5:C$177,0),MATCH(D241,'Measure &amp; Standard CostIDs'!S$5:S$177,0))</f>
        <v>75</v>
      </c>
      <c r="B241" s="177">
        <v>1</v>
      </c>
      <c r="C241" s="103" t="s">
        <v>153</v>
      </c>
      <c r="D241" s="103" t="s">
        <v>937</v>
      </c>
      <c r="E241" s="103" t="str">
        <f>IF(LEFT(D241,3)="Std","Base case cost for mix of 60% Incandescent and 40% CFL lamps for CFL TechID: "&amp;INDEX('Measure &amp; Standard CostIDs'!$C$5:$C$177,A241),"&lt;from TechID&gt;")</f>
        <v>Base case cost for mix of 60% Incandescent and 40% CFL lamps for CFL TechID: CFLscw-A(15w)</v>
      </c>
      <c r="F241" s="103" t="s">
        <v>860</v>
      </c>
      <c r="G241" s="103" t="s">
        <v>151</v>
      </c>
      <c r="H241" s="103" t="s">
        <v>861</v>
      </c>
      <c r="I241" s="103" t="s">
        <v>862</v>
      </c>
      <c r="J241" s="103" t="s">
        <v>863</v>
      </c>
      <c r="K241" s="103" t="s">
        <v>864</v>
      </c>
      <c r="L241" s="103" t="s">
        <v>153</v>
      </c>
      <c r="M241" s="103" t="s">
        <v>865</v>
      </c>
      <c r="N241" s="103" t="s">
        <v>866</v>
      </c>
      <c r="O241" s="103" t="str">
        <f t="shared" si="6"/>
        <v/>
      </c>
      <c r="P241" s="103" t="s">
        <v>153</v>
      </c>
      <c r="Q241" s="103" t="s">
        <v>153</v>
      </c>
      <c r="R241" s="103" t="s">
        <v>153</v>
      </c>
      <c r="S241" s="103" t="str">
        <f>INDEX('Measure &amp; Standard CostIDs'!$AK$8:$AK$12,B241)</f>
        <v>Wtd-Pack</v>
      </c>
      <c r="T241" s="103" t="s">
        <v>867</v>
      </c>
      <c r="U241" s="103"/>
      <c r="V241" s="103"/>
      <c r="W241" s="103">
        <f>ROUND(IF(LEFT(D241,3)="Std",VLOOKUP(D241,'Measure &amp; Standard CostIDs'!$S$5:$X$177,1+B241,FALSE),VLOOKUP(D241,'Measure &amp; Standard CostIDs'!$C$5:$H$177,1+B241,FALSE)),2)</f>
        <v>2.65</v>
      </c>
      <c r="X241" s="103"/>
      <c r="Y241" s="103"/>
      <c r="Z241" s="103" t="s">
        <v>868</v>
      </c>
      <c r="AA241" s="103" t="s">
        <v>874</v>
      </c>
      <c r="AB241" s="103" t="s">
        <v>153</v>
      </c>
      <c r="AC241" s="103">
        <v>0</v>
      </c>
      <c r="AD241" s="156">
        <v>42005</v>
      </c>
      <c r="AE241" s="103"/>
      <c r="AF241" s="103" t="s">
        <v>870</v>
      </c>
      <c r="AG241" s="103" t="s">
        <v>871</v>
      </c>
      <c r="AH241" s="103" t="s">
        <v>872</v>
      </c>
      <c r="AI241" s="103">
        <v>0</v>
      </c>
      <c r="AJ241" s="103"/>
      <c r="AK241" s="103"/>
      <c r="AL241" s="103"/>
      <c r="AM241" s="103"/>
      <c r="AN241" s="103"/>
      <c r="AO241" s="103" t="str">
        <f t="shared" si="7"/>
        <v>Std_CFLscw-A(15w)_60pInc-r0248Wtd-Pack</v>
      </c>
    </row>
    <row r="242" spans="1:41">
      <c r="A242" s="177">
        <f>IFERROR(MATCH(D242,'Measure &amp; Standard CostIDs'!C$5:C$177,0),MATCH(D242,'Measure &amp; Standard CostIDs'!S$5:S$177,0))</f>
        <v>76</v>
      </c>
      <c r="B242" s="177">
        <v>1</v>
      </c>
      <c r="C242" s="103" t="s">
        <v>153</v>
      </c>
      <c r="D242" s="103" t="s">
        <v>938</v>
      </c>
      <c r="E242" s="103" t="str">
        <f>IF(LEFT(D242,3)="Std","Base case cost for mix of 60% Incandescent and 40% CFL lamps for CFL TechID: "&amp;INDEX('Measure &amp; Standard CostIDs'!$C$5:$C$177,A242),"&lt;from TechID&gt;")</f>
        <v>Base case cost for mix of 60% Incandescent and 40% CFL lamps for CFL TechID: CFLscw-A(16w)</v>
      </c>
      <c r="F242" s="103" t="s">
        <v>860</v>
      </c>
      <c r="G242" s="103" t="s">
        <v>151</v>
      </c>
      <c r="H242" s="103" t="s">
        <v>861</v>
      </c>
      <c r="I242" s="103" t="s">
        <v>862</v>
      </c>
      <c r="J242" s="103" t="s">
        <v>863</v>
      </c>
      <c r="K242" s="103" t="s">
        <v>864</v>
      </c>
      <c r="L242" s="103" t="s">
        <v>153</v>
      </c>
      <c r="M242" s="103" t="s">
        <v>865</v>
      </c>
      <c r="N242" s="103" t="s">
        <v>866</v>
      </c>
      <c r="O242" s="103" t="str">
        <f t="shared" si="6"/>
        <v/>
      </c>
      <c r="P242" s="103" t="s">
        <v>153</v>
      </c>
      <c r="Q242" s="103" t="s">
        <v>153</v>
      </c>
      <c r="R242" s="103" t="s">
        <v>153</v>
      </c>
      <c r="S242" s="103" t="str">
        <f>INDEX('Measure &amp; Standard CostIDs'!$AK$8:$AK$12,B242)</f>
        <v>Wtd-Pack</v>
      </c>
      <c r="T242" s="103" t="s">
        <v>867</v>
      </c>
      <c r="U242" s="103"/>
      <c r="V242" s="103"/>
      <c r="W242" s="103">
        <f>ROUND(IF(LEFT(D242,3)="Std",VLOOKUP(D242,'Measure &amp; Standard CostIDs'!$S$5:$X$177,1+B242,FALSE),VLOOKUP(D242,'Measure &amp; Standard CostIDs'!$C$5:$H$177,1+B242,FALSE)),2)</f>
        <v>2.7</v>
      </c>
      <c r="X242" s="103"/>
      <c r="Y242" s="103"/>
      <c r="Z242" s="103" t="s">
        <v>868</v>
      </c>
      <c r="AA242" s="103" t="s">
        <v>874</v>
      </c>
      <c r="AB242" s="103" t="s">
        <v>153</v>
      </c>
      <c r="AC242" s="103">
        <v>0</v>
      </c>
      <c r="AD242" s="156">
        <v>42005</v>
      </c>
      <c r="AE242" s="103"/>
      <c r="AF242" s="103" t="s">
        <v>870</v>
      </c>
      <c r="AG242" s="103" t="s">
        <v>871</v>
      </c>
      <c r="AH242" s="103" t="s">
        <v>872</v>
      </c>
      <c r="AI242" s="103">
        <v>0</v>
      </c>
      <c r="AJ242" s="103"/>
      <c r="AK242" s="103"/>
      <c r="AL242" s="103"/>
      <c r="AM242" s="103"/>
      <c r="AN242" s="103"/>
      <c r="AO242" s="103" t="str">
        <f t="shared" si="7"/>
        <v>Std_CFLscw-A(16w)_60pInc-r0248Wtd-Pack</v>
      </c>
    </row>
    <row r="243" spans="1:41">
      <c r="A243" s="177">
        <f>IFERROR(MATCH(D243,'Measure &amp; Standard CostIDs'!C$5:C$177,0),MATCH(D243,'Measure &amp; Standard CostIDs'!S$5:S$177,0))</f>
        <v>77</v>
      </c>
      <c r="B243" s="177">
        <v>1</v>
      </c>
      <c r="C243" s="103" t="s">
        <v>153</v>
      </c>
      <c r="D243" s="103" t="s">
        <v>939</v>
      </c>
      <c r="E243" s="103" t="str">
        <f>IF(LEFT(D243,3)="Std","Base case cost for mix of 60% Incandescent and 40% CFL lamps for CFL TechID: "&amp;INDEX('Measure &amp; Standard CostIDs'!$C$5:$C$177,A243),"&lt;from TechID&gt;")</f>
        <v>Base case cost for mix of 60% Incandescent and 40% CFL lamps for CFL TechID: CFLscw-A(18w)</v>
      </c>
      <c r="F243" s="103" t="s">
        <v>860</v>
      </c>
      <c r="G243" s="103" t="s">
        <v>151</v>
      </c>
      <c r="H243" s="103" t="s">
        <v>861</v>
      </c>
      <c r="I243" s="103" t="s">
        <v>862</v>
      </c>
      <c r="J243" s="103" t="s">
        <v>863</v>
      </c>
      <c r="K243" s="103" t="s">
        <v>864</v>
      </c>
      <c r="L243" s="103" t="s">
        <v>153</v>
      </c>
      <c r="M243" s="103" t="s">
        <v>865</v>
      </c>
      <c r="N243" s="103" t="s">
        <v>866</v>
      </c>
      <c r="O243" s="103" t="str">
        <f t="shared" si="6"/>
        <v/>
      </c>
      <c r="P243" s="103" t="s">
        <v>153</v>
      </c>
      <c r="Q243" s="103" t="s">
        <v>153</v>
      </c>
      <c r="R243" s="103" t="s">
        <v>153</v>
      </c>
      <c r="S243" s="103" t="str">
        <f>INDEX('Measure &amp; Standard CostIDs'!$AK$8:$AK$12,B243)</f>
        <v>Wtd-Pack</v>
      </c>
      <c r="T243" s="103" t="s">
        <v>867</v>
      </c>
      <c r="U243" s="103"/>
      <c r="V243" s="103"/>
      <c r="W243" s="103">
        <f>ROUND(IF(LEFT(D243,3)="Std",VLOOKUP(D243,'Measure &amp; Standard CostIDs'!$S$5:$X$177,1+B243,FALSE),VLOOKUP(D243,'Measure &amp; Standard CostIDs'!$C$5:$H$177,1+B243,FALSE)),2)</f>
        <v>2.79</v>
      </c>
      <c r="X243" s="103"/>
      <c r="Y243" s="103"/>
      <c r="Z243" s="103" t="s">
        <v>868</v>
      </c>
      <c r="AA243" s="103" t="s">
        <v>874</v>
      </c>
      <c r="AB243" s="103" t="s">
        <v>153</v>
      </c>
      <c r="AC243" s="103">
        <v>0</v>
      </c>
      <c r="AD243" s="156">
        <v>42005</v>
      </c>
      <c r="AE243" s="103"/>
      <c r="AF243" s="103" t="s">
        <v>870</v>
      </c>
      <c r="AG243" s="103" t="s">
        <v>871</v>
      </c>
      <c r="AH243" s="103" t="s">
        <v>872</v>
      </c>
      <c r="AI243" s="103">
        <v>0</v>
      </c>
      <c r="AJ243" s="103"/>
      <c r="AK243" s="103"/>
      <c r="AL243" s="103"/>
      <c r="AM243" s="103"/>
      <c r="AN243" s="103"/>
      <c r="AO243" s="103" t="str">
        <f t="shared" si="7"/>
        <v>Std_CFLscw-A(18w)_60pInc-r0248Wtd-Pack</v>
      </c>
    </row>
    <row r="244" spans="1:41">
      <c r="A244" s="177">
        <f>IFERROR(MATCH(D244,'Measure &amp; Standard CostIDs'!C$5:C$177,0),MATCH(D244,'Measure &amp; Standard CostIDs'!S$5:S$177,0))</f>
        <v>78</v>
      </c>
      <c r="B244" s="177">
        <v>1</v>
      </c>
      <c r="C244" s="103" t="s">
        <v>153</v>
      </c>
      <c r="D244" s="103" t="s">
        <v>940</v>
      </c>
      <c r="E244" s="103" t="str">
        <f>IF(LEFT(D244,3)="Std","Base case cost for mix of 60% Incandescent and 40% CFL lamps for CFL TechID: "&amp;INDEX('Measure &amp; Standard CostIDs'!$C$5:$C$177,A244),"&lt;from TechID&gt;")</f>
        <v>Base case cost for mix of 60% Incandescent and 40% CFL lamps for CFL TechID: CFLscw-A(19w)</v>
      </c>
      <c r="F244" s="103" t="s">
        <v>860</v>
      </c>
      <c r="G244" s="103" t="s">
        <v>151</v>
      </c>
      <c r="H244" s="103" t="s">
        <v>861</v>
      </c>
      <c r="I244" s="103" t="s">
        <v>862</v>
      </c>
      <c r="J244" s="103" t="s">
        <v>863</v>
      </c>
      <c r="K244" s="103" t="s">
        <v>864</v>
      </c>
      <c r="L244" s="103" t="s">
        <v>153</v>
      </c>
      <c r="M244" s="103" t="s">
        <v>865</v>
      </c>
      <c r="N244" s="103" t="s">
        <v>866</v>
      </c>
      <c r="O244" s="103" t="str">
        <f t="shared" si="6"/>
        <v/>
      </c>
      <c r="P244" s="103" t="s">
        <v>153</v>
      </c>
      <c r="Q244" s="103" t="s">
        <v>153</v>
      </c>
      <c r="R244" s="103" t="s">
        <v>153</v>
      </c>
      <c r="S244" s="103" t="str">
        <f>INDEX('Measure &amp; Standard CostIDs'!$AK$8:$AK$12,B244)</f>
        <v>Wtd-Pack</v>
      </c>
      <c r="T244" s="103" t="s">
        <v>867</v>
      </c>
      <c r="U244" s="103"/>
      <c r="V244" s="103"/>
      <c r="W244" s="103">
        <f>ROUND(IF(LEFT(D244,3)="Std",VLOOKUP(D244,'Measure &amp; Standard CostIDs'!$S$5:$X$177,1+B244,FALSE),VLOOKUP(D244,'Measure &amp; Standard CostIDs'!$C$5:$H$177,1+B244,FALSE)),2)</f>
        <v>2.83</v>
      </c>
      <c r="X244" s="103"/>
      <c r="Y244" s="103"/>
      <c r="Z244" s="103" t="s">
        <v>868</v>
      </c>
      <c r="AA244" s="103" t="s">
        <v>874</v>
      </c>
      <c r="AB244" s="103" t="s">
        <v>153</v>
      </c>
      <c r="AC244" s="103">
        <v>0</v>
      </c>
      <c r="AD244" s="156">
        <v>42005</v>
      </c>
      <c r="AE244" s="103"/>
      <c r="AF244" s="103" t="s">
        <v>870</v>
      </c>
      <c r="AG244" s="103" t="s">
        <v>871</v>
      </c>
      <c r="AH244" s="103" t="s">
        <v>872</v>
      </c>
      <c r="AI244" s="103">
        <v>0</v>
      </c>
      <c r="AJ244" s="103"/>
      <c r="AK244" s="103"/>
      <c r="AL244" s="103"/>
      <c r="AM244" s="103"/>
      <c r="AN244" s="103"/>
      <c r="AO244" s="103" t="str">
        <f t="shared" si="7"/>
        <v>Std_CFLscw-A(19w)_60pInc-r0248Wtd-Pack</v>
      </c>
    </row>
    <row r="245" spans="1:41">
      <c r="A245" s="177">
        <f>IFERROR(MATCH(D245,'Measure &amp; Standard CostIDs'!C$5:C$177,0),MATCH(D245,'Measure &amp; Standard CostIDs'!S$5:S$177,0))</f>
        <v>79</v>
      </c>
      <c r="B245" s="177">
        <v>1</v>
      </c>
      <c r="C245" s="103" t="s">
        <v>153</v>
      </c>
      <c r="D245" s="103" t="s">
        <v>941</v>
      </c>
      <c r="E245" s="103" t="str">
        <f>IF(LEFT(D245,3)="Std","Base case cost for mix of 60% Incandescent and 40% CFL lamps for CFL TechID: "&amp;INDEX('Measure &amp; Standard CostIDs'!$C$5:$C$177,A245),"&lt;from TechID&gt;")</f>
        <v>Base case cost for mix of 60% Incandescent and 40% CFL lamps for CFL TechID: CFLscw-A(20w)</v>
      </c>
      <c r="F245" s="103" t="s">
        <v>860</v>
      </c>
      <c r="G245" s="103" t="s">
        <v>151</v>
      </c>
      <c r="H245" s="103" t="s">
        <v>861</v>
      </c>
      <c r="I245" s="103" t="s">
        <v>862</v>
      </c>
      <c r="J245" s="103" t="s">
        <v>863</v>
      </c>
      <c r="K245" s="103" t="s">
        <v>864</v>
      </c>
      <c r="L245" s="103" t="s">
        <v>153</v>
      </c>
      <c r="M245" s="103" t="s">
        <v>865</v>
      </c>
      <c r="N245" s="103" t="s">
        <v>866</v>
      </c>
      <c r="O245" s="103" t="str">
        <f t="shared" si="6"/>
        <v/>
      </c>
      <c r="P245" s="103" t="s">
        <v>153</v>
      </c>
      <c r="Q245" s="103" t="s">
        <v>153</v>
      </c>
      <c r="R245" s="103" t="s">
        <v>153</v>
      </c>
      <c r="S245" s="103" t="str">
        <f>INDEX('Measure &amp; Standard CostIDs'!$AK$8:$AK$12,B245)</f>
        <v>Wtd-Pack</v>
      </c>
      <c r="T245" s="103" t="s">
        <v>867</v>
      </c>
      <c r="U245" s="103"/>
      <c r="V245" s="103"/>
      <c r="W245" s="103">
        <f>ROUND(IF(LEFT(D245,3)="Std",VLOOKUP(D245,'Measure &amp; Standard CostIDs'!$S$5:$X$177,1+B245,FALSE),VLOOKUP(D245,'Measure &amp; Standard CostIDs'!$C$5:$H$177,1+B245,FALSE)),2)</f>
        <v>2.88</v>
      </c>
      <c r="X245" s="103"/>
      <c r="Y245" s="103"/>
      <c r="Z245" s="103" t="s">
        <v>868</v>
      </c>
      <c r="AA245" s="103" t="s">
        <v>874</v>
      </c>
      <c r="AB245" s="103" t="s">
        <v>153</v>
      </c>
      <c r="AC245" s="103">
        <v>0</v>
      </c>
      <c r="AD245" s="156">
        <v>42005</v>
      </c>
      <c r="AE245" s="103"/>
      <c r="AF245" s="103" t="s">
        <v>870</v>
      </c>
      <c r="AG245" s="103" t="s">
        <v>871</v>
      </c>
      <c r="AH245" s="103" t="s">
        <v>872</v>
      </c>
      <c r="AI245" s="103">
        <v>0</v>
      </c>
      <c r="AJ245" s="103"/>
      <c r="AK245" s="103"/>
      <c r="AL245" s="103"/>
      <c r="AM245" s="103"/>
      <c r="AN245" s="103"/>
      <c r="AO245" s="103" t="str">
        <f t="shared" si="7"/>
        <v>Std_CFLscw-A(20w)_60pInc-r0248Wtd-Pack</v>
      </c>
    </row>
    <row r="246" spans="1:41">
      <c r="A246" s="177">
        <f>IFERROR(MATCH(D246,'Measure &amp; Standard CostIDs'!C$5:C$177,0),MATCH(D246,'Measure &amp; Standard CostIDs'!S$5:S$177,0))</f>
        <v>80</v>
      </c>
      <c r="B246" s="177">
        <v>1</v>
      </c>
      <c r="C246" s="103" t="s">
        <v>153</v>
      </c>
      <c r="D246" s="103" t="s">
        <v>942</v>
      </c>
      <c r="E246" s="103" t="str">
        <f>IF(LEFT(D246,3)="Std","Base case cost for mix of 60% Incandescent and 40% CFL lamps for CFL TechID: "&amp;INDEX('Measure &amp; Standard CostIDs'!$C$5:$C$177,A246),"&lt;from TechID&gt;")</f>
        <v>Base case cost for mix of 60% Incandescent and 40% CFL lamps for CFL TechID: CFLscw-A(22w)</v>
      </c>
      <c r="F246" s="103" t="s">
        <v>860</v>
      </c>
      <c r="G246" s="103" t="s">
        <v>151</v>
      </c>
      <c r="H246" s="103" t="s">
        <v>861</v>
      </c>
      <c r="I246" s="103" t="s">
        <v>862</v>
      </c>
      <c r="J246" s="103" t="s">
        <v>863</v>
      </c>
      <c r="K246" s="103" t="s">
        <v>864</v>
      </c>
      <c r="L246" s="103" t="s">
        <v>153</v>
      </c>
      <c r="M246" s="103" t="s">
        <v>865</v>
      </c>
      <c r="N246" s="103" t="s">
        <v>866</v>
      </c>
      <c r="O246" s="103" t="str">
        <f t="shared" si="6"/>
        <v/>
      </c>
      <c r="P246" s="103" t="s">
        <v>153</v>
      </c>
      <c r="Q246" s="103" t="s">
        <v>153</v>
      </c>
      <c r="R246" s="103" t="s">
        <v>153</v>
      </c>
      <c r="S246" s="103" t="str">
        <f>INDEX('Measure &amp; Standard CostIDs'!$AK$8:$AK$12,B246)</f>
        <v>Wtd-Pack</v>
      </c>
      <c r="T246" s="103" t="s">
        <v>867</v>
      </c>
      <c r="U246" s="103"/>
      <c r="V246" s="103"/>
      <c r="W246" s="103">
        <f>ROUND(IF(LEFT(D246,3)="Std",VLOOKUP(D246,'Measure &amp; Standard CostIDs'!$S$5:$X$177,1+B246,FALSE),VLOOKUP(D246,'Measure &amp; Standard CostIDs'!$C$5:$H$177,1+B246,FALSE)),2)</f>
        <v>2.96</v>
      </c>
      <c r="X246" s="103"/>
      <c r="Y246" s="103"/>
      <c r="Z246" s="103" t="s">
        <v>868</v>
      </c>
      <c r="AA246" s="103" t="s">
        <v>874</v>
      </c>
      <c r="AB246" s="103" t="s">
        <v>153</v>
      </c>
      <c r="AC246" s="103">
        <v>0</v>
      </c>
      <c r="AD246" s="156">
        <v>42005</v>
      </c>
      <c r="AE246" s="103"/>
      <c r="AF246" s="103" t="s">
        <v>870</v>
      </c>
      <c r="AG246" s="103" t="s">
        <v>871</v>
      </c>
      <c r="AH246" s="103" t="s">
        <v>872</v>
      </c>
      <c r="AI246" s="103">
        <v>0</v>
      </c>
      <c r="AJ246" s="103"/>
      <c r="AK246" s="103"/>
      <c r="AL246" s="103"/>
      <c r="AM246" s="103"/>
      <c r="AN246" s="103"/>
      <c r="AO246" s="103" t="str">
        <f t="shared" si="7"/>
        <v>Std_CFLscw-A(22w)_60pInc-r0248Wtd-Pack</v>
      </c>
    </row>
    <row r="247" spans="1:41">
      <c r="A247" s="177">
        <f>IFERROR(MATCH(D247,'Measure &amp; Standard CostIDs'!C$5:C$177,0),MATCH(D247,'Measure &amp; Standard CostIDs'!S$5:S$177,0))</f>
        <v>81</v>
      </c>
      <c r="B247" s="177">
        <v>1</v>
      </c>
      <c r="C247" s="103" t="s">
        <v>153</v>
      </c>
      <c r="D247" s="103" t="s">
        <v>943</v>
      </c>
      <c r="E247" s="103" t="str">
        <f>IF(LEFT(D247,3)="Std","Base case cost for mix of 60% Incandescent and 40% CFL lamps for CFL TechID: "&amp;INDEX('Measure &amp; Standard CostIDs'!$C$5:$C$177,A247),"&lt;from TechID&gt;")</f>
        <v>Base case cost for mix of 60% Incandescent and 40% CFL lamps for CFL TechID: CFLscw-A(23w)</v>
      </c>
      <c r="F247" s="103" t="s">
        <v>860</v>
      </c>
      <c r="G247" s="103" t="s">
        <v>151</v>
      </c>
      <c r="H247" s="103" t="s">
        <v>861</v>
      </c>
      <c r="I247" s="103" t="s">
        <v>862</v>
      </c>
      <c r="J247" s="103" t="s">
        <v>863</v>
      </c>
      <c r="K247" s="103" t="s">
        <v>864</v>
      </c>
      <c r="L247" s="103" t="s">
        <v>153</v>
      </c>
      <c r="M247" s="103" t="s">
        <v>865</v>
      </c>
      <c r="N247" s="103" t="s">
        <v>866</v>
      </c>
      <c r="O247" s="103" t="str">
        <f t="shared" si="6"/>
        <v/>
      </c>
      <c r="P247" s="103" t="s">
        <v>153</v>
      </c>
      <c r="Q247" s="103" t="s">
        <v>153</v>
      </c>
      <c r="R247" s="103" t="s">
        <v>153</v>
      </c>
      <c r="S247" s="103" t="str">
        <f>INDEX('Measure &amp; Standard CostIDs'!$AK$8:$AK$12,B247)</f>
        <v>Wtd-Pack</v>
      </c>
      <c r="T247" s="103" t="s">
        <v>867</v>
      </c>
      <c r="U247" s="103"/>
      <c r="V247" s="103"/>
      <c r="W247" s="103">
        <f>ROUND(IF(LEFT(D247,3)="Std",VLOOKUP(D247,'Measure &amp; Standard CostIDs'!$S$5:$X$177,1+B247,FALSE),VLOOKUP(D247,'Measure &amp; Standard CostIDs'!$C$5:$H$177,1+B247,FALSE)),2)</f>
        <v>2.99</v>
      </c>
      <c r="X247" s="103"/>
      <c r="Y247" s="103"/>
      <c r="Z247" s="103" t="s">
        <v>868</v>
      </c>
      <c r="AA247" s="103" t="s">
        <v>874</v>
      </c>
      <c r="AB247" s="103" t="s">
        <v>153</v>
      </c>
      <c r="AC247" s="103">
        <v>0</v>
      </c>
      <c r="AD247" s="156">
        <v>42005</v>
      </c>
      <c r="AE247" s="103"/>
      <c r="AF247" s="103" t="s">
        <v>870</v>
      </c>
      <c r="AG247" s="103" t="s">
        <v>871</v>
      </c>
      <c r="AH247" s="103" t="s">
        <v>872</v>
      </c>
      <c r="AI247" s="103">
        <v>0</v>
      </c>
      <c r="AJ247" s="103"/>
      <c r="AK247" s="103"/>
      <c r="AL247" s="103"/>
      <c r="AM247" s="103"/>
      <c r="AN247" s="103"/>
      <c r="AO247" s="103" t="str">
        <f t="shared" si="7"/>
        <v>Std_CFLscw-A(23w)_60pInc-r0248Wtd-Pack</v>
      </c>
    </row>
    <row r="248" spans="1:41">
      <c r="A248" s="177">
        <f>IFERROR(MATCH(D248,'Measure &amp; Standard CostIDs'!C$5:C$177,0),MATCH(D248,'Measure &amp; Standard CostIDs'!S$5:S$177,0))</f>
        <v>82</v>
      </c>
      <c r="B248" s="177">
        <v>1</v>
      </c>
      <c r="C248" s="103" t="s">
        <v>153</v>
      </c>
      <c r="D248" s="103" t="s">
        <v>944</v>
      </c>
      <c r="E248" s="103" t="str">
        <f>IF(LEFT(D248,3)="Std","Base case cost for mix of 60% Incandescent and 40% CFL lamps for CFL TechID: "&amp;INDEX('Measure &amp; Standard CostIDs'!$C$5:$C$177,A248),"&lt;from TechID&gt;")</f>
        <v>Base case cost for mix of 60% Incandescent and 40% CFL lamps for CFL TechID: CFLscw-A(24w)</v>
      </c>
      <c r="F248" s="103" t="s">
        <v>860</v>
      </c>
      <c r="G248" s="103" t="s">
        <v>151</v>
      </c>
      <c r="H248" s="103" t="s">
        <v>861</v>
      </c>
      <c r="I248" s="103" t="s">
        <v>862</v>
      </c>
      <c r="J248" s="103" t="s">
        <v>863</v>
      </c>
      <c r="K248" s="103" t="s">
        <v>864</v>
      </c>
      <c r="L248" s="103" t="s">
        <v>153</v>
      </c>
      <c r="M248" s="103" t="s">
        <v>865</v>
      </c>
      <c r="N248" s="103" t="s">
        <v>866</v>
      </c>
      <c r="O248" s="103" t="str">
        <f t="shared" si="6"/>
        <v/>
      </c>
      <c r="P248" s="103" t="s">
        <v>153</v>
      </c>
      <c r="Q248" s="103" t="s">
        <v>153</v>
      </c>
      <c r="R248" s="103" t="s">
        <v>153</v>
      </c>
      <c r="S248" s="103" t="str">
        <f>INDEX('Measure &amp; Standard CostIDs'!$AK$8:$AK$12,B248)</f>
        <v>Wtd-Pack</v>
      </c>
      <c r="T248" s="103" t="s">
        <v>867</v>
      </c>
      <c r="U248" s="103"/>
      <c r="V248" s="103"/>
      <c r="W248" s="103">
        <f>ROUND(IF(LEFT(D248,3)="Std",VLOOKUP(D248,'Measure &amp; Standard CostIDs'!$S$5:$X$177,1+B248,FALSE),VLOOKUP(D248,'Measure &amp; Standard CostIDs'!$C$5:$H$177,1+B248,FALSE)),2)</f>
        <v>3.02</v>
      </c>
      <c r="X248" s="103"/>
      <c r="Y248" s="103"/>
      <c r="Z248" s="103" t="s">
        <v>868</v>
      </c>
      <c r="AA248" s="103" t="s">
        <v>874</v>
      </c>
      <c r="AB248" s="103" t="s">
        <v>153</v>
      </c>
      <c r="AC248" s="103">
        <v>0</v>
      </c>
      <c r="AD248" s="156">
        <v>42005</v>
      </c>
      <c r="AE248" s="103"/>
      <c r="AF248" s="103" t="s">
        <v>870</v>
      </c>
      <c r="AG248" s="103" t="s">
        <v>871</v>
      </c>
      <c r="AH248" s="103" t="s">
        <v>872</v>
      </c>
      <c r="AI248" s="103">
        <v>0</v>
      </c>
      <c r="AJ248" s="103"/>
      <c r="AK248" s="103"/>
      <c r="AL248" s="103"/>
      <c r="AM248" s="103"/>
      <c r="AN248" s="103"/>
      <c r="AO248" s="103" t="str">
        <f t="shared" si="7"/>
        <v>Std_CFLscw-A(24w)_60pInc-r0248Wtd-Pack</v>
      </c>
    </row>
    <row r="249" spans="1:41">
      <c r="A249" s="177">
        <f>IFERROR(MATCH(D249,'Measure &amp; Standard CostIDs'!C$5:C$177,0),MATCH(D249,'Measure &amp; Standard CostIDs'!S$5:S$177,0))</f>
        <v>83</v>
      </c>
      <c r="B249" s="177">
        <v>1</v>
      </c>
      <c r="C249" s="103" t="s">
        <v>153</v>
      </c>
      <c r="D249" s="103" t="s">
        <v>945</v>
      </c>
      <c r="E249" s="103" t="str">
        <f>IF(LEFT(D249,3)="Std","Base case cost for mix of 60% Incandescent and 40% CFL lamps for CFL TechID: "&amp;INDEX('Measure &amp; Standard CostIDs'!$C$5:$C$177,A249),"&lt;from TechID&gt;")</f>
        <v>Base case cost for mix of 60% Incandescent and 40% CFL lamps for CFL TechID: CFLscw-A(25w)</v>
      </c>
      <c r="F249" s="103" t="s">
        <v>860</v>
      </c>
      <c r="G249" s="103" t="s">
        <v>151</v>
      </c>
      <c r="H249" s="103" t="s">
        <v>861</v>
      </c>
      <c r="I249" s="103" t="s">
        <v>862</v>
      </c>
      <c r="J249" s="103" t="s">
        <v>863</v>
      </c>
      <c r="K249" s="103" t="s">
        <v>864</v>
      </c>
      <c r="L249" s="103" t="s">
        <v>153</v>
      </c>
      <c r="M249" s="103" t="s">
        <v>865</v>
      </c>
      <c r="N249" s="103" t="s">
        <v>866</v>
      </c>
      <c r="O249" s="103" t="str">
        <f t="shared" si="6"/>
        <v/>
      </c>
      <c r="P249" s="103" t="s">
        <v>153</v>
      </c>
      <c r="Q249" s="103" t="s">
        <v>153</v>
      </c>
      <c r="R249" s="103" t="s">
        <v>153</v>
      </c>
      <c r="S249" s="103" t="str">
        <f>INDEX('Measure &amp; Standard CostIDs'!$AK$8:$AK$12,B249)</f>
        <v>Wtd-Pack</v>
      </c>
      <c r="T249" s="103" t="s">
        <v>867</v>
      </c>
      <c r="U249" s="103"/>
      <c r="V249" s="103"/>
      <c r="W249" s="103">
        <f>ROUND(IF(LEFT(D249,3)="Std",VLOOKUP(D249,'Measure &amp; Standard CostIDs'!$S$5:$X$177,1+B249,FALSE),VLOOKUP(D249,'Measure &amp; Standard CostIDs'!$C$5:$H$177,1+B249,FALSE)),2)</f>
        <v>3.05</v>
      </c>
      <c r="X249" s="103"/>
      <c r="Y249" s="103"/>
      <c r="Z249" s="103" t="s">
        <v>868</v>
      </c>
      <c r="AA249" s="103" t="s">
        <v>874</v>
      </c>
      <c r="AB249" s="103" t="s">
        <v>153</v>
      </c>
      <c r="AC249" s="103">
        <v>0</v>
      </c>
      <c r="AD249" s="156">
        <v>42005</v>
      </c>
      <c r="AE249" s="103"/>
      <c r="AF249" s="103" t="s">
        <v>870</v>
      </c>
      <c r="AG249" s="103" t="s">
        <v>871</v>
      </c>
      <c r="AH249" s="103" t="s">
        <v>872</v>
      </c>
      <c r="AI249" s="103">
        <v>0</v>
      </c>
      <c r="AJ249" s="103"/>
      <c r="AK249" s="103"/>
      <c r="AL249" s="103"/>
      <c r="AM249" s="103"/>
      <c r="AN249" s="103"/>
      <c r="AO249" s="103" t="str">
        <f t="shared" si="7"/>
        <v>Std_CFLscw-A(25w)_60pInc-r0248Wtd-Pack</v>
      </c>
    </row>
    <row r="250" spans="1:41">
      <c r="A250" s="177">
        <f>IFERROR(MATCH(D250,'Measure &amp; Standard CostIDs'!C$5:C$177,0),MATCH(D250,'Measure &amp; Standard CostIDs'!S$5:S$177,0))</f>
        <v>84</v>
      </c>
      <c r="B250" s="177">
        <v>1</v>
      </c>
      <c r="C250" s="103" t="s">
        <v>153</v>
      </c>
      <c r="D250" s="103" t="s">
        <v>946</v>
      </c>
      <c r="E250" s="103" t="str">
        <f>IF(LEFT(D250,3)="Std","Base case cost for mix of 60% Incandescent and 40% CFL lamps for CFL TechID: "&amp;INDEX('Measure &amp; Standard CostIDs'!$C$5:$C$177,A250),"&lt;from TechID&gt;")</f>
        <v>Base case cost for mix of 60% Incandescent and 40% CFL lamps for CFL TechID: CFLscw-A(26w)</v>
      </c>
      <c r="F250" s="103" t="s">
        <v>860</v>
      </c>
      <c r="G250" s="103" t="s">
        <v>151</v>
      </c>
      <c r="H250" s="103" t="s">
        <v>861</v>
      </c>
      <c r="I250" s="103" t="s">
        <v>862</v>
      </c>
      <c r="J250" s="103" t="s">
        <v>863</v>
      </c>
      <c r="K250" s="103" t="s">
        <v>864</v>
      </c>
      <c r="L250" s="103" t="s">
        <v>153</v>
      </c>
      <c r="M250" s="103" t="s">
        <v>865</v>
      </c>
      <c r="N250" s="103" t="s">
        <v>866</v>
      </c>
      <c r="O250" s="103" t="str">
        <f t="shared" si="6"/>
        <v/>
      </c>
      <c r="P250" s="103" t="s">
        <v>153</v>
      </c>
      <c r="Q250" s="103" t="s">
        <v>153</v>
      </c>
      <c r="R250" s="103" t="s">
        <v>153</v>
      </c>
      <c r="S250" s="103" t="str">
        <f>INDEX('Measure &amp; Standard CostIDs'!$AK$8:$AK$12,B250)</f>
        <v>Wtd-Pack</v>
      </c>
      <c r="T250" s="103" t="s">
        <v>867</v>
      </c>
      <c r="U250" s="103"/>
      <c r="V250" s="103"/>
      <c r="W250" s="103">
        <f>ROUND(IF(LEFT(D250,3)="Std",VLOOKUP(D250,'Measure &amp; Standard CostIDs'!$S$5:$X$177,1+B250,FALSE),VLOOKUP(D250,'Measure &amp; Standard CostIDs'!$C$5:$H$177,1+B250,FALSE)),2)</f>
        <v>3.11</v>
      </c>
      <c r="X250" s="103"/>
      <c r="Y250" s="103"/>
      <c r="Z250" s="103" t="s">
        <v>868</v>
      </c>
      <c r="AA250" s="103" t="s">
        <v>874</v>
      </c>
      <c r="AB250" s="103" t="s">
        <v>153</v>
      </c>
      <c r="AC250" s="103">
        <v>0</v>
      </c>
      <c r="AD250" s="156">
        <v>42005</v>
      </c>
      <c r="AE250" s="103"/>
      <c r="AF250" s="103" t="s">
        <v>870</v>
      </c>
      <c r="AG250" s="103" t="s">
        <v>871</v>
      </c>
      <c r="AH250" s="103" t="s">
        <v>872</v>
      </c>
      <c r="AI250" s="103">
        <v>0</v>
      </c>
      <c r="AJ250" s="103"/>
      <c r="AK250" s="103"/>
      <c r="AL250" s="103"/>
      <c r="AM250" s="103"/>
      <c r="AN250" s="103"/>
      <c r="AO250" s="103" t="str">
        <f t="shared" si="7"/>
        <v>Std_CFLscw-A(26w)_60pInc-r0248Wtd-Pack</v>
      </c>
    </row>
    <row r="251" spans="1:41">
      <c r="A251" s="177">
        <f>IFERROR(MATCH(D251,'Measure &amp; Standard CostIDs'!C$5:C$177,0),MATCH(D251,'Measure &amp; Standard CostIDs'!S$5:S$177,0))</f>
        <v>85</v>
      </c>
      <c r="B251" s="177">
        <v>1</v>
      </c>
      <c r="C251" s="103" t="s">
        <v>153</v>
      </c>
      <c r="D251" s="103" t="s">
        <v>947</v>
      </c>
      <c r="E251" s="103" t="str">
        <f>IF(LEFT(D251,3)="Std","Base case cost for mix of 60% Incandescent and 40% CFL lamps for CFL TechID: "&amp;INDEX('Measure &amp; Standard CostIDs'!$C$5:$C$177,A251),"&lt;from TechID&gt;")</f>
        <v>Base case cost for mix of 60% Incandescent and 40% CFL lamps for CFL TechID: CFLscw-A(27w)</v>
      </c>
      <c r="F251" s="103" t="s">
        <v>860</v>
      </c>
      <c r="G251" s="103" t="s">
        <v>151</v>
      </c>
      <c r="H251" s="103" t="s">
        <v>861</v>
      </c>
      <c r="I251" s="103" t="s">
        <v>862</v>
      </c>
      <c r="J251" s="103" t="s">
        <v>863</v>
      </c>
      <c r="K251" s="103" t="s">
        <v>864</v>
      </c>
      <c r="L251" s="103" t="s">
        <v>153</v>
      </c>
      <c r="M251" s="103" t="s">
        <v>865</v>
      </c>
      <c r="N251" s="103" t="s">
        <v>866</v>
      </c>
      <c r="O251" s="103" t="str">
        <f t="shared" si="6"/>
        <v/>
      </c>
      <c r="P251" s="103" t="s">
        <v>153</v>
      </c>
      <c r="Q251" s="103" t="s">
        <v>153</v>
      </c>
      <c r="R251" s="103" t="s">
        <v>153</v>
      </c>
      <c r="S251" s="103" t="str">
        <f>INDEX('Measure &amp; Standard CostIDs'!$AK$8:$AK$12,B251)</f>
        <v>Wtd-Pack</v>
      </c>
      <c r="T251" s="103" t="s">
        <v>867</v>
      </c>
      <c r="U251" s="103"/>
      <c r="V251" s="103"/>
      <c r="W251" s="103">
        <f>ROUND(IF(LEFT(D251,3)="Std",VLOOKUP(D251,'Measure &amp; Standard CostIDs'!$S$5:$X$177,1+B251,FALSE),VLOOKUP(D251,'Measure &amp; Standard CostIDs'!$C$5:$H$177,1+B251,FALSE)),2)</f>
        <v>3.18</v>
      </c>
      <c r="X251" s="103"/>
      <c r="Y251" s="103"/>
      <c r="Z251" s="103" t="s">
        <v>868</v>
      </c>
      <c r="AA251" s="103" t="s">
        <v>874</v>
      </c>
      <c r="AB251" s="103" t="s">
        <v>153</v>
      </c>
      <c r="AC251" s="103">
        <v>0</v>
      </c>
      <c r="AD251" s="156">
        <v>42005</v>
      </c>
      <c r="AE251" s="103"/>
      <c r="AF251" s="103" t="s">
        <v>870</v>
      </c>
      <c r="AG251" s="103" t="s">
        <v>871</v>
      </c>
      <c r="AH251" s="103" t="s">
        <v>872</v>
      </c>
      <c r="AI251" s="103">
        <v>0</v>
      </c>
      <c r="AJ251" s="103"/>
      <c r="AK251" s="103"/>
      <c r="AL251" s="103"/>
      <c r="AM251" s="103"/>
      <c r="AN251" s="103"/>
      <c r="AO251" s="103" t="str">
        <f t="shared" si="7"/>
        <v>Std_CFLscw-A(27w)_60pInc-r0248Wtd-Pack</v>
      </c>
    </row>
    <row r="252" spans="1:41">
      <c r="A252" s="177">
        <f>IFERROR(MATCH(D252,'Measure &amp; Standard CostIDs'!C$5:C$177,0),MATCH(D252,'Measure &amp; Standard CostIDs'!S$5:S$177,0))</f>
        <v>86</v>
      </c>
      <c r="B252" s="177">
        <v>1</v>
      </c>
      <c r="C252" s="103" t="s">
        <v>153</v>
      </c>
      <c r="D252" s="103" t="s">
        <v>948</v>
      </c>
      <c r="E252" s="103" t="str">
        <f>IF(LEFT(D252,3)="Std","Base case cost for mix of 60% Incandescent and 40% CFL lamps for CFL TechID: "&amp;INDEX('Measure &amp; Standard CostIDs'!$C$5:$C$177,A252),"&lt;from TechID&gt;")</f>
        <v>Base case cost for mix of 60% Incandescent and 40% CFL lamps for CFL TechID: CFLscw-A(28w)</v>
      </c>
      <c r="F252" s="103" t="s">
        <v>860</v>
      </c>
      <c r="G252" s="103" t="s">
        <v>151</v>
      </c>
      <c r="H252" s="103" t="s">
        <v>861</v>
      </c>
      <c r="I252" s="103" t="s">
        <v>862</v>
      </c>
      <c r="J252" s="103" t="s">
        <v>863</v>
      </c>
      <c r="K252" s="103" t="s">
        <v>864</v>
      </c>
      <c r="L252" s="103" t="s">
        <v>153</v>
      </c>
      <c r="M252" s="103" t="s">
        <v>865</v>
      </c>
      <c r="N252" s="103" t="s">
        <v>866</v>
      </c>
      <c r="O252" s="103" t="str">
        <f t="shared" si="6"/>
        <v/>
      </c>
      <c r="P252" s="103" t="s">
        <v>153</v>
      </c>
      <c r="Q252" s="103" t="s">
        <v>153</v>
      </c>
      <c r="R252" s="103" t="s">
        <v>153</v>
      </c>
      <c r="S252" s="103" t="str">
        <f>INDEX('Measure &amp; Standard CostIDs'!$AK$8:$AK$12,B252)</f>
        <v>Wtd-Pack</v>
      </c>
      <c r="T252" s="103" t="s">
        <v>867</v>
      </c>
      <c r="U252" s="103"/>
      <c r="V252" s="103"/>
      <c r="W252" s="103">
        <f>ROUND(IF(LEFT(D252,3)="Std",VLOOKUP(D252,'Measure &amp; Standard CostIDs'!$S$5:$X$177,1+B252,FALSE),VLOOKUP(D252,'Measure &amp; Standard CostIDs'!$C$5:$H$177,1+B252,FALSE)),2)</f>
        <v>3.24</v>
      </c>
      <c r="X252" s="103"/>
      <c r="Y252" s="103"/>
      <c r="Z252" s="103" t="s">
        <v>868</v>
      </c>
      <c r="AA252" s="103" t="s">
        <v>874</v>
      </c>
      <c r="AB252" s="103" t="s">
        <v>153</v>
      </c>
      <c r="AC252" s="103">
        <v>0</v>
      </c>
      <c r="AD252" s="156">
        <v>42005</v>
      </c>
      <c r="AE252" s="103"/>
      <c r="AF252" s="103" t="s">
        <v>870</v>
      </c>
      <c r="AG252" s="103" t="s">
        <v>871</v>
      </c>
      <c r="AH252" s="103" t="s">
        <v>872</v>
      </c>
      <c r="AI252" s="103">
        <v>0</v>
      </c>
      <c r="AJ252" s="103"/>
      <c r="AK252" s="103"/>
      <c r="AL252" s="103"/>
      <c r="AM252" s="103"/>
      <c r="AN252" s="103"/>
      <c r="AO252" s="103" t="str">
        <f t="shared" si="7"/>
        <v>Std_CFLscw-A(28w)_60pInc-r0248Wtd-Pack</v>
      </c>
    </row>
    <row r="253" spans="1:41">
      <c r="A253" s="177">
        <f>IFERROR(MATCH(D253,'Measure &amp; Standard CostIDs'!C$5:C$177,0),MATCH(D253,'Measure &amp; Standard CostIDs'!S$5:S$177,0))</f>
        <v>87</v>
      </c>
      <c r="B253" s="177">
        <v>1</v>
      </c>
      <c r="C253" s="103" t="s">
        <v>153</v>
      </c>
      <c r="D253" s="103" t="s">
        <v>949</v>
      </c>
      <c r="E253" s="103" t="str">
        <f>IF(LEFT(D253,3)="Std","Base case cost for mix of 60% Incandescent and 40% CFL lamps for CFL TechID: "&amp;INDEX('Measure &amp; Standard CostIDs'!$C$5:$C$177,A253),"&lt;from TechID&gt;")</f>
        <v>Base case cost for mix of 60% Incandescent and 40% CFL lamps for CFL TechID: CFLscw-A(30w)</v>
      </c>
      <c r="F253" s="103" t="s">
        <v>860</v>
      </c>
      <c r="G253" s="103" t="s">
        <v>151</v>
      </c>
      <c r="H253" s="103" t="s">
        <v>861</v>
      </c>
      <c r="I253" s="103" t="s">
        <v>862</v>
      </c>
      <c r="J253" s="103" t="s">
        <v>863</v>
      </c>
      <c r="K253" s="103" t="s">
        <v>864</v>
      </c>
      <c r="L253" s="103" t="s">
        <v>153</v>
      </c>
      <c r="M253" s="103" t="s">
        <v>865</v>
      </c>
      <c r="N253" s="103" t="s">
        <v>866</v>
      </c>
      <c r="O253" s="103" t="str">
        <f t="shared" si="6"/>
        <v/>
      </c>
      <c r="P253" s="103" t="s">
        <v>153</v>
      </c>
      <c r="Q253" s="103" t="s">
        <v>153</v>
      </c>
      <c r="R253" s="103" t="s">
        <v>153</v>
      </c>
      <c r="S253" s="103" t="str">
        <f>INDEX('Measure &amp; Standard CostIDs'!$AK$8:$AK$12,B253)</f>
        <v>Wtd-Pack</v>
      </c>
      <c r="T253" s="103" t="s">
        <v>867</v>
      </c>
      <c r="U253" s="103"/>
      <c r="V253" s="103"/>
      <c r="W253" s="103">
        <f>ROUND(IF(LEFT(D253,3)="Std",VLOOKUP(D253,'Measure &amp; Standard CostIDs'!$S$5:$X$177,1+B253,FALSE),VLOOKUP(D253,'Measure &amp; Standard CostIDs'!$C$5:$H$177,1+B253,FALSE)),2)</f>
        <v>3.37</v>
      </c>
      <c r="X253" s="103"/>
      <c r="Y253" s="103"/>
      <c r="Z253" s="103" t="s">
        <v>868</v>
      </c>
      <c r="AA253" s="103" t="s">
        <v>874</v>
      </c>
      <c r="AB253" s="103" t="s">
        <v>153</v>
      </c>
      <c r="AC253" s="103">
        <v>0</v>
      </c>
      <c r="AD253" s="156">
        <v>42005</v>
      </c>
      <c r="AE253" s="103"/>
      <c r="AF253" s="103" t="s">
        <v>870</v>
      </c>
      <c r="AG253" s="103" t="s">
        <v>871</v>
      </c>
      <c r="AH253" s="103" t="s">
        <v>872</v>
      </c>
      <c r="AI253" s="103">
        <v>0</v>
      </c>
      <c r="AJ253" s="103"/>
      <c r="AK253" s="103"/>
      <c r="AL253" s="103"/>
      <c r="AM253" s="103"/>
      <c r="AN253" s="103"/>
      <c r="AO253" s="103" t="str">
        <f t="shared" si="7"/>
        <v>Std_CFLscw-A(30w)_60pInc-r0248Wtd-Pack</v>
      </c>
    </row>
    <row r="254" spans="1:41">
      <c r="A254" s="177">
        <f>IFERROR(MATCH(D254,'Measure &amp; Standard CostIDs'!C$5:C$177,0),MATCH(D254,'Measure &amp; Standard CostIDs'!S$5:S$177,0))</f>
        <v>88</v>
      </c>
      <c r="B254" s="177">
        <v>1</v>
      </c>
      <c r="C254" s="103" t="s">
        <v>153</v>
      </c>
      <c r="D254" s="103" t="s">
        <v>950</v>
      </c>
      <c r="E254" s="103" t="str">
        <f>IF(LEFT(D254,3)="Std","Base case cost for mix of 60% Incandescent and 40% CFL lamps for CFL TechID: "&amp;INDEX('Measure &amp; Standard CostIDs'!$C$5:$C$177,A254),"&lt;from TechID&gt;")</f>
        <v>Base case cost for mix of 60% Incandescent and 40% CFL lamps for CFL TechID: CFLscw-A(32w)</v>
      </c>
      <c r="F254" s="103" t="s">
        <v>860</v>
      </c>
      <c r="G254" s="103" t="s">
        <v>151</v>
      </c>
      <c r="H254" s="103" t="s">
        <v>861</v>
      </c>
      <c r="I254" s="103" t="s">
        <v>862</v>
      </c>
      <c r="J254" s="103" t="s">
        <v>863</v>
      </c>
      <c r="K254" s="103" t="s">
        <v>864</v>
      </c>
      <c r="L254" s="103" t="s">
        <v>153</v>
      </c>
      <c r="M254" s="103" t="s">
        <v>865</v>
      </c>
      <c r="N254" s="103" t="s">
        <v>866</v>
      </c>
      <c r="O254" s="103" t="str">
        <f t="shared" si="6"/>
        <v/>
      </c>
      <c r="P254" s="103" t="s">
        <v>153</v>
      </c>
      <c r="Q254" s="103" t="s">
        <v>153</v>
      </c>
      <c r="R254" s="103" t="s">
        <v>153</v>
      </c>
      <c r="S254" s="103" t="str">
        <f>INDEX('Measure &amp; Standard CostIDs'!$AK$8:$AK$12,B254)</f>
        <v>Wtd-Pack</v>
      </c>
      <c r="T254" s="103" t="s">
        <v>867</v>
      </c>
      <c r="U254" s="103"/>
      <c r="V254" s="103"/>
      <c r="W254" s="103">
        <f>ROUND(IF(LEFT(D254,3)="Std",VLOOKUP(D254,'Measure &amp; Standard CostIDs'!$S$5:$X$177,1+B254,FALSE),VLOOKUP(D254,'Measure &amp; Standard CostIDs'!$C$5:$H$177,1+B254,FALSE)),2)</f>
        <v>3.5</v>
      </c>
      <c r="X254" s="103"/>
      <c r="Y254" s="103"/>
      <c r="Z254" s="103" t="s">
        <v>868</v>
      </c>
      <c r="AA254" s="103" t="s">
        <v>874</v>
      </c>
      <c r="AB254" s="103" t="s">
        <v>153</v>
      </c>
      <c r="AC254" s="103">
        <v>0</v>
      </c>
      <c r="AD254" s="156">
        <v>42005</v>
      </c>
      <c r="AE254" s="103"/>
      <c r="AF254" s="103" t="s">
        <v>870</v>
      </c>
      <c r="AG254" s="103" t="s">
        <v>871</v>
      </c>
      <c r="AH254" s="103" t="s">
        <v>872</v>
      </c>
      <c r="AI254" s="103">
        <v>0</v>
      </c>
      <c r="AJ254" s="103"/>
      <c r="AK254" s="103"/>
      <c r="AL254" s="103"/>
      <c r="AM254" s="103"/>
      <c r="AN254" s="103"/>
      <c r="AO254" s="103" t="str">
        <f t="shared" si="7"/>
        <v>Std_CFLscw-A(32w)_60pInc-r0248Wtd-Pack</v>
      </c>
    </row>
    <row r="255" spans="1:41">
      <c r="A255" s="177">
        <f>IFERROR(MATCH(D255,'Measure &amp; Standard CostIDs'!C$5:C$177,0),MATCH(D255,'Measure &amp; Standard CostIDs'!S$5:S$177,0))</f>
        <v>89</v>
      </c>
      <c r="B255" s="177">
        <v>1</v>
      </c>
      <c r="C255" s="103" t="s">
        <v>153</v>
      </c>
      <c r="D255" s="103" t="s">
        <v>951</v>
      </c>
      <c r="E255" s="103" t="str">
        <f>IF(LEFT(D255,3)="Std","Base case cost for mix of 60% Incandescent and 40% CFL lamps for CFL TechID: "&amp;INDEX('Measure &amp; Standard CostIDs'!$C$5:$C$177,A255),"&lt;from TechID&gt;")</f>
        <v>Base case cost for mix of 60% Incandescent and 40% CFL lamps for CFL TechID: CFLscw-A(40w)</v>
      </c>
      <c r="F255" s="103" t="s">
        <v>860</v>
      </c>
      <c r="G255" s="103" t="s">
        <v>151</v>
      </c>
      <c r="H255" s="103" t="s">
        <v>861</v>
      </c>
      <c r="I255" s="103" t="s">
        <v>862</v>
      </c>
      <c r="J255" s="103" t="s">
        <v>863</v>
      </c>
      <c r="K255" s="103" t="s">
        <v>864</v>
      </c>
      <c r="L255" s="103" t="s">
        <v>153</v>
      </c>
      <c r="M255" s="103" t="s">
        <v>865</v>
      </c>
      <c r="N255" s="103" t="s">
        <v>866</v>
      </c>
      <c r="O255" s="103" t="str">
        <f t="shared" si="6"/>
        <v/>
      </c>
      <c r="P255" s="103" t="s">
        <v>153</v>
      </c>
      <c r="Q255" s="103" t="s">
        <v>153</v>
      </c>
      <c r="R255" s="103" t="s">
        <v>153</v>
      </c>
      <c r="S255" s="103" t="str">
        <f>INDEX('Measure &amp; Standard CostIDs'!$AK$8:$AK$12,B255)</f>
        <v>Wtd-Pack</v>
      </c>
      <c r="T255" s="103" t="s">
        <v>867</v>
      </c>
      <c r="U255" s="103"/>
      <c r="V255" s="103"/>
      <c r="W255" s="103">
        <f>ROUND(IF(LEFT(D255,3)="Std",VLOOKUP(D255,'Measure &amp; Standard CostIDs'!$S$5:$X$177,1+B255,FALSE),VLOOKUP(D255,'Measure &amp; Standard CostIDs'!$C$5:$H$177,1+B255,FALSE)),2)</f>
        <v>4.0199999999999996</v>
      </c>
      <c r="X255" s="103"/>
      <c r="Y255" s="103"/>
      <c r="Z255" s="103" t="s">
        <v>868</v>
      </c>
      <c r="AA255" s="103" t="s">
        <v>874</v>
      </c>
      <c r="AB255" s="103" t="s">
        <v>153</v>
      </c>
      <c r="AC255" s="103">
        <v>0</v>
      </c>
      <c r="AD255" s="156">
        <v>42005</v>
      </c>
      <c r="AE255" s="103"/>
      <c r="AF255" s="103" t="s">
        <v>870</v>
      </c>
      <c r="AG255" s="103" t="s">
        <v>871</v>
      </c>
      <c r="AH255" s="103" t="s">
        <v>872</v>
      </c>
      <c r="AI255" s="103">
        <v>0</v>
      </c>
      <c r="AJ255" s="103"/>
      <c r="AK255" s="103"/>
      <c r="AL255" s="103"/>
      <c r="AM255" s="103"/>
      <c r="AN255" s="103"/>
      <c r="AO255" s="103" t="str">
        <f t="shared" si="7"/>
        <v>Std_CFLscw-A(40w)_60pInc-r0248Wtd-Pack</v>
      </c>
    </row>
    <row r="256" spans="1:41">
      <c r="A256" s="177">
        <f>IFERROR(MATCH(D256,'Measure &amp; Standard CostIDs'!C$5:C$177,0),MATCH(D256,'Measure &amp; Standard CostIDs'!S$5:S$177,0))</f>
        <v>90</v>
      </c>
      <c r="B256" s="177">
        <v>1</v>
      </c>
      <c r="C256" s="103" t="s">
        <v>153</v>
      </c>
      <c r="D256" s="103" t="s">
        <v>952</v>
      </c>
      <c r="E256" s="103" t="str">
        <f>IF(LEFT(D256,3)="Std","Base case cost for mix of 60% Incandescent and 40% CFL lamps for CFL TechID: "&amp;INDEX('Measure &amp; Standard CostIDs'!$C$5:$C$177,A256),"&lt;from TechID&gt;")</f>
        <v>Base case cost for mix of 60% Incandescent and 40% CFL lamps for CFL TechID: CFLscw-A(42w)</v>
      </c>
      <c r="F256" s="103" t="s">
        <v>860</v>
      </c>
      <c r="G256" s="103" t="s">
        <v>151</v>
      </c>
      <c r="H256" s="103" t="s">
        <v>861</v>
      </c>
      <c r="I256" s="103" t="s">
        <v>862</v>
      </c>
      <c r="J256" s="103" t="s">
        <v>863</v>
      </c>
      <c r="K256" s="103" t="s">
        <v>864</v>
      </c>
      <c r="L256" s="103" t="s">
        <v>153</v>
      </c>
      <c r="M256" s="103" t="s">
        <v>865</v>
      </c>
      <c r="N256" s="103" t="s">
        <v>866</v>
      </c>
      <c r="O256" s="103" t="str">
        <f t="shared" si="6"/>
        <v/>
      </c>
      <c r="P256" s="103" t="s">
        <v>153</v>
      </c>
      <c r="Q256" s="103" t="s">
        <v>153</v>
      </c>
      <c r="R256" s="103" t="s">
        <v>153</v>
      </c>
      <c r="S256" s="103" t="str">
        <f>INDEX('Measure &amp; Standard CostIDs'!$AK$8:$AK$12,B256)</f>
        <v>Wtd-Pack</v>
      </c>
      <c r="T256" s="103" t="s">
        <v>867</v>
      </c>
      <c r="U256" s="103"/>
      <c r="V256" s="103"/>
      <c r="W256" s="103">
        <f>ROUND(IF(LEFT(D256,3)="Std",VLOOKUP(D256,'Measure &amp; Standard CostIDs'!$S$5:$X$177,1+B256,FALSE),VLOOKUP(D256,'Measure &amp; Standard CostIDs'!$C$5:$H$177,1+B256,FALSE)),2)</f>
        <v>4.1500000000000004</v>
      </c>
      <c r="X256" s="103"/>
      <c r="Y256" s="103"/>
      <c r="Z256" s="103" t="s">
        <v>868</v>
      </c>
      <c r="AA256" s="103" t="s">
        <v>874</v>
      </c>
      <c r="AB256" s="103" t="s">
        <v>153</v>
      </c>
      <c r="AC256" s="103">
        <v>0</v>
      </c>
      <c r="AD256" s="156">
        <v>42005</v>
      </c>
      <c r="AE256" s="103"/>
      <c r="AF256" s="103" t="s">
        <v>870</v>
      </c>
      <c r="AG256" s="103" t="s">
        <v>871</v>
      </c>
      <c r="AH256" s="103" t="s">
        <v>872</v>
      </c>
      <c r="AI256" s="103">
        <v>0</v>
      </c>
      <c r="AJ256" s="103"/>
      <c r="AK256" s="103"/>
      <c r="AL256" s="103"/>
      <c r="AM256" s="103"/>
      <c r="AN256" s="103"/>
      <c r="AO256" s="103" t="str">
        <f t="shared" si="7"/>
        <v>Std_CFLscw-A(42w)_60pInc-r0248Wtd-Pack</v>
      </c>
    </row>
    <row r="257" spans="1:41">
      <c r="A257" s="177">
        <f>IFERROR(MATCH(D257,'Measure &amp; Standard CostIDs'!C$5:C$177,0),MATCH(D257,'Measure &amp; Standard CostIDs'!S$5:S$177,0))</f>
        <v>93</v>
      </c>
      <c r="B257" s="177">
        <v>1</v>
      </c>
      <c r="C257" s="103" t="s">
        <v>153</v>
      </c>
      <c r="D257" s="103" t="s">
        <v>953</v>
      </c>
      <c r="E257" s="103" t="str">
        <f>IF(LEFT(D257,3)="Std","Base case cost for mix of 60% Incandescent and 40% CFL lamps for CFL TechID: "&amp;INDEX('Measure &amp; Standard CostIDs'!$C$5:$C$177,A257),"&lt;from TechID&gt;")</f>
        <v>Base case cost for mix of 60% Incandescent and 40% CFL lamps for CFL TechID: CFLscw-A(7w)</v>
      </c>
      <c r="F257" s="103" t="s">
        <v>860</v>
      </c>
      <c r="G257" s="103" t="s">
        <v>151</v>
      </c>
      <c r="H257" s="103" t="s">
        <v>861</v>
      </c>
      <c r="I257" s="103" t="s">
        <v>862</v>
      </c>
      <c r="J257" s="103" t="s">
        <v>863</v>
      </c>
      <c r="K257" s="103" t="s">
        <v>864</v>
      </c>
      <c r="L257" s="103" t="s">
        <v>153</v>
      </c>
      <c r="M257" s="103" t="s">
        <v>865</v>
      </c>
      <c r="N257" s="103" t="s">
        <v>866</v>
      </c>
      <c r="O257" s="103" t="str">
        <f t="shared" si="6"/>
        <v/>
      </c>
      <c r="P257" s="103" t="s">
        <v>153</v>
      </c>
      <c r="Q257" s="103" t="s">
        <v>153</v>
      </c>
      <c r="R257" s="103" t="s">
        <v>153</v>
      </c>
      <c r="S257" s="103" t="str">
        <f>INDEX('Measure &amp; Standard CostIDs'!$AK$8:$AK$12,B257)</f>
        <v>Wtd-Pack</v>
      </c>
      <c r="T257" s="103" t="s">
        <v>867</v>
      </c>
      <c r="U257" s="103"/>
      <c r="V257" s="103"/>
      <c r="W257" s="103">
        <f>ROUND(IF(LEFT(D257,3)="Std",VLOOKUP(D257,'Measure &amp; Standard CostIDs'!$S$5:$X$177,1+B257,FALSE),VLOOKUP(D257,'Measure &amp; Standard CostIDs'!$C$5:$H$177,1+B257,FALSE)),2)</f>
        <v>2.3199999999999998</v>
      </c>
      <c r="X257" s="103"/>
      <c r="Y257" s="103"/>
      <c r="Z257" s="103" t="s">
        <v>868</v>
      </c>
      <c r="AA257" s="103" t="s">
        <v>874</v>
      </c>
      <c r="AB257" s="103" t="s">
        <v>153</v>
      </c>
      <c r="AC257" s="103">
        <v>0</v>
      </c>
      <c r="AD257" s="156">
        <v>42005</v>
      </c>
      <c r="AE257" s="103"/>
      <c r="AF257" s="103" t="s">
        <v>870</v>
      </c>
      <c r="AG257" s="103" t="s">
        <v>871</v>
      </c>
      <c r="AH257" s="103" t="s">
        <v>872</v>
      </c>
      <c r="AI257" s="103">
        <v>0</v>
      </c>
      <c r="AJ257" s="103"/>
      <c r="AK257" s="103"/>
      <c r="AL257" s="103"/>
      <c r="AM257" s="103"/>
      <c r="AN257" s="103"/>
      <c r="AO257" s="103" t="str">
        <f t="shared" si="7"/>
        <v>Std_CFLscw-A(7w)_60pInc-r0248Wtd-Pack</v>
      </c>
    </row>
    <row r="258" spans="1:41">
      <c r="A258" s="177">
        <f>IFERROR(MATCH(D258,'Measure &amp; Standard CostIDs'!C$5:C$177,0),MATCH(D258,'Measure &amp; Standard CostIDs'!S$5:S$177,0))</f>
        <v>94</v>
      </c>
      <c r="B258" s="177">
        <v>1</v>
      </c>
      <c r="C258" s="103" t="s">
        <v>153</v>
      </c>
      <c r="D258" s="103" t="s">
        <v>954</v>
      </c>
      <c r="E258" s="103" t="str">
        <f>IF(LEFT(D258,3)="Std","Base case cost for mix of 60% Incandescent and 40% CFL lamps for CFL TechID: "&amp;INDEX('Measure &amp; Standard CostIDs'!$C$5:$C$177,A258),"&lt;from TechID&gt;")</f>
        <v>Base case cost for mix of 60% Incandescent and 40% CFL lamps for CFL TechID: CFLscw-A(8w)</v>
      </c>
      <c r="F258" s="103" t="s">
        <v>860</v>
      </c>
      <c r="G258" s="103" t="s">
        <v>151</v>
      </c>
      <c r="H258" s="103" t="s">
        <v>861</v>
      </c>
      <c r="I258" s="103" t="s">
        <v>862</v>
      </c>
      <c r="J258" s="103" t="s">
        <v>863</v>
      </c>
      <c r="K258" s="103" t="s">
        <v>864</v>
      </c>
      <c r="L258" s="103" t="s">
        <v>153</v>
      </c>
      <c r="M258" s="103" t="s">
        <v>865</v>
      </c>
      <c r="N258" s="103" t="s">
        <v>866</v>
      </c>
      <c r="O258" s="103" t="str">
        <f t="shared" si="6"/>
        <v/>
      </c>
      <c r="P258" s="103" t="s">
        <v>153</v>
      </c>
      <c r="Q258" s="103" t="s">
        <v>153</v>
      </c>
      <c r="R258" s="103" t="s">
        <v>153</v>
      </c>
      <c r="S258" s="103" t="str">
        <f>INDEX('Measure &amp; Standard CostIDs'!$AK$8:$AK$12,B258)</f>
        <v>Wtd-Pack</v>
      </c>
      <c r="T258" s="103" t="s">
        <v>867</v>
      </c>
      <c r="U258" s="103"/>
      <c r="V258" s="103"/>
      <c r="W258" s="103">
        <f>ROUND(IF(LEFT(D258,3)="Std",VLOOKUP(D258,'Measure &amp; Standard CostIDs'!$S$5:$X$177,1+B258,FALSE),VLOOKUP(D258,'Measure &amp; Standard CostIDs'!$C$5:$H$177,1+B258,FALSE)),2)</f>
        <v>2.34</v>
      </c>
      <c r="X258" s="103"/>
      <c r="Y258" s="103"/>
      <c r="Z258" s="103" t="s">
        <v>868</v>
      </c>
      <c r="AA258" s="103" t="s">
        <v>874</v>
      </c>
      <c r="AB258" s="103" t="s">
        <v>153</v>
      </c>
      <c r="AC258" s="103">
        <v>0</v>
      </c>
      <c r="AD258" s="156">
        <v>42005</v>
      </c>
      <c r="AE258" s="103"/>
      <c r="AF258" s="103" t="s">
        <v>870</v>
      </c>
      <c r="AG258" s="103" t="s">
        <v>871</v>
      </c>
      <c r="AH258" s="103" t="s">
        <v>872</v>
      </c>
      <c r="AI258" s="103">
        <v>0</v>
      </c>
      <c r="AJ258" s="103"/>
      <c r="AK258" s="103"/>
      <c r="AL258" s="103"/>
      <c r="AM258" s="103"/>
      <c r="AN258" s="103"/>
      <c r="AO258" s="103" t="str">
        <f t="shared" si="7"/>
        <v>Std_CFLscw-A(8w)_60pInc-r0248Wtd-Pack</v>
      </c>
    </row>
    <row r="259" spans="1:41">
      <c r="A259" s="177">
        <f>IFERROR(MATCH(D259,'Measure &amp; Standard CostIDs'!C$5:C$177,0),MATCH(D259,'Measure &amp; Standard CostIDs'!S$5:S$177,0))</f>
        <v>95</v>
      </c>
      <c r="B259" s="177">
        <v>1</v>
      </c>
      <c r="C259" s="103" t="s">
        <v>153</v>
      </c>
      <c r="D259" s="103" t="s">
        <v>955</v>
      </c>
      <c r="E259" s="103" t="str">
        <f>IF(LEFT(D259,3)="Std","Base case cost for mix of 60% Incandescent and 40% CFL lamps for CFL TechID: "&amp;INDEX('Measure &amp; Standard CostIDs'!$C$5:$C$177,A259),"&lt;from TechID&gt;")</f>
        <v>Base case cost for mix of 60% Incandescent and 40% CFL lamps for CFL TechID: CFLscw-A(9w)</v>
      </c>
      <c r="F259" s="103" t="s">
        <v>860</v>
      </c>
      <c r="G259" s="103" t="s">
        <v>151</v>
      </c>
      <c r="H259" s="103" t="s">
        <v>861</v>
      </c>
      <c r="I259" s="103" t="s">
        <v>862</v>
      </c>
      <c r="J259" s="103" t="s">
        <v>863</v>
      </c>
      <c r="K259" s="103" t="s">
        <v>864</v>
      </c>
      <c r="L259" s="103" t="s">
        <v>153</v>
      </c>
      <c r="M259" s="103" t="s">
        <v>865</v>
      </c>
      <c r="N259" s="103" t="s">
        <v>866</v>
      </c>
      <c r="O259" s="103" t="str">
        <f t="shared" si="6"/>
        <v/>
      </c>
      <c r="P259" s="103" t="s">
        <v>153</v>
      </c>
      <c r="Q259" s="103" t="s">
        <v>153</v>
      </c>
      <c r="R259" s="103" t="s">
        <v>153</v>
      </c>
      <c r="S259" s="103" t="str">
        <f>INDEX('Measure &amp; Standard CostIDs'!$AK$8:$AK$12,B259)</f>
        <v>Wtd-Pack</v>
      </c>
      <c r="T259" s="103" t="s">
        <v>867</v>
      </c>
      <c r="U259" s="103"/>
      <c r="V259" s="103"/>
      <c r="W259" s="103">
        <f>ROUND(IF(LEFT(D259,3)="Std",VLOOKUP(D259,'Measure &amp; Standard CostIDs'!$S$5:$X$177,1+B259,FALSE),VLOOKUP(D259,'Measure &amp; Standard CostIDs'!$C$5:$H$177,1+B259,FALSE)),2)</f>
        <v>2.38</v>
      </c>
      <c r="X259" s="103"/>
      <c r="Y259" s="103"/>
      <c r="Z259" s="103" t="s">
        <v>868</v>
      </c>
      <c r="AA259" s="103" t="s">
        <v>874</v>
      </c>
      <c r="AB259" s="103" t="s">
        <v>153</v>
      </c>
      <c r="AC259" s="103">
        <v>0</v>
      </c>
      <c r="AD259" s="156">
        <v>42005</v>
      </c>
      <c r="AE259" s="103"/>
      <c r="AF259" s="103" t="s">
        <v>870</v>
      </c>
      <c r="AG259" s="103" t="s">
        <v>871</v>
      </c>
      <c r="AH259" s="103" t="s">
        <v>872</v>
      </c>
      <c r="AI259" s="103">
        <v>0</v>
      </c>
      <c r="AJ259" s="103"/>
      <c r="AK259" s="103"/>
      <c r="AL259" s="103"/>
      <c r="AM259" s="103"/>
      <c r="AN259" s="103"/>
      <c r="AO259" s="103" t="str">
        <f t="shared" si="7"/>
        <v>Std_CFLscw-A(9w)_60pInc-r0248Wtd-Pack</v>
      </c>
    </row>
    <row r="260" spans="1:41">
      <c r="A260" s="177">
        <f>IFERROR(MATCH(D260,'Measure &amp; Standard CostIDs'!C$5:C$177,0),MATCH(D260,'Measure &amp; Standard CostIDs'!S$5:S$177,0))</f>
        <v>96</v>
      </c>
      <c r="B260" s="177">
        <v>1</v>
      </c>
      <c r="C260" s="103" t="s">
        <v>153</v>
      </c>
      <c r="D260" s="103" t="s">
        <v>956</v>
      </c>
      <c r="E260" s="103" t="str">
        <f>IF(LEFT(D260,3)="Std","Base case cost for mix of 60% Incandescent and 40% CFL lamps for CFL TechID: "&amp;INDEX('Measure &amp; Standard CostIDs'!$C$5:$C$177,A260),"&lt;from TechID&gt;")</f>
        <v>Base case cost for mix of 60% Incandescent and 40% CFL lamps for CFL TechID: CFLscw-Candle(10w)</v>
      </c>
      <c r="F260" s="103" t="s">
        <v>860</v>
      </c>
      <c r="G260" s="103" t="s">
        <v>151</v>
      </c>
      <c r="H260" s="103" t="s">
        <v>861</v>
      </c>
      <c r="I260" s="103" t="s">
        <v>862</v>
      </c>
      <c r="J260" s="103" t="s">
        <v>863</v>
      </c>
      <c r="K260" s="103" t="s">
        <v>864</v>
      </c>
      <c r="L260" s="103" t="s">
        <v>153</v>
      </c>
      <c r="M260" s="103" t="s">
        <v>865</v>
      </c>
      <c r="N260" s="103" t="s">
        <v>866</v>
      </c>
      <c r="O260" s="103" t="str">
        <f t="shared" si="6"/>
        <v/>
      </c>
      <c r="P260" s="103" t="s">
        <v>153</v>
      </c>
      <c r="Q260" s="103" t="s">
        <v>153</v>
      </c>
      <c r="R260" s="103" t="s">
        <v>153</v>
      </c>
      <c r="S260" s="103" t="str">
        <f>INDEX('Measure &amp; Standard CostIDs'!$AK$8:$AK$12,B260)</f>
        <v>Wtd-Pack</v>
      </c>
      <c r="T260" s="103" t="s">
        <v>867</v>
      </c>
      <c r="U260" s="103"/>
      <c r="V260" s="103"/>
      <c r="W260" s="103">
        <f>ROUND(IF(LEFT(D260,3)="Std",VLOOKUP(D260,'Measure &amp; Standard CostIDs'!$S$5:$X$177,1+B260,FALSE),VLOOKUP(D260,'Measure &amp; Standard CostIDs'!$C$5:$H$177,1+B260,FALSE)),2)</f>
        <v>4.3899999999999997</v>
      </c>
      <c r="X260" s="103"/>
      <c r="Y260" s="103"/>
      <c r="Z260" s="103" t="s">
        <v>868</v>
      </c>
      <c r="AA260" s="103" t="s">
        <v>874</v>
      </c>
      <c r="AB260" s="103" t="s">
        <v>153</v>
      </c>
      <c r="AC260" s="103">
        <v>0</v>
      </c>
      <c r="AD260" s="156">
        <v>42005</v>
      </c>
      <c r="AE260" s="103"/>
      <c r="AF260" s="103" t="s">
        <v>870</v>
      </c>
      <c r="AG260" s="103" t="s">
        <v>871</v>
      </c>
      <c r="AH260" s="103" t="s">
        <v>872</v>
      </c>
      <c r="AI260" s="103">
        <v>0</v>
      </c>
      <c r="AJ260" s="103"/>
      <c r="AK260" s="103"/>
      <c r="AL260" s="103"/>
      <c r="AM260" s="103"/>
      <c r="AN260" s="103"/>
      <c r="AO260" s="103" t="str">
        <f t="shared" si="7"/>
        <v>Std_CFLscw-Candle(10w)_60pInc-r0248Wtd-Pack</v>
      </c>
    </row>
    <row r="261" spans="1:41">
      <c r="A261" s="177">
        <f>IFERROR(MATCH(D261,'Measure &amp; Standard CostIDs'!C$5:C$177,0),MATCH(D261,'Measure &amp; Standard CostIDs'!S$5:S$177,0))</f>
        <v>97</v>
      </c>
      <c r="B261" s="177">
        <v>1</v>
      </c>
      <c r="C261" s="103" t="s">
        <v>153</v>
      </c>
      <c r="D261" s="103" t="s">
        <v>957</v>
      </c>
      <c r="E261" s="103" t="str">
        <f>IF(LEFT(D261,3)="Std","Base case cost for mix of 60% Incandescent and 40% CFL lamps for CFL TechID: "&amp;INDEX('Measure &amp; Standard CostIDs'!$C$5:$C$177,A261),"&lt;from TechID&gt;")</f>
        <v>Base case cost for mix of 60% Incandescent and 40% CFL lamps for CFL TechID: CFLscw-Candle(11w)</v>
      </c>
      <c r="F261" s="103" t="s">
        <v>860</v>
      </c>
      <c r="G261" s="103" t="s">
        <v>151</v>
      </c>
      <c r="H261" s="103" t="s">
        <v>861</v>
      </c>
      <c r="I261" s="103" t="s">
        <v>862</v>
      </c>
      <c r="J261" s="103" t="s">
        <v>863</v>
      </c>
      <c r="K261" s="103" t="s">
        <v>864</v>
      </c>
      <c r="L261" s="103" t="s">
        <v>153</v>
      </c>
      <c r="M261" s="103" t="s">
        <v>865</v>
      </c>
      <c r="N261" s="103" t="s">
        <v>866</v>
      </c>
      <c r="O261" s="103" t="str">
        <f t="shared" si="6"/>
        <v/>
      </c>
      <c r="P261" s="103" t="s">
        <v>153</v>
      </c>
      <c r="Q261" s="103" t="s">
        <v>153</v>
      </c>
      <c r="R261" s="103" t="s">
        <v>153</v>
      </c>
      <c r="S261" s="103" t="str">
        <f>INDEX('Measure &amp; Standard CostIDs'!$AK$8:$AK$12,B261)</f>
        <v>Wtd-Pack</v>
      </c>
      <c r="T261" s="103" t="s">
        <v>867</v>
      </c>
      <c r="U261" s="103"/>
      <c r="V261" s="103"/>
      <c r="W261" s="103">
        <f>ROUND(IF(LEFT(D261,3)="Std",VLOOKUP(D261,'Measure &amp; Standard CostIDs'!$S$5:$X$177,1+B261,FALSE),VLOOKUP(D261,'Measure &amp; Standard CostIDs'!$C$5:$H$177,1+B261,FALSE)),2)</f>
        <v>4.47</v>
      </c>
      <c r="X261" s="103"/>
      <c r="Y261" s="103"/>
      <c r="Z261" s="103" t="s">
        <v>868</v>
      </c>
      <c r="AA261" s="103" t="s">
        <v>874</v>
      </c>
      <c r="AB261" s="103" t="s">
        <v>153</v>
      </c>
      <c r="AC261" s="103">
        <v>0</v>
      </c>
      <c r="AD261" s="156">
        <v>42005</v>
      </c>
      <c r="AE261" s="103"/>
      <c r="AF261" s="103" t="s">
        <v>870</v>
      </c>
      <c r="AG261" s="103" t="s">
        <v>871</v>
      </c>
      <c r="AH261" s="103" t="s">
        <v>872</v>
      </c>
      <c r="AI261" s="103">
        <v>0</v>
      </c>
      <c r="AJ261" s="103"/>
      <c r="AK261" s="103"/>
      <c r="AL261" s="103"/>
      <c r="AM261" s="103"/>
      <c r="AN261" s="103"/>
      <c r="AO261" s="103" t="str">
        <f t="shared" si="7"/>
        <v>Std_CFLscw-Candle(11w)_60pInc-r0248Wtd-Pack</v>
      </c>
    </row>
    <row r="262" spans="1:41">
      <c r="A262" s="177">
        <f>IFERROR(MATCH(D262,'Measure &amp; Standard CostIDs'!C$5:C$177,0),MATCH(D262,'Measure &amp; Standard CostIDs'!S$5:S$177,0))</f>
        <v>98</v>
      </c>
      <c r="B262" s="177">
        <v>1</v>
      </c>
      <c r="C262" s="103" t="s">
        <v>153</v>
      </c>
      <c r="D262" s="103" t="s">
        <v>958</v>
      </c>
      <c r="E262" s="103" t="str">
        <f>IF(LEFT(D262,3)="Std","Base case cost for mix of 60% Incandescent and 40% CFL lamps for CFL TechID: "&amp;INDEX('Measure &amp; Standard CostIDs'!$C$5:$C$177,A262),"&lt;from TechID&gt;")</f>
        <v>Base case cost for mix of 60% Incandescent and 40% CFL lamps for CFL TechID: CFLscw-Candle(12w)</v>
      </c>
      <c r="F262" s="103" t="s">
        <v>860</v>
      </c>
      <c r="G262" s="103" t="s">
        <v>151</v>
      </c>
      <c r="H262" s="103" t="s">
        <v>861</v>
      </c>
      <c r="I262" s="103" t="s">
        <v>862</v>
      </c>
      <c r="J262" s="103" t="s">
        <v>863</v>
      </c>
      <c r="K262" s="103" t="s">
        <v>864</v>
      </c>
      <c r="L262" s="103" t="s">
        <v>153</v>
      </c>
      <c r="M262" s="103" t="s">
        <v>865</v>
      </c>
      <c r="N262" s="103" t="s">
        <v>866</v>
      </c>
      <c r="O262" s="103" t="str">
        <f t="shared" ref="O262:O325" si="8">IF(LEFT(D262,3)="Std","",D262)</f>
        <v/>
      </c>
      <c r="P262" s="103" t="s">
        <v>153</v>
      </c>
      <c r="Q262" s="103" t="s">
        <v>153</v>
      </c>
      <c r="R262" s="103" t="s">
        <v>153</v>
      </c>
      <c r="S262" s="103" t="str">
        <f>INDEX('Measure &amp; Standard CostIDs'!$AK$8:$AK$12,B262)</f>
        <v>Wtd-Pack</v>
      </c>
      <c r="T262" s="103" t="s">
        <v>867</v>
      </c>
      <c r="U262" s="103"/>
      <c r="V262" s="103"/>
      <c r="W262" s="103">
        <f>ROUND(IF(LEFT(D262,3)="Std",VLOOKUP(D262,'Measure &amp; Standard CostIDs'!$S$5:$X$177,1+B262,FALSE),VLOOKUP(D262,'Measure &amp; Standard CostIDs'!$C$5:$H$177,1+B262,FALSE)),2)</f>
        <v>4.55</v>
      </c>
      <c r="X262" s="103"/>
      <c r="Y262" s="103"/>
      <c r="Z262" s="103" t="s">
        <v>868</v>
      </c>
      <c r="AA262" s="103" t="s">
        <v>874</v>
      </c>
      <c r="AB262" s="103" t="s">
        <v>153</v>
      </c>
      <c r="AC262" s="103">
        <v>0</v>
      </c>
      <c r="AD262" s="156">
        <v>42005</v>
      </c>
      <c r="AE262" s="103"/>
      <c r="AF262" s="103" t="s">
        <v>870</v>
      </c>
      <c r="AG262" s="103" t="s">
        <v>871</v>
      </c>
      <c r="AH262" s="103" t="s">
        <v>872</v>
      </c>
      <c r="AI262" s="103">
        <v>0</v>
      </c>
      <c r="AJ262" s="103"/>
      <c r="AK262" s="103"/>
      <c r="AL262" s="103"/>
      <c r="AM262" s="103"/>
      <c r="AN262" s="103"/>
      <c r="AO262" s="103" t="str">
        <f t="shared" ref="AO262:AO325" si="9">D262&amp;S262</f>
        <v>Std_CFLscw-Candle(12w)_60pInc-r0248Wtd-Pack</v>
      </c>
    </row>
    <row r="263" spans="1:41">
      <c r="A263" s="177">
        <f>IFERROR(MATCH(D263,'Measure &amp; Standard CostIDs'!C$5:C$177,0),MATCH(D263,'Measure &amp; Standard CostIDs'!S$5:S$177,0))</f>
        <v>99</v>
      </c>
      <c r="B263" s="177">
        <v>1</v>
      </c>
      <c r="C263" s="103" t="s">
        <v>153</v>
      </c>
      <c r="D263" s="103" t="s">
        <v>959</v>
      </c>
      <c r="E263" s="103" t="str">
        <f>IF(LEFT(D263,3)="Std","Base case cost for mix of 60% Incandescent and 40% CFL lamps for CFL TechID: "&amp;INDEX('Measure &amp; Standard CostIDs'!$C$5:$C$177,A263),"&lt;from TechID&gt;")</f>
        <v>Base case cost for mix of 60% Incandescent and 40% CFL lamps for CFL TechID: CFLscw-Candle(13w)</v>
      </c>
      <c r="F263" s="103" t="s">
        <v>860</v>
      </c>
      <c r="G263" s="103" t="s">
        <v>151</v>
      </c>
      <c r="H263" s="103" t="s">
        <v>861</v>
      </c>
      <c r="I263" s="103" t="s">
        <v>862</v>
      </c>
      <c r="J263" s="103" t="s">
        <v>863</v>
      </c>
      <c r="K263" s="103" t="s">
        <v>864</v>
      </c>
      <c r="L263" s="103" t="s">
        <v>153</v>
      </c>
      <c r="M263" s="103" t="s">
        <v>865</v>
      </c>
      <c r="N263" s="103" t="s">
        <v>866</v>
      </c>
      <c r="O263" s="103" t="str">
        <f t="shared" si="8"/>
        <v/>
      </c>
      <c r="P263" s="103" t="s">
        <v>153</v>
      </c>
      <c r="Q263" s="103" t="s">
        <v>153</v>
      </c>
      <c r="R263" s="103" t="s">
        <v>153</v>
      </c>
      <c r="S263" s="103" t="str">
        <f>INDEX('Measure &amp; Standard CostIDs'!$AK$8:$AK$12,B263)</f>
        <v>Wtd-Pack</v>
      </c>
      <c r="T263" s="103" t="s">
        <v>867</v>
      </c>
      <c r="U263" s="103"/>
      <c r="V263" s="103"/>
      <c r="W263" s="103">
        <f>ROUND(IF(LEFT(D263,3)="Std",VLOOKUP(D263,'Measure &amp; Standard CostIDs'!$S$5:$X$177,1+B263,FALSE),VLOOKUP(D263,'Measure &amp; Standard CostIDs'!$C$5:$H$177,1+B263,FALSE)),2)</f>
        <v>4.63</v>
      </c>
      <c r="X263" s="103"/>
      <c r="Y263" s="103"/>
      <c r="Z263" s="103" t="s">
        <v>868</v>
      </c>
      <c r="AA263" s="103" t="s">
        <v>874</v>
      </c>
      <c r="AB263" s="103" t="s">
        <v>153</v>
      </c>
      <c r="AC263" s="103">
        <v>0</v>
      </c>
      <c r="AD263" s="156">
        <v>42005</v>
      </c>
      <c r="AE263" s="103"/>
      <c r="AF263" s="103" t="s">
        <v>870</v>
      </c>
      <c r="AG263" s="103" t="s">
        <v>871</v>
      </c>
      <c r="AH263" s="103" t="s">
        <v>872</v>
      </c>
      <c r="AI263" s="103">
        <v>0</v>
      </c>
      <c r="AJ263" s="103"/>
      <c r="AK263" s="103"/>
      <c r="AL263" s="103"/>
      <c r="AM263" s="103"/>
      <c r="AN263" s="103"/>
      <c r="AO263" s="103" t="str">
        <f t="shared" si="9"/>
        <v>Std_CFLscw-Candle(13w)_60pInc-r0248Wtd-Pack</v>
      </c>
    </row>
    <row r="264" spans="1:41">
      <c r="A264" s="177">
        <f>IFERROR(MATCH(D264,'Measure &amp; Standard CostIDs'!C$5:C$177,0),MATCH(D264,'Measure &amp; Standard CostIDs'!S$5:S$177,0))</f>
        <v>100</v>
      </c>
      <c r="B264" s="177">
        <v>1</v>
      </c>
      <c r="C264" s="103" t="s">
        <v>153</v>
      </c>
      <c r="D264" s="103" t="s">
        <v>960</v>
      </c>
      <c r="E264" s="103" t="str">
        <f>IF(LEFT(D264,3)="Std","Base case cost for mix of 60% Incandescent and 40% CFL lamps for CFL TechID: "&amp;INDEX('Measure &amp; Standard CostIDs'!$C$5:$C$177,A264),"&lt;from TechID&gt;")</f>
        <v>Base case cost for mix of 60% Incandescent and 40% CFL lamps for CFL TechID: CFLscw-Candle(14w)</v>
      </c>
      <c r="F264" s="103" t="s">
        <v>860</v>
      </c>
      <c r="G264" s="103" t="s">
        <v>151</v>
      </c>
      <c r="H264" s="103" t="s">
        <v>861</v>
      </c>
      <c r="I264" s="103" t="s">
        <v>862</v>
      </c>
      <c r="J264" s="103" t="s">
        <v>863</v>
      </c>
      <c r="K264" s="103" t="s">
        <v>864</v>
      </c>
      <c r="L264" s="103" t="s">
        <v>153</v>
      </c>
      <c r="M264" s="103" t="s">
        <v>865</v>
      </c>
      <c r="N264" s="103" t="s">
        <v>866</v>
      </c>
      <c r="O264" s="103" t="str">
        <f t="shared" si="8"/>
        <v/>
      </c>
      <c r="P264" s="103" t="s">
        <v>153</v>
      </c>
      <c r="Q264" s="103" t="s">
        <v>153</v>
      </c>
      <c r="R264" s="103" t="s">
        <v>153</v>
      </c>
      <c r="S264" s="103" t="str">
        <f>INDEX('Measure &amp; Standard CostIDs'!$AK$8:$AK$12,B264)</f>
        <v>Wtd-Pack</v>
      </c>
      <c r="T264" s="103" t="s">
        <v>867</v>
      </c>
      <c r="U264" s="103"/>
      <c r="V264" s="103"/>
      <c r="W264" s="103">
        <f>ROUND(IF(LEFT(D264,3)="Std",VLOOKUP(D264,'Measure &amp; Standard CostIDs'!$S$5:$X$177,1+B264,FALSE),VLOOKUP(D264,'Measure &amp; Standard CostIDs'!$C$5:$H$177,1+B264,FALSE)),2)</f>
        <v>4.71</v>
      </c>
      <c r="X264" s="103"/>
      <c r="Y264" s="103"/>
      <c r="Z264" s="103" t="s">
        <v>868</v>
      </c>
      <c r="AA264" s="103" t="s">
        <v>874</v>
      </c>
      <c r="AB264" s="103" t="s">
        <v>153</v>
      </c>
      <c r="AC264" s="103">
        <v>0</v>
      </c>
      <c r="AD264" s="156">
        <v>42005</v>
      </c>
      <c r="AE264" s="103"/>
      <c r="AF264" s="103" t="s">
        <v>870</v>
      </c>
      <c r="AG264" s="103" t="s">
        <v>871</v>
      </c>
      <c r="AH264" s="103" t="s">
        <v>872</v>
      </c>
      <c r="AI264" s="103">
        <v>0</v>
      </c>
      <c r="AJ264" s="103"/>
      <c r="AK264" s="103"/>
      <c r="AL264" s="103"/>
      <c r="AM264" s="103"/>
      <c r="AN264" s="103"/>
      <c r="AO264" s="103" t="str">
        <f t="shared" si="9"/>
        <v>Std_CFLscw-Candle(14w)_60pInc-r0248Wtd-Pack</v>
      </c>
    </row>
    <row r="265" spans="1:41">
      <c r="A265" s="177">
        <f>IFERROR(MATCH(D265,'Measure &amp; Standard CostIDs'!C$5:C$177,0),MATCH(D265,'Measure &amp; Standard CostIDs'!S$5:S$177,0))</f>
        <v>101</v>
      </c>
      <c r="B265" s="177">
        <v>1</v>
      </c>
      <c r="C265" s="103" t="s">
        <v>153</v>
      </c>
      <c r="D265" s="103" t="s">
        <v>961</v>
      </c>
      <c r="E265" s="103" t="str">
        <f>IF(LEFT(D265,3)="Std","Base case cost for mix of 60% Incandescent and 40% CFL lamps for CFL TechID: "&amp;INDEX('Measure &amp; Standard CostIDs'!$C$5:$C$177,A265),"&lt;from TechID&gt;")</f>
        <v>Base case cost for mix of 60% Incandescent and 40% CFL lamps for CFL TechID: CFLscw-Candle(15w)</v>
      </c>
      <c r="F265" s="103" t="s">
        <v>860</v>
      </c>
      <c r="G265" s="103" t="s">
        <v>151</v>
      </c>
      <c r="H265" s="103" t="s">
        <v>861</v>
      </c>
      <c r="I265" s="103" t="s">
        <v>862</v>
      </c>
      <c r="J265" s="103" t="s">
        <v>863</v>
      </c>
      <c r="K265" s="103" t="s">
        <v>864</v>
      </c>
      <c r="L265" s="103" t="s">
        <v>153</v>
      </c>
      <c r="M265" s="103" t="s">
        <v>865</v>
      </c>
      <c r="N265" s="103" t="s">
        <v>866</v>
      </c>
      <c r="O265" s="103" t="str">
        <f t="shared" si="8"/>
        <v/>
      </c>
      <c r="P265" s="103" t="s">
        <v>153</v>
      </c>
      <c r="Q265" s="103" t="s">
        <v>153</v>
      </c>
      <c r="R265" s="103" t="s">
        <v>153</v>
      </c>
      <c r="S265" s="103" t="str">
        <f>INDEX('Measure &amp; Standard CostIDs'!$AK$8:$AK$12,B265)</f>
        <v>Wtd-Pack</v>
      </c>
      <c r="T265" s="103" t="s">
        <v>867</v>
      </c>
      <c r="U265" s="103"/>
      <c r="V265" s="103"/>
      <c r="W265" s="103">
        <f>ROUND(IF(LEFT(D265,3)="Std",VLOOKUP(D265,'Measure &amp; Standard CostIDs'!$S$5:$X$177,1+B265,FALSE),VLOOKUP(D265,'Measure &amp; Standard CostIDs'!$C$5:$H$177,1+B265,FALSE)),2)</f>
        <v>4.8</v>
      </c>
      <c r="X265" s="103"/>
      <c r="Y265" s="103"/>
      <c r="Z265" s="103" t="s">
        <v>868</v>
      </c>
      <c r="AA265" s="103" t="s">
        <v>874</v>
      </c>
      <c r="AB265" s="103" t="s">
        <v>153</v>
      </c>
      <c r="AC265" s="103">
        <v>0</v>
      </c>
      <c r="AD265" s="156">
        <v>42005</v>
      </c>
      <c r="AE265" s="103"/>
      <c r="AF265" s="103" t="s">
        <v>870</v>
      </c>
      <c r="AG265" s="103" t="s">
        <v>871</v>
      </c>
      <c r="AH265" s="103" t="s">
        <v>872</v>
      </c>
      <c r="AI265" s="103">
        <v>0</v>
      </c>
      <c r="AJ265" s="103"/>
      <c r="AK265" s="103"/>
      <c r="AL265" s="103"/>
      <c r="AM265" s="103"/>
      <c r="AN265" s="103"/>
      <c r="AO265" s="103" t="str">
        <f t="shared" si="9"/>
        <v>Std_CFLscw-Candle(15w)_60pInc-r0248Wtd-Pack</v>
      </c>
    </row>
    <row r="266" spans="1:41">
      <c r="A266" s="177">
        <f>IFERROR(MATCH(D266,'Measure &amp; Standard CostIDs'!C$5:C$177,0),MATCH(D266,'Measure &amp; Standard CostIDs'!S$5:S$177,0))</f>
        <v>102</v>
      </c>
      <c r="B266" s="177">
        <v>1</v>
      </c>
      <c r="C266" s="103" t="s">
        <v>153</v>
      </c>
      <c r="D266" s="103" t="s">
        <v>962</v>
      </c>
      <c r="E266" s="103" t="str">
        <f>IF(LEFT(D266,3)="Std","Base case cost for mix of 60% Incandescent and 40% CFL lamps for CFL TechID: "&amp;INDEX('Measure &amp; Standard CostIDs'!$C$5:$C$177,A266),"&lt;from TechID&gt;")</f>
        <v>Base case cost for mix of 60% Incandescent and 40% CFL lamps for CFL TechID: CFLscw-Candle(7w)</v>
      </c>
      <c r="F266" s="103" t="s">
        <v>860</v>
      </c>
      <c r="G266" s="103" t="s">
        <v>151</v>
      </c>
      <c r="H266" s="103" t="s">
        <v>861</v>
      </c>
      <c r="I266" s="103" t="s">
        <v>862</v>
      </c>
      <c r="J266" s="103" t="s">
        <v>863</v>
      </c>
      <c r="K266" s="103" t="s">
        <v>864</v>
      </c>
      <c r="L266" s="103" t="s">
        <v>153</v>
      </c>
      <c r="M266" s="103" t="s">
        <v>865</v>
      </c>
      <c r="N266" s="103" t="s">
        <v>866</v>
      </c>
      <c r="O266" s="103" t="str">
        <f t="shared" si="8"/>
        <v/>
      </c>
      <c r="P266" s="103" t="s">
        <v>153</v>
      </c>
      <c r="Q266" s="103" t="s">
        <v>153</v>
      </c>
      <c r="R266" s="103" t="s">
        <v>153</v>
      </c>
      <c r="S266" s="103" t="str">
        <f>INDEX('Measure &amp; Standard CostIDs'!$AK$8:$AK$12,B266)</f>
        <v>Wtd-Pack</v>
      </c>
      <c r="T266" s="103" t="s">
        <v>867</v>
      </c>
      <c r="U266" s="103"/>
      <c r="V266" s="103"/>
      <c r="W266" s="103">
        <f>ROUND(IF(LEFT(D266,3)="Std",VLOOKUP(D266,'Measure &amp; Standard CostIDs'!$S$5:$X$177,1+B266,FALSE),VLOOKUP(D266,'Measure &amp; Standard CostIDs'!$C$5:$H$177,1+B266,FALSE)),2)</f>
        <v>4.1500000000000004</v>
      </c>
      <c r="X266" s="103"/>
      <c r="Y266" s="103"/>
      <c r="Z266" s="103" t="s">
        <v>868</v>
      </c>
      <c r="AA266" s="103" t="s">
        <v>874</v>
      </c>
      <c r="AB266" s="103" t="s">
        <v>153</v>
      </c>
      <c r="AC266" s="103">
        <v>0</v>
      </c>
      <c r="AD266" s="156">
        <v>42005</v>
      </c>
      <c r="AE266" s="103"/>
      <c r="AF266" s="103" t="s">
        <v>870</v>
      </c>
      <c r="AG266" s="103" t="s">
        <v>871</v>
      </c>
      <c r="AH266" s="103" t="s">
        <v>872</v>
      </c>
      <c r="AI266" s="103">
        <v>0</v>
      </c>
      <c r="AJ266" s="103"/>
      <c r="AK266" s="103"/>
      <c r="AL266" s="103"/>
      <c r="AM266" s="103"/>
      <c r="AN266" s="103"/>
      <c r="AO266" s="103" t="str">
        <f t="shared" si="9"/>
        <v>Std_CFLscw-Candle(7w)_60pInc-r0248Wtd-Pack</v>
      </c>
    </row>
    <row r="267" spans="1:41">
      <c r="A267" s="177">
        <f>IFERROR(MATCH(D267,'Measure &amp; Standard CostIDs'!C$5:C$177,0),MATCH(D267,'Measure &amp; Standard CostIDs'!S$5:S$177,0))</f>
        <v>103</v>
      </c>
      <c r="B267" s="177">
        <v>1</v>
      </c>
      <c r="C267" s="103" t="s">
        <v>153</v>
      </c>
      <c r="D267" s="103" t="s">
        <v>963</v>
      </c>
      <c r="E267" s="103" t="str">
        <f>IF(LEFT(D267,3)="Std","Base case cost for mix of 60% Incandescent and 40% CFL lamps for CFL TechID: "&amp;INDEX('Measure &amp; Standard CostIDs'!$C$5:$C$177,A267),"&lt;from TechID&gt;")</f>
        <v>Base case cost for mix of 60% Incandescent and 40% CFL lamps for CFL TechID: CFLscw-Candle(8w)</v>
      </c>
      <c r="F267" s="103" t="s">
        <v>860</v>
      </c>
      <c r="G267" s="103" t="s">
        <v>151</v>
      </c>
      <c r="H267" s="103" t="s">
        <v>861</v>
      </c>
      <c r="I267" s="103" t="s">
        <v>862</v>
      </c>
      <c r="J267" s="103" t="s">
        <v>863</v>
      </c>
      <c r="K267" s="103" t="s">
        <v>864</v>
      </c>
      <c r="L267" s="103" t="s">
        <v>153</v>
      </c>
      <c r="M267" s="103" t="s">
        <v>865</v>
      </c>
      <c r="N267" s="103" t="s">
        <v>866</v>
      </c>
      <c r="O267" s="103" t="str">
        <f t="shared" si="8"/>
        <v/>
      </c>
      <c r="P267" s="103" t="s">
        <v>153</v>
      </c>
      <c r="Q267" s="103" t="s">
        <v>153</v>
      </c>
      <c r="R267" s="103" t="s">
        <v>153</v>
      </c>
      <c r="S267" s="103" t="str">
        <f>INDEX('Measure &amp; Standard CostIDs'!$AK$8:$AK$12,B267)</f>
        <v>Wtd-Pack</v>
      </c>
      <c r="T267" s="103" t="s">
        <v>867</v>
      </c>
      <c r="U267" s="103"/>
      <c r="V267" s="103"/>
      <c r="W267" s="103">
        <f>ROUND(IF(LEFT(D267,3)="Std",VLOOKUP(D267,'Measure &amp; Standard CostIDs'!$S$5:$X$177,1+B267,FALSE),VLOOKUP(D267,'Measure &amp; Standard CostIDs'!$C$5:$H$177,1+B267,FALSE)),2)</f>
        <v>4.2300000000000004</v>
      </c>
      <c r="X267" s="103"/>
      <c r="Y267" s="103"/>
      <c r="Z267" s="103" t="s">
        <v>868</v>
      </c>
      <c r="AA267" s="103" t="s">
        <v>874</v>
      </c>
      <c r="AB267" s="103" t="s">
        <v>153</v>
      </c>
      <c r="AC267" s="103">
        <v>0</v>
      </c>
      <c r="AD267" s="156">
        <v>42005</v>
      </c>
      <c r="AE267" s="103"/>
      <c r="AF267" s="103" t="s">
        <v>870</v>
      </c>
      <c r="AG267" s="103" t="s">
        <v>871</v>
      </c>
      <c r="AH267" s="103" t="s">
        <v>872</v>
      </c>
      <c r="AI267" s="103">
        <v>0</v>
      </c>
      <c r="AJ267" s="103"/>
      <c r="AK267" s="103"/>
      <c r="AL267" s="103"/>
      <c r="AM267" s="103"/>
      <c r="AN267" s="103"/>
      <c r="AO267" s="103" t="str">
        <f t="shared" si="9"/>
        <v>Std_CFLscw-Candle(8w)_60pInc-r0248Wtd-Pack</v>
      </c>
    </row>
    <row r="268" spans="1:41">
      <c r="A268" s="177">
        <f>IFERROR(MATCH(D268,'Measure &amp; Standard CostIDs'!C$5:C$177,0),MATCH(D268,'Measure &amp; Standard CostIDs'!S$5:S$177,0))</f>
        <v>104</v>
      </c>
      <c r="B268" s="177">
        <v>1</v>
      </c>
      <c r="C268" s="103" t="s">
        <v>153</v>
      </c>
      <c r="D268" s="103" t="s">
        <v>964</v>
      </c>
      <c r="E268" s="103" t="str">
        <f>IF(LEFT(D268,3)="Std","Base case cost for mix of 60% Incandescent and 40% CFL lamps for CFL TechID: "&amp;INDEX('Measure &amp; Standard CostIDs'!$C$5:$C$177,A268),"&lt;from TechID&gt;")</f>
        <v>Base case cost for mix of 60% Incandescent and 40% CFL lamps for CFL TechID: CFLscw-Candle(9w)</v>
      </c>
      <c r="F268" s="103" t="s">
        <v>860</v>
      </c>
      <c r="G268" s="103" t="s">
        <v>151</v>
      </c>
      <c r="H268" s="103" t="s">
        <v>861</v>
      </c>
      <c r="I268" s="103" t="s">
        <v>862</v>
      </c>
      <c r="J268" s="103" t="s">
        <v>863</v>
      </c>
      <c r="K268" s="103" t="s">
        <v>864</v>
      </c>
      <c r="L268" s="103" t="s">
        <v>153</v>
      </c>
      <c r="M268" s="103" t="s">
        <v>865</v>
      </c>
      <c r="N268" s="103" t="s">
        <v>866</v>
      </c>
      <c r="O268" s="103" t="str">
        <f t="shared" si="8"/>
        <v/>
      </c>
      <c r="P268" s="103" t="s">
        <v>153</v>
      </c>
      <c r="Q268" s="103" t="s">
        <v>153</v>
      </c>
      <c r="R268" s="103" t="s">
        <v>153</v>
      </c>
      <c r="S268" s="103" t="str">
        <f>INDEX('Measure &amp; Standard CostIDs'!$AK$8:$AK$12,B268)</f>
        <v>Wtd-Pack</v>
      </c>
      <c r="T268" s="103" t="s">
        <v>867</v>
      </c>
      <c r="U268" s="103"/>
      <c r="V268" s="103"/>
      <c r="W268" s="103">
        <f>ROUND(IF(LEFT(D268,3)="Std",VLOOKUP(D268,'Measure &amp; Standard CostIDs'!$S$5:$X$177,1+B268,FALSE),VLOOKUP(D268,'Measure &amp; Standard CostIDs'!$C$5:$H$177,1+B268,FALSE)),2)</f>
        <v>4.3099999999999996</v>
      </c>
      <c r="X268" s="103"/>
      <c r="Y268" s="103"/>
      <c r="Z268" s="103" t="s">
        <v>868</v>
      </c>
      <c r="AA268" s="103" t="s">
        <v>874</v>
      </c>
      <c r="AB268" s="103" t="s">
        <v>153</v>
      </c>
      <c r="AC268" s="103">
        <v>0</v>
      </c>
      <c r="AD268" s="156">
        <v>42005</v>
      </c>
      <c r="AE268" s="103"/>
      <c r="AF268" s="103" t="s">
        <v>870</v>
      </c>
      <c r="AG268" s="103" t="s">
        <v>871</v>
      </c>
      <c r="AH268" s="103" t="s">
        <v>872</v>
      </c>
      <c r="AI268" s="103">
        <v>0</v>
      </c>
      <c r="AJ268" s="103"/>
      <c r="AK268" s="103"/>
      <c r="AL268" s="103"/>
      <c r="AM268" s="103"/>
      <c r="AN268" s="103"/>
      <c r="AO268" s="103" t="str">
        <f t="shared" si="9"/>
        <v>Std_CFLscw-Candle(9w)_60pInc-r0248Wtd-Pack</v>
      </c>
    </row>
    <row r="269" spans="1:41">
      <c r="A269" s="177">
        <f>IFERROR(MATCH(D269,'Measure &amp; Standard CostIDs'!C$5:C$177,0),MATCH(D269,'Measure &amp; Standard CostIDs'!S$5:S$177,0))</f>
        <v>105</v>
      </c>
      <c r="B269" s="177">
        <v>1</v>
      </c>
      <c r="C269" s="103" t="s">
        <v>153</v>
      </c>
      <c r="D269" s="103" t="s">
        <v>965</v>
      </c>
      <c r="E269" s="103" t="str">
        <f>IF(LEFT(D269,3)="Std","Base case cost for mix of 60% Incandescent and 40% CFL lamps for CFL TechID: "&amp;INDEX('Measure &amp; Standard CostIDs'!$C$5:$C$177,A269),"&lt;from TechID&gt;")</f>
        <v>Base case cost for mix of 60% Incandescent and 40% CFL lamps for CFL TechID: CFLscw-Dim(10w)</v>
      </c>
      <c r="F269" s="103" t="s">
        <v>860</v>
      </c>
      <c r="G269" s="103" t="s">
        <v>151</v>
      </c>
      <c r="H269" s="103" t="s">
        <v>861</v>
      </c>
      <c r="I269" s="103" t="s">
        <v>862</v>
      </c>
      <c r="J269" s="103" t="s">
        <v>863</v>
      </c>
      <c r="K269" s="103" t="s">
        <v>864</v>
      </c>
      <c r="L269" s="103" t="s">
        <v>153</v>
      </c>
      <c r="M269" s="103" t="s">
        <v>865</v>
      </c>
      <c r="N269" s="103" t="s">
        <v>866</v>
      </c>
      <c r="O269" s="103" t="str">
        <f t="shared" si="8"/>
        <v/>
      </c>
      <c r="P269" s="103" t="s">
        <v>153</v>
      </c>
      <c r="Q269" s="103" t="s">
        <v>153</v>
      </c>
      <c r="R269" s="103" t="s">
        <v>153</v>
      </c>
      <c r="S269" s="103" t="str">
        <f>INDEX('Measure &amp; Standard CostIDs'!$AK$8:$AK$12,B269)</f>
        <v>Wtd-Pack</v>
      </c>
      <c r="T269" s="103" t="s">
        <v>867</v>
      </c>
      <c r="U269" s="103"/>
      <c r="V269" s="103"/>
      <c r="W269" s="103">
        <f>ROUND(IF(LEFT(D269,3)="Std",VLOOKUP(D269,'Measure &amp; Standard CostIDs'!$S$5:$X$177,1+B269,FALSE),VLOOKUP(D269,'Measure &amp; Standard CostIDs'!$C$5:$H$177,1+B269,FALSE)),2)</f>
        <v>4.01</v>
      </c>
      <c r="X269" s="103"/>
      <c r="Y269" s="103"/>
      <c r="Z269" s="103" t="s">
        <v>868</v>
      </c>
      <c r="AA269" s="103" t="s">
        <v>874</v>
      </c>
      <c r="AB269" s="103" t="s">
        <v>153</v>
      </c>
      <c r="AC269" s="103">
        <v>0</v>
      </c>
      <c r="AD269" s="156">
        <v>42005</v>
      </c>
      <c r="AE269" s="103"/>
      <c r="AF269" s="103" t="s">
        <v>870</v>
      </c>
      <c r="AG269" s="103" t="s">
        <v>871</v>
      </c>
      <c r="AH269" s="103" t="s">
        <v>872</v>
      </c>
      <c r="AI269" s="103">
        <v>0</v>
      </c>
      <c r="AJ269" s="103"/>
      <c r="AK269" s="103"/>
      <c r="AL269" s="103"/>
      <c r="AM269" s="103"/>
      <c r="AN269" s="103"/>
      <c r="AO269" s="103" t="str">
        <f t="shared" si="9"/>
        <v>Std_CFLscw-Dim(10w)_60pInc-r0248Wtd-Pack</v>
      </c>
    </row>
    <row r="270" spans="1:41">
      <c r="A270" s="177">
        <f>IFERROR(MATCH(D270,'Measure &amp; Standard CostIDs'!C$5:C$177,0),MATCH(D270,'Measure &amp; Standard CostIDs'!S$5:S$177,0))</f>
        <v>106</v>
      </c>
      <c r="B270" s="177">
        <v>1</v>
      </c>
      <c r="C270" s="103" t="s">
        <v>153</v>
      </c>
      <c r="D270" s="103" t="s">
        <v>966</v>
      </c>
      <c r="E270" s="103" t="str">
        <f>IF(LEFT(D270,3)="Std","Base case cost for mix of 60% Incandescent and 40% CFL lamps for CFL TechID: "&amp;INDEX('Measure &amp; Standard CostIDs'!$C$5:$C$177,A270),"&lt;from TechID&gt;")</f>
        <v>Base case cost for mix of 60% Incandescent and 40% CFL lamps for CFL TechID: CFLscw-Dim(11w)</v>
      </c>
      <c r="F270" s="103" t="s">
        <v>860</v>
      </c>
      <c r="G270" s="103" t="s">
        <v>151</v>
      </c>
      <c r="H270" s="103" t="s">
        <v>861</v>
      </c>
      <c r="I270" s="103" t="s">
        <v>862</v>
      </c>
      <c r="J270" s="103" t="s">
        <v>863</v>
      </c>
      <c r="K270" s="103" t="s">
        <v>864</v>
      </c>
      <c r="L270" s="103" t="s">
        <v>153</v>
      </c>
      <c r="M270" s="103" t="s">
        <v>865</v>
      </c>
      <c r="N270" s="103" t="s">
        <v>866</v>
      </c>
      <c r="O270" s="103" t="str">
        <f t="shared" si="8"/>
        <v/>
      </c>
      <c r="P270" s="103" t="s">
        <v>153</v>
      </c>
      <c r="Q270" s="103" t="s">
        <v>153</v>
      </c>
      <c r="R270" s="103" t="s">
        <v>153</v>
      </c>
      <c r="S270" s="103" t="str">
        <f>INDEX('Measure &amp; Standard CostIDs'!$AK$8:$AK$12,B270)</f>
        <v>Wtd-Pack</v>
      </c>
      <c r="T270" s="103" t="s">
        <v>867</v>
      </c>
      <c r="U270" s="103"/>
      <c r="V270" s="103"/>
      <c r="W270" s="103">
        <f>ROUND(IF(LEFT(D270,3)="Std",VLOOKUP(D270,'Measure &amp; Standard CostIDs'!$S$5:$X$177,1+B270,FALSE),VLOOKUP(D270,'Measure &amp; Standard CostIDs'!$C$5:$H$177,1+B270,FALSE)),2)</f>
        <v>4.05</v>
      </c>
      <c r="X270" s="103"/>
      <c r="Y270" s="103"/>
      <c r="Z270" s="103" t="s">
        <v>868</v>
      </c>
      <c r="AA270" s="103" t="s">
        <v>874</v>
      </c>
      <c r="AB270" s="103" t="s">
        <v>153</v>
      </c>
      <c r="AC270" s="103">
        <v>0</v>
      </c>
      <c r="AD270" s="156">
        <v>42005</v>
      </c>
      <c r="AE270" s="103"/>
      <c r="AF270" s="103" t="s">
        <v>870</v>
      </c>
      <c r="AG270" s="103" t="s">
        <v>871</v>
      </c>
      <c r="AH270" s="103" t="s">
        <v>872</v>
      </c>
      <c r="AI270" s="103">
        <v>0</v>
      </c>
      <c r="AJ270" s="103"/>
      <c r="AK270" s="103"/>
      <c r="AL270" s="103"/>
      <c r="AM270" s="103"/>
      <c r="AN270" s="103"/>
      <c r="AO270" s="103" t="str">
        <f t="shared" si="9"/>
        <v>Std_CFLscw-Dim(11w)_60pInc-r0248Wtd-Pack</v>
      </c>
    </row>
    <row r="271" spans="1:41">
      <c r="A271" s="177">
        <f>IFERROR(MATCH(D271,'Measure &amp; Standard CostIDs'!C$5:C$177,0),MATCH(D271,'Measure &amp; Standard CostIDs'!S$5:S$177,0))</f>
        <v>107</v>
      </c>
      <c r="B271" s="177">
        <v>1</v>
      </c>
      <c r="C271" s="103" t="s">
        <v>153</v>
      </c>
      <c r="D271" s="103" t="s">
        <v>967</v>
      </c>
      <c r="E271" s="103" t="str">
        <f>IF(LEFT(D271,3)="Std","Base case cost for mix of 60% Incandescent and 40% CFL lamps for CFL TechID: "&amp;INDEX('Measure &amp; Standard CostIDs'!$C$5:$C$177,A271),"&lt;from TechID&gt;")</f>
        <v>Base case cost for mix of 60% Incandescent and 40% CFL lamps for CFL TechID: CFLscw-Dim(14w)</v>
      </c>
      <c r="F271" s="103" t="s">
        <v>860</v>
      </c>
      <c r="G271" s="103" t="s">
        <v>151</v>
      </c>
      <c r="H271" s="103" t="s">
        <v>861</v>
      </c>
      <c r="I271" s="103" t="s">
        <v>862</v>
      </c>
      <c r="J271" s="103" t="s">
        <v>863</v>
      </c>
      <c r="K271" s="103" t="s">
        <v>864</v>
      </c>
      <c r="L271" s="103" t="s">
        <v>153</v>
      </c>
      <c r="M271" s="103" t="s">
        <v>865</v>
      </c>
      <c r="N271" s="103" t="s">
        <v>866</v>
      </c>
      <c r="O271" s="103" t="str">
        <f t="shared" si="8"/>
        <v/>
      </c>
      <c r="P271" s="103" t="s">
        <v>153</v>
      </c>
      <c r="Q271" s="103" t="s">
        <v>153</v>
      </c>
      <c r="R271" s="103" t="s">
        <v>153</v>
      </c>
      <c r="S271" s="103" t="str">
        <f>INDEX('Measure &amp; Standard CostIDs'!$AK$8:$AK$12,B271)</f>
        <v>Wtd-Pack</v>
      </c>
      <c r="T271" s="103" t="s">
        <v>867</v>
      </c>
      <c r="U271" s="103"/>
      <c r="V271" s="103"/>
      <c r="W271" s="103">
        <f>ROUND(IF(LEFT(D271,3)="Std",VLOOKUP(D271,'Measure &amp; Standard CostIDs'!$S$5:$X$177,1+B271,FALSE),VLOOKUP(D271,'Measure &amp; Standard CostIDs'!$C$5:$H$177,1+B271,FALSE)),2)</f>
        <v>4.1900000000000004</v>
      </c>
      <c r="X271" s="103"/>
      <c r="Y271" s="103"/>
      <c r="Z271" s="103" t="s">
        <v>868</v>
      </c>
      <c r="AA271" s="103" t="s">
        <v>874</v>
      </c>
      <c r="AB271" s="103" t="s">
        <v>153</v>
      </c>
      <c r="AC271" s="103">
        <v>0</v>
      </c>
      <c r="AD271" s="156">
        <v>42005</v>
      </c>
      <c r="AE271" s="103"/>
      <c r="AF271" s="103" t="s">
        <v>870</v>
      </c>
      <c r="AG271" s="103" t="s">
        <v>871</v>
      </c>
      <c r="AH271" s="103" t="s">
        <v>872</v>
      </c>
      <c r="AI271" s="103">
        <v>0</v>
      </c>
      <c r="AJ271" s="103"/>
      <c r="AK271" s="103"/>
      <c r="AL271" s="103"/>
      <c r="AM271" s="103"/>
      <c r="AN271" s="103"/>
      <c r="AO271" s="103" t="str">
        <f t="shared" si="9"/>
        <v>Std_CFLscw-Dim(14w)_60pInc-r0248Wtd-Pack</v>
      </c>
    </row>
    <row r="272" spans="1:41">
      <c r="A272" s="177">
        <f>IFERROR(MATCH(D272,'Measure &amp; Standard CostIDs'!C$5:C$177,0),MATCH(D272,'Measure &amp; Standard CostIDs'!S$5:S$177,0))</f>
        <v>108</v>
      </c>
      <c r="B272" s="177">
        <v>1</v>
      </c>
      <c r="C272" s="103" t="s">
        <v>153</v>
      </c>
      <c r="D272" s="103" t="s">
        <v>968</v>
      </c>
      <c r="E272" s="103" t="str">
        <f>IF(LEFT(D272,3)="Std","Base case cost for mix of 60% Incandescent and 40% CFL lamps for CFL TechID: "&amp;INDEX('Measure &amp; Standard CostIDs'!$C$5:$C$177,A272),"&lt;from TechID&gt;")</f>
        <v>Base case cost for mix of 60% Incandescent and 40% CFL lamps for CFL TechID: CFLscw-Dim(15w)</v>
      </c>
      <c r="F272" s="103" t="s">
        <v>860</v>
      </c>
      <c r="G272" s="103" t="s">
        <v>151</v>
      </c>
      <c r="H272" s="103" t="s">
        <v>861</v>
      </c>
      <c r="I272" s="103" t="s">
        <v>862</v>
      </c>
      <c r="J272" s="103" t="s">
        <v>863</v>
      </c>
      <c r="K272" s="103" t="s">
        <v>864</v>
      </c>
      <c r="L272" s="103" t="s">
        <v>153</v>
      </c>
      <c r="M272" s="103" t="s">
        <v>865</v>
      </c>
      <c r="N272" s="103" t="s">
        <v>866</v>
      </c>
      <c r="O272" s="103" t="str">
        <f t="shared" si="8"/>
        <v/>
      </c>
      <c r="P272" s="103" t="s">
        <v>153</v>
      </c>
      <c r="Q272" s="103" t="s">
        <v>153</v>
      </c>
      <c r="R272" s="103" t="s">
        <v>153</v>
      </c>
      <c r="S272" s="103" t="str">
        <f>INDEX('Measure &amp; Standard CostIDs'!$AK$8:$AK$12,B272)</f>
        <v>Wtd-Pack</v>
      </c>
      <c r="T272" s="103" t="s">
        <v>867</v>
      </c>
      <c r="U272" s="103"/>
      <c r="V272" s="103"/>
      <c r="W272" s="103">
        <f>ROUND(IF(LEFT(D272,3)="Std",VLOOKUP(D272,'Measure &amp; Standard CostIDs'!$S$5:$X$177,1+B272,FALSE),VLOOKUP(D272,'Measure &amp; Standard CostIDs'!$C$5:$H$177,1+B272,FALSE)),2)</f>
        <v>4.24</v>
      </c>
      <c r="X272" s="103"/>
      <c r="Y272" s="103"/>
      <c r="Z272" s="103" t="s">
        <v>868</v>
      </c>
      <c r="AA272" s="103" t="s">
        <v>874</v>
      </c>
      <c r="AB272" s="103" t="s">
        <v>153</v>
      </c>
      <c r="AC272" s="103">
        <v>0</v>
      </c>
      <c r="AD272" s="156">
        <v>42005</v>
      </c>
      <c r="AE272" s="103"/>
      <c r="AF272" s="103" t="s">
        <v>870</v>
      </c>
      <c r="AG272" s="103" t="s">
        <v>871</v>
      </c>
      <c r="AH272" s="103" t="s">
        <v>872</v>
      </c>
      <c r="AI272" s="103">
        <v>0</v>
      </c>
      <c r="AJ272" s="103"/>
      <c r="AK272" s="103"/>
      <c r="AL272" s="103"/>
      <c r="AM272" s="103"/>
      <c r="AN272" s="103"/>
      <c r="AO272" s="103" t="str">
        <f t="shared" si="9"/>
        <v>Std_CFLscw-Dim(15w)_60pInc-r0248Wtd-Pack</v>
      </c>
    </row>
    <row r="273" spans="1:41">
      <c r="A273" s="177">
        <f>IFERROR(MATCH(D273,'Measure &amp; Standard CostIDs'!C$5:C$177,0),MATCH(D273,'Measure &amp; Standard CostIDs'!S$5:S$177,0))</f>
        <v>109</v>
      </c>
      <c r="B273" s="177">
        <v>1</v>
      </c>
      <c r="C273" s="103" t="s">
        <v>153</v>
      </c>
      <c r="D273" s="103" t="s">
        <v>969</v>
      </c>
      <c r="E273" s="103" t="str">
        <f>IF(LEFT(D273,3)="Std","Base case cost for mix of 60% Incandescent and 40% CFL lamps for CFL TechID: "&amp;INDEX('Measure &amp; Standard CostIDs'!$C$5:$C$177,A273),"&lt;from TechID&gt;")</f>
        <v>Base case cost for mix of 60% Incandescent and 40% CFL lamps for CFL TechID: CFLscw-Dim(16w)</v>
      </c>
      <c r="F273" s="103" t="s">
        <v>860</v>
      </c>
      <c r="G273" s="103" t="s">
        <v>151</v>
      </c>
      <c r="H273" s="103" t="s">
        <v>861</v>
      </c>
      <c r="I273" s="103" t="s">
        <v>862</v>
      </c>
      <c r="J273" s="103" t="s">
        <v>863</v>
      </c>
      <c r="K273" s="103" t="s">
        <v>864</v>
      </c>
      <c r="L273" s="103" t="s">
        <v>153</v>
      </c>
      <c r="M273" s="103" t="s">
        <v>865</v>
      </c>
      <c r="N273" s="103" t="s">
        <v>866</v>
      </c>
      <c r="O273" s="103" t="str">
        <f t="shared" si="8"/>
        <v/>
      </c>
      <c r="P273" s="103" t="s">
        <v>153</v>
      </c>
      <c r="Q273" s="103" t="s">
        <v>153</v>
      </c>
      <c r="R273" s="103" t="s">
        <v>153</v>
      </c>
      <c r="S273" s="103" t="str">
        <f>INDEX('Measure &amp; Standard CostIDs'!$AK$8:$AK$12,B273)</f>
        <v>Wtd-Pack</v>
      </c>
      <c r="T273" s="103" t="s">
        <v>867</v>
      </c>
      <c r="U273" s="103"/>
      <c r="V273" s="103"/>
      <c r="W273" s="103">
        <f>ROUND(IF(LEFT(D273,3)="Std",VLOOKUP(D273,'Measure &amp; Standard CostIDs'!$S$5:$X$177,1+B273,FALSE),VLOOKUP(D273,'Measure &amp; Standard CostIDs'!$C$5:$H$177,1+B273,FALSE)),2)</f>
        <v>4.28</v>
      </c>
      <c r="X273" s="103"/>
      <c r="Y273" s="103"/>
      <c r="Z273" s="103" t="s">
        <v>868</v>
      </c>
      <c r="AA273" s="103" t="s">
        <v>874</v>
      </c>
      <c r="AB273" s="103" t="s">
        <v>153</v>
      </c>
      <c r="AC273" s="103">
        <v>0</v>
      </c>
      <c r="AD273" s="156">
        <v>42005</v>
      </c>
      <c r="AE273" s="103"/>
      <c r="AF273" s="103" t="s">
        <v>870</v>
      </c>
      <c r="AG273" s="103" t="s">
        <v>871</v>
      </c>
      <c r="AH273" s="103" t="s">
        <v>872</v>
      </c>
      <c r="AI273" s="103">
        <v>0</v>
      </c>
      <c r="AJ273" s="103"/>
      <c r="AK273" s="103"/>
      <c r="AL273" s="103"/>
      <c r="AM273" s="103"/>
      <c r="AN273" s="103"/>
      <c r="AO273" s="103" t="str">
        <f t="shared" si="9"/>
        <v>Std_CFLscw-Dim(16w)_60pInc-r0248Wtd-Pack</v>
      </c>
    </row>
    <row r="274" spans="1:41">
      <c r="A274" s="177">
        <f>IFERROR(MATCH(D274,'Measure &amp; Standard CostIDs'!C$5:C$177,0),MATCH(D274,'Measure &amp; Standard CostIDs'!S$5:S$177,0))</f>
        <v>110</v>
      </c>
      <c r="B274" s="177">
        <v>1</v>
      </c>
      <c r="C274" s="103" t="s">
        <v>153</v>
      </c>
      <c r="D274" s="103" t="s">
        <v>970</v>
      </c>
      <c r="E274" s="103" t="str">
        <f>IF(LEFT(D274,3)="Std","Base case cost for mix of 60% Incandescent and 40% CFL lamps for CFL TechID: "&amp;INDEX('Measure &amp; Standard CostIDs'!$C$5:$C$177,A274),"&lt;from TechID&gt;")</f>
        <v>Base case cost for mix of 60% Incandescent and 40% CFL lamps for CFL TechID: CFLscw-Dim(18w)</v>
      </c>
      <c r="F274" s="103" t="s">
        <v>860</v>
      </c>
      <c r="G274" s="103" t="s">
        <v>151</v>
      </c>
      <c r="H274" s="103" t="s">
        <v>861</v>
      </c>
      <c r="I274" s="103" t="s">
        <v>862</v>
      </c>
      <c r="J274" s="103" t="s">
        <v>863</v>
      </c>
      <c r="K274" s="103" t="s">
        <v>864</v>
      </c>
      <c r="L274" s="103" t="s">
        <v>153</v>
      </c>
      <c r="M274" s="103" t="s">
        <v>865</v>
      </c>
      <c r="N274" s="103" t="s">
        <v>866</v>
      </c>
      <c r="O274" s="103" t="str">
        <f t="shared" si="8"/>
        <v/>
      </c>
      <c r="P274" s="103" t="s">
        <v>153</v>
      </c>
      <c r="Q274" s="103" t="s">
        <v>153</v>
      </c>
      <c r="R274" s="103" t="s">
        <v>153</v>
      </c>
      <c r="S274" s="103" t="str">
        <f>INDEX('Measure &amp; Standard CostIDs'!$AK$8:$AK$12,B274)</f>
        <v>Wtd-Pack</v>
      </c>
      <c r="T274" s="103" t="s">
        <v>867</v>
      </c>
      <c r="U274" s="103"/>
      <c r="V274" s="103"/>
      <c r="W274" s="103">
        <f>ROUND(IF(LEFT(D274,3)="Std",VLOOKUP(D274,'Measure &amp; Standard CostIDs'!$S$5:$X$177,1+B274,FALSE),VLOOKUP(D274,'Measure &amp; Standard CostIDs'!$C$5:$H$177,1+B274,FALSE)),2)</f>
        <v>4.37</v>
      </c>
      <c r="X274" s="103"/>
      <c r="Y274" s="103"/>
      <c r="Z274" s="103" t="s">
        <v>868</v>
      </c>
      <c r="AA274" s="103" t="s">
        <v>874</v>
      </c>
      <c r="AB274" s="103" t="s">
        <v>153</v>
      </c>
      <c r="AC274" s="103">
        <v>0</v>
      </c>
      <c r="AD274" s="156">
        <v>42005</v>
      </c>
      <c r="AE274" s="103"/>
      <c r="AF274" s="103" t="s">
        <v>870</v>
      </c>
      <c r="AG274" s="103" t="s">
        <v>871</v>
      </c>
      <c r="AH274" s="103" t="s">
        <v>872</v>
      </c>
      <c r="AI274" s="103">
        <v>0</v>
      </c>
      <c r="AJ274" s="103"/>
      <c r="AK274" s="103"/>
      <c r="AL274" s="103"/>
      <c r="AM274" s="103"/>
      <c r="AN274" s="103"/>
      <c r="AO274" s="103" t="str">
        <f t="shared" si="9"/>
        <v>Std_CFLscw-Dim(18w)_60pInc-r0248Wtd-Pack</v>
      </c>
    </row>
    <row r="275" spans="1:41">
      <c r="A275" s="177">
        <f>IFERROR(MATCH(D275,'Measure &amp; Standard CostIDs'!C$5:C$177,0),MATCH(D275,'Measure &amp; Standard CostIDs'!S$5:S$177,0))</f>
        <v>111</v>
      </c>
      <c r="B275" s="177">
        <v>1</v>
      </c>
      <c r="C275" s="103" t="s">
        <v>153</v>
      </c>
      <c r="D275" s="103" t="s">
        <v>971</v>
      </c>
      <c r="E275" s="103" t="str">
        <f>IF(LEFT(D275,3)="Std","Base case cost for mix of 60% Incandescent and 40% CFL lamps for CFL TechID: "&amp;INDEX('Measure &amp; Standard CostIDs'!$C$5:$C$177,A275),"&lt;from TechID&gt;")</f>
        <v>Base case cost for mix of 60% Incandescent and 40% CFL lamps for CFL TechID: CFLscw-Dim(19w)</v>
      </c>
      <c r="F275" s="103" t="s">
        <v>860</v>
      </c>
      <c r="G275" s="103" t="s">
        <v>151</v>
      </c>
      <c r="H275" s="103" t="s">
        <v>861</v>
      </c>
      <c r="I275" s="103" t="s">
        <v>862</v>
      </c>
      <c r="J275" s="103" t="s">
        <v>863</v>
      </c>
      <c r="K275" s="103" t="s">
        <v>864</v>
      </c>
      <c r="L275" s="103" t="s">
        <v>153</v>
      </c>
      <c r="M275" s="103" t="s">
        <v>865</v>
      </c>
      <c r="N275" s="103" t="s">
        <v>866</v>
      </c>
      <c r="O275" s="103" t="str">
        <f t="shared" si="8"/>
        <v/>
      </c>
      <c r="P275" s="103" t="s">
        <v>153</v>
      </c>
      <c r="Q275" s="103" t="s">
        <v>153</v>
      </c>
      <c r="R275" s="103" t="s">
        <v>153</v>
      </c>
      <c r="S275" s="103" t="str">
        <f>INDEX('Measure &amp; Standard CostIDs'!$AK$8:$AK$12,B275)</f>
        <v>Wtd-Pack</v>
      </c>
      <c r="T275" s="103" t="s">
        <v>867</v>
      </c>
      <c r="U275" s="103"/>
      <c r="V275" s="103"/>
      <c r="W275" s="103">
        <f>ROUND(IF(LEFT(D275,3)="Std",VLOOKUP(D275,'Measure &amp; Standard CostIDs'!$S$5:$X$177,1+B275,FALSE),VLOOKUP(D275,'Measure &amp; Standard CostIDs'!$C$5:$H$177,1+B275,FALSE)),2)</f>
        <v>4.42</v>
      </c>
      <c r="X275" s="103"/>
      <c r="Y275" s="103"/>
      <c r="Z275" s="103" t="s">
        <v>868</v>
      </c>
      <c r="AA275" s="103" t="s">
        <v>874</v>
      </c>
      <c r="AB275" s="103" t="s">
        <v>153</v>
      </c>
      <c r="AC275" s="103">
        <v>0</v>
      </c>
      <c r="AD275" s="156">
        <v>42005</v>
      </c>
      <c r="AE275" s="103"/>
      <c r="AF275" s="103" t="s">
        <v>870</v>
      </c>
      <c r="AG275" s="103" t="s">
        <v>871</v>
      </c>
      <c r="AH275" s="103" t="s">
        <v>872</v>
      </c>
      <c r="AI275" s="103">
        <v>0</v>
      </c>
      <c r="AJ275" s="103"/>
      <c r="AK275" s="103"/>
      <c r="AL275" s="103"/>
      <c r="AM275" s="103"/>
      <c r="AN275" s="103"/>
      <c r="AO275" s="103" t="str">
        <f t="shared" si="9"/>
        <v>Std_CFLscw-Dim(19w)_60pInc-r0248Wtd-Pack</v>
      </c>
    </row>
    <row r="276" spans="1:41">
      <c r="A276" s="177">
        <f>IFERROR(MATCH(D276,'Measure &amp; Standard CostIDs'!C$5:C$177,0),MATCH(D276,'Measure &amp; Standard CostIDs'!S$5:S$177,0))</f>
        <v>112</v>
      </c>
      <c r="B276" s="177">
        <v>1</v>
      </c>
      <c r="C276" s="103" t="s">
        <v>153</v>
      </c>
      <c r="D276" s="103" t="s">
        <v>972</v>
      </c>
      <c r="E276" s="103" t="str">
        <f>IF(LEFT(D276,3)="Std","Base case cost for mix of 60% Incandescent and 40% CFL lamps for CFL TechID: "&amp;INDEX('Measure &amp; Standard CostIDs'!$C$5:$C$177,A276),"&lt;from TechID&gt;")</f>
        <v>Base case cost for mix of 60% Incandescent and 40% CFL lamps for CFL TechID: CFLscw-Dim(20w)</v>
      </c>
      <c r="F276" s="103" t="s">
        <v>860</v>
      </c>
      <c r="G276" s="103" t="s">
        <v>151</v>
      </c>
      <c r="H276" s="103" t="s">
        <v>861</v>
      </c>
      <c r="I276" s="103" t="s">
        <v>862</v>
      </c>
      <c r="J276" s="103" t="s">
        <v>863</v>
      </c>
      <c r="K276" s="103" t="s">
        <v>864</v>
      </c>
      <c r="L276" s="103" t="s">
        <v>153</v>
      </c>
      <c r="M276" s="103" t="s">
        <v>865</v>
      </c>
      <c r="N276" s="103" t="s">
        <v>866</v>
      </c>
      <c r="O276" s="103" t="str">
        <f t="shared" si="8"/>
        <v/>
      </c>
      <c r="P276" s="103" t="s">
        <v>153</v>
      </c>
      <c r="Q276" s="103" t="s">
        <v>153</v>
      </c>
      <c r="R276" s="103" t="s">
        <v>153</v>
      </c>
      <c r="S276" s="103" t="str">
        <f>INDEX('Measure &amp; Standard CostIDs'!$AK$8:$AK$12,B276)</f>
        <v>Wtd-Pack</v>
      </c>
      <c r="T276" s="103" t="s">
        <v>867</v>
      </c>
      <c r="U276" s="103"/>
      <c r="V276" s="103"/>
      <c r="W276" s="103">
        <f>ROUND(IF(LEFT(D276,3)="Std",VLOOKUP(D276,'Measure &amp; Standard CostIDs'!$S$5:$X$177,1+B276,FALSE),VLOOKUP(D276,'Measure &amp; Standard CostIDs'!$C$5:$H$177,1+B276,FALSE)),2)</f>
        <v>4.46</v>
      </c>
      <c r="X276" s="103"/>
      <c r="Y276" s="103"/>
      <c r="Z276" s="103" t="s">
        <v>868</v>
      </c>
      <c r="AA276" s="103" t="s">
        <v>874</v>
      </c>
      <c r="AB276" s="103" t="s">
        <v>153</v>
      </c>
      <c r="AC276" s="103">
        <v>0</v>
      </c>
      <c r="AD276" s="156">
        <v>42005</v>
      </c>
      <c r="AE276" s="103"/>
      <c r="AF276" s="103" t="s">
        <v>870</v>
      </c>
      <c r="AG276" s="103" t="s">
        <v>871</v>
      </c>
      <c r="AH276" s="103" t="s">
        <v>872</v>
      </c>
      <c r="AI276" s="103">
        <v>0</v>
      </c>
      <c r="AJ276" s="103"/>
      <c r="AK276" s="103"/>
      <c r="AL276" s="103"/>
      <c r="AM276" s="103"/>
      <c r="AN276" s="103"/>
      <c r="AO276" s="103" t="str">
        <f t="shared" si="9"/>
        <v>Std_CFLscw-Dim(20w)_60pInc-r0248Wtd-Pack</v>
      </c>
    </row>
    <row r="277" spans="1:41">
      <c r="A277" s="177">
        <f>IFERROR(MATCH(D277,'Measure &amp; Standard CostIDs'!C$5:C$177,0),MATCH(D277,'Measure &amp; Standard CostIDs'!S$5:S$177,0))</f>
        <v>113</v>
      </c>
      <c r="B277" s="177">
        <v>1</v>
      </c>
      <c r="C277" s="103" t="s">
        <v>153</v>
      </c>
      <c r="D277" s="103" t="s">
        <v>973</v>
      </c>
      <c r="E277" s="103" t="str">
        <f>IF(LEFT(D277,3)="Std","Base case cost for mix of 60% Incandescent and 40% CFL lamps for CFL TechID: "&amp;INDEX('Measure &amp; Standard CostIDs'!$C$5:$C$177,A277),"&lt;from TechID&gt;")</f>
        <v>Base case cost for mix of 60% Incandescent and 40% CFL lamps for CFL TechID: CFLscw-Dim(23w)</v>
      </c>
      <c r="F277" s="103" t="s">
        <v>860</v>
      </c>
      <c r="G277" s="103" t="s">
        <v>151</v>
      </c>
      <c r="H277" s="103" t="s">
        <v>861</v>
      </c>
      <c r="I277" s="103" t="s">
        <v>862</v>
      </c>
      <c r="J277" s="103" t="s">
        <v>863</v>
      </c>
      <c r="K277" s="103" t="s">
        <v>864</v>
      </c>
      <c r="L277" s="103" t="s">
        <v>153</v>
      </c>
      <c r="M277" s="103" t="s">
        <v>865</v>
      </c>
      <c r="N277" s="103" t="s">
        <v>866</v>
      </c>
      <c r="O277" s="103" t="str">
        <f t="shared" si="8"/>
        <v/>
      </c>
      <c r="P277" s="103" t="s">
        <v>153</v>
      </c>
      <c r="Q277" s="103" t="s">
        <v>153</v>
      </c>
      <c r="R277" s="103" t="s">
        <v>153</v>
      </c>
      <c r="S277" s="103" t="str">
        <f>INDEX('Measure &amp; Standard CostIDs'!$AK$8:$AK$12,B277)</f>
        <v>Wtd-Pack</v>
      </c>
      <c r="T277" s="103" t="s">
        <v>867</v>
      </c>
      <c r="U277" s="103"/>
      <c r="V277" s="103"/>
      <c r="W277" s="103">
        <f>ROUND(IF(LEFT(D277,3)="Std",VLOOKUP(D277,'Measure &amp; Standard CostIDs'!$S$5:$X$177,1+B277,FALSE),VLOOKUP(D277,'Measure &amp; Standard CostIDs'!$C$5:$H$177,1+B277,FALSE)),2)</f>
        <v>4.58</v>
      </c>
      <c r="X277" s="103"/>
      <c r="Y277" s="103"/>
      <c r="Z277" s="103" t="s">
        <v>868</v>
      </c>
      <c r="AA277" s="103" t="s">
        <v>874</v>
      </c>
      <c r="AB277" s="103" t="s">
        <v>153</v>
      </c>
      <c r="AC277" s="103">
        <v>0</v>
      </c>
      <c r="AD277" s="156">
        <v>42005</v>
      </c>
      <c r="AE277" s="103"/>
      <c r="AF277" s="103" t="s">
        <v>870</v>
      </c>
      <c r="AG277" s="103" t="s">
        <v>871</v>
      </c>
      <c r="AH277" s="103" t="s">
        <v>872</v>
      </c>
      <c r="AI277" s="103">
        <v>0</v>
      </c>
      <c r="AJ277" s="103"/>
      <c r="AK277" s="103"/>
      <c r="AL277" s="103"/>
      <c r="AM277" s="103"/>
      <c r="AN277" s="103"/>
      <c r="AO277" s="103" t="str">
        <f t="shared" si="9"/>
        <v>Std_CFLscw-Dim(23w)_60pInc-r0248Wtd-Pack</v>
      </c>
    </row>
    <row r="278" spans="1:41">
      <c r="A278" s="177">
        <f>IFERROR(MATCH(D278,'Measure &amp; Standard CostIDs'!C$5:C$177,0),MATCH(D278,'Measure &amp; Standard CostIDs'!S$5:S$177,0))</f>
        <v>114</v>
      </c>
      <c r="B278" s="177">
        <v>1</v>
      </c>
      <c r="C278" s="103" t="s">
        <v>153</v>
      </c>
      <c r="D278" s="103" t="s">
        <v>974</v>
      </c>
      <c r="E278" s="103" t="str">
        <f>IF(LEFT(D278,3)="Std","Base case cost for mix of 60% Incandescent and 40% CFL lamps for CFL TechID: "&amp;INDEX('Measure &amp; Standard CostIDs'!$C$5:$C$177,A278),"&lt;from TechID&gt;")</f>
        <v>Base case cost for mix of 60% Incandescent and 40% CFL lamps for CFL TechID: CFLscw-Dim(25w)</v>
      </c>
      <c r="F278" s="103" t="s">
        <v>860</v>
      </c>
      <c r="G278" s="103" t="s">
        <v>151</v>
      </c>
      <c r="H278" s="103" t="s">
        <v>861</v>
      </c>
      <c r="I278" s="103" t="s">
        <v>862</v>
      </c>
      <c r="J278" s="103" t="s">
        <v>863</v>
      </c>
      <c r="K278" s="103" t="s">
        <v>864</v>
      </c>
      <c r="L278" s="103" t="s">
        <v>153</v>
      </c>
      <c r="M278" s="103" t="s">
        <v>865</v>
      </c>
      <c r="N278" s="103" t="s">
        <v>866</v>
      </c>
      <c r="O278" s="103" t="str">
        <f t="shared" si="8"/>
        <v/>
      </c>
      <c r="P278" s="103" t="s">
        <v>153</v>
      </c>
      <c r="Q278" s="103" t="s">
        <v>153</v>
      </c>
      <c r="R278" s="103" t="s">
        <v>153</v>
      </c>
      <c r="S278" s="103" t="str">
        <f>INDEX('Measure &amp; Standard CostIDs'!$AK$8:$AK$12,B278)</f>
        <v>Wtd-Pack</v>
      </c>
      <c r="T278" s="103" t="s">
        <v>867</v>
      </c>
      <c r="U278" s="103"/>
      <c r="V278" s="103"/>
      <c r="W278" s="103">
        <f>ROUND(IF(LEFT(D278,3)="Std",VLOOKUP(D278,'Measure &amp; Standard CostIDs'!$S$5:$X$177,1+B278,FALSE),VLOOKUP(D278,'Measure &amp; Standard CostIDs'!$C$5:$H$177,1+B278,FALSE)),2)</f>
        <v>4.63</v>
      </c>
      <c r="X278" s="103"/>
      <c r="Y278" s="103"/>
      <c r="Z278" s="103" t="s">
        <v>868</v>
      </c>
      <c r="AA278" s="103" t="s">
        <v>874</v>
      </c>
      <c r="AB278" s="103" t="s">
        <v>153</v>
      </c>
      <c r="AC278" s="103">
        <v>0</v>
      </c>
      <c r="AD278" s="156">
        <v>42005</v>
      </c>
      <c r="AE278" s="103"/>
      <c r="AF278" s="103" t="s">
        <v>870</v>
      </c>
      <c r="AG278" s="103" t="s">
        <v>871</v>
      </c>
      <c r="AH278" s="103" t="s">
        <v>872</v>
      </c>
      <c r="AI278" s="103">
        <v>0</v>
      </c>
      <c r="AJ278" s="103"/>
      <c r="AK278" s="103"/>
      <c r="AL278" s="103"/>
      <c r="AM278" s="103"/>
      <c r="AN278" s="103"/>
      <c r="AO278" s="103" t="str">
        <f t="shared" si="9"/>
        <v>Std_CFLscw-Dim(25w)_60pInc-r0248Wtd-Pack</v>
      </c>
    </row>
    <row r="279" spans="1:41">
      <c r="A279" s="177">
        <f>IFERROR(MATCH(D279,'Measure &amp; Standard CostIDs'!C$5:C$177,0),MATCH(D279,'Measure &amp; Standard CostIDs'!S$5:S$177,0))</f>
        <v>115</v>
      </c>
      <c r="B279" s="177">
        <v>1</v>
      </c>
      <c r="C279" s="103" t="s">
        <v>153</v>
      </c>
      <c r="D279" s="103" t="s">
        <v>975</v>
      </c>
      <c r="E279" s="103" t="str">
        <f>IF(LEFT(D279,3)="Std","Base case cost for mix of 60% Incandescent and 40% CFL lamps for CFL TechID: "&amp;INDEX('Measure &amp; Standard CostIDs'!$C$5:$C$177,A279),"&lt;from TechID&gt;")</f>
        <v>Base case cost for mix of 60% Incandescent and 40% CFL lamps for CFL TechID: CFLscw-Dim(26w)</v>
      </c>
      <c r="F279" s="103" t="s">
        <v>860</v>
      </c>
      <c r="G279" s="103" t="s">
        <v>151</v>
      </c>
      <c r="H279" s="103" t="s">
        <v>861</v>
      </c>
      <c r="I279" s="103" t="s">
        <v>862</v>
      </c>
      <c r="J279" s="103" t="s">
        <v>863</v>
      </c>
      <c r="K279" s="103" t="s">
        <v>864</v>
      </c>
      <c r="L279" s="103" t="s">
        <v>153</v>
      </c>
      <c r="M279" s="103" t="s">
        <v>865</v>
      </c>
      <c r="N279" s="103" t="s">
        <v>866</v>
      </c>
      <c r="O279" s="103" t="str">
        <f t="shared" si="8"/>
        <v/>
      </c>
      <c r="P279" s="103" t="s">
        <v>153</v>
      </c>
      <c r="Q279" s="103" t="s">
        <v>153</v>
      </c>
      <c r="R279" s="103" t="s">
        <v>153</v>
      </c>
      <c r="S279" s="103" t="str">
        <f>INDEX('Measure &amp; Standard CostIDs'!$AK$8:$AK$12,B279)</f>
        <v>Wtd-Pack</v>
      </c>
      <c r="T279" s="103" t="s">
        <v>867</v>
      </c>
      <c r="U279" s="103"/>
      <c r="V279" s="103"/>
      <c r="W279" s="103">
        <f>ROUND(IF(LEFT(D279,3)="Std",VLOOKUP(D279,'Measure &amp; Standard CostIDs'!$S$5:$X$177,1+B279,FALSE),VLOOKUP(D279,'Measure &amp; Standard CostIDs'!$C$5:$H$177,1+B279,FALSE)),2)</f>
        <v>4.7</v>
      </c>
      <c r="X279" s="103"/>
      <c r="Y279" s="103"/>
      <c r="Z279" s="103" t="s">
        <v>868</v>
      </c>
      <c r="AA279" s="103" t="s">
        <v>874</v>
      </c>
      <c r="AB279" s="103" t="s">
        <v>153</v>
      </c>
      <c r="AC279" s="103">
        <v>0</v>
      </c>
      <c r="AD279" s="156">
        <v>42005</v>
      </c>
      <c r="AE279" s="103"/>
      <c r="AF279" s="103" t="s">
        <v>870</v>
      </c>
      <c r="AG279" s="103" t="s">
        <v>871</v>
      </c>
      <c r="AH279" s="103" t="s">
        <v>976</v>
      </c>
      <c r="AI279" s="103">
        <v>0</v>
      </c>
      <c r="AJ279" s="103"/>
      <c r="AK279" s="103"/>
      <c r="AL279" s="103"/>
      <c r="AM279" s="103"/>
      <c r="AN279" s="103"/>
      <c r="AO279" s="103" t="str">
        <f t="shared" si="9"/>
        <v>Std_CFLscw-Dim(26w)_60pInc-r0248Wtd-Pack</v>
      </c>
    </row>
    <row r="280" spans="1:41">
      <c r="A280" s="177">
        <f>IFERROR(MATCH(D280,'Measure &amp; Standard CostIDs'!C$5:C$177,0),MATCH(D280,'Measure &amp; Standard CostIDs'!S$5:S$177,0))</f>
        <v>116</v>
      </c>
      <c r="B280" s="177">
        <v>1</v>
      </c>
      <c r="C280" s="103" t="s">
        <v>153</v>
      </c>
      <c r="D280" s="103" t="s">
        <v>977</v>
      </c>
      <c r="E280" s="103" t="str">
        <f>IF(LEFT(D280,3)="Std","Base case cost for mix of 60% Incandescent and 40% CFL lamps for CFL TechID: "&amp;INDEX('Measure &amp; Standard CostIDs'!$C$5:$C$177,A280),"&lt;from TechID&gt;")</f>
        <v>Base case cost for mix of 60% Incandescent and 40% CFL lamps for CFL TechID: CFLscw-Dim(28w)</v>
      </c>
      <c r="F280" s="103" t="s">
        <v>860</v>
      </c>
      <c r="G280" s="103" t="s">
        <v>151</v>
      </c>
      <c r="H280" s="103" t="s">
        <v>861</v>
      </c>
      <c r="I280" s="103" t="s">
        <v>862</v>
      </c>
      <c r="J280" s="103" t="s">
        <v>863</v>
      </c>
      <c r="K280" s="103" t="s">
        <v>864</v>
      </c>
      <c r="L280" s="103" t="s">
        <v>153</v>
      </c>
      <c r="M280" s="103" t="s">
        <v>865</v>
      </c>
      <c r="N280" s="103" t="s">
        <v>866</v>
      </c>
      <c r="O280" s="103" t="str">
        <f t="shared" si="8"/>
        <v/>
      </c>
      <c r="P280" s="103" t="s">
        <v>153</v>
      </c>
      <c r="Q280" s="103" t="s">
        <v>153</v>
      </c>
      <c r="R280" s="103" t="s">
        <v>153</v>
      </c>
      <c r="S280" s="103" t="str">
        <f>INDEX('Measure &amp; Standard CostIDs'!$AK$8:$AK$12,B280)</f>
        <v>Wtd-Pack</v>
      </c>
      <c r="T280" s="103" t="s">
        <v>867</v>
      </c>
      <c r="U280" s="103"/>
      <c r="V280" s="103"/>
      <c r="W280" s="103">
        <f>ROUND(IF(LEFT(D280,3)="Std",VLOOKUP(D280,'Measure &amp; Standard CostIDs'!$S$5:$X$177,1+B280,FALSE),VLOOKUP(D280,'Measure &amp; Standard CostIDs'!$C$5:$H$177,1+B280,FALSE)),2)</f>
        <v>4.83</v>
      </c>
      <c r="X280" s="103"/>
      <c r="Y280" s="103"/>
      <c r="Z280" s="103" t="s">
        <v>868</v>
      </c>
      <c r="AA280" s="103" t="s">
        <v>874</v>
      </c>
      <c r="AB280" s="103" t="s">
        <v>153</v>
      </c>
      <c r="AC280" s="103">
        <v>0</v>
      </c>
      <c r="AD280" s="156">
        <v>42005</v>
      </c>
      <c r="AE280" s="103"/>
      <c r="AF280" s="103" t="s">
        <v>870</v>
      </c>
      <c r="AG280" s="103" t="s">
        <v>871</v>
      </c>
      <c r="AH280" s="103" t="s">
        <v>976</v>
      </c>
      <c r="AI280" s="103">
        <v>0</v>
      </c>
      <c r="AJ280" s="103"/>
      <c r="AK280" s="103"/>
      <c r="AL280" s="103"/>
      <c r="AM280" s="103"/>
      <c r="AN280" s="103"/>
      <c r="AO280" s="103" t="str">
        <f t="shared" si="9"/>
        <v>Std_CFLscw-Dim(28w)_60pInc-r0248Wtd-Pack</v>
      </c>
    </row>
    <row r="281" spans="1:41">
      <c r="A281" s="177">
        <f>IFERROR(MATCH(D281,'Measure &amp; Standard CostIDs'!C$5:C$177,0),MATCH(D281,'Measure &amp; Standard CostIDs'!S$5:S$177,0))</f>
        <v>117</v>
      </c>
      <c r="B281" s="177">
        <v>1</v>
      </c>
      <c r="C281" s="103" t="s">
        <v>153</v>
      </c>
      <c r="D281" s="103" t="s">
        <v>978</v>
      </c>
      <c r="E281" s="103" t="str">
        <f>IF(LEFT(D281,3)="Std","Base case cost for mix of 60% Incandescent and 40% CFL lamps for CFL TechID: "&amp;INDEX('Measure &amp; Standard CostIDs'!$C$5:$C$177,A281),"&lt;from TechID&gt;")</f>
        <v>Base case cost for mix of 60% Incandescent and 40% CFL lamps for CFL TechID: CFLscw-Dim(30w)</v>
      </c>
      <c r="F281" s="103" t="s">
        <v>860</v>
      </c>
      <c r="G281" s="103" t="s">
        <v>151</v>
      </c>
      <c r="H281" s="103" t="s">
        <v>861</v>
      </c>
      <c r="I281" s="103" t="s">
        <v>862</v>
      </c>
      <c r="J281" s="103" t="s">
        <v>863</v>
      </c>
      <c r="K281" s="103" t="s">
        <v>864</v>
      </c>
      <c r="L281" s="103" t="s">
        <v>153</v>
      </c>
      <c r="M281" s="103" t="s">
        <v>865</v>
      </c>
      <c r="N281" s="103" t="s">
        <v>866</v>
      </c>
      <c r="O281" s="103" t="str">
        <f t="shared" si="8"/>
        <v/>
      </c>
      <c r="P281" s="103" t="s">
        <v>153</v>
      </c>
      <c r="Q281" s="103" t="s">
        <v>153</v>
      </c>
      <c r="R281" s="103" t="s">
        <v>153</v>
      </c>
      <c r="S281" s="103" t="str">
        <f>INDEX('Measure &amp; Standard CostIDs'!$AK$8:$AK$12,B281)</f>
        <v>Wtd-Pack</v>
      </c>
      <c r="T281" s="103" t="s">
        <v>867</v>
      </c>
      <c r="U281" s="103"/>
      <c r="V281" s="103"/>
      <c r="W281" s="103">
        <f>ROUND(IF(LEFT(D281,3)="Std",VLOOKUP(D281,'Measure &amp; Standard CostIDs'!$S$5:$X$177,1+B281,FALSE),VLOOKUP(D281,'Measure &amp; Standard CostIDs'!$C$5:$H$177,1+B281,FALSE)),2)</f>
        <v>4.96</v>
      </c>
      <c r="X281" s="103"/>
      <c r="Y281" s="103"/>
      <c r="Z281" s="103" t="s">
        <v>868</v>
      </c>
      <c r="AA281" s="103" t="s">
        <v>874</v>
      </c>
      <c r="AB281" s="103" t="s">
        <v>153</v>
      </c>
      <c r="AC281" s="103">
        <v>0</v>
      </c>
      <c r="AD281" s="156">
        <v>42005</v>
      </c>
      <c r="AE281" s="103"/>
      <c r="AF281" s="103" t="s">
        <v>870</v>
      </c>
      <c r="AG281" s="103" t="s">
        <v>871</v>
      </c>
      <c r="AH281" s="103" t="s">
        <v>976</v>
      </c>
      <c r="AI281" s="103">
        <v>0</v>
      </c>
      <c r="AJ281" s="103"/>
      <c r="AK281" s="103"/>
      <c r="AL281" s="103"/>
      <c r="AM281" s="103"/>
      <c r="AN281" s="103"/>
      <c r="AO281" s="103" t="str">
        <f t="shared" si="9"/>
        <v>Std_CFLscw-Dim(30w)_60pInc-r0248Wtd-Pack</v>
      </c>
    </row>
    <row r="282" spans="1:41">
      <c r="A282" s="177">
        <f>IFERROR(MATCH(D282,'Measure &amp; Standard CostIDs'!C$5:C$177,0),MATCH(D282,'Measure &amp; Standard CostIDs'!S$5:S$177,0))</f>
        <v>118</v>
      </c>
      <c r="B282" s="177">
        <v>1</v>
      </c>
      <c r="C282" s="103" t="s">
        <v>153</v>
      </c>
      <c r="D282" s="103" t="s">
        <v>979</v>
      </c>
      <c r="E282" s="103" t="str">
        <f>IF(LEFT(D282,3)="Std","Base case cost for mix of 60% Incandescent and 40% CFL lamps for CFL TechID: "&amp;INDEX('Measure &amp; Standard CostIDs'!$C$5:$C$177,A282),"&lt;from TechID&gt;")</f>
        <v>Base case cost for mix of 60% Incandescent and 40% CFL lamps for CFL TechID: CFLscw-Dim(33w)</v>
      </c>
      <c r="F282" s="103" t="s">
        <v>860</v>
      </c>
      <c r="G282" s="103" t="s">
        <v>151</v>
      </c>
      <c r="H282" s="103" t="s">
        <v>861</v>
      </c>
      <c r="I282" s="103" t="s">
        <v>862</v>
      </c>
      <c r="J282" s="103" t="s">
        <v>863</v>
      </c>
      <c r="K282" s="103" t="s">
        <v>864</v>
      </c>
      <c r="L282" s="103" t="s">
        <v>153</v>
      </c>
      <c r="M282" s="103" t="s">
        <v>865</v>
      </c>
      <c r="N282" s="103" t="s">
        <v>866</v>
      </c>
      <c r="O282" s="103" t="str">
        <f t="shared" si="8"/>
        <v/>
      </c>
      <c r="P282" s="103" t="s">
        <v>153</v>
      </c>
      <c r="Q282" s="103" t="s">
        <v>153</v>
      </c>
      <c r="R282" s="103" t="s">
        <v>153</v>
      </c>
      <c r="S282" s="103" t="str">
        <f>INDEX('Measure &amp; Standard CostIDs'!$AK$8:$AK$12,B282)</f>
        <v>Wtd-Pack</v>
      </c>
      <c r="T282" s="103" t="s">
        <v>867</v>
      </c>
      <c r="U282" s="103"/>
      <c r="V282" s="103"/>
      <c r="W282" s="103">
        <f>ROUND(IF(LEFT(D282,3)="Std",VLOOKUP(D282,'Measure &amp; Standard CostIDs'!$S$5:$X$177,1+B282,FALSE),VLOOKUP(D282,'Measure &amp; Standard CostIDs'!$C$5:$H$177,1+B282,FALSE)),2)</f>
        <v>5.15</v>
      </c>
      <c r="X282" s="103"/>
      <c r="Y282" s="103"/>
      <c r="Z282" s="103" t="s">
        <v>868</v>
      </c>
      <c r="AA282" s="103" t="s">
        <v>874</v>
      </c>
      <c r="AB282" s="103" t="s">
        <v>153</v>
      </c>
      <c r="AC282" s="103">
        <v>0</v>
      </c>
      <c r="AD282" s="156">
        <v>42005</v>
      </c>
      <c r="AE282" s="103"/>
      <c r="AF282" s="103" t="s">
        <v>870</v>
      </c>
      <c r="AG282" s="103" t="s">
        <v>871</v>
      </c>
      <c r="AH282" s="103" t="s">
        <v>976</v>
      </c>
      <c r="AI282" s="103">
        <v>0</v>
      </c>
      <c r="AJ282" s="103"/>
      <c r="AK282" s="103"/>
      <c r="AL282" s="103"/>
      <c r="AM282" s="103"/>
      <c r="AN282" s="103"/>
      <c r="AO282" s="103" t="str">
        <f t="shared" si="9"/>
        <v>Std_CFLscw-Dim(33w)_60pInc-r0248Wtd-Pack</v>
      </c>
    </row>
    <row r="283" spans="1:41">
      <c r="A283" s="177">
        <f>IFERROR(MATCH(D283,'Measure &amp; Standard CostIDs'!C$5:C$177,0),MATCH(D283,'Measure &amp; Standard CostIDs'!S$5:S$177,0))</f>
        <v>119</v>
      </c>
      <c r="B283" s="177">
        <v>1</v>
      </c>
      <c r="C283" s="103" t="s">
        <v>153</v>
      </c>
      <c r="D283" s="103" t="s">
        <v>980</v>
      </c>
      <c r="E283" s="103" t="str">
        <f>IF(LEFT(D283,3)="Std","Base case cost for mix of 60% Incandescent and 40% CFL lamps for CFL TechID: "&amp;INDEX('Measure &amp; Standard CostIDs'!$C$5:$C$177,A283),"&lt;from TechID&gt;")</f>
        <v>Base case cost for mix of 60% Incandescent and 40% CFL lamps for CFL TechID: CFLscw-Dim(35w)</v>
      </c>
      <c r="F283" s="103" t="s">
        <v>860</v>
      </c>
      <c r="G283" s="103" t="s">
        <v>151</v>
      </c>
      <c r="H283" s="103" t="s">
        <v>861</v>
      </c>
      <c r="I283" s="103" t="s">
        <v>862</v>
      </c>
      <c r="J283" s="103" t="s">
        <v>863</v>
      </c>
      <c r="K283" s="103" t="s">
        <v>864</v>
      </c>
      <c r="L283" s="103" t="s">
        <v>153</v>
      </c>
      <c r="M283" s="103" t="s">
        <v>865</v>
      </c>
      <c r="N283" s="103" t="s">
        <v>866</v>
      </c>
      <c r="O283" s="103" t="str">
        <f t="shared" si="8"/>
        <v/>
      </c>
      <c r="P283" s="103" t="s">
        <v>153</v>
      </c>
      <c r="Q283" s="103" t="s">
        <v>153</v>
      </c>
      <c r="R283" s="103" t="s">
        <v>153</v>
      </c>
      <c r="S283" s="103" t="str">
        <f>INDEX('Measure &amp; Standard CostIDs'!$AK$8:$AK$12,B283)</f>
        <v>Wtd-Pack</v>
      </c>
      <c r="T283" s="103" t="s">
        <v>867</v>
      </c>
      <c r="U283" s="103"/>
      <c r="V283" s="103"/>
      <c r="W283" s="103">
        <f>ROUND(IF(LEFT(D283,3)="Std",VLOOKUP(D283,'Measure &amp; Standard CostIDs'!$S$5:$X$177,1+B283,FALSE),VLOOKUP(D283,'Measure &amp; Standard CostIDs'!$C$5:$H$177,1+B283,FALSE)),2)</f>
        <v>5.28</v>
      </c>
      <c r="X283" s="103"/>
      <c r="Y283" s="103"/>
      <c r="Z283" s="103" t="s">
        <v>868</v>
      </c>
      <c r="AA283" s="103" t="s">
        <v>874</v>
      </c>
      <c r="AB283" s="103" t="s">
        <v>153</v>
      </c>
      <c r="AC283" s="103">
        <v>0</v>
      </c>
      <c r="AD283" s="156">
        <v>42005</v>
      </c>
      <c r="AE283" s="103"/>
      <c r="AF283" s="103" t="s">
        <v>870</v>
      </c>
      <c r="AG283" s="103" t="s">
        <v>871</v>
      </c>
      <c r="AH283" s="103" t="s">
        <v>976</v>
      </c>
      <c r="AI283" s="103">
        <v>0</v>
      </c>
      <c r="AJ283" s="103"/>
      <c r="AK283" s="103"/>
      <c r="AL283" s="103"/>
      <c r="AM283" s="103"/>
      <c r="AN283" s="103"/>
      <c r="AO283" s="103" t="str">
        <f t="shared" si="9"/>
        <v>Std_CFLscw-Dim(35w)_60pInc-r0248Wtd-Pack</v>
      </c>
    </row>
    <row r="284" spans="1:41">
      <c r="A284" s="177">
        <f>IFERROR(MATCH(D284,'Measure &amp; Standard CostIDs'!C$5:C$177,0),MATCH(D284,'Measure &amp; Standard CostIDs'!S$5:S$177,0))</f>
        <v>120</v>
      </c>
      <c r="B284" s="177">
        <v>1</v>
      </c>
      <c r="C284" s="103" t="s">
        <v>153</v>
      </c>
      <c r="D284" s="103" t="s">
        <v>981</v>
      </c>
      <c r="E284" s="103" t="str">
        <f>IF(LEFT(D284,3)="Std","Base case cost for mix of 60% Incandescent and 40% CFL lamps for CFL TechID: "&amp;INDEX('Measure &amp; Standard CostIDs'!$C$5:$C$177,A284),"&lt;from TechID&gt;")</f>
        <v>Base case cost for mix of 60% Incandescent and 40% CFL lamps for CFL TechID: CFLscw-Dim(38w)</v>
      </c>
      <c r="F284" s="103" t="s">
        <v>860</v>
      </c>
      <c r="G284" s="103" t="s">
        <v>151</v>
      </c>
      <c r="H284" s="103" t="s">
        <v>861</v>
      </c>
      <c r="I284" s="103" t="s">
        <v>862</v>
      </c>
      <c r="J284" s="103" t="s">
        <v>863</v>
      </c>
      <c r="K284" s="103" t="s">
        <v>864</v>
      </c>
      <c r="L284" s="103" t="s">
        <v>153</v>
      </c>
      <c r="M284" s="103" t="s">
        <v>865</v>
      </c>
      <c r="N284" s="103" t="s">
        <v>866</v>
      </c>
      <c r="O284" s="103" t="str">
        <f t="shared" si="8"/>
        <v/>
      </c>
      <c r="P284" s="103" t="s">
        <v>153</v>
      </c>
      <c r="Q284" s="103" t="s">
        <v>153</v>
      </c>
      <c r="R284" s="103" t="s">
        <v>153</v>
      </c>
      <c r="S284" s="103" t="str">
        <f>INDEX('Measure &amp; Standard CostIDs'!$AK$8:$AK$12,B284)</f>
        <v>Wtd-Pack</v>
      </c>
      <c r="T284" s="103" t="s">
        <v>867</v>
      </c>
      <c r="U284" s="103"/>
      <c r="V284" s="103"/>
      <c r="W284" s="103">
        <f>ROUND(IF(LEFT(D284,3)="Std",VLOOKUP(D284,'Measure &amp; Standard CostIDs'!$S$5:$X$177,1+B284,FALSE),VLOOKUP(D284,'Measure &amp; Standard CostIDs'!$C$5:$H$177,1+B284,FALSE)),2)</f>
        <v>5.47</v>
      </c>
      <c r="X284" s="103"/>
      <c r="Y284" s="103"/>
      <c r="Z284" s="103" t="s">
        <v>868</v>
      </c>
      <c r="AA284" s="103" t="s">
        <v>874</v>
      </c>
      <c r="AB284" s="103" t="s">
        <v>153</v>
      </c>
      <c r="AC284" s="103">
        <v>0</v>
      </c>
      <c r="AD284" s="156">
        <v>42005</v>
      </c>
      <c r="AE284" s="103"/>
      <c r="AF284" s="103" t="s">
        <v>870</v>
      </c>
      <c r="AG284" s="103" t="s">
        <v>871</v>
      </c>
      <c r="AH284" s="103" t="s">
        <v>976</v>
      </c>
      <c r="AI284" s="103">
        <v>0</v>
      </c>
      <c r="AJ284" s="103"/>
      <c r="AK284" s="103"/>
      <c r="AL284" s="103"/>
      <c r="AM284" s="103"/>
      <c r="AN284" s="103"/>
      <c r="AO284" s="103" t="str">
        <f t="shared" si="9"/>
        <v>Std_CFLscw-Dim(38w)_60pInc-r0248Wtd-Pack</v>
      </c>
    </row>
    <row r="285" spans="1:41">
      <c r="A285" s="177">
        <f>IFERROR(MATCH(D285,'Measure &amp; Standard CostIDs'!C$5:C$177,0),MATCH(D285,'Measure &amp; Standard CostIDs'!S$5:S$177,0))</f>
        <v>121</v>
      </c>
      <c r="B285" s="177">
        <v>1</v>
      </c>
      <c r="C285" s="103" t="s">
        <v>153</v>
      </c>
      <c r="D285" s="103" t="s">
        <v>982</v>
      </c>
      <c r="E285" s="103" t="str">
        <f>IF(LEFT(D285,3)="Std","Base case cost for mix of 60% Incandescent and 40% CFL lamps for CFL TechID: "&amp;INDEX('Measure &amp; Standard CostIDs'!$C$5:$C$177,A285),"&lt;from TechID&gt;")</f>
        <v>Base case cost for mix of 60% Incandescent and 40% CFL lamps for CFL TechID: CFLscw-Dim(40w)</v>
      </c>
      <c r="F285" s="103" t="s">
        <v>860</v>
      </c>
      <c r="G285" s="103" t="s">
        <v>151</v>
      </c>
      <c r="H285" s="103" t="s">
        <v>861</v>
      </c>
      <c r="I285" s="103" t="s">
        <v>862</v>
      </c>
      <c r="J285" s="103" t="s">
        <v>863</v>
      </c>
      <c r="K285" s="103" t="s">
        <v>864</v>
      </c>
      <c r="L285" s="103" t="s">
        <v>153</v>
      </c>
      <c r="M285" s="103" t="s">
        <v>865</v>
      </c>
      <c r="N285" s="103" t="s">
        <v>866</v>
      </c>
      <c r="O285" s="103" t="str">
        <f t="shared" si="8"/>
        <v/>
      </c>
      <c r="P285" s="103" t="s">
        <v>153</v>
      </c>
      <c r="Q285" s="103" t="s">
        <v>153</v>
      </c>
      <c r="R285" s="103" t="s">
        <v>153</v>
      </c>
      <c r="S285" s="103" t="str">
        <f>INDEX('Measure &amp; Standard CostIDs'!$AK$8:$AK$12,B285)</f>
        <v>Wtd-Pack</v>
      </c>
      <c r="T285" s="103" t="s">
        <v>867</v>
      </c>
      <c r="U285" s="103"/>
      <c r="V285" s="103"/>
      <c r="W285" s="103">
        <f>ROUND(IF(LEFT(D285,3)="Std",VLOOKUP(D285,'Measure &amp; Standard CostIDs'!$S$5:$X$177,1+B285,FALSE),VLOOKUP(D285,'Measure &amp; Standard CostIDs'!$C$5:$H$177,1+B285,FALSE)),2)</f>
        <v>5.6</v>
      </c>
      <c r="X285" s="103"/>
      <c r="Y285" s="103"/>
      <c r="Z285" s="103" t="s">
        <v>868</v>
      </c>
      <c r="AA285" s="103" t="s">
        <v>874</v>
      </c>
      <c r="AB285" s="103" t="s">
        <v>153</v>
      </c>
      <c r="AC285" s="103">
        <v>0</v>
      </c>
      <c r="AD285" s="156">
        <v>42005</v>
      </c>
      <c r="AE285" s="103"/>
      <c r="AF285" s="103" t="s">
        <v>870</v>
      </c>
      <c r="AG285" s="103" t="s">
        <v>871</v>
      </c>
      <c r="AH285" s="103" t="s">
        <v>976</v>
      </c>
      <c r="AI285" s="103">
        <v>0</v>
      </c>
      <c r="AJ285" s="103"/>
      <c r="AK285" s="103"/>
      <c r="AL285" s="103"/>
      <c r="AM285" s="103"/>
      <c r="AN285" s="103"/>
      <c r="AO285" s="103" t="str">
        <f t="shared" si="9"/>
        <v>Std_CFLscw-Dim(40w)_60pInc-r0248Wtd-Pack</v>
      </c>
    </row>
    <row r="286" spans="1:41">
      <c r="A286" s="177">
        <f>IFERROR(MATCH(D286,'Measure &amp; Standard CostIDs'!C$5:C$177,0),MATCH(D286,'Measure &amp; Standard CostIDs'!S$5:S$177,0))</f>
        <v>125</v>
      </c>
      <c r="B286" s="177">
        <v>1</v>
      </c>
      <c r="C286" s="103" t="s">
        <v>153</v>
      </c>
      <c r="D286" s="103" t="s">
        <v>983</v>
      </c>
      <c r="E286" s="103" t="str">
        <f>IF(LEFT(D286,3)="Std","Base case cost for mix of 60% Incandescent and 40% CFL lamps for CFL TechID: "&amp;INDEX('Measure &amp; Standard CostIDs'!$C$5:$C$177,A286),"&lt;from TechID&gt;")</f>
        <v>Base case cost for mix of 60% Incandescent and 40% CFL lamps for CFL TechID: CFLscw-Glb(10w)</v>
      </c>
      <c r="F286" s="103" t="s">
        <v>860</v>
      </c>
      <c r="G286" s="103" t="s">
        <v>151</v>
      </c>
      <c r="H286" s="103" t="s">
        <v>861</v>
      </c>
      <c r="I286" s="103" t="s">
        <v>862</v>
      </c>
      <c r="J286" s="103" t="s">
        <v>863</v>
      </c>
      <c r="K286" s="103" t="s">
        <v>864</v>
      </c>
      <c r="L286" s="103" t="s">
        <v>153</v>
      </c>
      <c r="M286" s="103" t="s">
        <v>865</v>
      </c>
      <c r="N286" s="103" t="s">
        <v>866</v>
      </c>
      <c r="O286" s="103" t="str">
        <f t="shared" si="8"/>
        <v/>
      </c>
      <c r="P286" s="103" t="s">
        <v>153</v>
      </c>
      <c r="Q286" s="103" t="s">
        <v>153</v>
      </c>
      <c r="R286" s="103" t="s">
        <v>153</v>
      </c>
      <c r="S286" s="103" t="str">
        <f>INDEX('Measure &amp; Standard CostIDs'!$AK$8:$AK$12,B286)</f>
        <v>Wtd-Pack</v>
      </c>
      <c r="T286" s="103" t="s">
        <v>867</v>
      </c>
      <c r="U286" s="103"/>
      <c r="V286" s="103"/>
      <c r="W286" s="103">
        <f>ROUND(IF(LEFT(D286,3)="Std",VLOOKUP(D286,'Measure &amp; Standard CostIDs'!$S$5:$X$177,1+B286,FALSE),VLOOKUP(D286,'Measure &amp; Standard CostIDs'!$C$5:$H$177,1+B286,FALSE)),2)</f>
        <v>5.77</v>
      </c>
      <c r="X286" s="103"/>
      <c r="Y286" s="103"/>
      <c r="Z286" s="103" t="s">
        <v>868</v>
      </c>
      <c r="AA286" s="103" t="s">
        <v>874</v>
      </c>
      <c r="AB286" s="103" t="s">
        <v>153</v>
      </c>
      <c r="AC286" s="103">
        <v>0</v>
      </c>
      <c r="AD286" s="156">
        <v>42005</v>
      </c>
      <c r="AE286" s="103"/>
      <c r="AF286" s="103" t="s">
        <v>870</v>
      </c>
      <c r="AG286" s="103" t="s">
        <v>871</v>
      </c>
      <c r="AH286" s="103" t="s">
        <v>976</v>
      </c>
      <c r="AI286" s="103">
        <v>0</v>
      </c>
      <c r="AJ286" s="103"/>
      <c r="AK286" s="103"/>
      <c r="AL286" s="103"/>
      <c r="AM286" s="103"/>
      <c r="AN286" s="103"/>
      <c r="AO286" s="103" t="str">
        <f t="shared" si="9"/>
        <v>Std_CFLscw-Glb(10w)_60pInc-r0248Wtd-Pack</v>
      </c>
    </row>
    <row r="287" spans="1:41">
      <c r="A287" s="177">
        <f>IFERROR(MATCH(D287,'Measure &amp; Standard CostIDs'!C$5:C$177,0),MATCH(D287,'Measure &amp; Standard CostIDs'!S$5:S$177,0))</f>
        <v>126</v>
      </c>
      <c r="B287" s="177">
        <v>1</v>
      </c>
      <c r="C287" s="103" t="s">
        <v>153</v>
      </c>
      <c r="D287" s="103" t="s">
        <v>984</v>
      </c>
      <c r="E287" s="103" t="str">
        <f>IF(LEFT(D287,3)="Std","Base case cost for mix of 60% Incandescent and 40% CFL lamps for CFL TechID: "&amp;INDEX('Measure &amp; Standard CostIDs'!$C$5:$C$177,A287),"&lt;from TechID&gt;")</f>
        <v>Base case cost for mix of 60% Incandescent and 40% CFL lamps for CFL TechID: CFLscw-Glb(11w)</v>
      </c>
      <c r="F287" s="103" t="s">
        <v>860</v>
      </c>
      <c r="G287" s="103" t="s">
        <v>151</v>
      </c>
      <c r="H287" s="103" t="s">
        <v>861</v>
      </c>
      <c r="I287" s="103" t="s">
        <v>862</v>
      </c>
      <c r="J287" s="103" t="s">
        <v>863</v>
      </c>
      <c r="K287" s="103" t="s">
        <v>864</v>
      </c>
      <c r="L287" s="103" t="s">
        <v>153</v>
      </c>
      <c r="M287" s="103" t="s">
        <v>865</v>
      </c>
      <c r="N287" s="103" t="s">
        <v>866</v>
      </c>
      <c r="O287" s="103" t="str">
        <f t="shared" si="8"/>
        <v/>
      </c>
      <c r="P287" s="103" t="s">
        <v>153</v>
      </c>
      <c r="Q287" s="103" t="s">
        <v>153</v>
      </c>
      <c r="R287" s="103" t="s">
        <v>153</v>
      </c>
      <c r="S287" s="103" t="str">
        <f>INDEX('Measure &amp; Standard CostIDs'!$AK$8:$AK$12,B287)</f>
        <v>Wtd-Pack</v>
      </c>
      <c r="T287" s="103" t="s">
        <v>867</v>
      </c>
      <c r="U287" s="103"/>
      <c r="V287" s="103"/>
      <c r="W287" s="103">
        <f>ROUND(IF(LEFT(D287,3)="Std",VLOOKUP(D287,'Measure &amp; Standard CostIDs'!$S$5:$X$177,1+B287,FALSE),VLOOKUP(D287,'Measure &amp; Standard CostIDs'!$C$5:$H$177,1+B287,FALSE)),2)</f>
        <v>5.77</v>
      </c>
      <c r="X287" s="103"/>
      <c r="Y287" s="103"/>
      <c r="Z287" s="103" t="s">
        <v>868</v>
      </c>
      <c r="AA287" s="103" t="s">
        <v>874</v>
      </c>
      <c r="AB287" s="103" t="s">
        <v>153</v>
      </c>
      <c r="AC287" s="103">
        <v>0</v>
      </c>
      <c r="AD287" s="156">
        <v>42005</v>
      </c>
      <c r="AE287" s="103"/>
      <c r="AF287" s="103" t="s">
        <v>870</v>
      </c>
      <c r="AG287" s="103" t="s">
        <v>871</v>
      </c>
      <c r="AH287" s="103" t="s">
        <v>976</v>
      </c>
      <c r="AI287" s="103">
        <v>0</v>
      </c>
      <c r="AJ287" s="103"/>
      <c r="AK287" s="103"/>
      <c r="AL287" s="103"/>
      <c r="AM287" s="103"/>
      <c r="AN287" s="103"/>
      <c r="AO287" s="103" t="str">
        <f t="shared" si="9"/>
        <v>Std_CFLscw-Glb(11w)_60pInc-r0248Wtd-Pack</v>
      </c>
    </row>
    <row r="288" spans="1:41">
      <c r="A288" s="177">
        <f>IFERROR(MATCH(D288,'Measure &amp; Standard CostIDs'!C$5:C$177,0),MATCH(D288,'Measure &amp; Standard CostIDs'!S$5:S$177,0))</f>
        <v>127</v>
      </c>
      <c r="B288" s="177">
        <v>1</v>
      </c>
      <c r="C288" s="103" t="s">
        <v>153</v>
      </c>
      <c r="D288" s="103" t="s">
        <v>985</v>
      </c>
      <c r="E288" s="103" t="str">
        <f>IF(LEFT(D288,3)="Std","Base case cost for mix of 60% Incandescent and 40% CFL lamps for CFL TechID: "&amp;INDEX('Measure &amp; Standard CostIDs'!$C$5:$C$177,A288),"&lt;from TechID&gt;")</f>
        <v>Base case cost for mix of 60% Incandescent and 40% CFL lamps for CFL TechID: CFLscw-Glb(12w)</v>
      </c>
      <c r="F288" s="103" t="s">
        <v>860</v>
      </c>
      <c r="G288" s="103" t="s">
        <v>151</v>
      </c>
      <c r="H288" s="103" t="s">
        <v>861</v>
      </c>
      <c r="I288" s="103" t="s">
        <v>862</v>
      </c>
      <c r="J288" s="103" t="s">
        <v>863</v>
      </c>
      <c r="K288" s="103" t="s">
        <v>864</v>
      </c>
      <c r="L288" s="103" t="s">
        <v>153</v>
      </c>
      <c r="M288" s="103" t="s">
        <v>865</v>
      </c>
      <c r="N288" s="103" t="s">
        <v>866</v>
      </c>
      <c r="O288" s="103" t="str">
        <f t="shared" si="8"/>
        <v/>
      </c>
      <c r="P288" s="103" t="s">
        <v>153</v>
      </c>
      <c r="Q288" s="103" t="s">
        <v>153</v>
      </c>
      <c r="R288" s="103" t="s">
        <v>153</v>
      </c>
      <c r="S288" s="103" t="str">
        <f>INDEX('Measure &amp; Standard CostIDs'!$AK$8:$AK$12,B288)</f>
        <v>Wtd-Pack</v>
      </c>
      <c r="T288" s="103" t="s">
        <v>867</v>
      </c>
      <c r="U288" s="103"/>
      <c r="V288" s="103"/>
      <c r="W288" s="103">
        <f>ROUND(IF(LEFT(D288,3)="Std",VLOOKUP(D288,'Measure &amp; Standard CostIDs'!$S$5:$X$177,1+B288,FALSE),VLOOKUP(D288,'Measure &amp; Standard CostIDs'!$C$5:$H$177,1+B288,FALSE)),2)</f>
        <v>5.79</v>
      </c>
      <c r="X288" s="103"/>
      <c r="Y288" s="103"/>
      <c r="Z288" s="103" t="s">
        <v>868</v>
      </c>
      <c r="AA288" s="103" t="s">
        <v>874</v>
      </c>
      <c r="AB288" s="103" t="s">
        <v>153</v>
      </c>
      <c r="AC288" s="103">
        <v>0</v>
      </c>
      <c r="AD288" s="156">
        <v>42005</v>
      </c>
      <c r="AE288" s="103"/>
      <c r="AF288" s="103" t="s">
        <v>870</v>
      </c>
      <c r="AG288" s="103" t="s">
        <v>871</v>
      </c>
      <c r="AH288" s="103" t="s">
        <v>976</v>
      </c>
      <c r="AI288" s="103">
        <v>0</v>
      </c>
      <c r="AJ288" s="103"/>
      <c r="AK288" s="103"/>
      <c r="AL288" s="103"/>
      <c r="AM288" s="103"/>
      <c r="AN288" s="103"/>
      <c r="AO288" s="103" t="str">
        <f t="shared" si="9"/>
        <v>Std_CFLscw-Glb(12w)_60pInc-r0248Wtd-Pack</v>
      </c>
    </row>
    <row r="289" spans="1:41">
      <c r="A289" s="177">
        <f>IFERROR(MATCH(D289,'Measure &amp; Standard CostIDs'!C$5:C$177,0),MATCH(D289,'Measure &amp; Standard CostIDs'!S$5:S$177,0))</f>
        <v>128</v>
      </c>
      <c r="B289" s="177">
        <v>1</v>
      </c>
      <c r="C289" s="103" t="s">
        <v>153</v>
      </c>
      <c r="D289" s="103" t="s">
        <v>986</v>
      </c>
      <c r="E289" s="103" t="str">
        <f>IF(LEFT(D289,3)="Std","Base case cost for mix of 60% Incandescent and 40% CFL lamps for CFL TechID: "&amp;INDEX('Measure &amp; Standard CostIDs'!$C$5:$C$177,A289),"&lt;from TechID&gt;")</f>
        <v>Base case cost for mix of 60% Incandescent and 40% CFL lamps for CFL TechID: CFLscw-Glb(13w)</v>
      </c>
      <c r="F289" s="103" t="s">
        <v>860</v>
      </c>
      <c r="G289" s="103" t="s">
        <v>151</v>
      </c>
      <c r="H289" s="103" t="s">
        <v>861</v>
      </c>
      <c r="I289" s="103" t="s">
        <v>862</v>
      </c>
      <c r="J289" s="103" t="s">
        <v>863</v>
      </c>
      <c r="K289" s="103" t="s">
        <v>864</v>
      </c>
      <c r="L289" s="103" t="s">
        <v>153</v>
      </c>
      <c r="M289" s="103" t="s">
        <v>865</v>
      </c>
      <c r="N289" s="103" t="s">
        <v>866</v>
      </c>
      <c r="O289" s="103" t="str">
        <f t="shared" si="8"/>
        <v/>
      </c>
      <c r="P289" s="103" t="s">
        <v>153</v>
      </c>
      <c r="Q289" s="103" t="s">
        <v>153</v>
      </c>
      <c r="R289" s="103" t="s">
        <v>153</v>
      </c>
      <c r="S289" s="103" t="str">
        <f>INDEX('Measure &amp; Standard CostIDs'!$AK$8:$AK$12,B289)</f>
        <v>Wtd-Pack</v>
      </c>
      <c r="T289" s="103" t="s">
        <v>867</v>
      </c>
      <c r="U289" s="103"/>
      <c r="V289" s="103"/>
      <c r="W289" s="103">
        <f>ROUND(IF(LEFT(D289,3)="Std",VLOOKUP(D289,'Measure &amp; Standard CostIDs'!$S$5:$X$177,1+B289,FALSE),VLOOKUP(D289,'Measure &amp; Standard CostIDs'!$C$5:$H$177,1+B289,FALSE)),2)</f>
        <v>5.79</v>
      </c>
      <c r="X289" s="103"/>
      <c r="Y289" s="103"/>
      <c r="Z289" s="103" t="s">
        <v>868</v>
      </c>
      <c r="AA289" s="103" t="s">
        <v>874</v>
      </c>
      <c r="AB289" s="103" t="s">
        <v>153</v>
      </c>
      <c r="AC289" s="103">
        <v>0</v>
      </c>
      <c r="AD289" s="156">
        <v>42005</v>
      </c>
      <c r="AE289" s="103"/>
      <c r="AF289" s="103" t="s">
        <v>870</v>
      </c>
      <c r="AG289" s="103" t="s">
        <v>871</v>
      </c>
      <c r="AH289" s="103" t="s">
        <v>976</v>
      </c>
      <c r="AI289" s="103">
        <v>0</v>
      </c>
      <c r="AJ289" s="103"/>
      <c r="AK289" s="103"/>
      <c r="AL289" s="103"/>
      <c r="AM289" s="103"/>
      <c r="AN289" s="103"/>
      <c r="AO289" s="103" t="str">
        <f t="shared" si="9"/>
        <v>Std_CFLscw-Glb(13w)_60pInc-r0248Wtd-Pack</v>
      </c>
    </row>
    <row r="290" spans="1:41">
      <c r="A290" s="177">
        <f>IFERROR(MATCH(D290,'Measure &amp; Standard CostIDs'!C$5:C$177,0),MATCH(D290,'Measure &amp; Standard CostIDs'!S$5:S$177,0))</f>
        <v>129</v>
      </c>
      <c r="B290" s="177">
        <v>1</v>
      </c>
      <c r="C290" s="103" t="s">
        <v>153</v>
      </c>
      <c r="D290" s="103" t="s">
        <v>987</v>
      </c>
      <c r="E290" s="103" t="str">
        <f>IF(LEFT(D290,3)="Std","Base case cost for mix of 60% Incandescent and 40% CFL lamps for CFL TechID: "&amp;INDEX('Measure &amp; Standard CostIDs'!$C$5:$C$177,A290),"&lt;from TechID&gt;")</f>
        <v>Base case cost for mix of 60% Incandescent and 40% CFL lamps for CFL TechID: CFLscw-Glb(14w)</v>
      </c>
      <c r="F290" s="103" t="s">
        <v>860</v>
      </c>
      <c r="G290" s="103" t="s">
        <v>151</v>
      </c>
      <c r="H290" s="103" t="s">
        <v>861</v>
      </c>
      <c r="I290" s="103" t="s">
        <v>862</v>
      </c>
      <c r="J290" s="103" t="s">
        <v>863</v>
      </c>
      <c r="K290" s="103" t="s">
        <v>864</v>
      </c>
      <c r="L290" s="103" t="s">
        <v>153</v>
      </c>
      <c r="M290" s="103" t="s">
        <v>865</v>
      </c>
      <c r="N290" s="103" t="s">
        <v>866</v>
      </c>
      <c r="O290" s="103" t="str">
        <f t="shared" si="8"/>
        <v/>
      </c>
      <c r="P290" s="103" t="s">
        <v>153</v>
      </c>
      <c r="Q290" s="103" t="s">
        <v>153</v>
      </c>
      <c r="R290" s="103" t="s">
        <v>153</v>
      </c>
      <c r="S290" s="103" t="str">
        <f>INDEX('Measure &amp; Standard CostIDs'!$AK$8:$AK$12,B290)</f>
        <v>Wtd-Pack</v>
      </c>
      <c r="T290" s="103" t="s">
        <v>867</v>
      </c>
      <c r="U290" s="103"/>
      <c r="V290" s="103"/>
      <c r="W290" s="103">
        <f>ROUND(IF(LEFT(D290,3)="Std",VLOOKUP(D290,'Measure &amp; Standard CostIDs'!$S$5:$X$177,1+B290,FALSE),VLOOKUP(D290,'Measure &amp; Standard CostIDs'!$C$5:$H$177,1+B290,FALSE)),2)</f>
        <v>5.8</v>
      </c>
      <c r="X290" s="103"/>
      <c r="Y290" s="103"/>
      <c r="Z290" s="103" t="s">
        <v>868</v>
      </c>
      <c r="AA290" s="103" t="s">
        <v>874</v>
      </c>
      <c r="AB290" s="103" t="s">
        <v>153</v>
      </c>
      <c r="AC290" s="103">
        <v>0</v>
      </c>
      <c r="AD290" s="156">
        <v>42005</v>
      </c>
      <c r="AE290" s="103"/>
      <c r="AF290" s="103" t="s">
        <v>870</v>
      </c>
      <c r="AG290" s="103" t="s">
        <v>871</v>
      </c>
      <c r="AH290" s="103" t="s">
        <v>976</v>
      </c>
      <c r="AI290" s="103">
        <v>0</v>
      </c>
      <c r="AJ290" s="103"/>
      <c r="AK290" s="103"/>
      <c r="AL290" s="103"/>
      <c r="AM290" s="103"/>
      <c r="AN290" s="103"/>
      <c r="AO290" s="103" t="str">
        <f t="shared" si="9"/>
        <v>Std_CFLscw-Glb(14w)_60pInc-r0248Wtd-Pack</v>
      </c>
    </row>
    <row r="291" spans="1:41">
      <c r="A291" s="177">
        <f>IFERROR(MATCH(D291,'Measure &amp; Standard CostIDs'!C$5:C$177,0),MATCH(D291,'Measure &amp; Standard CostIDs'!S$5:S$177,0))</f>
        <v>130</v>
      </c>
      <c r="B291" s="177">
        <v>1</v>
      </c>
      <c r="C291" s="103" t="s">
        <v>153</v>
      </c>
      <c r="D291" s="103" t="s">
        <v>988</v>
      </c>
      <c r="E291" s="103" t="str">
        <f>IF(LEFT(D291,3)="Std","Base case cost for mix of 60% Incandescent and 40% CFL lamps for CFL TechID: "&amp;INDEX('Measure &amp; Standard CostIDs'!$C$5:$C$177,A291),"&lt;from TechID&gt;")</f>
        <v>Base case cost for mix of 60% Incandescent and 40% CFL lamps for CFL TechID: CFLscw-Glb(15w)</v>
      </c>
      <c r="F291" s="103" t="s">
        <v>860</v>
      </c>
      <c r="G291" s="103" t="s">
        <v>151</v>
      </c>
      <c r="H291" s="103" t="s">
        <v>861</v>
      </c>
      <c r="I291" s="103" t="s">
        <v>862</v>
      </c>
      <c r="J291" s="103" t="s">
        <v>863</v>
      </c>
      <c r="K291" s="103" t="s">
        <v>864</v>
      </c>
      <c r="L291" s="103" t="s">
        <v>153</v>
      </c>
      <c r="M291" s="103" t="s">
        <v>865</v>
      </c>
      <c r="N291" s="103" t="s">
        <v>866</v>
      </c>
      <c r="O291" s="103" t="str">
        <f t="shared" si="8"/>
        <v/>
      </c>
      <c r="P291" s="103" t="s">
        <v>153</v>
      </c>
      <c r="Q291" s="103" t="s">
        <v>153</v>
      </c>
      <c r="R291" s="103" t="s">
        <v>153</v>
      </c>
      <c r="S291" s="103" t="str">
        <f>INDEX('Measure &amp; Standard CostIDs'!$AK$8:$AK$12,B291)</f>
        <v>Wtd-Pack</v>
      </c>
      <c r="T291" s="103" t="s">
        <v>867</v>
      </c>
      <c r="U291" s="103"/>
      <c r="V291" s="103"/>
      <c r="W291" s="103">
        <f>ROUND(IF(LEFT(D291,3)="Std",VLOOKUP(D291,'Measure &amp; Standard CostIDs'!$S$5:$X$177,1+B291,FALSE),VLOOKUP(D291,'Measure &amp; Standard CostIDs'!$C$5:$H$177,1+B291,FALSE)),2)</f>
        <v>5.81</v>
      </c>
      <c r="X291" s="103"/>
      <c r="Y291" s="103"/>
      <c r="Z291" s="103" t="s">
        <v>868</v>
      </c>
      <c r="AA291" s="103" t="s">
        <v>874</v>
      </c>
      <c r="AB291" s="103" t="s">
        <v>153</v>
      </c>
      <c r="AC291" s="103">
        <v>0</v>
      </c>
      <c r="AD291" s="156">
        <v>42005</v>
      </c>
      <c r="AE291" s="103"/>
      <c r="AF291" s="103" t="s">
        <v>870</v>
      </c>
      <c r="AG291" s="103" t="s">
        <v>871</v>
      </c>
      <c r="AH291" s="103" t="s">
        <v>976</v>
      </c>
      <c r="AI291" s="103">
        <v>0</v>
      </c>
      <c r="AJ291" s="103"/>
      <c r="AK291" s="103"/>
      <c r="AL291" s="103"/>
      <c r="AM291" s="103"/>
      <c r="AN291" s="103"/>
      <c r="AO291" s="103" t="str">
        <f t="shared" si="9"/>
        <v>Std_CFLscw-Glb(15w)_60pInc-r0248Wtd-Pack</v>
      </c>
    </row>
    <row r="292" spans="1:41">
      <c r="A292" s="177">
        <f>IFERROR(MATCH(D292,'Measure &amp; Standard CostIDs'!C$5:C$177,0),MATCH(D292,'Measure &amp; Standard CostIDs'!S$5:S$177,0))</f>
        <v>131</v>
      </c>
      <c r="B292" s="177">
        <v>1</v>
      </c>
      <c r="C292" s="103" t="s">
        <v>153</v>
      </c>
      <c r="D292" s="103" t="s">
        <v>989</v>
      </c>
      <c r="E292" s="103" t="str">
        <f>IF(LEFT(D292,3)="Std","Base case cost for mix of 60% Incandescent and 40% CFL lamps for CFL TechID: "&amp;INDEX('Measure &amp; Standard CostIDs'!$C$5:$C$177,A292),"&lt;from TechID&gt;")</f>
        <v>Base case cost for mix of 60% Incandescent and 40% CFL lamps for CFL TechID: CFLscw-Glb(16w)</v>
      </c>
      <c r="F292" s="103" t="s">
        <v>860</v>
      </c>
      <c r="G292" s="103" t="s">
        <v>151</v>
      </c>
      <c r="H292" s="103" t="s">
        <v>861</v>
      </c>
      <c r="I292" s="103" t="s">
        <v>862</v>
      </c>
      <c r="J292" s="103" t="s">
        <v>863</v>
      </c>
      <c r="K292" s="103" t="s">
        <v>864</v>
      </c>
      <c r="L292" s="103" t="s">
        <v>153</v>
      </c>
      <c r="M292" s="103" t="s">
        <v>865</v>
      </c>
      <c r="N292" s="103" t="s">
        <v>866</v>
      </c>
      <c r="O292" s="103" t="str">
        <f t="shared" si="8"/>
        <v/>
      </c>
      <c r="P292" s="103" t="s">
        <v>153</v>
      </c>
      <c r="Q292" s="103" t="s">
        <v>153</v>
      </c>
      <c r="R292" s="103" t="s">
        <v>153</v>
      </c>
      <c r="S292" s="103" t="str">
        <f>INDEX('Measure &amp; Standard CostIDs'!$AK$8:$AK$12,B292)</f>
        <v>Wtd-Pack</v>
      </c>
      <c r="T292" s="103" t="s">
        <v>867</v>
      </c>
      <c r="U292" s="103"/>
      <c r="V292" s="103"/>
      <c r="W292" s="103">
        <f>ROUND(IF(LEFT(D292,3)="Std",VLOOKUP(D292,'Measure &amp; Standard CostIDs'!$S$5:$X$177,1+B292,FALSE),VLOOKUP(D292,'Measure &amp; Standard CostIDs'!$C$5:$H$177,1+B292,FALSE)),2)</f>
        <v>5.82</v>
      </c>
      <c r="X292" s="103"/>
      <c r="Y292" s="103"/>
      <c r="Z292" s="103" t="s">
        <v>868</v>
      </c>
      <c r="AA292" s="103" t="s">
        <v>874</v>
      </c>
      <c r="AB292" s="103" t="s">
        <v>153</v>
      </c>
      <c r="AC292" s="103">
        <v>0</v>
      </c>
      <c r="AD292" s="156">
        <v>42005</v>
      </c>
      <c r="AE292" s="103"/>
      <c r="AF292" s="103" t="s">
        <v>870</v>
      </c>
      <c r="AG292" s="103" t="s">
        <v>871</v>
      </c>
      <c r="AH292" s="103" t="s">
        <v>976</v>
      </c>
      <c r="AI292" s="103">
        <v>0</v>
      </c>
      <c r="AJ292" s="103"/>
      <c r="AK292" s="103"/>
      <c r="AL292" s="103"/>
      <c r="AM292" s="103"/>
      <c r="AN292" s="103"/>
      <c r="AO292" s="103" t="str">
        <f t="shared" si="9"/>
        <v>Std_CFLscw-Glb(16w)_60pInc-r0248Wtd-Pack</v>
      </c>
    </row>
    <row r="293" spans="1:41">
      <c r="A293" s="177">
        <f>IFERROR(MATCH(D293,'Measure &amp; Standard CostIDs'!C$5:C$177,0),MATCH(D293,'Measure &amp; Standard CostIDs'!S$5:S$177,0))</f>
        <v>132</v>
      </c>
      <c r="B293" s="177">
        <v>1</v>
      </c>
      <c r="C293" s="103" t="s">
        <v>153</v>
      </c>
      <c r="D293" s="103" t="s">
        <v>990</v>
      </c>
      <c r="E293" s="103" t="str">
        <f>IF(LEFT(D293,3)="Std","Base case cost for mix of 60% Incandescent and 40% CFL lamps for CFL TechID: "&amp;INDEX('Measure &amp; Standard CostIDs'!$C$5:$C$177,A293),"&lt;from TechID&gt;")</f>
        <v>Base case cost for mix of 60% Incandescent and 40% CFL lamps for CFL TechID: CFLscw-Glb(18w)</v>
      </c>
      <c r="F293" s="103" t="s">
        <v>860</v>
      </c>
      <c r="G293" s="103" t="s">
        <v>151</v>
      </c>
      <c r="H293" s="103" t="s">
        <v>861</v>
      </c>
      <c r="I293" s="103" t="s">
        <v>862</v>
      </c>
      <c r="J293" s="103" t="s">
        <v>863</v>
      </c>
      <c r="K293" s="103" t="s">
        <v>864</v>
      </c>
      <c r="L293" s="103" t="s">
        <v>153</v>
      </c>
      <c r="M293" s="103" t="s">
        <v>865</v>
      </c>
      <c r="N293" s="103" t="s">
        <v>866</v>
      </c>
      <c r="O293" s="103" t="str">
        <f t="shared" si="8"/>
        <v/>
      </c>
      <c r="P293" s="103" t="s">
        <v>153</v>
      </c>
      <c r="Q293" s="103" t="s">
        <v>153</v>
      </c>
      <c r="R293" s="103" t="s">
        <v>153</v>
      </c>
      <c r="S293" s="103" t="str">
        <f>INDEX('Measure &amp; Standard CostIDs'!$AK$8:$AK$12,B293)</f>
        <v>Wtd-Pack</v>
      </c>
      <c r="T293" s="103" t="s">
        <v>867</v>
      </c>
      <c r="U293" s="103"/>
      <c r="V293" s="103"/>
      <c r="W293" s="103">
        <f>ROUND(IF(LEFT(D293,3)="Std",VLOOKUP(D293,'Measure &amp; Standard CostIDs'!$S$5:$X$177,1+B293,FALSE),VLOOKUP(D293,'Measure &amp; Standard CostIDs'!$C$5:$H$177,1+B293,FALSE)),2)</f>
        <v>5.83</v>
      </c>
      <c r="X293" s="103"/>
      <c r="Y293" s="103"/>
      <c r="Z293" s="103" t="s">
        <v>868</v>
      </c>
      <c r="AA293" s="103" t="s">
        <v>874</v>
      </c>
      <c r="AB293" s="103" t="s">
        <v>153</v>
      </c>
      <c r="AC293" s="103">
        <v>0</v>
      </c>
      <c r="AD293" s="156">
        <v>42005</v>
      </c>
      <c r="AE293" s="103"/>
      <c r="AF293" s="103" t="s">
        <v>870</v>
      </c>
      <c r="AG293" s="103" t="s">
        <v>871</v>
      </c>
      <c r="AH293" s="103" t="s">
        <v>976</v>
      </c>
      <c r="AI293" s="103">
        <v>0</v>
      </c>
      <c r="AJ293" s="103"/>
      <c r="AK293" s="103"/>
      <c r="AL293" s="103"/>
      <c r="AM293" s="103"/>
      <c r="AN293" s="103"/>
      <c r="AO293" s="103" t="str">
        <f t="shared" si="9"/>
        <v>Std_CFLscw-Glb(18w)_60pInc-r0248Wtd-Pack</v>
      </c>
    </row>
    <row r="294" spans="1:41">
      <c r="A294" s="177">
        <f>IFERROR(MATCH(D294,'Measure &amp; Standard CostIDs'!C$5:C$177,0),MATCH(D294,'Measure &amp; Standard CostIDs'!S$5:S$177,0))</f>
        <v>133</v>
      </c>
      <c r="B294" s="177">
        <v>1</v>
      </c>
      <c r="C294" s="103" t="s">
        <v>153</v>
      </c>
      <c r="D294" s="103" t="s">
        <v>991</v>
      </c>
      <c r="E294" s="103" t="str">
        <f>IF(LEFT(D294,3)="Std","Base case cost for mix of 60% Incandescent and 40% CFL lamps for CFL TechID: "&amp;INDEX('Measure &amp; Standard CostIDs'!$C$5:$C$177,A294),"&lt;from TechID&gt;")</f>
        <v>Base case cost for mix of 60% Incandescent and 40% CFL lamps for CFL TechID: CFLscw-Glb(19w)</v>
      </c>
      <c r="F294" s="103" t="s">
        <v>860</v>
      </c>
      <c r="G294" s="103" t="s">
        <v>151</v>
      </c>
      <c r="H294" s="103" t="s">
        <v>861</v>
      </c>
      <c r="I294" s="103" t="s">
        <v>862</v>
      </c>
      <c r="J294" s="103" t="s">
        <v>863</v>
      </c>
      <c r="K294" s="103" t="s">
        <v>864</v>
      </c>
      <c r="L294" s="103" t="s">
        <v>153</v>
      </c>
      <c r="M294" s="103" t="s">
        <v>865</v>
      </c>
      <c r="N294" s="103" t="s">
        <v>866</v>
      </c>
      <c r="O294" s="103" t="str">
        <f t="shared" si="8"/>
        <v/>
      </c>
      <c r="P294" s="103" t="s">
        <v>153</v>
      </c>
      <c r="Q294" s="103" t="s">
        <v>153</v>
      </c>
      <c r="R294" s="103" t="s">
        <v>153</v>
      </c>
      <c r="S294" s="103" t="str">
        <f>INDEX('Measure &amp; Standard CostIDs'!$AK$8:$AK$12,B294)</f>
        <v>Wtd-Pack</v>
      </c>
      <c r="T294" s="103" t="s">
        <v>867</v>
      </c>
      <c r="U294" s="103"/>
      <c r="V294" s="103"/>
      <c r="W294" s="103">
        <f>ROUND(IF(LEFT(D294,3)="Std",VLOOKUP(D294,'Measure &amp; Standard CostIDs'!$S$5:$X$177,1+B294,FALSE),VLOOKUP(D294,'Measure &amp; Standard CostIDs'!$C$5:$H$177,1+B294,FALSE)),2)</f>
        <v>5.85</v>
      </c>
      <c r="X294" s="103"/>
      <c r="Y294" s="103"/>
      <c r="Z294" s="103" t="s">
        <v>868</v>
      </c>
      <c r="AA294" s="103" t="s">
        <v>874</v>
      </c>
      <c r="AB294" s="103" t="s">
        <v>153</v>
      </c>
      <c r="AC294" s="103">
        <v>0</v>
      </c>
      <c r="AD294" s="156">
        <v>42005</v>
      </c>
      <c r="AE294" s="103"/>
      <c r="AF294" s="103" t="s">
        <v>870</v>
      </c>
      <c r="AG294" s="103" t="s">
        <v>871</v>
      </c>
      <c r="AH294" s="103" t="s">
        <v>976</v>
      </c>
      <c r="AI294" s="103">
        <v>0</v>
      </c>
      <c r="AJ294" s="103"/>
      <c r="AK294" s="103"/>
      <c r="AL294" s="103"/>
      <c r="AM294" s="103"/>
      <c r="AN294" s="103"/>
      <c r="AO294" s="103" t="str">
        <f t="shared" si="9"/>
        <v>Std_CFLscw-Glb(19w)_60pInc-r0248Wtd-Pack</v>
      </c>
    </row>
    <row r="295" spans="1:41">
      <c r="A295" s="177">
        <f>IFERROR(MATCH(D295,'Measure &amp; Standard CostIDs'!C$5:C$177,0),MATCH(D295,'Measure &amp; Standard CostIDs'!S$5:S$177,0))</f>
        <v>134</v>
      </c>
      <c r="B295" s="177">
        <v>1</v>
      </c>
      <c r="C295" s="103" t="s">
        <v>153</v>
      </c>
      <c r="D295" s="103" t="s">
        <v>992</v>
      </c>
      <c r="E295" s="103" t="str">
        <f>IF(LEFT(D295,3)="Std","Base case cost for mix of 60% Incandescent and 40% CFL lamps for CFL TechID: "&amp;INDEX('Measure &amp; Standard CostIDs'!$C$5:$C$177,A295),"&lt;from TechID&gt;")</f>
        <v>Base case cost for mix of 60% Incandescent and 40% CFL lamps for CFL TechID: CFLscw-Glb(20w)</v>
      </c>
      <c r="F295" s="103" t="s">
        <v>860</v>
      </c>
      <c r="G295" s="103" t="s">
        <v>151</v>
      </c>
      <c r="H295" s="103" t="s">
        <v>861</v>
      </c>
      <c r="I295" s="103" t="s">
        <v>862</v>
      </c>
      <c r="J295" s="103" t="s">
        <v>863</v>
      </c>
      <c r="K295" s="103" t="s">
        <v>864</v>
      </c>
      <c r="L295" s="103" t="s">
        <v>153</v>
      </c>
      <c r="M295" s="103" t="s">
        <v>865</v>
      </c>
      <c r="N295" s="103" t="s">
        <v>866</v>
      </c>
      <c r="O295" s="103" t="str">
        <f t="shared" si="8"/>
        <v/>
      </c>
      <c r="P295" s="103" t="s">
        <v>153</v>
      </c>
      <c r="Q295" s="103" t="s">
        <v>153</v>
      </c>
      <c r="R295" s="103" t="s">
        <v>153</v>
      </c>
      <c r="S295" s="103" t="str">
        <f>INDEX('Measure &amp; Standard CostIDs'!$AK$8:$AK$12,B295)</f>
        <v>Wtd-Pack</v>
      </c>
      <c r="T295" s="103" t="s">
        <v>867</v>
      </c>
      <c r="U295" s="103"/>
      <c r="V295" s="103"/>
      <c r="W295" s="103">
        <f>ROUND(IF(LEFT(D295,3)="Std",VLOOKUP(D295,'Measure &amp; Standard CostIDs'!$S$5:$X$177,1+B295,FALSE),VLOOKUP(D295,'Measure &amp; Standard CostIDs'!$C$5:$H$177,1+B295,FALSE)),2)</f>
        <v>5.85</v>
      </c>
      <c r="X295" s="103"/>
      <c r="Y295" s="103"/>
      <c r="Z295" s="103" t="s">
        <v>868</v>
      </c>
      <c r="AA295" s="103" t="s">
        <v>874</v>
      </c>
      <c r="AB295" s="103" t="s">
        <v>153</v>
      </c>
      <c r="AC295" s="103">
        <v>0</v>
      </c>
      <c r="AD295" s="156">
        <v>42005</v>
      </c>
      <c r="AE295" s="103"/>
      <c r="AF295" s="103" t="s">
        <v>870</v>
      </c>
      <c r="AG295" s="103" t="s">
        <v>871</v>
      </c>
      <c r="AH295" s="103" t="s">
        <v>976</v>
      </c>
      <c r="AI295" s="103">
        <v>0</v>
      </c>
      <c r="AJ295" s="103"/>
      <c r="AK295" s="103"/>
      <c r="AL295" s="103"/>
      <c r="AM295" s="103"/>
      <c r="AN295" s="103"/>
      <c r="AO295" s="103" t="str">
        <f t="shared" si="9"/>
        <v>Std_CFLscw-Glb(20w)_60pInc-r0248Wtd-Pack</v>
      </c>
    </row>
    <row r="296" spans="1:41">
      <c r="A296" s="177">
        <f>IFERROR(MATCH(D296,'Measure &amp; Standard CostIDs'!C$5:C$177,0),MATCH(D296,'Measure &amp; Standard CostIDs'!S$5:S$177,0))</f>
        <v>135</v>
      </c>
      <c r="B296" s="177">
        <v>1</v>
      </c>
      <c r="C296" s="103" t="s">
        <v>153</v>
      </c>
      <c r="D296" s="103" t="s">
        <v>993</v>
      </c>
      <c r="E296" s="103" t="str">
        <f>IF(LEFT(D296,3)="Std","Base case cost for mix of 60% Incandescent and 40% CFL lamps for CFL TechID: "&amp;INDEX('Measure &amp; Standard CostIDs'!$C$5:$C$177,A296),"&lt;from TechID&gt;")</f>
        <v>Base case cost for mix of 60% Incandescent and 40% CFL lamps for CFL TechID: CFLscw-Glb(22w)</v>
      </c>
      <c r="F296" s="103" t="s">
        <v>860</v>
      </c>
      <c r="G296" s="103" t="s">
        <v>151</v>
      </c>
      <c r="H296" s="103" t="s">
        <v>861</v>
      </c>
      <c r="I296" s="103" t="s">
        <v>862</v>
      </c>
      <c r="J296" s="103" t="s">
        <v>863</v>
      </c>
      <c r="K296" s="103" t="s">
        <v>864</v>
      </c>
      <c r="L296" s="103" t="s">
        <v>153</v>
      </c>
      <c r="M296" s="103" t="s">
        <v>865</v>
      </c>
      <c r="N296" s="103" t="s">
        <v>866</v>
      </c>
      <c r="O296" s="103" t="str">
        <f t="shared" si="8"/>
        <v/>
      </c>
      <c r="P296" s="103" t="s">
        <v>153</v>
      </c>
      <c r="Q296" s="103" t="s">
        <v>153</v>
      </c>
      <c r="R296" s="103" t="s">
        <v>153</v>
      </c>
      <c r="S296" s="103" t="str">
        <f>INDEX('Measure &amp; Standard CostIDs'!$AK$8:$AK$12,B296)</f>
        <v>Wtd-Pack</v>
      </c>
      <c r="T296" s="103" t="s">
        <v>867</v>
      </c>
      <c r="U296" s="103"/>
      <c r="V296" s="103"/>
      <c r="W296" s="103">
        <f>ROUND(IF(LEFT(D296,3)="Std",VLOOKUP(D296,'Measure &amp; Standard CostIDs'!$S$5:$X$177,1+B296,FALSE),VLOOKUP(D296,'Measure &amp; Standard CostIDs'!$C$5:$H$177,1+B296,FALSE)),2)</f>
        <v>5.87</v>
      </c>
      <c r="X296" s="103"/>
      <c r="Y296" s="103"/>
      <c r="Z296" s="103" t="s">
        <v>868</v>
      </c>
      <c r="AA296" s="103" t="s">
        <v>874</v>
      </c>
      <c r="AB296" s="103" t="s">
        <v>153</v>
      </c>
      <c r="AC296" s="103">
        <v>0</v>
      </c>
      <c r="AD296" s="156">
        <v>42005</v>
      </c>
      <c r="AE296" s="103"/>
      <c r="AF296" s="103" t="s">
        <v>870</v>
      </c>
      <c r="AG296" s="103" t="s">
        <v>871</v>
      </c>
      <c r="AH296" s="103" t="s">
        <v>976</v>
      </c>
      <c r="AI296" s="103">
        <v>0</v>
      </c>
      <c r="AJ296" s="103"/>
      <c r="AK296" s="103"/>
      <c r="AL296" s="103"/>
      <c r="AM296" s="103"/>
      <c r="AN296" s="103"/>
      <c r="AO296" s="103" t="str">
        <f t="shared" si="9"/>
        <v>Std_CFLscw-Glb(22w)_60pInc-r0248Wtd-Pack</v>
      </c>
    </row>
    <row r="297" spans="1:41">
      <c r="A297" s="177">
        <f>IFERROR(MATCH(D297,'Measure &amp; Standard CostIDs'!C$5:C$177,0),MATCH(D297,'Measure &amp; Standard CostIDs'!S$5:S$177,0))</f>
        <v>136</v>
      </c>
      <c r="B297" s="177">
        <v>1</v>
      </c>
      <c r="C297" s="103" t="s">
        <v>153</v>
      </c>
      <c r="D297" s="103" t="s">
        <v>994</v>
      </c>
      <c r="E297" s="103" t="str">
        <f>IF(LEFT(D297,3)="Std","Base case cost for mix of 60% Incandescent and 40% CFL lamps for CFL TechID: "&amp;INDEX('Measure &amp; Standard CostIDs'!$C$5:$C$177,A297),"&lt;from TechID&gt;")</f>
        <v>Base case cost for mix of 60% Incandescent and 40% CFL lamps for CFL TechID: CFLscw-Glb(23w)</v>
      </c>
      <c r="F297" s="103" t="s">
        <v>860</v>
      </c>
      <c r="G297" s="103" t="s">
        <v>151</v>
      </c>
      <c r="H297" s="103" t="s">
        <v>861</v>
      </c>
      <c r="I297" s="103" t="s">
        <v>862</v>
      </c>
      <c r="J297" s="103" t="s">
        <v>863</v>
      </c>
      <c r="K297" s="103" t="s">
        <v>864</v>
      </c>
      <c r="L297" s="103" t="s">
        <v>153</v>
      </c>
      <c r="M297" s="103" t="s">
        <v>865</v>
      </c>
      <c r="N297" s="103" t="s">
        <v>866</v>
      </c>
      <c r="O297" s="103" t="str">
        <f t="shared" si="8"/>
        <v/>
      </c>
      <c r="P297" s="103" t="s">
        <v>153</v>
      </c>
      <c r="Q297" s="103" t="s">
        <v>153</v>
      </c>
      <c r="R297" s="103" t="s">
        <v>153</v>
      </c>
      <c r="S297" s="103" t="str">
        <f>INDEX('Measure &amp; Standard CostIDs'!$AK$8:$AK$12,B297)</f>
        <v>Wtd-Pack</v>
      </c>
      <c r="T297" s="103" t="s">
        <v>867</v>
      </c>
      <c r="U297" s="103"/>
      <c r="V297" s="103"/>
      <c r="W297" s="103">
        <f>ROUND(IF(LEFT(D297,3)="Std",VLOOKUP(D297,'Measure &amp; Standard CostIDs'!$S$5:$X$177,1+B297,FALSE),VLOOKUP(D297,'Measure &amp; Standard CostIDs'!$C$5:$H$177,1+B297,FALSE)),2)</f>
        <v>5.88</v>
      </c>
      <c r="X297" s="103"/>
      <c r="Y297" s="103"/>
      <c r="Z297" s="103" t="s">
        <v>868</v>
      </c>
      <c r="AA297" s="103" t="s">
        <v>874</v>
      </c>
      <c r="AB297" s="103" t="s">
        <v>153</v>
      </c>
      <c r="AC297" s="103">
        <v>0</v>
      </c>
      <c r="AD297" s="156">
        <v>42005</v>
      </c>
      <c r="AE297" s="103"/>
      <c r="AF297" s="103" t="s">
        <v>870</v>
      </c>
      <c r="AG297" s="103" t="s">
        <v>871</v>
      </c>
      <c r="AH297" s="103" t="s">
        <v>976</v>
      </c>
      <c r="AI297" s="103">
        <v>0</v>
      </c>
      <c r="AJ297" s="103"/>
      <c r="AK297" s="103"/>
      <c r="AL297" s="103"/>
      <c r="AM297" s="103"/>
      <c r="AN297" s="103"/>
      <c r="AO297" s="103" t="str">
        <f t="shared" si="9"/>
        <v>Std_CFLscw-Glb(23w)_60pInc-r0248Wtd-Pack</v>
      </c>
    </row>
    <row r="298" spans="1:41">
      <c r="A298" s="177">
        <f>IFERROR(MATCH(D298,'Measure &amp; Standard CostIDs'!C$5:C$177,0),MATCH(D298,'Measure &amp; Standard CostIDs'!S$5:S$177,0))</f>
        <v>137</v>
      </c>
      <c r="B298" s="177">
        <v>1</v>
      </c>
      <c r="C298" s="103" t="s">
        <v>153</v>
      </c>
      <c r="D298" s="103" t="s">
        <v>995</v>
      </c>
      <c r="E298" s="103" t="str">
        <f>IF(LEFT(D298,3)="Std","Base case cost for mix of 60% Incandescent and 40% CFL lamps for CFL TechID: "&amp;INDEX('Measure &amp; Standard CostIDs'!$C$5:$C$177,A298),"&lt;from TechID&gt;")</f>
        <v>Base case cost for mix of 60% Incandescent and 40% CFL lamps for CFL TechID: CFLscw-Glb(9w)</v>
      </c>
      <c r="F298" s="103" t="s">
        <v>860</v>
      </c>
      <c r="G298" s="103" t="s">
        <v>151</v>
      </c>
      <c r="H298" s="103" t="s">
        <v>861</v>
      </c>
      <c r="I298" s="103" t="s">
        <v>862</v>
      </c>
      <c r="J298" s="103" t="s">
        <v>863</v>
      </c>
      <c r="K298" s="103" t="s">
        <v>864</v>
      </c>
      <c r="L298" s="103" t="s">
        <v>153</v>
      </c>
      <c r="M298" s="103" t="s">
        <v>865</v>
      </c>
      <c r="N298" s="103" t="s">
        <v>866</v>
      </c>
      <c r="O298" s="103" t="str">
        <f t="shared" si="8"/>
        <v/>
      </c>
      <c r="P298" s="103" t="s">
        <v>153</v>
      </c>
      <c r="Q298" s="103" t="s">
        <v>153</v>
      </c>
      <c r="R298" s="103" t="s">
        <v>153</v>
      </c>
      <c r="S298" s="103" t="str">
        <f>INDEX('Measure &amp; Standard CostIDs'!$AK$8:$AK$12,B298)</f>
        <v>Wtd-Pack</v>
      </c>
      <c r="T298" s="103" t="s">
        <v>867</v>
      </c>
      <c r="U298" s="103"/>
      <c r="V298" s="103"/>
      <c r="W298" s="103">
        <f>ROUND(IF(LEFT(D298,3)="Std",VLOOKUP(D298,'Measure &amp; Standard CostIDs'!$S$5:$X$177,1+B298,FALSE),VLOOKUP(D298,'Measure &amp; Standard CostIDs'!$C$5:$H$177,1+B298,FALSE)),2)</f>
        <v>4.99</v>
      </c>
      <c r="X298" s="103"/>
      <c r="Y298" s="103"/>
      <c r="Z298" s="103" t="s">
        <v>868</v>
      </c>
      <c r="AA298" s="103" t="s">
        <v>874</v>
      </c>
      <c r="AB298" s="103" t="s">
        <v>153</v>
      </c>
      <c r="AC298" s="103">
        <v>0</v>
      </c>
      <c r="AD298" s="156">
        <v>42005</v>
      </c>
      <c r="AE298" s="103"/>
      <c r="AF298" s="103" t="s">
        <v>870</v>
      </c>
      <c r="AG298" s="103" t="s">
        <v>871</v>
      </c>
      <c r="AH298" s="103" t="s">
        <v>976</v>
      </c>
      <c r="AI298" s="103">
        <v>0</v>
      </c>
      <c r="AJ298" s="103"/>
      <c r="AK298" s="103"/>
      <c r="AL298" s="103"/>
      <c r="AM298" s="103"/>
      <c r="AN298" s="103"/>
      <c r="AO298" s="103" t="str">
        <f t="shared" si="9"/>
        <v>Std_CFLscw-Glb(9w)_60pInc-r0248Wtd-Pack</v>
      </c>
    </row>
    <row r="299" spans="1:41">
      <c r="A299" s="177">
        <f>IFERROR(MATCH(D299,'Measure &amp; Standard CostIDs'!C$5:C$177,0),MATCH(D299,'Measure &amp; Standard CostIDs'!S$5:S$177,0))</f>
        <v>138</v>
      </c>
      <c r="B299" s="177">
        <v>1</v>
      </c>
      <c r="C299" s="103" t="s">
        <v>153</v>
      </c>
      <c r="D299" s="103" t="s">
        <v>996</v>
      </c>
      <c r="E299" s="103" t="str">
        <f>IF(LEFT(D299,3)="Std","Base case cost for mix of 60% Incandescent and 40% CFL lamps for CFL TechID: "&amp;INDEX('Measure &amp; Standard CostIDs'!$C$5:$C$177,A299),"&lt;from TechID&gt;")</f>
        <v>Base case cost for mix of 60% Incandescent and 40% CFL lamps for CFL TechID: CFLscw-PAR38(23w)</v>
      </c>
      <c r="F299" s="103" t="s">
        <v>860</v>
      </c>
      <c r="G299" s="103" t="s">
        <v>151</v>
      </c>
      <c r="H299" s="103" t="s">
        <v>861</v>
      </c>
      <c r="I299" s="103" t="s">
        <v>862</v>
      </c>
      <c r="J299" s="103" t="s">
        <v>863</v>
      </c>
      <c r="K299" s="103" t="s">
        <v>864</v>
      </c>
      <c r="L299" s="103" t="s">
        <v>153</v>
      </c>
      <c r="M299" s="103" t="s">
        <v>865</v>
      </c>
      <c r="N299" s="103" t="s">
        <v>866</v>
      </c>
      <c r="O299" s="103" t="str">
        <f t="shared" si="8"/>
        <v/>
      </c>
      <c r="P299" s="103" t="s">
        <v>153</v>
      </c>
      <c r="Q299" s="103" t="s">
        <v>153</v>
      </c>
      <c r="R299" s="103" t="s">
        <v>153</v>
      </c>
      <c r="S299" s="103" t="str">
        <f>INDEX('Measure &amp; Standard CostIDs'!$AK$8:$AK$12,B299)</f>
        <v>Wtd-Pack</v>
      </c>
      <c r="T299" s="103" t="s">
        <v>867</v>
      </c>
      <c r="U299" s="103"/>
      <c r="V299" s="103"/>
      <c r="W299" s="103">
        <f>ROUND(IF(LEFT(D299,3)="Std",VLOOKUP(D299,'Measure &amp; Standard CostIDs'!$S$5:$X$177,1+B299,FALSE),VLOOKUP(D299,'Measure &amp; Standard CostIDs'!$C$5:$H$177,1+B299,FALSE)),2)</f>
        <v>7.51</v>
      </c>
      <c r="X299" s="103"/>
      <c r="Y299" s="103"/>
      <c r="Z299" s="103" t="s">
        <v>868</v>
      </c>
      <c r="AA299" s="103" t="s">
        <v>874</v>
      </c>
      <c r="AB299" s="103" t="s">
        <v>153</v>
      </c>
      <c r="AC299" s="103">
        <v>0</v>
      </c>
      <c r="AD299" s="156">
        <v>42005</v>
      </c>
      <c r="AE299" s="103"/>
      <c r="AF299" s="103" t="s">
        <v>870</v>
      </c>
      <c r="AG299" s="103" t="s">
        <v>871</v>
      </c>
      <c r="AH299" s="103" t="s">
        <v>976</v>
      </c>
      <c r="AI299" s="103">
        <v>0</v>
      </c>
      <c r="AJ299" s="103"/>
      <c r="AK299" s="103"/>
      <c r="AL299" s="103"/>
      <c r="AM299" s="103"/>
      <c r="AN299" s="103"/>
      <c r="AO299" s="103" t="str">
        <f t="shared" si="9"/>
        <v>Std_CFLscw-PAR38(23w)_60pInc-r0286Wtd-Pack</v>
      </c>
    </row>
    <row r="300" spans="1:41">
      <c r="A300" s="177">
        <f>IFERROR(MATCH(D300,'Measure &amp; Standard CostIDs'!C$5:C$177,0),MATCH(D300,'Measure &amp; Standard CostIDs'!S$5:S$177,0))</f>
        <v>139</v>
      </c>
      <c r="B300" s="177">
        <v>1</v>
      </c>
      <c r="C300" s="103" t="s">
        <v>153</v>
      </c>
      <c r="D300" s="103" t="s">
        <v>997</v>
      </c>
      <c r="E300" s="103" t="str">
        <f>IF(LEFT(D300,3)="Std","Base case cost for mix of 60% Incandescent and 40% CFL lamps for CFL TechID: "&amp;INDEX('Measure &amp; Standard CostIDs'!$C$5:$C$177,A300),"&lt;from TechID&gt;")</f>
        <v>Base case cost for mix of 60% Incandescent and 40% CFL lamps for CFL TechID: CFLscw-Refl(10w)</v>
      </c>
      <c r="F300" s="103" t="s">
        <v>860</v>
      </c>
      <c r="G300" s="103" t="s">
        <v>151</v>
      </c>
      <c r="H300" s="103" t="s">
        <v>861</v>
      </c>
      <c r="I300" s="103" t="s">
        <v>862</v>
      </c>
      <c r="J300" s="103" t="s">
        <v>863</v>
      </c>
      <c r="K300" s="103" t="s">
        <v>864</v>
      </c>
      <c r="L300" s="103" t="s">
        <v>153</v>
      </c>
      <c r="M300" s="103" t="s">
        <v>865</v>
      </c>
      <c r="N300" s="103" t="s">
        <v>866</v>
      </c>
      <c r="O300" s="103" t="str">
        <f t="shared" si="8"/>
        <v/>
      </c>
      <c r="P300" s="103" t="s">
        <v>153</v>
      </c>
      <c r="Q300" s="103" t="s">
        <v>153</v>
      </c>
      <c r="R300" s="103" t="s">
        <v>153</v>
      </c>
      <c r="S300" s="103" t="str">
        <f>INDEX('Measure &amp; Standard CostIDs'!$AK$8:$AK$12,B300)</f>
        <v>Wtd-Pack</v>
      </c>
      <c r="T300" s="103" t="s">
        <v>867</v>
      </c>
      <c r="U300" s="103"/>
      <c r="V300" s="103"/>
      <c r="W300" s="103">
        <f>ROUND(IF(LEFT(D300,3)="Std",VLOOKUP(D300,'Measure &amp; Standard CostIDs'!$S$5:$X$177,1+B300,FALSE),VLOOKUP(D300,'Measure &amp; Standard CostIDs'!$C$5:$H$177,1+B300,FALSE)),2)</f>
        <v>6.42</v>
      </c>
      <c r="X300" s="103"/>
      <c r="Y300" s="103"/>
      <c r="Z300" s="103" t="s">
        <v>868</v>
      </c>
      <c r="AA300" s="103" t="s">
        <v>874</v>
      </c>
      <c r="AB300" s="103" t="s">
        <v>153</v>
      </c>
      <c r="AC300" s="103">
        <v>0</v>
      </c>
      <c r="AD300" s="156">
        <v>42005</v>
      </c>
      <c r="AE300" s="103"/>
      <c r="AF300" s="103" t="s">
        <v>870</v>
      </c>
      <c r="AG300" s="103" t="s">
        <v>871</v>
      </c>
      <c r="AH300" s="103" t="s">
        <v>976</v>
      </c>
      <c r="AI300" s="103">
        <v>0</v>
      </c>
      <c r="AJ300" s="103"/>
      <c r="AK300" s="103"/>
      <c r="AL300" s="103"/>
      <c r="AM300" s="103"/>
      <c r="AN300" s="103"/>
      <c r="AO300" s="103" t="str">
        <f t="shared" si="9"/>
        <v>Std_CFLscw-Refl(10w)_60pInc-r0286Wtd-Pack</v>
      </c>
    </row>
    <row r="301" spans="1:41">
      <c r="A301" s="177">
        <f>IFERROR(MATCH(D301,'Measure &amp; Standard CostIDs'!C$5:C$177,0),MATCH(D301,'Measure &amp; Standard CostIDs'!S$5:S$177,0))</f>
        <v>140</v>
      </c>
      <c r="B301" s="177">
        <v>1</v>
      </c>
      <c r="C301" s="103" t="s">
        <v>153</v>
      </c>
      <c r="D301" s="103" t="s">
        <v>998</v>
      </c>
      <c r="E301" s="103" t="str">
        <f>IF(LEFT(D301,3)="Std","Base case cost for mix of 60% Incandescent and 40% CFL lamps for CFL TechID: "&amp;INDEX('Measure &amp; Standard CostIDs'!$C$5:$C$177,A301),"&lt;from TechID&gt;")</f>
        <v>Base case cost for mix of 60% Incandescent and 40% CFL lamps for CFL TechID: CFLscw-Refl(11w)</v>
      </c>
      <c r="F301" s="103" t="s">
        <v>860</v>
      </c>
      <c r="G301" s="103" t="s">
        <v>151</v>
      </c>
      <c r="H301" s="103" t="s">
        <v>861</v>
      </c>
      <c r="I301" s="103" t="s">
        <v>862</v>
      </c>
      <c r="J301" s="103" t="s">
        <v>863</v>
      </c>
      <c r="K301" s="103" t="s">
        <v>864</v>
      </c>
      <c r="L301" s="103" t="s">
        <v>153</v>
      </c>
      <c r="M301" s="103" t="s">
        <v>865</v>
      </c>
      <c r="N301" s="103" t="s">
        <v>866</v>
      </c>
      <c r="O301" s="103" t="str">
        <f t="shared" si="8"/>
        <v/>
      </c>
      <c r="P301" s="103" t="s">
        <v>153</v>
      </c>
      <c r="Q301" s="103" t="s">
        <v>153</v>
      </c>
      <c r="R301" s="103" t="s">
        <v>153</v>
      </c>
      <c r="S301" s="103" t="str">
        <f>INDEX('Measure &amp; Standard CostIDs'!$AK$8:$AK$12,B301)</f>
        <v>Wtd-Pack</v>
      </c>
      <c r="T301" s="103" t="s">
        <v>867</v>
      </c>
      <c r="U301" s="103"/>
      <c r="V301" s="103"/>
      <c r="W301" s="103">
        <f>ROUND(IF(LEFT(D301,3)="Std",VLOOKUP(D301,'Measure &amp; Standard CostIDs'!$S$5:$X$177,1+B301,FALSE),VLOOKUP(D301,'Measure &amp; Standard CostIDs'!$C$5:$H$177,1+B301,FALSE)),2)</f>
        <v>6.5</v>
      </c>
      <c r="X301" s="103"/>
      <c r="Y301" s="103"/>
      <c r="Z301" s="103" t="s">
        <v>868</v>
      </c>
      <c r="AA301" s="103" t="s">
        <v>874</v>
      </c>
      <c r="AB301" s="103" t="s">
        <v>153</v>
      </c>
      <c r="AC301" s="103">
        <v>0</v>
      </c>
      <c r="AD301" s="156">
        <v>42005</v>
      </c>
      <c r="AE301" s="103"/>
      <c r="AF301" s="103" t="s">
        <v>870</v>
      </c>
      <c r="AG301" s="103" t="s">
        <v>871</v>
      </c>
      <c r="AH301" s="103" t="s">
        <v>976</v>
      </c>
      <c r="AI301" s="103">
        <v>0</v>
      </c>
      <c r="AJ301" s="103"/>
      <c r="AK301" s="103"/>
      <c r="AL301" s="103"/>
      <c r="AM301" s="103"/>
      <c r="AN301" s="103"/>
      <c r="AO301" s="103" t="str">
        <f t="shared" si="9"/>
        <v>Std_CFLscw-Refl(11w)_60pInc-r0286Wtd-Pack</v>
      </c>
    </row>
    <row r="302" spans="1:41">
      <c r="A302" s="177">
        <f>IFERROR(MATCH(D302,'Measure &amp; Standard CostIDs'!C$5:C$177,0),MATCH(D302,'Measure &amp; Standard CostIDs'!S$5:S$177,0))</f>
        <v>141</v>
      </c>
      <c r="B302" s="177">
        <v>1</v>
      </c>
      <c r="C302" s="103" t="s">
        <v>153</v>
      </c>
      <c r="D302" s="103" t="s">
        <v>999</v>
      </c>
      <c r="E302" s="103" t="str">
        <f>IF(LEFT(D302,3)="Std","Base case cost for mix of 60% Incandescent and 40% CFL lamps for CFL TechID: "&amp;INDEX('Measure &amp; Standard CostIDs'!$C$5:$C$177,A302),"&lt;from TechID&gt;")</f>
        <v>Base case cost for mix of 60% Incandescent and 40% CFL lamps for CFL TechID: CFLscw-Refl(12w)</v>
      </c>
      <c r="F302" s="103" t="s">
        <v>860</v>
      </c>
      <c r="G302" s="103" t="s">
        <v>151</v>
      </c>
      <c r="H302" s="103" t="s">
        <v>861</v>
      </c>
      <c r="I302" s="103" t="s">
        <v>862</v>
      </c>
      <c r="J302" s="103" t="s">
        <v>863</v>
      </c>
      <c r="K302" s="103" t="s">
        <v>864</v>
      </c>
      <c r="L302" s="103" t="s">
        <v>153</v>
      </c>
      <c r="M302" s="103" t="s">
        <v>865</v>
      </c>
      <c r="N302" s="103" t="s">
        <v>866</v>
      </c>
      <c r="O302" s="103" t="str">
        <f t="shared" si="8"/>
        <v/>
      </c>
      <c r="P302" s="103" t="s">
        <v>153</v>
      </c>
      <c r="Q302" s="103" t="s">
        <v>153</v>
      </c>
      <c r="R302" s="103" t="s">
        <v>153</v>
      </c>
      <c r="S302" s="103" t="str">
        <f>INDEX('Measure &amp; Standard CostIDs'!$AK$8:$AK$12,B302)</f>
        <v>Wtd-Pack</v>
      </c>
      <c r="T302" s="103" t="s">
        <v>867</v>
      </c>
      <c r="U302" s="103"/>
      <c r="V302" s="103"/>
      <c r="W302" s="103">
        <f>ROUND(IF(LEFT(D302,3)="Std",VLOOKUP(D302,'Measure &amp; Standard CostIDs'!$S$5:$X$177,1+B302,FALSE),VLOOKUP(D302,'Measure &amp; Standard CostIDs'!$C$5:$H$177,1+B302,FALSE)),2)</f>
        <v>6.58</v>
      </c>
      <c r="X302" s="103"/>
      <c r="Y302" s="103"/>
      <c r="Z302" s="103" t="s">
        <v>868</v>
      </c>
      <c r="AA302" s="103" t="s">
        <v>874</v>
      </c>
      <c r="AB302" s="103" t="s">
        <v>153</v>
      </c>
      <c r="AC302" s="103">
        <v>0</v>
      </c>
      <c r="AD302" s="156">
        <v>42005</v>
      </c>
      <c r="AE302" s="103"/>
      <c r="AF302" s="103" t="s">
        <v>870</v>
      </c>
      <c r="AG302" s="103" t="s">
        <v>871</v>
      </c>
      <c r="AH302" s="103" t="s">
        <v>976</v>
      </c>
      <c r="AI302" s="103">
        <v>0</v>
      </c>
      <c r="AJ302" s="103"/>
      <c r="AK302" s="103"/>
      <c r="AL302" s="103"/>
      <c r="AM302" s="103"/>
      <c r="AN302" s="103"/>
      <c r="AO302" s="103" t="str">
        <f t="shared" si="9"/>
        <v>Std_CFLscw-Refl(12w)_60pInc-r0286Wtd-Pack</v>
      </c>
    </row>
    <row r="303" spans="1:41">
      <c r="A303" s="177">
        <f>IFERROR(MATCH(D303,'Measure &amp; Standard CostIDs'!C$5:C$177,0),MATCH(D303,'Measure &amp; Standard CostIDs'!S$5:S$177,0))</f>
        <v>142</v>
      </c>
      <c r="B303" s="177">
        <v>1</v>
      </c>
      <c r="C303" s="103" t="s">
        <v>153</v>
      </c>
      <c r="D303" s="103" t="s">
        <v>1000</v>
      </c>
      <c r="E303" s="103" t="str">
        <f>IF(LEFT(D303,3)="Std","Base case cost for mix of 60% Incandescent and 40% CFL lamps for CFL TechID: "&amp;INDEX('Measure &amp; Standard CostIDs'!$C$5:$C$177,A303),"&lt;from TechID&gt;")</f>
        <v>Base case cost for mix of 60% Incandescent and 40% CFL lamps for CFL TechID: CFLscw-Refl(13w)</v>
      </c>
      <c r="F303" s="103" t="s">
        <v>860</v>
      </c>
      <c r="G303" s="103" t="s">
        <v>151</v>
      </c>
      <c r="H303" s="103" t="s">
        <v>861</v>
      </c>
      <c r="I303" s="103" t="s">
        <v>862</v>
      </c>
      <c r="J303" s="103" t="s">
        <v>863</v>
      </c>
      <c r="K303" s="103" t="s">
        <v>864</v>
      </c>
      <c r="L303" s="103" t="s">
        <v>153</v>
      </c>
      <c r="M303" s="103" t="s">
        <v>865</v>
      </c>
      <c r="N303" s="103" t="s">
        <v>866</v>
      </c>
      <c r="O303" s="103" t="str">
        <f t="shared" si="8"/>
        <v/>
      </c>
      <c r="P303" s="103" t="s">
        <v>153</v>
      </c>
      <c r="Q303" s="103" t="s">
        <v>153</v>
      </c>
      <c r="R303" s="103" t="s">
        <v>153</v>
      </c>
      <c r="S303" s="103" t="str">
        <f>INDEX('Measure &amp; Standard CostIDs'!$AK$8:$AK$12,B303)</f>
        <v>Wtd-Pack</v>
      </c>
      <c r="T303" s="103" t="s">
        <v>867</v>
      </c>
      <c r="U303" s="103"/>
      <c r="V303" s="103"/>
      <c r="W303" s="103">
        <f>ROUND(IF(LEFT(D303,3)="Std",VLOOKUP(D303,'Measure &amp; Standard CostIDs'!$S$5:$X$177,1+B303,FALSE),VLOOKUP(D303,'Measure &amp; Standard CostIDs'!$C$5:$H$177,1+B303,FALSE)),2)</f>
        <v>6.67</v>
      </c>
      <c r="X303" s="103"/>
      <c r="Y303" s="103"/>
      <c r="Z303" s="103" t="s">
        <v>868</v>
      </c>
      <c r="AA303" s="103" t="s">
        <v>874</v>
      </c>
      <c r="AB303" s="103" t="s">
        <v>153</v>
      </c>
      <c r="AC303" s="103">
        <v>0</v>
      </c>
      <c r="AD303" s="156">
        <v>42005</v>
      </c>
      <c r="AE303" s="103"/>
      <c r="AF303" s="103" t="s">
        <v>870</v>
      </c>
      <c r="AG303" s="103" t="s">
        <v>871</v>
      </c>
      <c r="AH303" s="103" t="s">
        <v>976</v>
      </c>
      <c r="AI303" s="103">
        <v>0</v>
      </c>
      <c r="AJ303" s="103"/>
      <c r="AK303" s="103"/>
      <c r="AL303" s="103"/>
      <c r="AM303" s="103"/>
      <c r="AN303" s="103"/>
      <c r="AO303" s="103" t="str">
        <f t="shared" si="9"/>
        <v>Std_CFLscw-Refl(13w)_60pInc-r0286Wtd-Pack</v>
      </c>
    </row>
    <row r="304" spans="1:41">
      <c r="A304" s="177">
        <f>IFERROR(MATCH(D304,'Measure &amp; Standard CostIDs'!C$5:C$177,0),MATCH(D304,'Measure &amp; Standard CostIDs'!S$5:S$177,0))</f>
        <v>143</v>
      </c>
      <c r="B304" s="177">
        <v>1</v>
      </c>
      <c r="C304" s="103" t="s">
        <v>153</v>
      </c>
      <c r="D304" s="103" t="s">
        <v>1001</v>
      </c>
      <c r="E304" s="103" t="str">
        <f>IF(LEFT(D304,3)="Std","Base case cost for mix of 60% Incandescent and 40% CFL lamps for CFL TechID: "&amp;INDEX('Measure &amp; Standard CostIDs'!$C$5:$C$177,A304),"&lt;from TechID&gt;")</f>
        <v>Base case cost for mix of 60% Incandescent and 40% CFL lamps for CFL TechID: CFLscw-Refl(14w)</v>
      </c>
      <c r="F304" s="103" t="s">
        <v>860</v>
      </c>
      <c r="G304" s="103" t="s">
        <v>151</v>
      </c>
      <c r="H304" s="103" t="s">
        <v>861</v>
      </c>
      <c r="I304" s="103" t="s">
        <v>862</v>
      </c>
      <c r="J304" s="103" t="s">
        <v>863</v>
      </c>
      <c r="K304" s="103" t="s">
        <v>864</v>
      </c>
      <c r="L304" s="103" t="s">
        <v>153</v>
      </c>
      <c r="M304" s="103" t="s">
        <v>865</v>
      </c>
      <c r="N304" s="103" t="s">
        <v>866</v>
      </c>
      <c r="O304" s="103" t="str">
        <f t="shared" si="8"/>
        <v/>
      </c>
      <c r="P304" s="103" t="s">
        <v>153</v>
      </c>
      <c r="Q304" s="103" t="s">
        <v>153</v>
      </c>
      <c r="R304" s="103" t="s">
        <v>153</v>
      </c>
      <c r="S304" s="103" t="str">
        <f>INDEX('Measure &amp; Standard CostIDs'!$AK$8:$AK$12,B304)</f>
        <v>Wtd-Pack</v>
      </c>
      <c r="T304" s="103" t="s">
        <v>867</v>
      </c>
      <c r="U304" s="103"/>
      <c r="V304" s="103"/>
      <c r="W304" s="103">
        <f>ROUND(IF(LEFT(D304,3)="Std",VLOOKUP(D304,'Measure &amp; Standard CostIDs'!$S$5:$X$177,1+B304,FALSE),VLOOKUP(D304,'Measure &amp; Standard CostIDs'!$C$5:$H$177,1+B304,FALSE)),2)</f>
        <v>6.75</v>
      </c>
      <c r="X304" s="103"/>
      <c r="Y304" s="103"/>
      <c r="Z304" s="103" t="s">
        <v>868</v>
      </c>
      <c r="AA304" s="103" t="s">
        <v>874</v>
      </c>
      <c r="AB304" s="103" t="s">
        <v>153</v>
      </c>
      <c r="AC304" s="103">
        <v>0</v>
      </c>
      <c r="AD304" s="156">
        <v>42005</v>
      </c>
      <c r="AE304" s="103"/>
      <c r="AF304" s="103" t="s">
        <v>870</v>
      </c>
      <c r="AG304" s="103" t="s">
        <v>871</v>
      </c>
      <c r="AH304" s="103" t="s">
        <v>976</v>
      </c>
      <c r="AI304" s="103">
        <v>0</v>
      </c>
      <c r="AJ304" s="103"/>
      <c r="AK304" s="103"/>
      <c r="AL304" s="103"/>
      <c r="AM304" s="103"/>
      <c r="AN304" s="103"/>
      <c r="AO304" s="103" t="str">
        <f t="shared" si="9"/>
        <v>Std_CFLscw-Refl(14w)_60pInc-r0286Wtd-Pack</v>
      </c>
    </row>
    <row r="305" spans="1:41">
      <c r="A305" s="177">
        <f>IFERROR(MATCH(D305,'Measure &amp; Standard CostIDs'!C$5:C$177,0),MATCH(D305,'Measure &amp; Standard CostIDs'!S$5:S$177,0))</f>
        <v>144</v>
      </c>
      <c r="B305" s="177">
        <v>1</v>
      </c>
      <c r="C305" s="103" t="s">
        <v>153</v>
      </c>
      <c r="D305" s="103" t="s">
        <v>1002</v>
      </c>
      <c r="E305" s="103" t="str">
        <f>IF(LEFT(D305,3)="Std","Base case cost for mix of 60% Incandescent and 40% CFL lamps for CFL TechID: "&amp;INDEX('Measure &amp; Standard CostIDs'!$C$5:$C$177,A305),"&lt;from TechID&gt;")</f>
        <v>Base case cost for mix of 60% Incandescent and 40% CFL lamps for CFL TechID: CFLscw-Refl(16w)</v>
      </c>
      <c r="F305" s="103" t="s">
        <v>860</v>
      </c>
      <c r="G305" s="103" t="s">
        <v>151</v>
      </c>
      <c r="H305" s="103" t="s">
        <v>861</v>
      </c>
      <c r="I305" s="103" t="s">
        <v>862</v>
      </c>
      <c r="J305" s="103" t="s">
        <v>863</v>
      </c>
      <c r="K305" s="103" t="s">
        <v>864</v>
      </c>
      <c r="L305" s="103" t="s">
        <v>153</v>
      </c>
      <c r="M305" s="103" t="s">
        <v>865</v>
      </c>
      <c r="N305" s="103" t="s">
        <v>866</v>
      </c>
      <c r="O305" s="103" t="str">
        <f t="shared" si="8"/>
        <v/>
      </c>
      <c r="P305" s="103" t="s">
        <v>153</v>
      </c>
      <c r="Q305" s="103" t="s">
        <v>153</v>
      </c>
      <c r="R305" s="103" t="s">
        <v>153</v>
      </c>
      <c r="S305" s="103" t="str">
        <f>INDEX('Measure &amp; Standard CostIDs'!$AK$8:$AK$12,B305)</f>
        <v>Wtd-Pack</v>
      </c>
      <c r="T305" s="103" t="s">
        <v>867</v>
      </c>
      <c r="U305" s="103"/>
      <c r="V305" s="103"/>
      <c r="W305" s="103">
        <f>ROUND(IF(LEFT(D305,3)="Std",VLOOKUP(D305,'Measure &amp; Standard CostIDs'!$S$5:$X$177,1+B305,FALSE),VLOOKUP(D305,'Measure &amp; Standard CostIDs'!$C$5:$H$177,1+B305,FALSE)),2)</f>
        <v>6.92</v>
      </c>
      <c r="X305" s="103"/>
      <c r="Y305" s="103"/>
      <c r="Z305" s="103" t="s">
        <v>868</v>
      </c>
      <c r="AA305" s="103" t="s">
        <v>874</v>
      </c>
      <c r="AB305" s="103" t="s">
        <v>153</v>
      </c>
      <c r="AC305" s="103">
        <v>0</v>
      </c>
      <c r="AD305" s="156">
        <v>42005</v>
      </c>
      <c r="AE305" s="103"/>
      <c r="AF305" s="103" t="s">
        <v>870</v>
      </c>
      <c r="AG305" s="103" t="s">
        <v>871</v>
      </c>
      <c r="AH305" s="103" t="s">
        <v>976</v>
      </c>
      <c r="AI305" s="103">
        <v>0</v>
      </c>
      <c r="AJ305" s="103"/>
      <c r="AK305" s="103"/>
      <c r="AL305" s="103"/>
      <c r="AM305" s="103"/>
      <c r="AN305" s="103"/>
      <c r="AO305" s="103" t="str">
        <f t="shared" si="9"/>
        <v>Std_CFLscw-Refl(16w)_60pInc-r0286Wtd-Pack</v>
      </c>
    </row>
    <row r="306" spans="1:41">
      <c r="A306" s="177">
        <f>IFERROR(MATCH(D306,'Measure &amp; Standard CostIDs'!C$5:C$177,0),MATCH(D306,'Measure &amp; Standard CostIDs'!S$5:S$177,0))</f>
        <v>145</v>
      </c>
      <c r="B306" s="177">
        <v>1</v>
      </c>
      <c r="C306" s="103" t="s">
        <v>153</v>
      </c>
      <c r="D306" s="103" t="s">
        <v>1003</v>
      </c>
      <c r="E306" s="103" t="str">
        <f>IF(LEFT(D306,3)="Std","Base case cost for mix of 60% Incandescent and 40% CFL lamps for CFL TechID: "&amp;INDEX('Measure &amp; Standard CostIDs'!$C$5:$C$177,A306),"&lt;from TechID&gt;")</f>
        <v>Base case cost for mix of 60% Incandescent and 40% CFL lamps for CFL TechID: CFLscw-Refl(17w)</v>
      </c>
      <c r="F306" s="103" t="s">
        <v>860</v>
      </c>
      <c r="G306" s="103" t="s">
        <v>151</v>
      </c>
      <c r="H306" s="103" t="s">
        <v>861</v>
      </c>
      <c r="I306" s="103" t="s">
        <v>862</v>
      </c>
      <c r="J306" s="103" t="s">
        <v>863</v>
      </c>
      <c r="K306" s="103" t="s">
        <v>864</v>
      </c>
      <c r="L306" s="103" t="s">
        <v>153</v>
      </c>
      <c r="M306" s="103" t="s">
        <v>865</v>
      </c>
      <c r="N306" s="103" t="s">
        <v>866</v>
      </c>
      <c r="O306" s="103" t="str">
        <f t="shared" si="8"/>
        <v/>
      </c>
      <c r="P306" s="103" t="s">
        <v>153</v>
      </c>
      <c r="Q306" s="103" t="s">
        <v>153</v>
      </c>
      <c r="R306" s="103" t="s">
        <v>153</v>
      </c>
      <c r="S306" s="103" t="str">
        <f>INDEX('Measure &amp; Standard CostIDs'!$AK$8:$AK$12,B306)</f>
        <v>Wtd-Pack</v>
      </c>
      <c r="T306" s="103" t="s">
        <v>867</v>
      </c>
      <c r="U306" s="103"/>
      <c r="V306" s="103"/>
      <c r="W306" s="103">
        <f>ROUND(IF(LEFT(D306,3)="Std",VLOOKUP(D306,'Measure &amp; Standard CostIDs'!$S$5:$X$177,1+B306,FALSE),VLOOKUP(D306,'Measure &amp; Standard CostIDs'!$C$5:$H$177,1+B306,FALSE)),2)</f>
        <v>7.01</v>
      </c>
      <c r="X306" s="103"/>
      <c r="Y306" s="103"/>
      <c r="Z306" s="103" t="s">
        <v>868</v>
      </c>
      <c r="AA306" s="103" t="s">
        <v>874</v>
      </c>
      <c r="AB306" s="103" t="s">
        <v>153</v>
      </c>
      <c r="AC306" s="103">
        <v>0</v>
      </c>
      <c r="AD306" s="156">
        <v>42005</v>
      </c>
      <c r="AE306" s="103"/>
      <c r="AF306" s="103" t="s">
        <v>870</v>
      </c>
      <c r="AG306" s="103" t="s">
        <v>871</v>
      </c>
      <c r="AH306" s="103" t="s">
        <v>976</v>
      </c>
      <c r="AI306" s="103">
        <v>0</v>
      </c>
      <c r="AJ306" s="103"/>
      <c r="AK306" s="103"/>
      <c r="AL306" s="103"/>
      <c r="AM306" s="103"/>
      <c r="AN306" s="103"/>
      <c r="AO306" s="103" t="str">
        <f t="shared" si="9"/>
        <v>Std_CFLscw-Refl(17w)_60pInc-r0286Wtd-Pack</v>
      </c>
    </row>
    <row r="307" spans="1:41">
      <c r="A307" s="177">
        <f>IFERROR(MATCH(D307,'Measure &amp; Standard CostIDs'!C$5:C$177,0),MATCH(D307,'Measure &amp; Standard CostIDs'!S$5:S$177,0))</f>
        <v>146</v>
      </c>
      <c r="B307" s="177">
        <v>1</v>
      </c>
      <c r="C307" s="103" t="s">
        <v>153</v>
      </c>
      <c r="D307" s="103" t="s">
        <v>1004</v>
      </c>
      <c r="E307" s="103" t="str">
        <f>IF(LEFT(D307,3)="Std","Base case cost for mix of 60% Incandescent and 40% CFL lamps for CFL TechID: "&amp;INDEX('Measure &amp; Standard CostIDs'!$C$5:$C$177,A307),"&lt;from TechID&gt;")</f>
        <v>Base case cost for mix of 60% Incandescent and 40% CFL lamps for CFL TechID: CFLscw-Refl(18w)</v>
      </c>
      <c r="F307" s="103" t="s">
        <v>860</v>
      </c>
      <c r="G307" s="103" t="s">
        <v>151</v>
      </c>
      <c r="H307" s="103" t="s">
        <v>861</v>
      </c>
      <c r="I307" s="103" t="s">
        <v>862</v>
      </c>
      <c r="J307" s="103" t="s">
        <v>863</v>
      </c>
      <c r="K307" s="103" t="s">
        <v>864</v>
      </c>
      <c r="L307" s="103" t="s">
        <v>153</v>
      </c>
      <c r="M307" s="103" t="s">
        <v>865</v>
      </c>
      <c r="N307" s="103" t="s">
        <v>866</v>
      </c>
      <c r="O307" s="103" t="str">
        <f t="shared" si="8"/>
        <v/>
      </c>
      <c r="P307" s="103" t="s">
        <v>153</v>
      </c>
      <c r="Q307" s="103" t="s">
        <v>153</v>
      </c>
      <c r="R307" s="103" t="s">
        <v>153</v>
      </c>
      <c r="S307" s="103" t="str">
        <f>INDEX('Measure &amp; Standard CostIDs'!$AK$8:$AK$12,B307)</f>
        <v>Wtd-Pack</v>
      </c>
      <c r="T307" s="103" t="s">
        <v>867</v>
      </c>
      <c r="U307" s="103"/>
      <c r="V307" s="103"/>
      <c r="W307" s="103">
        <f>ROUND(IF(LEFT(D307,3)="Std",VLOOKUP(D307,'Measure &amp; Standard CostIDs'!$S$5:$X$177,1+B307,FALSE),VLOOKUP(D307,'Measure &amp; Standard CostIDs'!$C$5:$H$177,1+B307,FALSE)),2)</f>
        <v>7.09</v>
      </c>
      <c r="X307" s="103"/>
      <c r="Y307" s="103"/>
      <c r="Z307" s="103" t="s">
        <v>868</v>
      </c>
      <c r="AA307" s="103" t="s">
        <v>874</v>
      </c>
      <c r="AB307" s="103" t="s">
        <v>153</v>
      </c>
      <c r="AC307" s="103">
        <v>0</v>
      </c>
      <c r="AD307" s="156">
        <v>42005</v>
      </c>
      <c r="AE307" s="103"/>
      <c r="AF307" s="103" t="s">
        <v>870</v>
      </c>
      <c r="AG307" s="103" t="s">
        <v>871</v>
      </c>
      <c r="AH307" s="103" t="s">
        <v>976</v>
      </c>
      <c r="AI307" s="103">
        <v>0</v>
      </c>
      <c r="AJ307" s="103"/>
      <c r="AK307" s="103"/>
      <c r="AL307" s="103"/>
      <c r="AM307" s="103"/>
      <c r="AN307" s="103"/>
      <c r="AO307" s="103" t="str">
        <f t="shared" si="9"/>
        <v>Std_CFLscw-Refl(18w)_60pInc-r0286Wtd-Pack</v>
      </c>
    </row>
    <row r="308" spans="1:41">
      <c r="A308" s="177">
        <f>IFERROR(MATCH(D308,'Measure &amp; Standard CostIDs'!C$5:C$177,0),MATCH(D308,'Measure &amp; Standard CostIDs'!S$5:S$177,0))</f>
        <v>147</v>
      </c>
      <c r="B308" s="177">
        <v>1</v>
      </c>
      <c r="C308" s="103" t="s">
        <v>153</v>
      </c>
      <c r="D308" s="103" t="s">
        <v>1005</v>
      </c>
      <c r="E308" s="103" t="str">
        <f>IF(LEFT(D308,3)="Std","Base case cost for mix of 60% Incandescent and 40% CFL lamps for CFL TechID: "&amp;INDEX('Measure &amp; Standard CostIDs'!$C$5:$C$177,A308),"&lt;from TechID&gt;")</f>
        <v>Base case cost for mix of 60% Incandescent and 40% CFL lamps for CFL TechID: CFLscw-Refl(19w)</v>
      </c>
      <c r="F308" s="103" t="s">
        <v>860</v>
      </c>
      <c r="G308" s="103" t="s">
        <v>151</v>
      </c>
      <c r="H308" s="103" t="s">
        <v>861</v>
      </c>
      <c r="I308" s="103" t="s">
        <v>862</v>
      </c>
      <c r="J308" s="103" t="s">
        <v>863</v>
      </c>
      <c r="K308" s="103" t="s">
        <v>864</v>
      </c>
      <c r="L308" s="103" t="s">
        <v>153</v>
      </c>
      <c r="M308" s="103" t="s">
        <v>865</v>
      </c>
      <c r="N308" s="103" t="s">
        <v>866</v>
      </c>
      <c r="O308" s="103" t="str">
        <f t="shared" si="8"/>
        <v/>
      </c>
      <c r="P308" s="103" t="s">
        <v>153</v>
      </c>
      <c r="Q308" s="103" t="s">
        <v>153</v>
      </c>
      <c r="R308" s="103" t="s">
        <v>153</v>
      </c>
      <c r="S308" s="103" t="str">
        <f>INDEX('Measure &amp; Standard CostIDs'!$AK$8:$AK$12,B308)</f>
        <v>Wtd-Pack</v>
      </c>
      <c r="T308" s="103" t="s">
        <v>867</v>
      </c>
      <c r="U308" s="103"/>
      <c r="V308" s="103"/>
      <c r="W308" s="103">
        <f>ROUND(IF(LEFT(D308,3)="Std",VLOOKUP(D308,'Measure &amp; Standard CostIDs'!$S$5:$X$177,1+B308,FALSE),VLOOKUP(D308,'Measure &amp; Standard CostIDs'!$C$5:$H$177,1+B308,FALSE)),2)</f>
        <v>7.18</v>
      </c>
      <c r="X308" s="103"/>
      <c r="Y308" s="103"/>
      <c r="Z308" s="103" t="s">
        <v>868</v>
      </c>
      <c r="AA308" s="103" t="s">
        <v>874</v>
      </c>
      <c r="AB308" s="103" t="s">
        <v>153</v>
      </c>
      <c r="AC308" s="103">
        <v>0</v>
      </c>
      <c r="AD308" s="156">
        <v>42005</v>
      </c>
      <c r="AE308" s="103"/>
      <c r="AF308" s="103" t="s">
        <v>870</v>
      </c>
      <c r="AG308" s="103" t="s">
        <v>871</v>
      </c>
      <c r="AH308" s="103" t="s">
        <v>976</v>
      </c>
      <c r="AI308" s="103">
        <v>0</v>
      </c>
      <c r="AJ308" s="103"/>
      <c r="AK308" s="103"/>
      <c r="AL308" s="103"/>
      <c r="AM308" s="103"/>
      <c r="AN308" s="103"/>
      <c r="AO308" s="103" t="str">
        <f t="shared" si="9"/>
        <v>Std_CFLscw-Refl(19w)_60pInc-r0286Wtd-Pack</v>
      </c>
    </row>
    <row r="309" spans="1:41">
      <c r="A309" s="177">
        <f>IFERROR(MATCH(D309,'Measure &amp; Standard CostIDs'!C$5:C$177,0),MATCH(D309,'Measure &amp; Standard CostIDs'!S$5:S$177,0))</f>
        <v>148</v>
      </c>
      <c r="B309" s="177">
        <v>1</v>
      </c>
      <c r="C309" s="103" t="s">
        <v>153</v>
      </c>
      <c r="D309" s="103" t="s">
        <v>1006</v>
      </c>
      <c r="E309" s="103" t="str">
        <f>IF(LEFT(D309,3)="Std","Base case cost for mix of 60% Incandescent and 40% CFL lamps for CFL TechID: "&amp;INDEX('Measure &amp; Standard CostIDs'!$C$5:$C$177,A309),"&lt;from TechID&gt;")</f>
        <v>Base case cost for mix of 60% Incandescent and 40% CFL lamps for CFL TechID: CFLscw-Refl(20w)</v>
      </c>
      <c r="F309" s="103" t="s">
        <v>860</v>
      </c>
      <c r="G309" s="103" t="s">
        <v>151</v>
      </c>
      <c r="H309" s="103" t="s">
        <v>861</v>
      </c>
      <c r="I309" s="103" t="s">
        <v>862</v>
      </c>
      <c r="J309" s="103" t="s">
        <v>863</v>
      </c>
      <c r="K309" s="103" t="s">
        <v>864</v>
      </c>
      <c r="L309" s="103" t="s">
        <v>153</v>
      </c>
      <c r="M309" s="103" t="s">
        <v>865</v>
      </c>
      <c r="N309" s="103" t="s">
        <v>866</v>
      </c>
      <c r="O309" s="103" t="str">
        <f t="shared" si="8"/>
        <v/>
      </c>
      <c r="P309" s="103" t="s">
        <v>153</v>
      </c>
      <c r="Q309" s="103" t="s">
        <v>153</v>
      </c>
      <c r="R309" s="103" t="s">
        <v>153</v>
      </c>
      <c r="S309" s="103" t="str">
        <f>INDEX('Measure &amp; Standard CostIDs'!$AK$8:$AK$12,B309)</f>
        <v>Wtd-Pack</v>
      </c>
      <c r="T309" s="103" t="s">
        <v>867</v>
      </c>
      <c r="U309" s="103"/>
      <c r="V309" s="103"/>
      <c r="W309" s="103">
        <f>ROUND(IF(LEFT(D309,3)="Std",VLOOKUP(D309,'Measure &amp; Standard CostIDs'!$S$5:$X$177,1+B309,FALSE),VLOOKUP(D309,'Measure &amp; Standard CostIDs'!$C$5:$H$177,1+B309,FALSE)),2)</f>
        <v>7.26</v>
      </c>
      <c r="X309" s="103"/>
      <c r="Y309" s="103"/>
      <c r="Z309" s="103" t="s">
        <v>868</v>
      </c>
      <c r="AA309" s="103" t="s">
        <v>874</v>
      </c>
      <c r="AB309" s="103" t="s">
        <v>153</v>
      </c>
      <c r="AC309" s="103">
        <v>0</v>
      </c>
      <c r="AD309" s="156">
        <v>42005</v>
      </c>
      <c r="AE309" s="103"/>
      <c r="AF309" s="103" t="s">
        <v>870</v>
      </c>
      <c r="AG309" s="103" t="s">
        <v>871</v>
      </c>
      <c r="AH309" s="103" t="s">
        <v>976</v>
      </c>
      <c r="AI309" s="103">
        <v>0</v>
      </c>
      <c r="AJ309" s="103"/>
      <c r="AK309" s="103"/>
      <c r="AL309" s="103"/>
      <c r="AM309" s="103"/>
      <c r="AN309" s="103"/>
      <c r="AO309" s="103" t="str">
        <f t="shared" si="9"/>
        <v>Std_CFLscw-Refl(20w)_60pInc-r0286Wtd-Pack</v>
      </c>
    </row>
    <row r="310" spans="1:41">
      <c r="A310" s="177">
        <f>IFERROR(MATCH(D310,'Measure &amp; Standard CostIDs'!C$5:C$177,0),MATCH(D310,'Measure &amp; Standard CostIDs'!S$5:S$177,0))</f>
        <v>149</v>
      </c>
      <c r="B310" s="177">
        <v>1</v>
      </c>
      <c r="C310" s="103" t="s">
        <v>153</v>
      </c>
      <c r="D310" s="103" t="s">
        <v>1007</v>
      </c>
      <c r="E310" s="103" t="str">
        <f>IF(LEFT(D310,3)="Std","Base case cost for mix of 60% Incandescent and 40% CFL lamps for CFL TechID: "&amp;INDEX('Measure &amp; Standard CostIDs'!$C$5:$C$177,A310),"&lt;from TechID&gt;")</f>
        <v>Base case cost for mix of 60% Incandescent and 40% CFL lamps for CFL TechID: CFLscw-Refl(21w)</v>
      </c>
      <c r="F310" s="103" t="s">
        <v>860</v>
      </c>
      <c r="G310" s="103" t="s">
        <v>151</v>
      </c>
      <c r="H310" s="103" t="s">
        <v>861</v>
      </c>
      <c r="I310" s="103" t="s">
        <v>862</v>
      </c>
      <c r="J310" s="103" t="s">
        <v>863</v>
      </c>
      <c r="K310" s="103" t="s">
        <v>864</v>
      </c>
      <c r="L310" s="103" t="s">
        <v>153</v>
      </c>
      <c r="M310" s="103" t="s">
        <v>865</v>
      </c>
      <c r="N310" s="103" t="s">
        <v>866</v>
      </c>
      <c r="O310" s="103" t="str">
        <f t="shared" si="8"/>
        <v/>
      </c>
      <c r="P310" s="103" t="s">
        <v>153</v>
      </c>
      <c r="Q310" s="103" t="s">
        <v>153</v>
      </c>
      <c r="R310" s="103" t="s">
        <v>153</v>
      </c>
      <c r="S310" s="103" t="str">
        <f>INDEX('Measure &amp; Standard CostIDs'!$AK$8:$AK$12,B310)</f>
        <v>Wtd-Pack</v>
      </c>
      <c r="T310" s="103" t="s">
        <v>867</v>
      </c>
      <c r="U310" s="103"/>
      <c r="V310" s="103"/>
      <c r="W310" s="103">
        <f>ROUND(IF(LEFT(D310,3)="Std",VLOOKUP(D310,'Measure &amp; Standard CostIDs'!$S$5:$X$177,1+B310,FALSE),VLOOKUP(D310,'Measure &amp; Standard CostIDs'!$C$5:$H$177,1+B310,FALSE)),2)</f>
        <v>7.34</v>
      </c>
      <c r="X310" s="103"/>
      <c r="Y310" s="103"/>
      <c r="Z310" s="103" t="s">
        <v>868</v>
      </c>
      <c r="AA310" s="103" t="s">
        <v>874</v>
      </c>
      <c r="AB310" s="103" t="s">
        <v>153</v>
      </c>
      <c r="AC310" s="103">
        <v>0</v>
      </c>
      <c r="AD310" s="156">
        <v>42005</v>
      </c>
      <c r="AE310" s="103"/>
      <c r="AF310" s="103" t="s">
        <v>870</v>
      </c>
      <c r="AG310" s="103" t="s">
        <v>871</v>
      </c>
      <c r="AH310" s="103" t="s">
        <v>976</v>
      </c>
      <c r="AI310" s="103">
        <v>0</v>
      </c>
      <c r="AJ310" s="103"/>
      <c r="AK310" s="103"/>
      <c r="AL310" s="103"/>
      <c r="AM310" s="103"/>
      <c r="AN310" s="103"/>
      <c r="AO310" s="103" t="str">
        <f t="shared" si="9"/>
        <v>Std_CFLscw-Refl(21w)_60pInc-r0286Wtd-Pack</v>
      </c>
    </row>
    <row r="311" spans="1:41">
      <c r="A311" s="177">
        <f>IFERROR(MATCH(D311,'Measure &amp; Standard CostIDs'!C$5:C$177,0),MATCH(D311,'Measure &amp; Standard CostIDs'!S$5:S$177,0))</f>
        <v>150</v>
      </c>
      <c r="B311" s="177">
        <v>1</v>
      </c>
      <c r="C311" s="103" t="s">
        <v>153</v>
      </c>
      <c r="D311" s="103" t="s">
        <v>1008</v>
      </c>
      <c r="E311" s="103" t="str">
        <f>IF(LEFT(D311,3)="Std","Base case cost for mix of 60% Incandescent and 40% CFL lamps for CFL TechID: "&amp;INDEX('Measure &amp; Standard CostIDs'!$C$5:$C$177,A311),"&lt;from TechID&gt;")</f>
        <v>Base case cost for mix of 60% Incandescent and 40% CFL lamps for CFL TechID: CFLscw-Refl(22w)</v>
      </c>
      <c r="F311" s="103" t="s">
        <v>860</v>
      </c>
      <c r="G311" s="103" t="s">
        <v>151</v>
      </c>
      <c r="H311" s="103" t="s">
        <v>861</v>
      </c>
      <c r="I311" s="103" t="s">
        <v>862</v>
      </c>
      <c r="J311" s="103" t="s">
        <v>863</v>
      </c>
      <c r="K311" s="103" t="s">
        <v>864</v>
      </c>
      <c r="L311" s="103" t="s">
        <v>153</v>
      </c>
      <c r="M311" s="103" t="s">
        <v>865</v>
      </c>
      <c r="N311" s="103" t="s">
        <v>866</v>
      </c>
      <c r="O311" s="103" t="str">
        <f t="shared" si="8"/>
        <v/>
      </c>
      <c r="P311" s="103" t="s">
        <v>153</v>
      </c>
      <c r="Q311" s="103" t="s">
        <v>153</v>
      </c>
      <c r="R311" s="103" t="s">
        <v>153</v>
      </c>
      <c r="S311" s="103" t="str">
        <f>INDEX('Measure &amp; Standard CostIDs'!$AK$8:$AK$12,B311)</f>
        <v>Wtd-Pack</v>
      </c>
      <c r="T311" s="103" t="s">
        <v>867</v>
      </c>
      <c r="U311" s="103"/>
      <c r="V311" s="103"/>
      <c r="W311" s="103">
        <f>ROUND(IF(LEFT(D311,3)="Std",VLOOKUP(D311,'Measure &amp; Standard CostIDs'!$S$5:$X$177,1+B311,FALSE),VLOOKUP(D311,'Measure &amp; Standard CostIDs'!$C$5:$H$177,1+B311,FALSE)),2)</f>
        <v>7.43</v>
      </c>
      <c r="X311" s="103"/>
      <c r="Y311" s="103"/>
      <c r="Z311" s="103" t="s">
        <v>868</v>
      </c>
      <c r="AA311" s="103" t="s">
        <v>874</v>
      </c>
      <c r="AB311" s="103" t="s">
        <v>153</v>
      </c>
      <c r="AC311" s="103">
        <v>0</v>
      </c>
      <c r="AD311" s="156">
        <v>42005</v>
      </c>
      <c r="AE311" s="103"/>
      <c r="AF311" s="103" t="s">
        <v>870</v>
      </c>
      <c r="AG311" s="103" t="s">
        <v>871</v>
      </c>
      <c r="AH311" s="103" t="s">
        <v>976</v>
      </c>
      <c r="AI311" s="103">
        <v>0</v>
      </c>
      <c r="AJ311" s="103"/>
      <c r="AK311" s="103"/>
      <c r="AL311" s="103"/>
      <c r="AM311" s="103"/>
      <c r="AN311" s="103"/>
      <c r="AO311" s="103" t="str">
        <f t="shared" si="9"/>
        <v>Std_CFLscw-Refl(22w)_60pInc-r0286Wtd-Pack</v>
      </c>
    </row>
    <row r="312" spans="1:41">
      <c r="A312" s="177">
        <f>IFERROR(MATCH(D312,'Measure &amp; Standard CostIDs'!C$5:C$177,0),MATCH(D312,'Measure &amp; Standard CostIDs'!S$5:S$177,0))</f>
        <v>151</v>
      </c>
      <c r="B312" s="177">
        <v>1</v>
      </c>
      <c r="C312" s="103" t="s">
        <v>153</v>
      </c>
      <c r="D312" s="103" t="s">
        <v>1009</v>
      </c>
      <c r="E312" s="103" t="str">
        <f>IF(LEFT(D312,3)="Std","Base case cost for mix of 60% Incandescent and 40% CFL lamps for CFL TechID: "&amp;INDEX('Measure &amp; Standard CostIDs'!$C$5:$C$177,A312),"&lt;from TechID&gt;")</f>
        <v>Base case cost for mix of 60% Incandescent and 40% CFL lamps for CFL TechID: CFLscw-Refl(24w)</v>
      </c>
      <c r="F312" s="103" t="s">
        <v>860</v>
      </c>
      <c r="G312" s="103" t="s">
        <v>151</v>
      </c>
      <c r="H312" s="103" t="s">
        <v>861</v>
      </c>
      <c r="I312" s="103" t="s">
        <v>862</v>
      </c>
      <c r="J312" s="103" t="s">
        <v>863</v>
      </c>
      <c r="K312" s="103" t="s">
        <v>864</v>
      </c>
      <c r="L312" s="103" t="s">
        <v>153</v>
      </c>
      <c r="M312" s="103" t="s">
        <v>865</v>
      </c>
      <c r="N312" s="103" t="s">
        <v>866</v>
      </c>
      <c r="O312" s="103" t="str">
        <f t="shared" si="8"/>
        <v/>
      </c>
      <c r="P312" s="103" t="s">
        <v>153</v>
      </c>
      <c r="Q312" s="103" t="s">
        <v>153</v>
      </c>
      <c r="R312" s="103" t="s">
        <v>153</v>
      </c>
      <c r="S312" s="103" t="str">
        <f>INDEX('Measure &amp; Standard CostIDs'!$AK$8:$AK$12,B312)</f>
        <v>Wtd-Pack</v>
      </c>
      <c r="T312" s="103" t="s">
        <v>867</v>
      </c>
      <c r="U312" s="103"/>
      <c r="V312" s="103"/>
      <c r="W312" s="103">
        <f>ROUND(IF(LEFT(D312,3)="Std",VLOOKUP(D312,'Measure &amp; Standard CostIDs'!$S$5:$X$177,1+B312,FALSE),VLOOKUP(D312,'Measure &amp; Standard CostIDs'!$C$5:$H$177,1+B312,FALSE)),2)</f>
        <v>7.6</v>
      </c>
      <c r="X312" s="103"/>
      <c r="Y312" s="103"/>
      <c r="Z312" s="103" t="s">
        <v>868</v>
      </c>
      <c r="AA312" s="103" t="s">
        <v>874</v>
      </c>
      <c r="AB312" s="103" t="s">
        <v>153</v>
      </c>
      <c r="AC312" s="103">
        <v>0</v>
      </c>
      <c r="AD312" s="156">
        <v>42005</v>
      </c>
      <c r="AE312" s="103"/>
      <c r="AF312" s="103" t="s">
        <v>870</v>
      </c>
      <c r="AG312" s="103" t="s">
        <v>871</v>
      </c>
      <c r="AH312" s="103" t="s">
        <v>976</v>
      </c>
      <c r="AI312" s="103">
        <v>0</v>
      </c>
      <c r="AJ312" s="103"/>
      <c r="AK312" s="103"/>
      <c r="AL312" s="103"/>
      <c r="AM312" s="103"/>
      <c r="AN312" s="103"/>
      <c r="AO312" s="103" t="str">
        <f t="shared" si="9"/>
        <v>Std_CFLscw-Refl(24w)_60pInc-r0286Wtd-Pack</v>
      </c>
    </row>
    <row r="313" spans="1:41">
      <c r="A313" s="177">
        <f>IFERROR(MATCH(D313,'Measure &amp; Standard CostIDs'!C$5:C$177,0),MATCH(D313,'Measure &amp; Standard CostIDs'!S$5:S$177,0))</f>
        <v>152</v>
      </c>
      <c r="B313" s="177">
        <v>1</v>
      </c>
      <c r="C313" s="103" t="s">
        <v>153</v>
      </c>
      <c r="D313" s="103" t="s">
        <v>1010</v>
      </c>
      <c r="E313" s="103" t="str">
        <f>IF(LEFT(D313,3)="Std","Base case cost for mix of 60% Incandescent and 40% CFL lamps for CFL TechID: "&amp;INDEX('Measure &amp; Standard CostIDs'!$C$5:$C$177,A313),"&lt;from TechID&gt;")</f>
        <v>Base case cost for mix of 60% Incandescent and 40% CFL lamps for CFL TechID: CFLscw-Refl(25w)</v>
      </c>
      <c r="F313" s="103" t="s">
        <v>860</v>
      </c>
      <c r="G313" s="103" t="s">
        <v>151</v>
      </c>
      <c r="H313" s="103" t="s">
        <v>861</v>
      </c>
      <c r="I313" s="103" t="s">
        <v>862</v>
      </c>
      <c r="J313" s="103" t="s">
        <v>863</v>
      </c>
      <c r="K313" s="103" t="s">
        <v>864</v>
      </c>
      <c r="L313" s="103" t="s">
        <v>153</v>
      </c>
      <c r="M313" s="103" t="s">
        <v>865</v>
      </c>
      <c r="N313" s="103" t="s">
        <v>866</v>
      </c>
      <c r="O313" s="103" t="str">
        <f t="shared" si="8"/>
        <v/>
      </c>
      <c r="P313" s="103" t="s">
        <v>153</v>
      </c>
      <c r="Q313" s="103" t="s">
        <v>153</v>
      </c>
      <c r="R313" s="103" t="s">
        <v>153</v>
      </c>
      <c r="S313" s="103" t="str">
        <f>INDEX('Measure &amp; Standard CostIDs'!$AK$8:$AK$12,B313)</f>
        <v>Wtd-Pack</v>
      </c>
      <c r="T313" s="103" t="s">
        <v>867</v>
      </c>
      <c r="U313" s="103"/>
      <c r="V313" s="103"/>
      <c r="W313" s="103">
        <f>ROUND(IF(LEFT(D313,3)="Std",VLOOKUP(D313,'Measure &amp; Standard CostIDs'!$S$5:$X$177,1+B313,FALSE),VLOOKUP(D313,'Measure &amp; Standard CostIDs'!$C$5:$H$177,1+B313,FALSE)),2)</f>
        <v>7.68</v>
      </c>
      <c r="X313" s="103"/>
      <c r="Y313" s="103"/>
      <c r="Z313" s="103" t="s">
        <v>868</v>
      </c>
      <c r="AA313" s="103" t="s">
        <v>874</v>
      </c>
      <c r="AB313" s="103" t="s">
        <v>153</v>
      </c>
      <c r="AC313" s="103">
        <v>0</v>
      </c>
      <c r="AD313" s="156">
        <v>42005</v>
      </c>
      <c r="AE313" s="103"/>
      <c r="AF313" s="103" t="s">
        <v>870</v>
      </c>
      <c r="AG313" s="103" t="s">
        <v>871</v>
      </c>
      <c r="AH313" s="103" t="s">
        <v>976</v>
      </c>
      <c r="AI313" s="103">
        <v>0</v>
      </c>
      <c r="AJ313" s="103"/>
      <c r="AK313" s="103"/>
      <c r="AL313" s="103"/>
      <c r="AM313" s="103"/>
      <c r="AN313" s="103"/>
      <c r="AO313" s="103" t="str">
        <f t="shared" si="9"/>
        <v>Std_CFLscw-Refl(25w)_60pInc-r0286Wtd-Pack</v>
      </c>
    </row>
    <row r="314" spans="1:41">
      <c r="A314" s="177">
        <f>IFERROR(MATCH(D314,'Measure &amp; Standard CostIDs'!C$5:C$177,0),MATCH(D314,'Measure &amp; Standard CostIDs'!S$5:S$177,0))</f>
        <v>153</v>
      </c>
      <c r="B314" s="177">
        <v>1</v>
      </c>
      <c r="C314" s="103" t="s">
        <v>153</v>
      </c>
      <c r="D314" s="103" t="s">
        <v>1011</v>
      </c>
      <c r="E314" s="103" t="str">
        <f>IF(LEFT(D314,3)="Std","Base case cost for mix of 60% Incandescent and 40% CFL lamps for CFL TechID: "&amp;INDEX('Measure &amp; Standard CostIDs'!$C$5:$C$177,A314),"&lt;from TechID&gt;")</f>
        <v>Base case cost for mix of 60% Incandescent and 40% CFL lamps for CFL TechID: CFLscw-Refl(26w)</v>
      </c>
      <c r="F314" s="103" t="s">
        <v>860</v>
      </c>
      <c r="G314" s="103" t="s">
        <v>151</v>
      </c>
      <c r="H314" s="103" t="s">
        <v>861</v>
      </c>
      <c r="I314" s="103" t="s">
        <v>862</v>
      </c>
      <c r="J314" s="103" t="s">
        <v>863</v>
      </c>
      <c r="K314" s="103" t="s">
        <v>864</v>
      </c>
      <c r="L314" s="103" t="s">
        <v>153</v>
      </c>
      <c r="M314" s="103" t="s">
        <v>865</v>
      </c>
      <c r="N314" s="103" t="s">
        <v>866</v>
      </c>
      <c r="O314" s="103" t="str">
        <f t="shared" si="8"/>
        <v/>
      </c>
      <c r="P314" s="103" t="s">
        <v>153</v>
      </c>
      <c r="Q314" s="103" t="s">
        <v>153</v>
      </c>
      <c r="R314" s="103" t="s">
        <v>153</v>
      </c>
      <c r="S314" s="103" t="str">
        <f>INDEX('Measure &amp; Standard CostIDs'!$AK$8:$AK$12,B314)</f>
        <v>Wtd-Pack</v>
      </c>
      <c r="T314" s="103" t="s">
        <v>867</v>
      </c>
      <c r="U314" s="103"/>
      <c r="V314" s="103"/>
      <c r="W314" s="103">
        <f>ROUND(IF(LEFT(D314,3)="Std",VLOOKUP(D314,'Measure &amp; Standard CostIDs'!$S$5:$X$177,1+B314,FALSE),VLOOKUP(D314,'Measure &amp; Standard CostIDs'!$C$5:$H$177,1+B314,FALSE)),2)</f>
        <v>7.76</v>
      </c>
      <c r="X314" s="103"/>
      <c r="Y314" s="103"/>
      <c r="Z314" s="103" t="s">
        <v>868</v>
      </c>
      <c r="AA314" s="103" t="s">
        <v>874</v>
      </c>
      <c r="AB314" s="103" t="s">
        <v>153</v>
      </c>
      <c r="AC314" s="103">
        <v>0</v>
      </c>
      <c r="AD314" s="156">
        <v>42005</v>
      </c>
      <c r="AE314" s="103"/>
      <c r="AF314" s="103" t="s">
        <v>870</v>
      </c>
      <c r="AG314" s="103" t="s">
        <v>871</v>
      </c>
      <c r="AH314" s="103" t="s">
        <v>976</v>
      </c>
      <c r="AI314" s="103">
        <v>0</v>
      </c>
      <c r="AJ314" s="103"/>
      <c r="AK314" s="103"/>
      <c r="AL314" s="103"/>
      <c r="AM314" s="103"/>
      <c r="AN314" s="103"/>
      <c r="AO314" s="103" t="str">
        <f t="shared" si="9"/>
        <v>Std_CFLscw-Refl(26w)_60pInc-r0286Wtd-Pack</v>
      </c>
    </row>
    <row r="315" spans="1:41">
      <c r="A315" s="177">
        <f>IFERROR(MATCH(D315,'Measure &amp; Standard CostIDs'!C$5:C$177,0),MATCH(D315,'Measure &amp; Standard CostIDs'!S$5:S$177,0))</f>
        <v>154</v>
      </c>
      <c r="B315" s="177">
        <v>1</v>
      </c>
      <c r="C315" s="103" t="s">
        <v>153</v>
      </c>
      <c r="D315" s="103" t="s">
        <v>1012</v>
      </c>
      <c r="E315" s="103" t="str">
        <f>IF(LEFT(D315,3)="Std","Base case cost for mix of 60% Incandescent and 40% CFL lamps for CFL TechID: "&amp;INDEX('Measure &amp; Standard CostIDs'!$C$5:$C$177,A315),"&lt;from TechID&gt;")</f>
        <v>Base case cost for mix of 60% Incandescent and 40% CFL lamps for CFL TechID: CFLscw-Refl(5w)</v>
      </c>
      <c r="F315" s="103" t="s">
        <v>860</v>
      </c>
      <c r="G315" s="103" t="s">
        <v>151</v>
      </c>
      <c r="H315" s="103" t="s">
        <v>861</v>
      </c>
      <c r="I315" s="103" t="s">
        <v>862</v>
      </c>
      <c r="J315" s="103" t="s">
        <v>863</v>
      </c>
      <c r="K315" s="103" t="s">
        <v>864</v>
      </c>
      <c r="L315" s="103" t="s">
        <v>153</v>
      </c>
      <c r="M315" s="103" t="s">
        <v>865</v>
      </c>
      <c r="N315" s="103" t="s">
        <v>866</v>
      </c>
      <c r="O315" s="103" t="str">
        <f t="shared" si="8"/>
        <v/>
      </c>
      <c r="P315" s="103" t="s">
        <v>153</v>
      </c>
      <c r="Q315" s="103" t="s">
        <v>153</v>
      </c>
      <c r="R315" s="103" t="s">
        <v>153</v>
      </c>
      <c r="S315" s="103" t="str">
        <f>INDEX('Measure &amp; Standard CostIDs'!$AK$8:$AK$12,B315)</f>
        <v>Wtd-Pack</v>
      </c>
      <c r="T315" s="103" t="s">
        <v>867</v>
      </c>
      <c r="U315" s="103"/>
      <c r="V315" s="103"/>
      <c r="W315" s="103">
        <f>ROUND(IF(LEFT(D315,3)="Std",VLOOKUP(D315,'Measure &amp; Standard CostIDs'!$S$5:$X$177,1+B315,FALSE),VLOOKUP(D315,'Measure &amp; Standard CostIDs'!$C$5:$H$177,1+B315,FALSE)),2)</f>
        <v>5.99</v>
      </c>
      <c r="X315" s="103"/>
      <c r="Y315" s="103"/>
      <c r="Z315" s="103" t="s">
        <v>868</v>
      </c>
      <c r="AA315" s="103" t="s">
        <v>874</v>
      </c>
      <c r="AB315" s="103" t="s">
        <v>153</v>
      </c>
      <c r="AC315" s="103">
        <v>0</v>
      </c>
      <c r="AD315" s="156">
        <v>42005</v>
      </c>
      <c r="AE315" s="103"/>
      <c r="AF315" s="103" t="s">
        <v>870</v>
      </c>
      <c r="AG315" s="103" t="s">
        <v>871</v>
      </c>
      <c r="AH315" s="103" t="s">
        <v>976</v>
      </c>
      <c r="AI315" s="103">
        <v>0</v>
      </c>
      <c r="AJ315" s="103"/>
      <c r="AK315" s="103"/>
      <c r="AL315" s="103"/>
      <c r="AM315" s="103"/>
      <c r="AN315" s="103"/>
      <c r="AO315" s="103" t="str">
        <f t="shared" si="9"/>
        <v>Std_CFLscw-Refl(5w)_60pInc-r0286Wtd-Pack</v>
      </c>
    </row>
    <row r="316" spans="1:41">
      <c r="A316" s="177">
        <f>IFERROR(MATCH(D316,'Measure &amp; Standard CostIDs'!C$5:C$177,0),MATCH(D316,'Measure &amp; Standard CostIDs'!S$5:S$177,0))</f>
        <v>155</v>
      </c>
      <c r="B316" s="177">
        <v>1</v>
      </c>
      <c r="C316" s="103" t="s">
        <v>153</v>
      </c>
      <c r="D316" s="103" t="s">
        <v>1013</v>
      </c>
      <c r="E316" s="103" t="str">
        <f>IF(LEFT(D316,3)="Std","Base case cost for mix of 60% Incandescent and 40% CFL lamps for CFL TechID: "&amp;INDEX('Measure &amp; Standard CostIDs'!$C$5:$C$177,A316),"&lt;from TechID&gt;")</f>
        <v>Base case cost for mix of 60% Incandescent and 40% CFL lamps for CFL TechID: CFLscw-Refl(6w)</v>
      </c>
      <c r="F316" s="103" t="s">
        <v>860</v>
      </c>
      <c r="G316" s="103" t="s">
        <v>151</v>
      </c>
      <c r="H316" s="103" t="s">
        <v>861</v>
      </c>
      <c r="I316" s="103" t="s">
        <v>862</v>
      </c>
      <c r="J316" s="103" t="s">
        <v>863</v>
      </c>
      <c r="K316" s="103" t="s">
        <v>864</v>
      </c>
      <c r="L316" s="103" t="s">
        <v>153</v>
      </c>
      <c r="M316" s="103" t="s">
        <v>865</v>
      </c>
      <c r="N316" s="103" t="s">
        <v>866</v>
      </c>
      <c r="O316" s="103" t="str">
        <f t="shared" si="8"/>
        <v/>
      </c>
      <c r="P316" s="103" t="s">
        <v>153</v>
      </c>
      <c r="Q316" s="103" t="s">
        <v>153</v>
      </c>
      <c r="R316" s="103" t="s">
        <v>153</v>
      </c>
      <c r="S316" s="103" t="str">
        <f>INDEX('Measure &amp; Standard CostIDs'!$AK$8:$AK$12,B316)</f>
        <v>Wtd-Pack</v>
      </c>
      <c r="T316" s="103" t="s">
        <v>867</v>
      </c>
      <c r="U316" s="103"/>
      <c r="V316" s="103"/>
      <c r="W316" s="103">
        <f>ROUND(IF(LEFT(D316,3)="Std",VLOOKUP(D316,'Measure &amp; Standard CostIDs'!$S$5:$X$177,1+B316,FALSE),VLOOKUP(D316,'Measure &amp; Standard CostIDs'!$C$5:$H$177,1+B316,FALSE)),2)</f>
        <v>6.08</v>
      </c>
      <c r="X316" s="103"/>
      <c r="Y316" s="103"/>
      <c r="Z316" s="103" t="s">
        <v>868</v>
      </c>
      <c r="AA316" s="103" t="s">
        <v>874</v>
      </c>
      <c r="AB316" s="103" t="s">
        <v>153</v>
      </c>
      <c r="AC316" s="103">
        <v>0</v>
      </c>
      <c r="AD316" s="156">
        <v>42005</v>
      </c>
      <c r="AE316" s="103"/>
      <c r="AF316" s="103" t="s">
        <v>870</v>
      </c>
      <c r="AG316" s="103" t="s">
        <v>871</v>
      </c>
      <c r="AH316" s="103" t="s">
        <v>976</v>
      </c>
      <c r="AI316" s="103">
        <v>0</v>
      </c>
      <c r="AJ316" s="103"/>
      <c r="AK316" s="103"/>
      <c r="AL316" s="103"/>
      <c r="AM316" s="103"/>
      <c r="AN316" s="103"/>
      <c r="AO316" s="103" t="str">
        <f t="shared" si="9"/>
        <v>Std_CFLscw-Refl(6w)_60pInc-r0286Wtd-Pack</v>
      </c>
    </row>
    <row r="317" spans="1:41">
      <c r="A317" s="177">
        <f>IFERROR(MATCH(D317,'Measure &amp; Standard CostIDs'!C$5:C$177,0),MATCH(D317,'Measure &amp; Standard CostIDs'!S$5:S$177,0))</f>
        <v>156</v>
      </c>
      <c r="B317" s="177">
        <v>1</v>
      </c>
      <c r="C317" s="103" t="s">
        <v>153</v>
      </c>
      <c r="D317" s="103" t="s">
        <v>1014</v>
      </c>
      <c r="E317" s="103" t="str">
        <f>IF(LEFT(D317,3)="Std","Base case cost for mix of 60% Incandescent and 40% CFL lamps for CFL TechID: "&amp;INDEX('Measure &amp; Standard CostIDs'!$C$5:$C$177,A317),"&lt;from TechID&gt;")</f>
        <v>Base case cost for mix of 60% Incandescent and 40% CFL lamps for CFL TechID: CFLscw-Refl(7w)</v>
      </c>
      <c r="F317" s="103" t="s">
        <v>860</v>
      </c>
      <c r="G317" s="103" t="s">
        <v>151</v>
      </c>
      <c r="H317" s="103" t="s">
        <v>861</v>
      </c>
      <c r="I317" s="103" t="s">
        <v>862</v>
      </c>
      <c r="J317" s="103" t="s">
        <v>863</v>
      </c>
      <c r="K317" s="103" t="s">
        <v>864</v>
      </c>
      <c r="L317" s="103" t="s">
        <v>153</v>
      </c>
      <c r="M317" s="103" t="s">
        <v>865</v>
      </c>
      <c r="N317" s="103" t="s">
        <v>866</v>
      </c>
      <c r="O317" s="103" t="str">
        <f t="shared" si="8"/>
        <v/>
      </c>
      <c r="P317" s="103" t="s">
        <v>153</v>
      </c>
      <c r="Q317" s="103" t="s">
        <v>153</v>
      </c>
      <c r="R317" s="103" t="s">
        <v>153</v>
      </c>
      <c r="S317" s="103" t="str">
        <f>INDEX('Measure &amp; Standard CostIDs'!$AK$8:$AK$12,B317)</f>
        <v>Wtd-Pack</v>
      </c>
      <c r="T317" s="103" t="s">
        <v>867</v>
      </c>
      <c r="U317" s="103"/>
      <c r="V317" s="103"/>
      <c r="W317" s="103">
        <f>ROUND(IF(LEFT(D317,3)="Std",VLOOKUP(D317,'Measure &amp; Standard CostIDs'!$S$5:$X$177,1+B317,FALSE),VLOOKUP(D317,'Measure &amp; Standard CostIDs'!$C$5:$H$177,1+B317,FALSE)),2)</f>
        <v>6.16</v>
      </c>
      <c r="X317" s="103"/>
      <c r="Y317" s="103"/>
      <c r="Z317" s="103" t="s">
        <v>868</v>
      </c>
      <c r="AA317" s="103" t="s">
        <v>874</v>
      </c>
      <c r="AB317" s="103" t="s">
        <v>153</v>
      </c>
      <c r="AC317" s="103">
        <v>0</v>
      </c>
      <c r="AD317" s="156">
        <v>42005</v>
      </c>
      <c r="AE317" s="103"/>
      <c r="AF317" s="103" t="s">
        <v>870</v>
      </c>
      <c r="AG317" s="103" t="s">
        <v>871</v>
      </c>
      <c r="AH317" s="103" t="s">
        <v>976</v>
      </c>
      <c r="AI317" s="103">
        <v>0</v>
      </c>
      <c r="AJ317" s="103"/>
      <c r="AK317" s="103"/>
      <c r="AL317" s="103"/>
      <c r="AM317" s="103"/>
      <c r="AN317" s="103"/>
      <c r="AO317" s="103" t="str">
        <f t="shared" si="9"/>
        <v>Std_CFLscw-Refl(7w)_60pInc-r0286Wtd-Pack</v>
      </c>
    </row>
    <row r="318" spans="1:41">
      <c r="A318" s="177">
        <f>IFERROR(MATCH(D318,'Measure &amp; Standard CostIDs'!C$5:C$177,0),MATCH(D318,'Measure &amp; Standard CostIDs'!S$5:S$177,0))</f>
        <v>157</v>
      </c>
      <c r="B318" s="177">
        <v>1</v>
      </c>
      <c r="C318" s="103" t="s">
        <v>153</v>
      </c>
      <c r="D318" s="103" t="s">
        <v>1015</v>
      </c>
      <c r="E318" s="103" t="str">
        <f>IF(LEFT(D318,3)="Std","Base case cost for mix of 60% Incandescent and 40% CFL lamps for CFL TechID: "&amp;INDEX('Measure &amp; Standard CostIDs'!$C$5:$C$177,A318),"&lt;from TechID&gt;")</f>
        <v>Base case cost for mix of 60% Incandescent and 40% CFL lamps for CFL TechID: CFLscw-Refl(8w)</v>
      </c>
      <c r="F318" s="103" t="s">
        <v>860</v>
      </c>
      <c r="G318" s="103" t="s">
        <v>151</v>
      </c>
      <c r="H318" s="103" t="s">
        <v>861</v>
      </c>
      <c r="I318" s="103" t="s">
        <v>862</v>
      </c>
      <c r="J318" s="103" t="s">
        <v>863</v>
      </c>
      <c r="K318" s="103" t="s">
        <v>864</v>
      </c>
      <c r="L318" s="103" t="s">
        <v>153</v>
      </c>
      <c r="M318" s="103" t="s">
        <v>865</v>
      </c>
      <c r="N318" s="103" t="s">
        <v>866</v>
      </c>
      <c r="O318" s="103" t="str">
        <f t="shared" si="8"/>
        <v/>
      </c>
      <c r="P318" s="103" t="s">
        <v>153</v>
      </c>
      <c r="Q318" s="103" t="s">
        <v>153</v>
      </c>
      <c r="R318" s="103" t="s">
        <v>153</v>
      </c>
      <c r="S318" s="103" t="str">
        <f>INDEX('Measure &amp; Standard CostIDs'!$AK$8:$AK$12,B318)</f>
        <v>Wtd-Pack</v>
      </c>
      <c r="T318" s="103" t="s">
        <v>867</v>
      </c>
      <c r="U318" s="103"/>
      <c r="V318" s="103"/>
      <c r="W318" s="103">
        <f>ROUND(IF(LEFT(D318,3)="Std",VLOOKUP(D318,'Measure &amp; Standard CostIDs'!$S$5:$X$177,1+B318,FALSE),VLOOKUP(D318,'Measure &amp; Standard CostIDs'!$C$5:$H$177,1+B318,FALSE)),2)</f>
        <v>6.25</v>
      </c>
      <c r="X318" s="103"/>
      <c r="Y318" s="103"/>
      <c r="Z318" s="103" t="s">
        <v>868</v>
      </c>
      <c r="AA318" s="103" t="s">
        <v>874</v>
      </c>
      <c r="AB318" s="103" t="s">
        <v>153</v>
      </c>
      <c r="AC318" s="103">
        <v>0</v>
      </c>
      <c r="AD318" s="156">
        <v>42005</v>
      </c>
      <c r="AE318" s="103"/>
      <c r="AF318" s="103" t="s">
        <v>870</v>
      </c>
      <c r="AG318" s="103" t="s">
        <v>871</v>
      </c>
      <c r="AH318" s="103" t="s">
        <v>976</v>
      </c>
      <c r="AI318" s="103">
        <v>0</v>
      </c>
      <c r="AJ318" s="103"/>
      <c r="AK318" s="103"/>
      <c r="AL318" s="103"/>
      <c r="AM318" s="103"/>
      <c r="AN318" s="103"/>
      <c r="AO318" s="103" t="str">
        <f t="shared" si="9"/>
        <v>Std_CFLscw-Refl(8w)_60pInc-r0286Wtd-Pack</v>
      </c>
    </row>
    <row r="319" spans="1:41">
      <c r="A319" s="177">
        <f>IFERROR(MATCH(D319,'Measure &amp; Standard CostIDs'!C$5:C$177,0),MATCH(D319,'Measure &amp; Standard CostIDs'!S$5:S$177,0))</f>
        <v>158</v>
      </c>
      <c r="B319" s="177">
        <v>1</v>
      </c>
      <c r="C319" s="103" t="s">
        <v>153</v>
      </c>
      <c r="D319" s="103" t="s">
        <v>1016</v>
      </c>
      <c r="E319" s="103" t="str">
        <f>IF(LEFT(D319,3)="Std","Base case cost for mix of 60% Incandescent and 40% CFL lamps for CFL TechID: "&amp;INDEX('Measure &amp; Standard CostIDs'!$C$5:$C$177,A319),"&lt;from TechID&gt;")</f>
        <v>Base case cost for mix of 60% Incandescent and 40% CFL lamps for CFL TechID: CFLscw-Refl(9w)</v>
      </c>
      <c r="F319" s="103" t="s">
        <v>860</v>
      </c>
      <c r="G319" s="103" t="s">
        <v>151</v>
      </c>
      <c r="H319" s="103" t="s">
        <v>861</v>
      </c>
      <c r="I319" s="103" t="s">
        <v>862</v>
      </c>
      <c r="J319" s="103" t="s">
        <v>863</v>
      </c>
      <c r="K319" s="103" t="s">
        <v>864</v>
      </c>
      <c r="L319" s="103" t="s">
        <v>153</v>
      </c>
      <c r="M319" s="103" t="s">
        <v>865</v>
      </c>
      <c r="N319" s="103" t="s">
        <v>866</v>
      </c>
      <c r="O319" s="103" t="str">
        <f t="shared" si="8"/>
        <v/>
      </c>
      <c r="P319" s="103" t="s">
        <v>153</v>
      </c>
      <c r="Q319" s="103" t="s">
        <v>153</v>
      </c>
      <c r="R319" s="103" t="s">
        <v>153</v>
      </c>
      <c r="S319" s="103" t="str">
        <f>INDEX('Measure &amp; Standard CostIDs'!$AK$8:$AK$12,B319)</f>
        <v>Wtd-Pack</v>
      </c>
      <c r="T319" s="103" t="s">
        <v>867</v>
      </c>
      <c r="U319" s="103"/>
      <c r="V319" s="103"/>
      <c r="W319" s="103">
        <f>ROUND(IF(LEFT(D319,3)="Std",VLOOKUP(D319,'Measure &amp; Standard CostIDs'!$S$5:$X$177,1+B319,FALSE),VLOOKUP(D319,'Measure &amp; Standard CostIDs'!$C$5:$H$177,1+B319,FALSE)),2)</f>
        <v>6.33</v>
      </c>
      <c r="X319" s="103"/>
      <c r="Y319" s="103"/>
      <c r="Z319" s="103" t="s">
        <v>868</v>
      </c>
      <c r="AA319" s="103" t="s">
        <v>874</v>
      </c>
      <c r="AB319" s="103" t="s">
        <v>153</v>
      </c>
      <c r="AC319" s="103">
        <v>0</v>
      </c>
      <c r="AD319" s="156">
        <v>42005</v>
      </c>
      <c r="AE319" s="103"/>
      <c r="AF319" s="103" t="s">
        <v>870</v>
      </c>
      <c r="AG319" s="103" t="s">
        <v>871</v>
      </c>
      <c r="AH319" s="103" t="s">
        <v>976</v>
      </c>
      <c r="AI319" s="103">
        <v>0</v>
      </c>
      <c r="AJ319" s="103"/>
      <c r="AK319" s="103"/>
      <c r="AL319" s="103"/>
      <c r="AM319" s="103"/>
      <c r="AN319" s="103"/>
      <c r="AO319" s="103" t="str">
        <f t="shared" si="9"/>
        <v>Std_CFLscw-Refl(9w)_60pInc-r0286Wtd-Pack</v>
      </c>
    </row>
    <row r="320" spans="1:41">
      <c r="A320" s="177">
        <f>IFERROR(MATCH(D320,'Measure &amp; Standard CostIDs'!C$5:C$177,0),MATCH(D320,'Measure &amp; Standard CostIDs'!S$5:S$177,0))</f>
        <v>159</v>
      </c>
      <c r="B320" s="177">
        <v>1</v>
      </c>
      <c r="C320" s="103" t="s">
        <v>153</v>
      </c>
      <c r="D320" s="103" t="s">
        <v>1017</v>
      </c>
      <c r="E320" s="103" t="str">
        <f>IF(LEFT(D320,3)="Std","Base case cost for mix of 60% Incandescent and 40% CFL lamps for CFL TechID: "&amp;INDEX('Measure &amp; Standard CostIDs'!$C$5:$C$177,A320),"&lt;from TechID&gt;")</f>
        <v>Base case cost for mix of 60% Incandescent and 40% CFL lamps for CFL TechID: CFLscw-Refl-1(15w)</v>
      </c>
      <c r="F320" s="103" t="s">
        <v>860</v>
      </c>
      <c r="G320" s="103" t="s">
        <v>151</v>
      </c>
      <c r="H320" s="103" t="s">
        <v>861</v>
      </c>
      <c r="I320" s="103" t="s">
        <v>862</v>
      </c>
      <c r="J320" s="103" t="s">
        <v>863</v>
      </c>
      <c r="K320" s="103" t="s">
        <v>864</v>
      </c>
      <c r="L320" s="103" t="s">
        <v>153</v>
      </c>
      <c r="M320" s="103" t="s">
        <v>865</v>
      </c>
      <c r="N320" s="103" t="s">
        <v>866</v>
      </c>
      <c r="O320" s="103" t="str">
        <f t="shared" si="8"/>
        <v/>
      </c>
      <c r="P320" s="103" t="s">
        <v>153</v>
      </c>
      <c r="Q320" s="103" t="s">
        <v>153</v>
      </c>
      <c r="R320" s="103" t="s">
        <v>153</v>
      </c>
      <c r="S320" s="103" t="str">
        <f>INDEX('Measure &amp; Standard CostIDs'!$AK$8:$AK$12,B320)</f>
        <v>Wtd-Pack</v>
      </c>
      <c r="T320" s="103" t="s">
        <v>867</v>
      </c>
      <c r="U320" s="103"/>
      <c r="V320" s="103"/>
      <c r="W320" s="103">
        <f>ROUND(IF(LEFT(D320,3)="Std",VLOOKUP(D320,'Measure &amp; Standard CostIDs'!$S$5:$X$177,1+B320,FALSE),VLOOKUP(D320,'Measure &amp; Standard CostIDs'!$C$5:$H$177,1+B320,FALSE)),2)</f>
        <v>6.84</v>
      </c>
      <c r="X320" s="103"/>
      <c r="Y320" s="103"/>
      <c r="Z320" s="103" t="s">
        <v>868</v>
      </c>
      <c r="AA320" s="103" t="s">
        <v>874</v>
      </c>
      <c r="AB320" s="103" t="s">
        <v>153</v>
      </c>
      <c r="AC320" s="103">
        <v>0</v>
      </c>
      <c r="AD320" s="156">
        <v>42005</v>
      </c>
      <c r="AE320" s="103"/>
      <c r="AF320" s="103" t="s">
        <v>870</v>
      </c>
      <c r="AG320" s="103" t="s">
        <v>871</v>
      </c>
      <c r="AH320" s="103" t="s">
        <v>976</v>
      </c>
      <c r="AI320" s="103">
        <v>0</v>
      </c>
      <c r="AJ320" s="103"/>
      <c r="AK320" s="103"/>
      <c r="AL320" s="103"/>
      <c r="AM320" s="103"/>
      <c r="AN320" s="103"/>
      <c r="AO320" s="103" t="str">
        <f t="shared" si="9"/>
        <v>Std_CFLscw-Refl-1(15w)_60pInc-r0286Wtd-Pack</v>
      </c>
    </row>
    <row r="321" spans="1:41">
      <c r="A321" s="177">
        <f>IFERROR(MATCH(D321,'Measure &amp; Standard CostIDs'!C$5:C$177,0),MATCH(D321,'Measure &amp; Standard CostIDs'!S$5:S$177,0))</f>
        <v>160</v>
      </c>
      <c r="B321" s="177">
        <v>1</v>
      </c>
      <c r="C321" s="103" t="s">
        <v>153</v>
      </c>
      <c r="D321" s="103" t="s">
        <v>1018</v>
      </c>
      <c r="E321" s="103" t="str">
        <f>IF(LEFT(D321,3)="Std","Base case cost for mix of 60% Incandescent and 40% CFL lamps for CFL TechID: "&amp;INDEX('Measure &amp; Standard CostIDs'!$C$5:$C$177,A321),"&lt;from TechID&gt;")</f>
        <v>Base case cost for mix of 60% Incandescent and 40% CFL lamps for CFL TechID: CFLscw-Refl-1(23w)</v>
      </c>
      <c r="F321" s="103" t="s">
        <v>860</v>
      </c>
      <c r="G321" s="103" t="s">
        <v>151</v>
      </c>
      <c r="H321" s="103" t="s">
        <v>861</v>
      </c>
      <c r="I321" s="103" t="s">
        <v>862</v>
      </c>
      <c r="J321" s="103" t="s">
        <v>863</v>
      </c>
      <c r="K321" s="103" t="s">
        <v>864</v>
      </c>
      <c r="L321" s="103" t="s">
        <v>153</v>
      </c>
      <c r="M321" s="103" t="s">
        <v>865</v>
      </c>
      <c r="N321" s="103" t="s">
        <v>866</v>
      </c>
      <c r="O321" s="103" t="str">
        <f t="shared" si="8"/>
        <v/>
      </c>
      <c r="P321" s="103" t="s">
        <v>153</v>
      </c>
      <c r="Q321" s="103" t="s">
        <v>153</v>
      </c>
      <c r="R321" s="103" t="s">
        <v>153</v>
      </c>
      <c r="S321" s="103" t="str">
        <f>INDEX('Measure &amp; Standard CostIDs'!$AK$8:$AK$12,B321)</f>
        <v>Wtd-Pack</v>
      </c>
      <c r="T321" s="103" t="s">
        <v>867</v>
      </c>
      <c r="U321" s="103"/>
      <c r="V321" s="103"/>
      <c r="W321" s="103">
        <f>ROUND(IF(LEFT(D321,3)="Std",VLOOKUP(D321,'Measure &amp; Standard CostIDs'!$S$5:$X$177,1+B321,FALSE),VLOOKUP(D321,'Measure &amp; Standard CostIDs'!$C$5:$H$177,1+B321,FALSE)),2)</f>
        <v>7.51</v>
      </c>
      <c r="X321" s="103"/>
      <c r="Y321" s="103"/>
      <c r="Z321" s="103" t="s">
        <v>868</v>
      </c>
      <c r="AA321" s="103" t="s">
        <v>874</v>
      </c>
      <c r="AB321" s="103" t="s">
        <v>153</v>
      </c>
      <c r="AC321" s="103">
        <v>0</v>
      </c>
      <c r="AD321" s="156">
        <v>42005</v>
      </c>
      <c r="AE321" s="103"/>
      <c r="AF321" s="103" t="s">
        <v>870</v>
      </c>
      <c r="AG321" s="103" t="s">
        <v>871</v>
      </c>
      <c r="AH321" s="103" t="s">
        <v>976</v>
      </c>
      <c r="AI321" s="103">
        <v>0</v>
      </c>
      <c r="AJ321" s="103"/>
      <c r="AK321" s="103"/>
      <c r="AL321" s="103"/>
      <c r="AM321" s="103"/>
      <c r="AN321" s="103"/>
      <c r="AO321" s="103" t="str">
        <f t="shared" si="9"/>
        <v>Std_CFLscw-Refl-1(23w)_60pInc-r0286Wtd-Pack</v>
      </c>
    </row>
    <row r="322" spans="1:41">
      <c r="A322" s="177">
        <f>IFERROR(MATCH(D322,'Measure &amp; Standard CostIDs'!C$5:C$177,0),MATCH(D322,'Measure &amp; Standard CostIDs'!S$5:S$177,0))</f>
        <v>161</v>
      </c>
      <c r="B322" s="177">
        <v>1</v>
      </c>
      <c r="C322" s="103" t="s">
        <v>153</v>
      </c>
      <c r="D322" s="103" t="s">
        <v>1019</v>
      </c>
      <c r="E322" s="103" t="str">
        <f>IF(LEFT(D322,3)="Std","Base case cost for mix of 60% Incandescent and 40% CFL lamps for CFL TechID: "&amp;INDEX('Measure &amp; Standard CostIDs'!$C$5:$C$177,A322),"&lt;from TechID&gt;")</f>
        <v>Base case cost for mix of 60% Incandescent and 40% CFL lamps for CFL TechID: CFLscw-Refl-2(15w)</v>
      </c>
      <c r="F322" s="103" t="s">
        <v>860</v>
      </c>
      <c r="G322" s="103" t="s">
        <v>151</v>
      </c>
      <c r="H322" s="103" t="s">
        <v>861</v>
      </c>
      <c r="I322" s="103" t="s">
        <v>862</v>
      </c>
      <c r="J322" s="103" t="s">
        <v>863</v>
      </c>
      <c r="K322" s="103" t="s">
        <v>864</v>
      </c>
      <c r="L322" s="103" t="s">
        <v>153</v>
      </c>
      <c r="M322" s="103" t="s">
        <v>865</v>
      </c>
      <c r="N322" s="103" t="s">
        <v>866</v>
      </c>
      <c r="O322" s="103" t="str">
        <f t="shared" si="8"/>
        <v/>
      </c>
      <c r="P322" s="103" t="s">
        <v>153</v>
      </c>
      <c r="Q322" s="103" t="s">
        <v>153</v>
      </c>
      <c r="R322" s="103" t="s">
        <v>153</v>
      </c>
      <c r="S322" s="103" t="str">
        <f>INDEX('Measure &amp; Standard CostIDs'!$AK$8:$AK$12,B322)</f>
        <v>Wtd-Pack</v>
      </c>
      <c r="T322" s="103" t="s">
        <v>867</v>
      </c>
      <c r="U322" s="103"/>
      <c r="V322" s="103"/>
      <c r="W322" s="103">
        <f>ROUND(IF(LEFT(D322,3)="Std",VLOOKUP(D322,'Measure &amp; Standard CostIDs'!$S$5:$X$177,1+B322,FALSE),VLOOKUP(D322,'Measure &amp; Standard CostIDs'!$C$5:$H$177,1+B322,FALSE)),2)</f>
        <v>6.84</v>
      </c>
      <c r="X322" s="103"/>
      <c r="Y322" s="103"/>
      <c r="Z322" s="103" t="s">
        <v>868</v>
      </c>
      <c r="AA322" s="103" t="s">
        <v>874</v>
      </c>
      <c r="AB322" s="103" t="s">
        <v>153</v>
      </c>
      <c r="AC322" s="103">
        <v>0</v>
      </c>
      <c r="AD322" s="156">
        <v>42005</v>
      </c>
      <c r="AE322" s="103"/>
      <c r="AF322" s="103" t="s">
        <v>870</v>
      </c>
      <c r="AG322" s="103" t="s">
        <v>871</v>
      </c>
      <c r="AH322" s="103" t="s">
        <v>976</v>
      </c>
      <c r="AI322" s="103">
        <v>0</v>
      </c>
      <c r="AJ322" s="103"/>
      <c r="AK322" s="103"/>
      <c r="AL322" s="103"/>
      <c r="AM322" s="103"/>
      <c r="AN322" s="103"/>
      <c r="AO322" s="103" t="str">
        <f t="shared" si="9"/>
        <v>Std_CFLscw-Refl-2(15w)_60pInc-r0286Wtd-Pack</v>
      </c>
    </row>
    <row r="323" spans="1:41">
      <c r="A323" s="177">
        <f>IFERROR(MATCH(D323,'Measure &amp; Standard CostIDs'!C$5:C$177,0),MATCH(D323,'Measure &amp; Standard CostIDs'!S$5:S$177,0))</f>
        <v>162</v>
      </c>
      <c r="B323" s="177">
        <v>1</v>
      </c>
      <c r="C323" s="103" t="s">
        <v>153</v>
      </c>
      <c r="D323" s="103" t="s">
        <v>1020</v>
      </c>
      <c r="E323" s="103" t="str">
        <f>IF(LEFT(D323,3)="Std","Base case cost for mix of 60% Incandescent and 40% CFL lamps for CFL TechID: "&amp;INDEX('Measure &amp; Standard CostIDs'!$C$5:$C$177,A323),"&lt;from TechID&gt;")</f>
        <v>Base case cost for mix of 60% Incandescent and 40% CFL lamps for CFL TechID: CFLscw-Refl-2(23w)</v>
      </c>
      <c r="F323" s="103" t="s">
        <v>860</v>
      </c>
      <c r="G323" s="103" t="s">
        <v>151</v>
      </c>
      <c r="H323" s="103" t="s">
        <v>861</v>
      </c>
      <c r="I323" s="103" t="s">
        <v>862</v>
      </c>
      <c r="J323" s="103" t="s">
        <v>863</v>
      </c>
      <c r="K323" s="103" t="s">
        <v>864</v>
      </c>
      <c r="L323" s="103" t="s">
        <v>153</v>
      </c>
      <c r="M323" s="103" t="s">
        <v>865</v>
      </c>
      <c r="N323" s="103" t="s">
        <v>866</v>
      </c>
      <c r="O323" s="103" t="str">
        <f t="shared" si="8"/>
        <v/>
      </c>
      <c r="P323" s="103" t="s">
        <v>153</v>
      </c>
      <c r="Q323" s="103" t="s">
        <v>153</v>
      </c>
      <c r="R323" s="103" t="s">
        <v>153</v>
      </c>
      <c r="S323" s="103" t="str">
        <f>INDEX('Measure &amp; Standard CostIDs'!$AK$8:$AK$12,B323)</f>
        <v>Wtd-Pack</v>
      </c>
      <c r="T323" s="103" t="s">
        <v>867</v>
      </c>
      <c r="U323" s="103"/>
      <c r="V323" s="103"/>
      <c r="W323" s="103">
        <f>ROUND(IF(LEFT(D323,3)="Std",VLOOKUP(D323,'Measure &amp; Standard CostIDs'!$S$5:$X$177,1+B323,FALSE),VLOOKUP(D323,'Measure &amp; Standard CostIDs'!$C$5:$H$177,1+B323,FALSE)),2)</f>
        <v>7.51</v>
      </c>
      <c r="X323" s="103"/>
      <c r="Y323" s="103"/>
      <c r="Z323" s="103" t="s">
        <v>868</v>
      </c>
      <c r="AA323" s="103" t="s">
        <v>874</v>
      </c>
      <c r="AB323" s="103" t="s">
        <v>153</v>
      </c>
      <c r="AC323" s="103">
        <v>0</v>
      </c>
      <c r="AD323" s="156">
        <v>42005</v>
      </c>
      <c r="AE323" s="103"/>
      <c r="AF323" s="103" t="s">
        <v>870</v>
      </c>
      <c r="AG323" s="103" t="s">
        <v>871</v>
      </c>
      <c r="AH323" s="103" t="s">
        <v>976</v>
      </c>
      <c r="AI323" s="103">
        <v>0</v>
      </c>
      <c r="AJ323" s="103"/>
      <c r="AK323" s="103"/>
      <c r="AL323" s="103"/>
      <c r="AM323" s="103"/>
      <c r="AN323" s="103"/>
      <c r="AO323" s="103" t="str">
        <f t="shared" si="9"/>
        <v>Std_CFLscw-Refl-2(23w)_60pInc-r0286Wtd-Pack</v>
      </c>
    </row>
    <row r="324" spans="1:41">
      <c r="A324" s="177">
        <f>IFERROR(MATCH(D324,'Measure &amp; Standard CostIDs'!C$5:C$177,0),MATCH(D324,'Measure &amp; Standard CostIDs'!S$5:S$177,0))</f>
        <v>163</v>
      </c>
      <c r="B324" s="177">
        <v>1</v>
      </c>
      <c r="C324" s="103" t="s">
        <v>153</v>
      </c>
      <c r="D324" s="103" t="s">
        <v>1021</v>
      </c>
      <c r="E324" s="103" t="str">
        <f>IF(LEFT(D324,3)="Std","Base case cost for mix of 60% Incandescent and 40% CFL lamps for CFL TechID: "&amp;INDEX('Measure &amp; Standard CostIDs'!$C$5:$C$177,A324),"&lt;from TechID&gt;")</f>
        <v>Base case cost for mix of 60% Incandescent and 40% CFL lamps for CFL TechID: CFLscw-Refl-Dim(15w)</v>
      </c>
      <c r="F324" s="103" t="s">
        <v>860</v>
      </c>
      <c r="G324" s="103" t="s">
        <v>151</v>
      </c>
      <c r="H324" s="103" t="s">
        <v>861</v>
      </c>
      <c r="I324" s="103" t="s">
        <v>862</v>
      </c>
      <c r="J324" s="103" t="s">
        <v>863</v>
      </c>
      <c r="K324" s="103" t="s">
        <v>864</v>
      </c>
      <c r="L324" s="103" t="s">
        <v>153</v>
      </c>
      <c r="M324" s="103" t="s">
        <v>865</v>
      </c>
      <c r="N324" s="103" t="s">
        <v>866</v>
      </c>
      <c r="O324" s="103" t="str">
        <f t="shared" si="8"/>
        <v/>
      </c>
      <c r="P324" s="103" t="s">
        <v>153</v>
      </c>
      <c r="Q324" s="103" t="s">
        <v>153</v>
      </c>
      <c r="R324" s="103" t="s">
        <v>153</v>
      </c>
      <c r="S324" s="103" t="str">
        <f>INDEX('Measure &amp; Standard CostIDs'!$AK$8:$AK$12,B324)</f>
        <v>Wtd-Pack</v>
      </c>
      <c r="T324" s="103" t="s">
        <v>867</v>
      </c>
      <c r="U324" s="103"/>
      <c r="V324" s="103"/>
      <c r="W324" s="103">
        <f>ROUND(IF(LEFT(D324,3)="Std",VLOOKUP(D324,'Measure &amp; Standard CostIDs'!$S$5:$X$177,1+B324,FALSE),VLOOKUP(D324,'Measure &amp; Standard CostIDs'!$C$5:$H$177,1+B324,FALSE)),2)</f>
        <v>8.4499999999999993</v>
      </c>
      <c r="X324" s="103"/>
      <c r="Y324" s="103"/>
      <c r="Z324" s="103" t="s">
        <v>868</v>
      </c>
      <c r="AA324" s="103" t="s">
        <v>874</v>
      </c>
      <c r="AB324" s="103" t="s">
        <v>153</v>
      </c>
      <c r="AC324" s="103">
        <v>0</v>
      </c>
      <c r="AD324" s="156">
        <v>42005</v>
      </c>
      <c r="AE324" s="103"/>
      <c r="AF324" s="103" t="s">
        <v>870</v>
      </c>
      <c r="AG324" s="103" t="s">
        <v>871</v>
      </c>
      <c r="AH324" s="103" t="s">
        <v>976</v>
      </c>
      <c r="AI324" s="103">
        <v>0</v>
      </c>
      <c r="AJ324" s="103"/>
      <c r="AK324" s="103"/>
      <c r="AL324" s="103"/>
      <c r="AM324" s="103"/>
      <c r="AN324" s="103"/>
      <c r="AO324" s="103" t="str">
        <f t="shared" si="9"/>
        <v>Std_CFLscw-Refl-Dim(15w)_60pInc-r0286Wtd-Pack</v>
      </c>
    </row>
    <row r="325" spans="1:41">
      <c r="A325" s="177">
        <f>IFERROR(MATCH(D325,'Measure &amp; Standard CostIDs'!C$5:C$177,0),MATCH(D325,'Measure &amp; Standard CostIDs'!S$5:S$177,0))</f>
        <v>164</v>
      </c>
      <c r="B325" s="177">
        <v>1</v>
      </c>
      <c r="C325" s="103" t="s">
        <v>153</v>
      </c>
      <c r="D325" s="103" t="s">
        <v>1022</v>
      </c>
      <c r="E325" s="103" t="str">
        <f>IF(LEFT(D325,3)="Std","Base case cost for mix of 60% Incandescent and 40% CFL lamps for CFL TechID: "&amp;INDEX('Measure &amp; Standard CostIDs'!$C$5:$C$177,A325),"&lt;from TechID&gt;")</f>
        <v>Base case cost for mix of 60% Incandescent and 40% CFL lamps for CFL TechID: CFLscw-Refl-Dim(16w)</v>
      </c>
      <c r="F325" s="103" t="s">
        <v>860</v>
      </c>
      <c r="G325" s="103" t="s">
        <v>151</v>
      </c>
      <c r="H325" s="103" t="s">
        <v>861</v>
      </c>
      <c r="I325" s="103" t="s">
        <v>862</v>
      </c>
      <c r="J325" s="103" t="s">
        <v>863</v>
      </c>
      <c r="K325" s="103" t="s">
        <v>864</v>
      </c>
      <c r="L325" s="103" t="s">
        <v>153</v>
      </c>
      <c r="M325" s="103" t="s">
        <v>865</v>
      </c>
      <c r="N325" s="103" t="s">
        <v>866</v>
      </c>
      <c r="O325" s="103" t="str">
        <f t="shared" si="8"/>
        <v/>
      </c>
      <c r="P325" s="103" t="s">
        <v>153</v>
      </c>
      <c r="Q325" s="103" t="s">
        <v>153</v>
      </c>
      <c r="R325" s="103" t="s">
        <v>153</v>
      </c>
      <c r="S325" s="103" t="str">
        <f>INDEX('Measure &amp; Standard CostIDs'!$AK$8:$AK$12,B325)</f>
        <v>Wtd-Pack</v>
      </c>
      <c r="T325" s="103" t="s">
        <v>867</v>
      </c>
      <c r="U325" s="103"/>
      <c r="V325" s="103"/>
      <c r="W325" s="103">
        <f>ROUND(IF(LEFT(D325,3)="Std",VLOOKUP(D325,'Measure &amp; Standard CostIDs'!$S$5:$X$177,1+B325,FALSE),VLOOKUP(D325,'Measure &amp; Standard CostIDs'!$C$5:$H$177,1+B325,FALSE)),2)</f>
        <v>8.5399999999999991</v>
      </c>
      <c r="X325" s="103"/>
      <c r="Y325" s="103"/>
      <c r="Z325" s="103" t="s">
        <v>868</v>
      </c>
      <c r="AA325" s="103" t="s">
        <v>874</v>
      </c>
      <c r="AB325" s="103" t="s">
        <v>153</v>
      </c>
      <c r="AC325" s="103">
        <v>0</v>
      </c>
      <c r="AD325" s="156">
        <v>42005</v>
      </c>
      <c r="AE325" s="103"/>
      <c r="AF325" s="103" t="s">
        <v>870</v>
      </c>
      <c r="AG325" s="103" t="s">
        <v>871</v>
      </c>
      <c r="AH325" s="103" t="s">
        <v>976</v>
      </c>
      <c r="AI325" s="103">
        <v>0</v>
      </c>
      <c r="AJ325" s="103"/>
      <c r="AK325" s="103"/>
      <c r="AL325" s="103"/>
      <c r="AM325" s="103"/>
      <c r="AN325" s="103"/>
      <c r="AO325" s="103" t="str">
        <f t="shared" si="9"/>
        <v>Std_CFLscw-Refl-Dim(16w)_60pInc-r0286Wtd-Pack</v>
      </c>
    </row>
    <row r="326" spans="1:41">
      <c r="A326" s="177">
        <f>IFERROR(MATCH(D326,'Measure &amp; Standard CostIDs'!C$5:C$177,0),MATCH(D326,'Measure &amp; Standard CostIDs'!S$5:S$177,0))</f>
        <v>165</v>
      </c>
      <c r="B326" s="177">
        <v>1</v>
      </c>
      <c r="C326" s="103" t="s">
        <v>153</v>
      </c>
      <c r="D326" s="103" t="s">
        <v>1023</v>
      </c>
      <c r="E326" s="103" t="str">
        <f>IF(LEFT(D326,3)="Std","Base case cost for mix of 60% Incandescent and 40% CFL lamps for CFL TechID: "&amp;INDEX('Measure &amp; Standard CostIDs'!$C$5:$C$177,A326),"&lt;from TechID&gt;")</f>
        <v>Base case cost for mix of 60% Incandescent and 40% CFL lamps for CFL TechID: CFLscw-Refl-Dim(20w)</v>
      </c>
      <c r="F326" s="103" t="s">
        <v>860</v>
      </c>
      <c r="G326" s="103" t="s">
        <v>151</v>
      </c>
      <c r="H326" s="103" t="s">
        <v>861</v>
      </c>
      <c r="I326" s="103" t="s">
        <v>862</v>
      </c>
      <c r="J326" s="103" t="s">
        <v>863</v>
      </c>
      <c r="K326" s="103" t="s">
        <v>864</v>
      </c>
      <c r="L326" s="103" t="s">
        <v>153</v>
      </c>
      <c r="M326" s="103" t="s">
        <v>865</v>
      </c>
      <c r="N326" s="103" t="s">
        <v>866</v>
      </c>
      <c r="O326" s="103" t="str">
        <f t="shared" ref="O326:O389" si="10">IF(LEFT(D326,3)="Std","",D326)</f>
        <v/>
      </c>
      <c r="P326" s="103" t="s">
        <v>153</v>
      </c>
      <c r="Q326" s="103" t="s">
        <v>153</v>
      </c>
      <c r="R326" s="103" t="s">
        <v>153</v>
      </c>
      <c r="S326" s="103" t="str">
        <f>INDEX('Measure &amp; Standard CostIDs'!$AK$8:$AK$12,B326)</f>
        <v>Wtd-Pack</v>
      </c>
      <c r="T326" s="103" t="s">
        <v>867</v>
      </c>
      <c r="U326" s="103"/>
      <c r="V326" s="103"/>
      <c r="W326" s="103">
        <f>ROUND(IF(LEFT(D326,3)="Std",VLOOKUP(D326,'Measure &amp; Standard CostIDs'!$S$5:$X$177,1+B326,FALSE),VLOOKUP(D326,'Measure &amp; Standard CostIDs'!$C$5:$H$177,1+B326,FALSE)),2)</f>
        <v>8.8800000000000008</v>
      </c>
      <c r="X326" s="103"/>
      <c r="Y326" s="103"/>
      <c r="Z326" s="103" t="s">
        <v>868</v>
      </c>
      <c r="AA326" s="103" t="s">
        <v>874</v>
      </c>
      <c r="AB326" s="103" t="s">
        <v>153</v>
      </c>
      <c r="AC326" s="103">
        <v>0</v>
      </c>
      <c r="AD326" s="156">
        <v>42005</v>
      </c>
      <c r="AE326" s="103"/>
      <c r="AF326" s="103" t="s">
        <v>870</v>
      </c>
      <c r="AG326" s="103" t="s">
        <v>871</v>
      </c>
      <c r="AH326" s="103" t="s">
        <v>976</v>
      </c>
      <c r="AI326" s="103">
        <v>0</v>
      </c>
      <c r="AJ326" s="103"/>
      <c r="AK326" s="103"/>
      <c r="AL326" s="103"/>
      <c r="AM326" s="103"/>
      <c r="AN326" s="103"/>
      <c r="AO326" s="103" t="str">
        <f t="shared" ref="AO326:AO389" si="11">D326&amp;S326</f>
        <v>Std_CFLscw-Refl-Dim(20w)_60pInc-r0286Wtd-Pack</v>
      </c>
    </row>
    <row r="327" spans="1:41">
      <c r="A327" s="177">
        <f>IFERROR(MATCH(D327,'Measure &amp; Standard CostIDs'!C$5:C$177,0),MATCH(D327,'Measure &amp; Standard CostIDs'!S$5:S$177,0))</f>
        <v>166</v>
      </c>
      <c r="B327" s="177">
        <v>1</v>
      </c>
      <c r="C327" s="103" t="s">
        <v>153</v>
      </c>
      <c r="D327" s="103" t="s">
        <v>1024</v>
      </c>
      <c r="E327" s="103" t="str">
        <f>IF(LEFT(D327,3)="Std","Base case cost for mix of 60% Incandescent and 40% CFL lamps for CFL TechID: "&amp;INDEX('Measure &amp; Standard CostIDs'!$C$5:$C$177,A327),"&lt;from TechID&gt;")</f>
        <v>Base case cost for mix of 60% Incandescent and 40% CFL lamps for CFL TechID: CFLscw-Refl-Dim(26w)</v>
      </c>
      <c r="F327" s="103" t="s">
        <v>860</v>
      </c>
      <c r="G327" s="103" t="s">
        <v>151</v>
      </c>
      <c r="H327" s="103" t="s">
        <v>861</v>
      </c>
      <c r="I327" s="103" t="s">
        <v>862</v>
      </c>
      <c r="J327" s="103" t="s">
        <v>863</v>
      </c>
      <c r="K327" s="103" t="s">
        <v>864</v>
      </c>
      <c r="L327" s="103" t="s">
        <v>153</v>
      </c>
      <c r="M327" s="103" t="s">
        <v>865</v>
      </c>
      <c r="N327" s="103" t="s">
        <v>866</v>
      </c>
      <c r="O327" s="103" t="str">
        <f t="shared" si="10"/>
        <v/>
      </c>
      <c r="P327" s="103" t="s">
        <v>153</v>
      </c>
      <c r="Q327" s="103" t="s">
        <v>153</v>
      </c>
      <c r="R327" s="103" t="s">
        <v>153</v>
      </c>
      <c r="S327" s="103" t="str">
        <f>INDEX('Measure &amp; Standard CostIDs'!$AK$8:$AK$12,B327)</f>
        <v>Wtd-Pack</v>
      </c>
      <c r="T327" s="103" t="s">
        <v>867</v>
      </c>
      <c r="U327" s="103"/>
      <c r="V327" s="103"/>
      <c r="W327" s="103">
        <f>ROUND(IF(LEFT(D327,3)="Std",VLOOKUP(D327,'Measure &amp; Standard CostIDs'!$S$5:$X$177,1+B327,FALSE),VLOOKUP(D327,'Measure &amp; Standard CostIDs'!$C$5:$H$177,1+B327,FALSE)),2)</f>
        <v>9.3800000000000008</v>
      </c>
      <c r="X327" s="103"/>
      <c r="Y327" s="103"/>
      <c r="Z327" s="103" t="s">
        <v>868</v>
      </c>
      <c r="AA327" s="103" t="s">
        <v>874</v>
      </c>
      <c r="AB327" s="103" t="s">
        <v>153</v>
      </c>
      <c r="AC327" s="103">
        <v>0</v>
      </c>
      <c r="AD327" s="156">
        <v>42005</v>
      </c>
      <c r="AE327" s="103"/>
      <c r="AF327" s="103" t="s">
        <v>870</v>
      </c>
      <c r="AG327" s="103" t="s">
        <v>871</v>
      </c>
      <c r="AH327" s="103" t="s">
        <v>976</v>
      </c>
      <c r="AI327" s="103">
        <v>0</v>
      </c>
      <c r="AJ327" s="103"/>
      <c r="AK327" s="103"/>
      <c r="AL327" s="103"/>
      <c r="AM327" s="103"/>
      <c r="AN327" s="103"/>
      <c r="AO327" s="103" t="str">
        <f t="shared" si="11"/>
        <v>Std_CFLscw-Refl-Dim(26w)_60pInc-r0286Wtd-Pack</v>
      </c>
    </row>
    <row r="328" spans="1:41">
      <c r="A328" s="177">
        <f>IFERROR(MATCH(D328,'Measure &amp; Standard CostIDs'!C$5:C$177,0),MATCH(D328,'Measure &amp; Standard CostIDs'!S$5:S$177,0))</f>
        <v>167</v>
      </c>
      <c r="B328" s="177">
        <v>1</v>
      </c>
      <c r="C328" s="103" t="s">
        <v>153</v>
      </c>
      <c r="D328" s="103" t="s">
        <v>1025</v>
      </c>
      <c r="E328" s="103" t="str">
        <f>IF(LEFT(D328,3)="Std","Base case cost for mix of 60% Incandescent and 40% CFL lamps for CFL TechID: "&amp;INDEX('Measure &amp; Standard CostIDs'!$C$5:$C$177,A328),"&lt;from TechID&gt;")</f>
        <v>Base case cost for mix of 60% Incandescent and 40% CFL lamps for CFL TechID: CFLscw-Refl-Ext(13w)</v>
      </c>
      <c r="F328" s="103" t="s">
        <v>860</v>
      </c>
      <c r="G328" s="103" t="s">
        <v>151</v>
      </c>
      <c r="H328" s="103" t="s">
        <v>861</v>
      </c>
      <c r="I328" s="103" t="s">
        <v>862</v>
      </c>
      <c r="J328" s="103" t="s">
        <v>863</v>
      </c>
      <c r="K328" s="103" t="s">
        <v>864</v>
      </c>
      <c r="L328" s="103" t="s">
        <v>153</v>
      </c>
      <c r="M328" s="103" t="s">
        <v>865</v>
      </c>
      <c r="N328" s="103" t="s">
        <v>866</v>
      </c>
      <c r="O328" s="103" t="str">
        <f t="shared" si="10"/>
        <v/>
      </c>
      <c r="P328" s="103" t="s">
        <v>153</v>
      </c>
      <c r="Q328" s="103" t="s">
        <v>153</v>
      </c>
      <c r="R328" s="103" t="s">
        <v>153</v>
      </c>
      <c r="S328" s="103" t="str">
        <f>INDEX('Measure &amp; Standard CostIDs'!$AK$8:$AK$12,B328)</f>
        <v>Wtd-Pack</v>
      </c>
      <c r="T328" s="103" t="s">
        <v>867</v>
      </c>
      <c r="U328" s="103"/>
      <c r="V328" s="103"/>
      <c r="W328" s="103">
        <f>ROUND(IF(LEFT(D328,3)="Std",VLOOKUP(D328,'Measure &amp; Standard CostIDs'!$S$5:$X$177,1+B328,FALSE),VLOOKUP(D328,'Measure &amp; Standard CostIDs'!$C$5:$H$177,1+B328,FALSE)),2)</f>
        <v>6.67</v>
      </c>
      <c r="X328" s="103"/>
      <c r="Y328" s="103"/>
      <c r="Z328" s="103" t="s">
        <v>868</v>
      </c>
      <c r="AA328" s="103" t="s">
        <v>874</v>
      </c>
      <c r="AB328" s="103" t="s">
        <v>153</v>
      </c>
      <c r="AC328" s="103">
        <v>0</v>
      </c>
      <c r="AD328" s="156">
        <v>42005</v>
      </c>
      <c r="AE328" s="103"/>
      <c r="AF328" s="103" t="s">
        <v>870</v>
      </c>
      <c r="AG328" s="103" t="s">
        <v>871</v>
      </c>
      <c r="AH328" s="103" t="s">
        <v>976</v>
      </c>
      <c r="AI328" s="103">
        <v>0</v>
      </c>
      <c r="AJ328" s="103"/>
      <c r="AK328" s="103"/>
      <c r="AL328" s="103"/>
      <c r="AM328" s="103"/>
      <c r="AN328" s="103"/>
      <c r="AO328" s="103" t="str">
        <f t="shared" si="11"/>
        <v>Std_CFLscw-Refl-Ext(13w)_60pInc-r0286Wtd-Pack</v>
      </c>
    </row>
    <row r="329" spans="1:41">
      <c r="A329" s="177">
        <f>IFERROR(MATCH(D329,'Measure &amp; Standard CostIDs'!C$5:C$177,0),MATCH(D329,'Measure &amp; Standard CostIDs'!S$5:S$177,0))</f>
        <v>168</v>
      </c>
      <c r="B329" s="177">
        <v>1</v>
      </c>
      <c r="C329" s="103" t="s">
        <v>153</v>
      </c>
      <c r="D329" s="103" t="s">
        <v>1026</v>
      </c>
      <c r="E329" s="103" t="str">
        <f>IF(LEFT(D329,3)="Std","Base case cost for mix of 60% Incandescent and 40% CFL lamps for CFL TechID: "&amp;INDEX('Measure &amp; Standard CostIDs'!$C$5:$C$177,A329),"&lt;from TechID&gt;")</f>
        <v>Base case cost for mix of 60% Incandescent and 40% CFL lamps for CFL TechID: CFLscw-Refl-Ext(14w)</v>
      </c>
      <c r="F329" s="103" t="s">
        <v>860</v>
      </c>
      <c r="G329" s="103" t="s">
        <v>151</v>
      </c>
      <c r="H329" s="103" t="s">
        <v>861</v>
      </c>
      <c r="I329" s="103" t="s">
        <v>862</v>
      </c>
      <c r="J329" s="103" t="s">
        <v>863</v>
      </c>
      <c r="K329" s="103" t="s">
        <v>864</v>
      </c>
      <c r="L329" s="103" t="s">
        <v>153</v>
      </c>
      <c r="M329" s="103" t="s">
        <v>865</v>
      </c>
      <c r="N329" s="103" t="s">
        <v>866</v>
      </c>
      <c r="O329" s="103" t="str">
        <f t="shared" si="10"/>
        <v/>
      </c>
      <c r="P329" s="103" t="s">
        <v>153</v>
      </c>
      <c r="Q329" s="103" t="s">
        <v>153</v>
      </c>
      <c r="R329" s="103" t="s">
        <v>153</v>
      </c>
      <c r="S329" s="103" t="str">
        <f>INDEX('Measure &amp; Standard CostIDs'!$AK$8:$AK$12,B329)</f>
        <v>Wtd-Pack</v>
      </c>
      <c r="T329" s="103" t="s">
        <v>867</v>
      </c>
      <c r="U329" s="103"/>
      <c r="V329" s="103"/>
      <c r="W329" s="103">
        <f>ROUND(IF(LEFT(D329,3)="Std",VLOOKUP(D329,'Measure &amp; Standard CostIDs'!$S$5:$X$177,1+B329,FALSE),VLOOKUP(D329,'Measure &amp; Standard CostIDs'!$C$5:$H$177,1+B329,FALSE)),2)</f>
        <v>6.75</v>
      </c>
      <c r="X329" s="103"/>
      <c r="Y329" s="103"/>
      <c r="Z329" s="103" t="s">
        <v>868</v>
      </c>
      <c r="AA329" s="103" t="s">
        <v>874</v>
      </c>
      <c r="AB329" s="103" t="s">
        <v>153</v>
      </c>
      <c r="AC329" s="103">
        <v>0</v>
      </c>
      <c r="AD329" s="156">
        <v>42005</v>
      </c>
      <c r="AE329" s="103"/>
      <c r="AF329" s="103" t="s">
        <v>870</v>
      </c>
      <c r="AG329" s="103" t="s">
        <v>871</v>
      </c>
      <c r="AH329" s="103" t="s">
        <v>976</v>
      </c>
      <c r="AI329" s="103">
        <v>0</v>
      </c>
      <c r="AJ329" s="103"/>
      <c r="AK329" s="103"/>
      <c r="AL329" s="103"/>
      <c r="AM329" s="103"/>
      <c r="AN329" s="103"/>
      <c r="AO329" s="103" t="str">
        <f t="shared" si="11"/>
        <v>Std_CFLscw-Refl-Ext(14w)_60pInc-r0286Wtd-Pack</v>
      </c>
    </row>
    <row r="330" spans="1:41">
      <c r="A330" s="177">
        <f>IFERROR(MATCH(D330,'Measure &amp; Standard CostIDs'!C$5:C$177,0),MATCH(D330,'Measure &amp; Standard CostIDs'!S$5:S$177,0))</f>
        <v>169</v>
      </c>
      <c r="B330" s="177">
        <v>1</v>
      </c>
      <c r="C330" s="103" t="s">
        <v>153</v>
      </c>
      <c r="D330" s="103" t="s">
        <v>1027</v>
      </c>
      <c r="E330" s="103" t="str">
        <f>IF(LEFT(D330,3)="Std","Base case cost for mix of 60% Incandescent and 40% CFL lamps for CFL TechID: "&amp;INDEX('Measure &amp; Standard CostIDs'!$C$5:$C$177,A330),"&lt;from TechID&gt;")</f>
        <v>Base case cost for mix of 60% Incandescent and 40% CFL lamps for CFL TechID: CFLscw-Refl-Ext(15w)</v>
      </c>
      <c r="F330" s="103" t="s">
        <v>860</v>
      </c>
      <c r="G330" s="103" t="s">
        <v>151</v>
      </c>
      <c r="H330" s="103" t="s">
        <v>861</v>
      </c>
      <c r="I330" s="103" t="s">
        <v>862</v>
      </c>
      <c r="J330" s="103" t="s">
        <v>863</v>
      </c>
      <c r="K330" s="103" t="s">
        <v>864</v>
      </c>
      <c r="L330" s="103" t="s">
        <v>153</v>
      </c>
      <c r="M330" s="103" t="s">
        <v>865</v>
      </c>
      <c r="N330" s="103" t="s">
        <v>866</v>
      </c>
      <c r="O330" s="103" t="str">
        <f t="shared" si="10"/>
        <v/>
      </c>
      <c r="P330" s="103" t="s">
        <v>153</v>
      </c>
      <c r="Q330" s="103" t="s">
        <v>153</v>
      </c>
      <c r="R330" s="103" t="s">
        <v>153</v>
      </c>
      <c r="S330" s="103" t="str">
        <f>INDEX('Measure &amp; Standard CostIDs'!$AK$8:$AK$12,B330)</f>
        <v>Wtd-Pack</v>
      </c>
      <c r="T330" s="103" t="s">
        <v>867</v>
      </c>
      <c r="U330" s="103"/>
      <c r="V330" s="103"/>
      <c r="W330" s="103">
        <f>ROUND(IF(LEFT(D330,3)="Std",VLOOKUP(D330,'Measure &amp; Standard CostIDs'!$S$5:$X$177,1+B330,FALSE),VLOOKUP(D330,'Measure &amp; Standard CostIDs'!$C$5:$H$177,1+B330,FALSE)),2)</f>
        <v>6.84</v>
      </c>
      <c r="X330" s="103"/>
      <c r="Y330" s="103"/>
      <c r="Z330" s="103" t="s">
        <v>868</v>
      </c>
      <c r="AA330" s="103" t="s">
        <v>874</v>
      </c>
      <c r="AB330" s="103" t="s">
        <v>153</v>
      </c>
      <c r="AC330" s="103">
        <v>0</v>
      </c>
      <c r="AD330" s="156">
        <v>42005</v>
      </c>
      <c r="AE330" s="103"/>
      <c r="AF330" s="103" t="s">
        <v>870</v>
      </c>
      <c r="AG330" s="103" t="s">
        <v>871</v>
      </c>
      <c r="AH330" s="103" t="s">
        <v>976</v>
      </c>
      <c r="AI330" s="103">
        <v>0</v>
      </c>
      <c r="AJ330" s="103"/>
      <c r="AK330" s="103"/>
      <c r="AL330" s="103"/>
      <c r="AM330" s="103"/>
      <c r="AN330" s="103"/>
      <c r="AO330" s="103" t="str">
        <f t="shared" si="11"/>
        <v>Std_CFLscw-Refl-Ext(15w)_60pInc-r0286Wtd-Pack</v>
      </c>
    </row>
    <row r="331" spans="1:41">
      <c r="A331" s="177">
        <f>IFERROR(MATCH(D331,'Measure &amp; Standard CostIDs'!C$5:C$177,0),MATCH(D331,'Measure &amp; Standard CostIDs'!S$5:S$177,0))</f>
        <v>170</v>
      </c>
      <c r="B331" s="177">
        <v>1</v>
      </c>
      <c r="C331" s="103" t="s">
        <v>153</v>
      </c>
      <c r="D331" s="103" t="s">
        <v>1028</v>
      </c>
      <c r="E331" s="103" t="str">
        <f>IF(LEFT(D331,3)="Std","Base case cost for mix of 60% Incandescent and 40% CFL lamps for CFL TechID: "&amp;INDEX('Measure &amp; Standard CostIDs'!$C$5:$C$177,A331),"&lt;from TechID&gt;")</f>
        <v>Base case cost for mix of 60% Incandescent and 40% CFL lamps for CFL TechID: CFLscw-Refl-Ext(16w)</v>
      </c>
      <c r="F331" s="103" t="s">
        <v>860</v>
      </c>
      <c r="G331" s="103" t="s">
        <v>151</v>
      </c>
      <c r="H331" s="103" t="s">
        <v>861</v>
      </c>
      <c r="I331" s="103" t="s">
        <v>862</v>
      </c>
      <c r="J331" s="103" t="s">
        <v>863</v>
      </c>
      <c r="K331" s="103" t="s">
        <v>864</v>
      </c>
      <c r="L331" s="103" t="s">
        <v>153</v>
      </c>
      <c r="M331" s="103" t="s">
        <v>865</v>
      </c>
      <c r="N331" s="103" t="s">
        <v>866</v>
      </c>
      <c r="O331" s="103" t="str">
        <f t="shared" si="10"/>
        <v/>
      </c>
      <c r="P331" s="103" t="s">
        <v>153</v>
      </c>
      <c r="Q331" s="103" t="s">
        <v>153</v>
      </c>
      <c r="R331" s="103" t="s">
        <v>153</v>
      </c>
      <c r="S331" s="103" t="str">
        <f>INDEX('Measure &amp; Standard CostIDs'!$AK$8:$AK$12,B331)</f>
        <v>Wtd-Pack</v>
      </c>
      <c r="T331" s="103" t="s">
        <v>867</v>
      </c>
      <c r="U331" s="103"/>
      <c r="V331" s="103"/>
      <c r="W331" s="103">
        <f>ROUND(IF(LEFT(D331,3)="Std",VLOOKUP(D331,'Measure &amp; Standard CostIDs'!$S$5:$X$177,1+B331,FALSE),VLOOKUP(D331,'Measure &amp; Standard CostIDs'!$C$5:$H$177,1+B331,FALSE)),2)</f>
        <v>6.92</v>
      </c>
      <c r="X331" s="103"/>
      <c r="Y331" s="103"/>
      <c r="Z331" s="103" t="s">
        <v>868</v>
      </c>
      <c r="AA331" s="103" t="s">
        <v>874</v>
      </c>
      <c r="AB331" s="103" t="s">
        <v>153</v>
      </c>
      <c r="AC331" s="103">
        <v>0</v>
      </c>
      <c r="AD331" s="156">
        <v>42005</v>
      </c>
      <c r="AE331" s="103"/>
      <c r="AF331" s="103" t="s">
        <v>870</v>
      </c>
      <c r="AG331" s="103" t="s">
        <v>871</v>
      </c>
      <c r="AH331" s="103" t="s">
        <v>976</v>
      </c>
      <c r="AI331" s="103">
        <v>0</v>
      </c>
      <c r="AJ331" s="103"/>
      <c r="AK331" s="103"/>
      <c r="AL331" s="103"/>
      <c r="AM331" s="103"/>
      <c r="AN331" s="103"/>
      <c r="AO331" s="103" t="str">
        <f t="shared" si="11"/>
        <v>Std_CFLscw-Refl-Ext(16w)_60pInc-r0286Wtd-Pack</v>
      </c>
    </row>
    <row r="332" spans="1:41">
      <c r="A332" s="177">
        <f>IFERROR(MATCH(D332,'Measure &amp; Standard CostIDs'!C$5:C$177,0),MATCH(D332,'Measure &amp; Standard CostIDs'!S$5:S$177,0))</f>
        <v>171</v>
      </c>
      <c r="B332" s="177">
        <v>1</v>
      </c>
      <c r="C332" s="103" t="s">
        <v>153</v>
      </c>
      <c r="D332" s="103" t="s">
        <v>1029</v>
      </c>
      <c r="E332" s="103" t="str">
        <f>IF(LEFT(D332,3)="Std","Base case cost for mix of 60% Incandescent and 40% CFL lamps for CFL TechID: "&amp;INDEX('Measure &amp; Standard CostIDs'!$C$5:$C$177,A332),"&lt;from TechID&gt;")</f>
        <v>Base case cost for mix of 60% Incandescent and 40% CFL lamps for CFL TechID: CFLscw-Refl-Ext(18w)</v>
      </c>
      <c r="F332" s="103" t="s">
        <v>860</v>
      </c>
      <c r="G332" s="103" t="s">
        <v>151</v>
      </c>
      <c r="H332" s="103" t="s">
        <v>861</v>
      </c>
      <c r="I332" s="103" t="s">
        <v>862</v>
      </c>
      <c r="J332" s="103" t="s">
        <v>863</v>
      </c>
      <c r="K332" s="103" t="s">
        <v>864</v>
      </c>
      <c r="L332" s="103" t="s">
        <v>153</v>
      </c>
      <c r="M332" s="103" t="s">
        <v>865</v>
      </c>
      <c r="N332" s="103" t="s">
        <v>866</v>
      </c>
      <c r="O332" s="103" t="str">
        <f t="shared" si="10"/>
        <v/>
      </c>
      <c r="P332" s="103" t="s">
        <v>153</v>
      </c>
      <c r="Q332" s="103" t="s">
        <v>153</v>
      </c>
      <c r="R332" s="103" t="s">
        <v>153</v>
      </c>
      <c r="S332" s="103" t="str">
        <f>INDEX('Measure &amp; Standard CostIDs'!$AK$8:$AK$12,B332)</f>
        <v>Wtd-Pack</v>
      </c>
      <c r="T332" s="103" t="s">
        <v>867</v>
      </c>
      <c r="U332" s="103"/>
      <c r="V332" s="103"/>
      <c r="W332" s="103">
        <f>ROUND(IF(LEFT(D332,3)="Std",VLOOKUP(D332,'Measure &amp; Standard CostIDs'!$S$5:$X$177,1+B332,FALSE),VLOOKUP(D332,'Measure &amp; Standard CostIDs'!$C$5:$H$177,1+B332,FALSE)),2)</f>
        <v>7.09</v>
      </c>
      <c r="X332" s="103"/>
      <c r="Y332" s="103"/>
      <c r="Z332" s="103" t="s">
        <v>868</v>
      </c>
      <c r="AA332" s="103" t="s">
        <v>874</v>
      </c>
      <c r="AB332" s="103" t="s">
        <v>153</v>
      </c>
      <c r="AC332" s="103">
        <v>0</v>
      </c>
      <c r="AD332" s="156">
        <v>42005</v>
      </c>
      <c r="AE332" s="103"/>
      <c r="AF332" s="103" t="s">
        <v>870</v>
      </c>
      <c r="AG332" s="103" t="s">
        <v>871</v>
      </c>
      <c r="AH332" s="103" t="s">
        <v>976</v>
      </c>
      <c r="AI332" s="103">
        <v>0</v>
      </c>
      <c r="AJ332" s="103"/>
      <c r="AK332" s="103"/>
      <c r="AL332" s="103"/>
      <c r="AM332" s="103"/>
      <c r="AN332" s="103"/>
      <c r="AO332" s="103" t="str">
        <f t="shared" si="11"/>
        <v>Std_CFLscw-Refl-Ext(18w)_60pInc-r0286Wtd-Pack</v>
      </c>
    </row>
    <row r="333" spans="1:41">
      <c r="A333" s="177">
        <f>IFERROR(MATCH(D333,'Measure &amp; Standard CostIDs'!C$5:C$177,0),MATCH(D333,'Measure &amp; Standard CostIDs'!S$5:S$177,0))</f>
        <v>172</v>
      </c>
      <c r="B333" s="177">
        <v>1</v>
      </c>
      <c r="C333" s="103" t="s">
        <v>153</v>
      </c>
      <c r="D333" s="103" t="s">
        <v>1030</v>
      </c>
      <c r="E333" s="103" t="str">
        <f>IF(LEFT(D333,3)="Std","Base case cost for mix of 60% Incandescent and 40% CFL lamps for CFL TechID: "&amp;INDEX('Measure &amp; Standard CostIDs'!$C$5:$C$177,A333),"&lt;from TechID&gt;")</f>
        <v>Base case cost for mix of 60% Incandescent and 40% CFL lamps for CFL TechID: CFLscw-Refl-Ext(20w)</v>
      </c>
      <c r="F333" s="103" t="s">
        <v>860</v>
      </c>
      <c r="G333" s="103" t="s">
        <v>151</v>
      </c>
      <c r="H333" s="103" t="s">
        <v>861</v>
      </c>
      <c r="I333" s="103" t="s">
        <v>862</v>
      </c>
      <c r="J333" s="103" t="s">
        <v>863</v>
      </c>
      <c r="K333" s="103" t="s">
        <v>864</v>
      </c>
      <c r="L333" s="103" t="s">
        <v>153</v>
      </c>
      <c r="M333" s="103" t="s">
        <v>865</v>
      </c>
      <c r="N333" s="103" t="s">
        <v>866</v>
      </c>
      <c r="O333" s="103" t="str">
        <f t="shared" si="10"/>
        <v/>
      </c>
      <c r="P333" s="103" t="s">
        <v>153</v>
      </c>
      <c r="Q333" s="103" t="s">
        <v>153</v>
      </c>
      <c r="R333" s="103" t="s">
        <v>153</v>
      </c>
      <c r="S333" s="103" t="str">
        <f>INDEX('Measure &amp; Standard CostIDs'!$AK$8:$AK$12,B333)</f>
        <v>Wtd-Pack</v>
      </c>
      <c r="T333" s="103" t="s">
        <v>867</v>
      </c>
      <c r="U333" s="103"/>
      <c r="V333" s="103"/>
      <c r="W333" s="103">
        <f>ROUND(IF(LEFT(D333,3)="Std",VLOOKUP(D333,'Measure &amp; Standard CostIDs'!$S$5:$X$177,1+B333,FALSE),VLOOKUP(D333,'Measure &amp; Standard CostIDs'!$C$5:$H$177,1+B333,FALSE)),2)</f>
        <v>7.26</v>
      </c>
      <c r="X333" s="103"/>
      <c r="Y333" s="103"/>
      <c r="Z333" s="103" t="s">
        <v>868</v>
      </c>
      <c r="AA333" s="103" t="s">
        <v>874</v>
      </c>
      <c r="AB333" s="103" t="s">
        <v>153</v>
      </c>
      <c r="AC333" s="103">
        <v>0</v>
      </c>
      <c r="AD333" s="156">
        <v>42005</v>
      </c>
      <c r="AE333" s="103"/>
      <c r="AF333" s="103" t="s">
        <v>870</v>
      </c>
      <c r="AG333" s="103" t="s">
        <v>871</v>
      </c>
      <c r="AH333" s="103" t="s">
        <v>976</v>
      </c>
      <c r="AI333" s="103">
        <v>0</v>
      </c>
      <c r="AJ333" s="103"/>
      <c r="AK333" s="103"/>
      <c r="AL333" s="103"/>
      <c r="AM333" s="103"/>
      <c r="AN333" s="103"/>
      <c r="AO333" s="103" t="str">
        <f t="shared" si="11"/>
        <v>Std_CFLscw-Refl-Ext(20w)_60pInc-r0286Wtd-Pack</v>
      </c>
    </row>
    <row r="334" spans="1:41">
      <c r="A334" s="177">
        <f>IFERROR(MATCH(D334,'Measure &amp; Standard CostIDs'!C$5:C$177,0),MATCH(D334,'Measure &amp; Standard CostIDs'!S$5:S$177,0))</f>
        <v>173</v>
      </c>
      <c r="B334" s="177">
        <v>1</v>
      </c>
      <c r="C334" s="103" t="s">
        <v>153</v>
      </c>
      <c r="D334" s="103" t="s">
        <v>1031</v>
      </c>
      <c r="E334" s="103" t="str">
        <f>IF(LEFT(D334,3)="Std","Base case cost for mix of 60% Incandescent and 40% CFL lamps for CFL TechID: "&amp;INDEX('Measure &amp; Standard CostIDs'!$C$5:$C$177,A334),"&lt;from TechID&gt;")</f>
        <v>Base case cost for mix of 60% Incandescent and 40% CFL lamps for CFL TechID: CFLscw-Refl-Ext(23w)</v>
      </c>
      <c r="F334" s="103" t="s">
        <v>860</v>
      </c>
      <c r="G334" s="103" t="s">
        <v>151</v>
      </c>
      <c r="H334" s="103" t="s">
        <v>861</v>
      </c>
      <c r="I334" s="103" t="s">
        <v>862</v>
      </c>
      <c r="J334" s="103" t="s">
        <v>863</v>
      </c>
      <c r="K334" s="103" t="s">
        <v>864</v>
      </c>
      <c r="L334" s="103" t="s">
        <v>153</v>
      </c>
      <c r="M334" s="103" t="s">
        <v>865</v>
      </c>
      <c r="N334" s="103" t="s">
        <v>866</v>
      </c>
      <c r="O334" s="103" t="str">
        <f t="shared" si="10"/>
        <v/>
      </c>
      <c r="P334" s="103" t="s">
        <v>153</v>
      </c>
      <c r="Q334" s="103" t="s">
        <v>153</v>
      </c>
      <c r="R334" s="103" t="s">
        <v>153</v>
      </c>
      <c r="S334" s="103" t="str">
        <f>INDEX('Measure &amp; Standard CostIDs'!$AK$8:$AK$12,B334)</f>
        <v>Wtd-Pack</v>
      </c>
      <c r="T334" s="103" t="s">
        <v>867</v>
      </c>
      <c r="U334" s="103"/>
      <c r="V334" s="103"/>
      <c r="W334" s="103">
        <f>ROUND(IF(LEFT(D334,3)="Std",VLOOKUP(D334,'Measure &amp; Standard CostIDs'!$S$5:$X$177,1+B334,FALSE),VLOOKUP(D334,'Measure &amp; Standard CostIDs'!$C$5:$H$177,1+B334,FALSE)),2)</f>
        <v>7.51</v>
      </c>
      <c r="X334" s="103"/>
      <c r="Y334" s="103"/>
      <c r="Z334" s="103" t="s">
        <v>868</v>
      </c>
      <c r="AA334" s="103" t="s">
        <v>874</v>
      </c>
      <c r="AB334" s="103" t="s">
        <v>153</v>
      </c>
      <c r="AC334" s="103">
        <v>0</v>
      </c>
      <c r="AD334" s="156">
        <v>42005</v>
      </c>
      <c r="AE334" s="103"/>
      <c r="AF334" s="103" t="s">
        <v>870</v>
      </c>
      <c r="AG334" s="103" t="s">
        <v>871</v>
      </c>
      <c r="AH334" s="103" t="s">
        <v>976</v>
      </c>
      <c r="AI334" s="103">
        <v>0</v>
      </c>
      <c r="AJ334" s="103"/>
      <c r="AK334" s="103"/>
      <c r="AL334" s="103"/>
      <c r="AM334" s="103"/>
      <c r="AN334" s="103"/>
      <c r="AO334" s="103" t="str">
        <f t="shared" si="11"/>
        <v>Std_CFLscw-Refl-Ext(23w)_60pInc-r0286Wtd-Pack</v>
      </c>
    </row>
    <row r="335" spans="1:41">
      <c r="A335" s="177">
        <f>IFERROR(MATCH(D335,'Measure &amp; Standard CostIDs'!C$5:C$177,0),MATCH(D335,'Measure &amp; Standard CostIDs'!S$5:S$177,0))</f>
        <v>1</v>
      </c>
      <c r="B335" s="177">
        <f>+B5+1</f>
        <v>2</v>
      </c>
      <c r="C335" s="103" t="s">
        <v>153</v>
      </c>
      <c r="D335" s="103" t="str">
        <f>+D5</f>
        <v>CFLscw(10w)</v>
      </c>
      <c r="E335" s="103" t="str">
        <f>IF(LEFT(D335,3)="Std","Base case cost for mix of 60% Incandescent and 40% CFL lamps for CFL TechID: "&amp;INDEX('Measure &amp; Standard CostIDs'!$C$5:$C$177,A335),"&lt;from TechID&gt;")</f>
        <v>&lt;from TechID&gt;</v>
      </c>
      <c r="F335" s="103" t="s">
        <v>860</v>
      </c>
      <c r="G335" s="103" t="s">
        <v>151</v>
      </c>
      <c r="H335" s="103" t="s">
        <v>861</v>
      </c>
      <c r="I335" s="103" t="s">
        <v>862</v>
      </c>
      <c r="J335" s="103" t="s">
        <v>863</v>
      </c>
      <c r="K335" s="103" t="s">
        <v>864</v>
      </c>
      <c r="L335" s="103" t="s">
        <v>153</v>
      </c>
      <c r="M335" s="103" t="s">
        <v>865</v>
      </c>
      <c r="N335" s="103" t="s">
        <v>866</v>
      </c>
      <c r="O335" s="103" t="str">
        <f t="shared" si="10"/>
        <v>CFLscw(10w)</v>
      </c>
      <c r="P335" s="103" t="s">
        <v>153</v>
      </c>
      <c r="Q335" s="103" t="s">
        <v>153</v>
      </c>
      <c r="R335" s="103" t="s">
        <v>153</v>
      </c>
      <c r="S335" s="103" t="str">
        <f>INDEX('Measure &amp; Standard CostIDs'!$AK$8:$AK$12,B335)</f>
        <v>Single-pack</v>
      </c>
      <c r="T335" s="103" t="s">
        <v>867</v>
      </c>
      <c r="U335" s="103"/>
      <c r="V335" s="103"/>
      <c r="W335" s="103">
        <f>ROUND(IF(LEFT(D335,3)="Std",VLOOKUP(D335,'Measure &amp; Standard CostIDs'!$S$5:$X$177,1+B335,FALSE),VLOOKUP(D335,'Measure &amp; Standard CostIDs'!$C$5:$H$177,1+B335,FALSE)),2)</f>
        <v>4.6399999999999997</v>
      </c>
      <c r="X335" s="103"/>
      <c r="Y335" s="103"/>
      <c r="Z335" s="103" t="s">
        <v>868</v>
      </c>
      <c r="AA335" s="103" t="s">
        <v>874</v>
      </c>
      <c r="AB335" s="103" t="s">
        <v>153</v>
      </c>
      <c r="AC335" s="103">
        <v>0</v>
      </c>
      <c r="AD335" s="156">
        <v>42005</v>
      </c>
      <c r="AE335" s="103"/>
      <c r="AF335" s="103" t="s">
        <v>870</v>
      </c>
      <c r="AG335" s="103" t="s">
        <v>871</v>
      </c>
      <c r="AH335" s="103" t="s">
        <v>976</v>
      </c>
      <c r="AI335" s="103">
        <v>0</v>
      </c>
      <c r="AJ335" s="103"/>
      <c r="AK335" s="103"/>
      <c r="AL335" s="103"/>
      <c r="AM335" s="103"/>
      <c r="AN335" s="103"/>
      <c r="AO335" s="103" t="str">
        <f t="shared" si="11"/>
        <v>CFLscw(10w)Single-pack</v>
      </c>
    </row>
    <row r="336" spans="1:41">
      <c r="A336" s="177">
        <f>IFERROR(MATCH(D336,'Measure &amp; Standard CostIDs'!C$5:C$177,0),MATCH(D336,'Measure &amp; Standard CostIDs'!S$5:S$177,0))</f>
        <v>2</v>
      </c>
      <c r="B336" s="177">
        <f t="shared" ref="B336:B399" si="12">+B6+1</f>
        <v>2</v>
      </c>
      <c r="C336" s="103" t="s">
        <v>153</v>
      </c>
      <c r="D336" s="103" t="str">
        <f t="shared" ref="D336:D399" si="13">+D6</f>
        <v>CFLscw(11w)</v>
      </c>
      <c r="E336" s="103" t="str">
        <f>IF(LEFT(D336,3)="Std","Base case cost for mix of 60% Incandescent and 40% CFL lamps for CFL TechID: "&amp;INDEX('Measure &amp; Standard CostIDs'!$C$5:$C$177,A336),"&lt;from TechID&gt;")</f>
        <v>&lt;from TechID&gt;</v>
      </c>
      <c r="F336" s="103" t="s">
        <v>860</v>
      </c>
      <c r="G336" s="103" t="s">
        <v>151</v>
      </c>
      <c r="H336" s="103" t="s">
        <v>861</v>
      </c>
      <c r="I336" s="103" t="s">
        <v>862</v>
      </c>
      <c r="J336" s="103" t="s">
        <v>863</v>
      </c>
      <c r="K336" s="103" t="s">
        <v>864</v>
      </c>
      <c r="L336" s="103" t="s">
        <v>153</v>
      </c>
      <c r="M336" s="103" t="s">
        <v>865</v>
      </c>
      <c r="N336" s="103" t="s">
        <v>866</v>
      </c>
      <c r="O336" s="103" t="str">
        <f t="shared" si="10"/>
        <v>CFLscw(11w)</v>
      </c>
      <c r="P336" s="103" t="s">
        <v>153</v>
      </c>
      <c r="Q336" s="103" t="s">
        <v>153</v>
      </c>
      <c r="R336" s="103" t="s">
        <v>153</v>
      </c>
      <c r="S336" s="103" t="str">
        <f>INDEX('Measure &amp; Standard CostIDs'!$AK$8:$AK$12,B336)</f>
        <v>Single-pack</v>
      </c>
      <c r="T336" s="103" t="s">
        <v>867</v>
      </c>
      <c r="U336" s="103"/>
      <c r="V336" s="103"/>
      <c r="W336" s="103">
        <f>ROUND(IF(LEFT(D336,3)="Std",VLOOKUP(D336,'Measure &amp; Standard CostIDs'!$S$5:$X$177,1+B336,FALSE),VLOOKUP(D336,'Measure &amp; Standard CostIDs'!$C$5:$H$177,1+B336,FALSE)),2)</f>
        <v>4.71</v>
      </c>
      <c r="X336" s="103"/>
      <c r="Y336" s="103"/>
      <c r="Z336" s="103" t="s">
        <v>868</v>
      </c>
      <c r="AA336" s="103" t="s">
        <v>874</v>
      </c>
      <c r="AB336" s="103" t="s">
        <v>153</v>
      </c>
      <c r="AC336" s="103">
        <v>0</v>
      </c>
      <c r="AD336" s="156">
        <v>42005</v>
      </c>
      <c r="AE336" s="103"/>
      <c r="AF336" s="103" t="s">
        <v>870</v>
      </c>
      <c r="AG336" s="103" t="s">
        <v>871</v>
      </c>
      <c r="AH336" s="103" t="s">
        <v>976</v>
      </c>
      <c r="AI336" s="103">
        <v>0</v>
      </c>
      <c r="AJ336" s="103"/>
      <c r="AK336" s="103"/>
      <c r="AL336" s="103"/>
      <c r="AM336" s="103"/>
      <c r="AN336" s="103"/>
      <c r="AO336" s="103" t="str">
        <f t="shared" si="11"/>
        <v>CFLscw(11w)Single-pack</v>
      </c>
    </row>
    <row r="337" spans="1:41">
      <c r="A337" s="177">
        <f>IFERROR(MATCH(D337,'Measure &amp; Standard CostIDs'!C$5:C$177,0),MATCH(D337,'Measure &amp; Standard CostIDs'!S$5:S$177,0))</f>
        <v>3</v>
      </c>
      <c r="B337" s="177">
        <f t="shared" si="12"/>
        <v>2</v>
      </c>
      <c r="C337" s="103" t="s">
        <v>153</v>
      </c>
      <c r="D337" s="103" t="str">
        <f t="shared" si="13"/>
        <v>CFLscw(120w)</v>
      </c>
      <c r="E337" s="103" t="str">
        <f>IF(LEFT(D337,3)="Std","Base case cost for mix of 60% Incandescent and 40% CFL lamps for CFL TechID: "&amp;INDEX('Measure &amp; Standard CostIDs'!$C$5:$C$177,A337),"&lt;from TechID&gt;")</f>
        <v>&lt;from TechID&gt;</v>
      </c>
      <c r="F337" s="103" t="s">
        <v>860</v>
      </c>
      <c r="G337" s="103" t="s">
        <v>151</v>
      </c>
      <c r="H337" s="103" t="s">
        <v>861</v>
      </c>
      <c r="I337" s="103" t="s">
        <v>862</v>
      </c>
      <c r="J337" s="103" t="s">
        <v>863</v>
      </c>
      <c r="K337" s="103" t="s">
        <v>864</v>
      </c>
      <c r="L337" s="103" t="s">
        <v>153</v>
      </c>
      <c r="M337" s="103" t="s">
        <v>865</v>
      </c>
      <c r="N337" s="103" t="s">
        <v>866</v>
      </c>
      <c r="O337" s="103" t="str">
        <f t="shared" si="10"/>
        <v>CFLscw(120w)</v>
      </c>
      <c r="P337" s="103" t="s">
        <v>153</v>
      </c>
      <c r="Q337" s="103" t="s">
        <v>153</v>
      </c>
      <c r="R337" s="103" t="s">
        <v>153</v>
      </c>
      <c r="S337" s="103" t="str">
        <f>INDEX('Measure &amp; Standard CostIDs'!$AK$8:$AK$12,B337)</f>
        <v>Single-pack</v>
      </c>
      <c r="T337" s="103" t="s">
        <v>867</v>
      </c>
      <c r="U337" s="103"/>
      <c r="V337" s="103"/>
      <c r="W337" s="103">
        <f>ROUND(IF(LEFT(D337,3)="Std",VLOOKUP(D337,'Measure &amp; Standard CostIDs'!$S$5:$X$177,1+B337,FALSE),VLOOKUP(D337,'Measure &amp; Standard CostIDs'!$C$5:$H$177,1+B337,FALSE)),2)</f>
        <v>20.84</v>
      </c>
      <c r="X337" s="103"/>
      <c r="Y337" s="103"/>
      <c r="Z337" s="103" t="s">
        <v>868</v>
      </c>
      <c r="AA337" s="103" t="s">
        <v>874</v>
      </c>
      <c r="AB337" s="103" t="s">
        <v>153</v>
      </c>
      <c r="AC337" s="103">
        <v>0</v>
      </c>
      <c r="AD337" s="156">
        <v>42005</v>
      </c>
      <c r="AE337" s="103"/>
      <c r="AF337" s="103" t="s">
        <v>870</v>
      </c>
      <c r="AG337" s="103" t="s">
        <v>871</v>
      </c>
      <c r="AH337" s="103" t="s">
        <v>976</v>
      </c>
      <c r="AI337" s="103">
        <v>0</v>
      </c>
      <c r="AJ337" s="103"/>
      <c r="AK337" s="103"/>
      <c r="AL337" s="103"/>
      <c r="AM337" s="103"/>
      <c r="AN337" s="103"/>
      <c r="AO337" s="103" t="str">
        <f t="shared" si="11"/>
        <v>CFLscw(120w)Single-pack</v>
      </c>
    </row>
    <row r="338" spans="1:41">
      <c r="A338" s="177">
        <f>IFERROR(MATCH(D338,'Measure &amp; Standard CostIDs'!C$5:C$177,0),MATCH(D338,'Measure &amp; Standard CostIDs'!S$5:S$177,0))</f>
        <v>4</v>
      </c>
      <c r="B338" s="177">
        <f t="shared" si="12"/>
        <v>2</v>
      </c>
      <c r="C338" s="103" t="s">
        <v>153</v>
      </c>
      <c r="D338" s="103" t="str">
        <f t="shared" si="13"/>
        <v>CFLscw(12w)</v>
      </c>
      <c r="E338" s="103" t="str">
        <f>IF(LEFT(D338,3)="Std","Base case cost for mix of 60% Incandescent and 40% CFL lamps for CFL TechID: "&amp;INDEX('Measure &amp; Standard CostIDs'!$C$5:$C$177,A338),"&lt;from TechID&gt;")</f>
        <v>&lt;from TechID&gt;</v>
      </c>
      <c r="F338" s="103" t="s">
        <v>860</v>
      </c>
      <c r="G338" s="103" t="s">
        <v>151</v>
      </c>
      <c r="H338" s="103" t="s">
        <v>861</v>
      </c>
      <c r="I338" s="103" t="s">
        <v>862</v>
      </c>
      <c r="J338" s="103" t="s">
        <v>863</v>
      </c>
      <c r="K338" s="103" t="s">
        <v>864</v>
      </c>
      <c r="L338" s="103" t="s">
        <v>153</v>
      </c>
      <c r="M338" s="103" t="s">
        <v>865</v>
      </c>
      <c r="N338" s="103" t="s">
        <v>866</v>
      </c>
      <c r="O338" s="103" t="str">
        <f t="shared" si="10"/>
        <v>CFLscw(12w)</v>
      </c>
      <c r="P338" s="103" t="s">
        <v>153</v>
      </c>
      <c r="Q338" s="103" t="s">
        <v>153</v>
      </c>
      <c r="R338" s="103" t="s">
        <v>153</v>
      </c>
      <c r="S338" s="103" t="str">
        <f>INDEX('Measure &amp; Standard CostIDs'!$AK$8:$AK$12,B338)</f>
        <v>Single-pack</v>
      </c>
      <c r="T338" s="103" t="s">
        <v>867</v>
      </c>
      <c r="U338" s="103"/>
      <c r="V338" s="103"/>
      <c r="W338" s="103">
        <f>ROUND(IF(LEFT(D338,3)="Std",VLOOKUP(D338,'Measure &amp; Standard CostIDs'!$S$5:$X$177,1+B338,FALSE),VLOOKUP(D338,'Measure &amp; Standard CostIDs'!$C$5:$H$177,1+B338,FALSE)),2)</f>
        <v>4.7699999999999996</v>
      </c>
      <c r="X338" s="103"/>
      <c r="Y338" s="103"/>
      <c r="Z338" s="103" t="s">
        <v>868</v>
      </c>
      <c r="AA338" s="103" t="s">
        <v>874</v>
      </c>
      <c r="AB338" s="103" t="s">
        <v>153</v>
      </c>
      <c r="AC338" s="103">
        <v>0</v>
      </c>
      <c r="AD338" s="156">
        <v>42005</v>
      </c>
      <c r="AE338" s="103"/>
      <c r="AF338" s="103" t="s">
        <v>870</v>
      </c>
      <c r="AG338" s="103" t="s">
        <v>871</v>
      </c>
      <c r="AH338" s="103" t="s">
        <v>976</v>
      </c>
      <c r="AI338" s="103">
        <v>0</v>
      </c>
      <c r="AJ338" s="103"/>
      <c r="AK338" s="103"/>
      <c r="AL338" s="103"/>
      <c r="AM338" s="103"/>
      <c r="AN338" s="103"/>
      <c r="AO338" s="103" t="str">
        <f t="shared" si="11"/>
        <v>CFLscw(12w)Single-pack</v>
      </c>
    </row>
    <row r="339" spans="1:41">
      <c r="A339" s="177">
        <f>IFERROR(MATCH(D339,'Measure &amp; Standard CostIDs'!C$5:C$177,0),MATCH(D339,'Measure &amp; Standard CostIDs'!S$5:S$177,0))</f>
        <v>5</v>
      </c>
      <c r="B339" s="177">
        <f t="shared" si="12"/>
        <v>2</v>
      </c>
      <c r="C339" s="103" t="s">
        <v>153</v>
      </c>
      <c r="D339" s="103" t="str">
        <f t="shared" si="13"/>
        <v>CFLscw(13w)</v>
      </c>
      <c r="E339" s="103" t="str">
        <f>IF(LEFT(D339,3)="Std","Base case cost for mix of 60% Incandescent and 40% CFL lamps for CFL TechID: "&amp;INDEX('Measure &amp; Standard CostIDs'!$C$5:$C$177,A339),"&lt;from TechID&gt;")</f>
        <v>&lt;from TechID&gt;</v>
      </c>
      <c r="F339" s="103" t="s">
        <v>860</v>
      </c>
      <c r="G339" s="103" t="s">
        <v>151</v>
      </c>
      <c r="H339" s="103" t="s">
        <v>861</v>
      </c>
      <c r="I339" s="103" t="s">
        <v>862</v>
      </c>
      <c r="J339" s="103" t="s">
        <v>863</v>
      </c>
      <c r="K339" s="103" t="s">
        <v>864</v>
      </c>
      <c r="L339" s="103" t="s">
        <v>153</v>
      </c>
      <c r="M339" s="103" t="s">
        <v>865</v>
      </c>
      <c r="N339" s="103" t="s">
        <v>866</v>
      </c>
      <c r="O339" s="103" t="str">
        <f t="shared" si="10"/>
        <v>CFLscw(13w)</v>
      </c>
      <c r="P339" s="103" t="s">
        <v>153</v>
      </c>
      <c r="Q339" s="103" t="s">
        <v>153</v>
      </c>
      <c r="R339" s="103" t="s">
        <v>153</v>
      </c>
      <c r="S339" s="103" t="str">
        <f>INDEX('Measure &amp; Standard CostIDs'!$AK$8:$AK$12,B339)</f>
        <v>Single-pack</v>
      </c>
      <c r="T339" s="103" t="s">
        <v>867</v>
      </c>
      <c r="U339" s="103"/>
      <c r="V339" s="103"/>
      <c r="W339" s="103">
        <f>ROUND(IF(LEFT(D339,3)="Std",VLOOKUP(D339,'Measure &amp; Standard CostIDs'!$S$5:$X$177,1+B339,FALSE),VLOOKUP(D339,'Measure &amp; Standard CostIDs'!$C$5:$H$177,1+B339,FALSE)),2)</f>
        <v>4.84</v>
      </c>
      <c r="X339" s="103"/>
      <c r="Y339" s="103"/>
      <c r="Z339" s="103" t="s">
        <v>868</v>
      </c>
      <c r="AA339" s="103" t="s">
        <v>874</v>
      </c>
      <c r="AB339" s="103" t="s">
        <v>153</v>
      </c>
      <c r="AC339" s="103">
        <v>0</v>
      </c>
      <c r="AD339" s="156">
        <v>42005</v>
      </c>
      <c r="AE339" s="103"/>
      <c r="AF339" s="103" t="s">
        <v>870</v>
      </c>
      <c r="AG339" s="103" t="s">
        <v>871</v>
      </c>
      <c r="AH339" s="103" t="s">
        <v>976</v>
      </c>
      <c r="AI339" s="103">
        <v>0</v>
      </c>
      <c r="AJ339" s="103"/>
      <c r="AK339" s="103"/>
      <c r="AL339" s="103"/>
      <c r="AM339" s="103"/>
      <c r="AN339" s="103"/>
      <c r="AO339" s="103" t="str">
        <f t="shared" si="11"/>
        <v>CFLscw(13w)Single-pack</v>
      </c>
    </row>
    <row r="340" spans="1:41">
      <c r="A340" s="177">
        <f>IFERROR(MATCH(D340,'Measure &amp; Standard CostIDs'!C$5:C$177,0),MATCH(D340,'Measure &amp; Standard CostIDs'!S$5:S$177,0))</f>
        <v>6</v>
      </c>
      <c r="B340" s="177">
        <f t="shared" si="12"/>
        <v>2</v>
      </c>
      <c r="C340" s="103" t="s">
        <v>153</v>
      </c>
      <c r="D340" s="103" t="str">
        <f t="shared" si="13"/>
        <v>CFLscw(14w)</v>
      </c>
      <c r="E340" s="103" t="str">
        <f>IF(LEFT(D340,3)="Std","Base case cost for mix of 60% Incandescent and 40% CFL lamps for CFL TechID: "&amp;INDEX('Measure &amp; Standard CostIDs'!$C$5:$C$177,A340),"&lt;from TechID&gt;")</f>
        <v>&lt;from TechID&gt;</v>
      </c>
      <c r="F340" s="103" t="s">
        <v>860</v>
      </c>
      <c r="G340" s="103" t="s">
        <v>151</v>
      </c>
      <c r="H340" s="103" t="s">
        <v>861</v>
      </c>
      <c r="I340" s="103" t="s">
        <v>862</v>
      </c>
      <c r="J340" s="103" t="s">
        <v>863</v>
      </c>
      <c r="K340" s="103" t="s">
        <v>864</v>
      </c>
      <c r="L340" s="103" t="s">
        <v>153</v>
      </c>
      <c r="M340" s="103" t="s">
        <v>865</v>
      </c>
      <c r="N340" s="103" t="s">
        <v>866</v>
      </c>
      <c r="O340" s="103" t="str">
        <f t="shared" si="10"/>
        <v>CFLscw(14w)</v>
      </c>
      <c r="P340" s="103" t="s">
        <v>153</v>
      </c>
      <c r="Q340" s="103" t="s">
        <v>153</v>
      </c>
      <c r="R340" s="103" t="s">
        <v>153</v>
      </c>
      <c r="S340" s="103" t="str">
        <f>INDEX('Measure &amp; Standard CostIDs'!$AK$8:$AK$12,B340)</f>
        <v>Single-pack</v>
      </c>
      <c r="T340" s="103" t="s">
        <v>867</v>
      </c>
      <c r="U340" s="103"/>
      <c r="V340" s="103"/>
      <c r="W340" s="103">
        <f>ROUND(IF(LEFT(D340,3)="Std",VLOOKUP(D340,'Measure &amp; Standard CostIDs'!$S$5:$X$177,1+B340,FALSE),VLOOKUP(D340,'Measure &amp; Standard CostIDs'!$C$5:$H$177,1+B340,FALSE)),2)</f>
        <v>4.91</v>
      </c>
      <c r="X340" s="103"/>
      <c r="Y340" s="103"/>
      <c r="Z340" s="103" t="s">
        <v>868</v>
      </c>
      <c r="AA340" s="103" t="s">
        <v>874</v>
      </c>
      <c r="AB340" s="103" t="s">
        <v>153</v>
      </c>
      <c r="AC340" s="103">
        <v>0</v>
      </c>
      <c r="AD340" s="156">
        <v>42005</v>
      </c>
      <c r="AE340" s="103"/>
      <c r="AF340" s="103" t="s">
        <v>870</v>
      </c>
      <c r="AG340" s="103" t="s">
        <v>871</v>
      </c>
      <c r="AH340" s="103" t="s">
        <v>976</v>
      </c>
      <c r="AI340" s="103">
        <v>0</v>
      </c>
      <c r="AJ340" s="103"/>
      <c r="AK340" s="103"/>
      <c r="AL340" s="103"/>
      <c r="AM340" s="103"/>
      <c r="AN340" s="103"/>
      <c r="AO340" s="103" t="str">
        <f t="shared" si="11"/>
        <v>CFLscw(14w)Single-pack</v>
      </c>
    </row>
    <row r="341" spans="1:41">
      <c r="A341" s="177">
        <f>IFERROR(MATCH(D341,'Measure &amp; Standard CostIDs'!C$5:C$177,0),MATCH(D341,'Measure &amp; Standard CostIDs'!S$5:S$177,0))</f>
        <v>7</v>
      </c>
      <c r="B341" s="177">
        <f t="shared" si="12"/>
        <v>2</v>
      </c>
      <c r="C341" s="103" t="s">
        <v>153</v>
      </c>
      <c r="D341" s="103" t="str">
        <f t="shared" si="13"/>
        <v>CFLscw(15w)</v>
      </c>
      <c r="E341" s="103" t="str">
        <f>IF(LEFT(D341,3)="Std","Base case cost for mix of 60% Incandescent and 40% CFL lamps for CFL TechID: "&amp;INDEX('Measure &amp; Standard CostIDs'!$C$5:$C$177,A341),"&lt;from TechID&gt;")</f>
        <v>&lt;from TechID&gt;</v>
      </c>
      <c r="F341" s="103" t="s">
        <v>860</v>
      </c>
      <c r="G341" s="103" t="s">
        <v>151</v>
      </c>
      <c r="H341" s="103" t="s">
        <v>861</v>
      </c>
      <c r="I341" s="103" t="s">
        <v>862</v>
      </c>
      <c r="J341" s="103" t="s">
        <v>863</v>
      </c>
      <c r="K341" s="103" t="s">
        <v>864</v>
      </c>
      <c r="L341" s="103" t="s">
        <v>153</v>
      </c>
      <c r="M341" s="103" t="s">
        <v>865</v>
      </c>
      <c r="N341" s="103" t="s">
        <v>866</v>
      </c>
      <c r="O341" s="103" t="str">
        <f t="shared" si="10"/>
        <v>CFLscw(15w)</v>
      </c>
      <c r="P341" s="103" t="s">
        <v>153</v>
      </c>
      <c r="Q341" s="103" t="s">
        <v>153</v>
      </c>
      <c r="R341" s="103" t="s">
        <v>153</v>
      </c>
      <c r="S341" s="103" t="str">
        <f>INDEX('Measure &amp; Standard CostIDs'!$AK$8:$AK$12,B341)</f>
        <v>Single-pack</v>
      </c>
      <c r="T341" s="103" t="s">
        <v>867</v>
      </c>
      <c r="U341" s="103"/>
      <c r="V341" s="103"/>
      <c r="W341" s="103">
        <f>ROUND(IF(LEFT(D341,3)="Std",VLOOKUP(D341,'Measure &amp; Standard CostIDs'!$S$5:$X$177,1+B341,FALSE),VLOOKUP(D341,'Measure &amp; Standard CostIDs'!$C$5:$H$177,1+B341,FALSE)),2)</f>
        <v>4.97</v>
      </c>
      <c r="X341" s="103"/>
      <c r="Y341" s="103"/>
      <c r="Z341" s="103" t="s">
        <v>868</v>
      </c>
      <c r="AA341" s="103" t="s">
        <v>874</v>
      </c>
      <c r="AB341" s="103" t="s">
        <v>153</v>
      </c>
      <c r="AC341" s="103">
        <v>0</v>
      </c>
      <c r="AD341" s="156">
        <v>42005</v>
      </c>
      <c r="AE341" s="103"/>
      <c r="AF341" s="103" t="s">
        <v>870</v>
      </c>
      <c r="AG341" s="103" t="s">
        <v>871</v>
      </c>
      <c r="AH341" s="103" t="s">
        <v>976</v>
      </c>
      <c r="AI341" s="103">
        <v>0</v>
      </c>
      <c r="AJ341" s="103"/>
      <c r="AK341" s="103"/>
      <c r="AL341" s="103"/>
      <c r="AM341" s="103"/>
      <c r="AN341" s="103"/>
      <c r="AO341" s="103" t="str">
        <f t="shared" si="11"/>
        <v>CFLscw(15w)Single-pack</v>
      </c>
    </row>
    <row r="342" spans="1:41">
      <c r="A342" s="177">
        <f>IFERROR(MATCH(D342,'Measure &amp; Standard CostIDs'!C$5:C$177,0),MATCH(D342,'Measure &amp; Standard CostIDs'!S$5:S$177,0))</f>
        <v>8</v>
      </c>
      <c r="B342" s="177">
        <f t="shared" si="12"/>
        <v>2</v>
      </c>
      <c r="C342" s="103" t="s">
        <v>153</v>
      </c>
      <c r="D342" s="103" t="str">
        <f t="shared" si="13"/>
        <v>CFLscw(16w)</v>
      </c>
      <c r="E342" s="103" t="str">
        <f>IF(LEFT(D342,3)="Std","Base case cost for mix of 60% Incandescent and 40% CFL lamps for CFL TechID: "&amp;INDEX('Measure &amp; Standard CostIDs'!$C$5:$C$177,A342),"&lt;from TechID&gt;")</f>
        <v>&lt;from TechID&gt;</v>
      </c>
      <c r="F342" s="103" t="s">
        <v>860</v>
      </c>
      <c r="G342" s="103" t="s">
        <v>151</v>
      </c>
      <c r="H342" s="103" t="s">
        <v>861</v>
      </c>
      <c r="I342" s="103" t="s">
        <v>862</v>
      </c>
      <c r="J342" s="103" t="s">
        <v>863</v>
      </c>
      <c r="K342" s="103" t="s">
        <v>864</v>
      </c>
      <c r="L342" s="103" t="s">
        <v>153</v>
      </c>
      <c r="M342" s="103" t="s">
        <v>865</v>
      </c>
      <c r="N342" s="103" t="s">
        <v>866</v>
      </c>
      <c r="O342" s="103" t="str">
        <f t="shared" si="10"/>
        <v>CFLscw(16w)</v>
      </c>
      <c r="P342" s="103" t="s">
        <v>153</v>
      </c>
      <c r="Q342" s="103" t="s">
        <v>153</v>
      </c>
      <c r="R342" s="103" t="s">
        <v>153</v>
      </c>
      <c r="S342" s="103" t="str">
        <f>INDEX('Measure &amp; Standard CostIDs'!$AK$8:$AK$12,B342)</f>
        <v>Single-pack</v>
      </c>
      <c r="T342" s="103" t="s">
        <v>867</v>
      </c>
      <c r="U342" s="103"/>
      <c r="V342" s="103"/>
      <c r="W342" s="103">
        <f>ROUND(IF(LEFT(D342,3)="Std",VLOOKUP(D342,'Measure &amp; Standard CostIDs'!$S$5:$X$177,1+B342,FALSE),VLOOKUP(D342,'Measure &amp; Standard CostIDs'!$C$5:$H$177,1+B342,FALSE)),2)</f>
        <v>5.04</v>
      </c>
      <c r="X342" s="103"/>
      <c r="Y342" s="103"/>
      <c r="Z342" s="103" t="s">
        <v>868</v>
      </c>
      <c r="AA342" s="103" t="s">
        <v>874</v>
      </c>
      <c r="AB342" s="103" t="s">
        <v>153</v>
      </c>
      <c r="AC342" s="103">
        <v>0</v>
      </c>
      <c r="AD342" s="156">
        <v>42005</v>
      </c>
      <c r="AE342" s="103"/>
      <c r="AF342" s="103" t="s">
        <v>870</v>
      </c>
      <c r="AG342" s="103" t="s">
        <v>871</v>
      </c>
      <c r="AH342" s="103" t="s">
        <v>976</v>
      </c>
      <c r="AI342" s="103">
        <v>0</v>
      </c>
      <c r="AJ342" s="103"/>
      <c r="AK342" s="103"/>
      <c r="AL342" s="103"/>
      <c r="AM342" s="103"/>
      <c r="AN342" s="103"/>
      <c r="AO342" s="103" t="str">
        <f t="shared" si="11"/>
        <v>CFLscw(16w)Single-pack</v>
      </c>
    </row>
    <row r="343" spans="1:41">
      <c r="A343" s="177">
        <f>IFERROR(MATCH(D343,'Measure &amp; Standard CostIDs'!C$5:C$177,0),MATCH(D343,'Measure &amp; Standard CostIDs'!S$5:S$177,0))</f>
        <v>9</v>
      </c>
      <c r="B343" s="177">
        <f t="shared" si="12"/>
        <v>2</v>
      </c>
      <c r="C343" s="103" t="s">
        <v>153</v>
      </c>
      <c r="D343" s="103" t="str">
        <f t="shared" si="13"/>
        <v>CFLscw(17w)</v>
      </c>
      <c r="E343" s="103" t="str">
        <f>IF(LEFT(D343,3)="Std","Base case cost for mix of 60% Incandescent and 40% CFL lamps for CFL TechID: "&amp;INDEX('Measure &amp; Standard CostIDs'!$C$5:$C$177,A343),"&lt;from TechID&gt;")</f>
        <v>&lt;from TechID&gt;</v>
      </c>
      <c r="F343" s="103" t="s">
        <v>860</v>
      </c>
      <c r="G343" s="103" t="s">
        <v>151</v>
      </c>
      <c r="H343" s="103" t="s">
        <v>861</v>
      </c>
      <c r="I343" s="103" t="s">
        <v>862</v>
      </c>
      <c r="J343" s="103" t="s">
        <v>863</v>
      </c>
      <c r="K343" s="103" t="s">
        <v>864</v>
      </c>
      <c r="L343" s="103" t="s">
        <v>153</v>
      </c>
      <c r="M343" s="103" t="s">
        <v>865</v>
      </c>
      <c r="N343" s="103" t="s">
        <v>866</v>
      </c>
      <c r="O343" s="103" t="str">
        <f t="shared" si="10"/>
        <v>CFLscw(17w)</v>
      </c>
      <c r="P343" s="103" t="s">
        <v>153</v>
      </c>
      <c r="Q343" s="103" t="s">
        <v>153</v>
      </c>
      <c r="R343" s="103" t="s">
        <v>153</v>
      </c>
      <c r="S343" s="103" t="str">
        <f>INDEX('Measure &amp; Standard CostIDs'!$AK$8:$AK$12,B343)</f>
        <v>Single-pack</v>
      </c>
      <c r="T343" s="103" t="s">
        <v>867</v>
      </c>
      <c r="U343" s="103"/>
      <c r="V343" s="103"/>
      <c r="W343" s="103">
        <f>ROUND(IF(LEFT(D343,3)="Std",VLOOKUP(D343,'Measure &amp; Standard CostIDs'!$S$5:$X$177,1+B343,FALSE),VLOOKUP(D343,'Measure &amp; Standard CostIDs'!$C$5:$H$177,1+B343,FALSE)),2)</f>
        <v>5.1100000000000003</v>
      </c>
      <c r="X343" s="103"/>
      <c r="Y343" s="103"/>
      <c r="Z343" s="103" t="s">
        <v>868</v>
      </c>
      <c r="AA343" s="103" t="s">
        <v>874</v>
      </c>
      <c r="AB343" s="103" t="s">
        <v>153</v>
      </c>
      <c r="AC343" s="103">
        <v>0</v>
      </c>
      <c r="AD343" s="156">
        <v>42005</v>
      </c>
      <c r="AE343" s="103"/>
      <c r="AF343" s="103" t="s">
        <v>870</v>
      </c>
      <c r="AG343" s="103" t="s">
        <v>871</v>
      </c>
      <c r="AH343" s="103" t="s">
        <v>976</v>
      </c>
      <c r="AI343" s="103">
        <v>0</v>
      </c>
      <c r="AJ343" s="103"/>
      <c r="AK343" s="103"/>
      <c r="AL343" s="103"/>
      <c r="AM343" s="103"/>
      <c r="AN343" s="103"/>
      <c r="AO343" s="103" t="str">
        <f t="shared" si="11"/>
        <v>CFLscw(17w)Single-pack</v>
      </c>
    </row>
    <row r="344" spans="1:41">
      <c r="A344" s="177">
        <f>IFERROR(MATCH(D344,'Measure &amp; Standard CostIDs'!C$5:C$177,0),MATCH(D344,'Measure &amp; Standard CostIDs'!S$5:S$177,0))</f>
        <v>10</v>
      </c>
      <c r="B344" s="177">
        <f t="shared" si="12"/>
        <v>2</v>
      </c>
      <c r="C344" s="103" t="s">
        <v>153</v>
      </c>
      <c r="D344" s="103" t="str">
        <f t="shared" si="13"/>
        <v>CFLscw(18w)</v>
      </c>
      <c r="E344" s="103" t="str">
        <f>IF(LEFT(D344,3)="Std","Base case cost for mix of 60% Incandescent and 40% CFL lamps for CFL TechID: "&amp;INDEX('Measure &amp; Standard CostIDs'!$C$5:$C$177,A344),"&lt;from TechID&gt;")</f>
        <v>&lt;from TechID&gt;</v>
      </c>
      <c r="F344" s="103" t="s">
        <v>860</v>
      </c>
      <c r="G344" s="103" t="s">
        <v>151</v>
      </c>
      <c r="H344" s="103" t="s">
        <v>861</v>
      </c>
      <c r="I344" s="103" t="s">
        <v>862</v>
      </c>
      <c r="J344" s="103" t="s">
        <v>863</v>
      </c>
      <c r="K344" s="103" t="s">
        <v>864</v>
      </c>
      <c r="L344" s="103" t="s">
        <v>153</v>
      </c>
      <c r="M344" s="103" t="s">
        <v>865</v>
      </c>
      <c r="N344" s="103" t="s">
        <v>866</v>
      </c>
      <c r="O344" s="103" t="str">
        <f t="shared" si="10"/>
        <v>CFLscw(18w)</v>
      </c>
      <c r="P344" s="103" t="s">
        <v>153</v>
      </c>
      <c r="Q344" s="103" t="s">
        <v>153</v>
      </c>
      <c r="R344" s="103" t="s">
        <v>153</v>
      </c>
      <c r="S344" s="103" t="str">
        <f>INDEX('Measure &amp; Standard CostIDs'!$AK$8:$AK$12,B344)</f>
        <v>Single-pack</v>
      </c>
      <c r="T344" s="103" t="s">
        <v>867</v>
      </c>
      <c r="U344" s="103"/>
      <c r="V344" s="103"/>
      <c r="W344" s="103">
        <f>ROUND(IF(LEFT(D344,3)="Std",VLOOKUP(D344,'Measure &amp; Standard CostIDs'!$S$5:$X$177,1+B344,FALSE),VLOOKUP(D344,'Measure &amp; Standard CostIDs'!$C$5:$H$177,1+B344,FALSE)),2)</f>
        <v>5.17</v>
      </c>
      <c r="X344" s="103"/>
      <c r="Y344" s="103"/>
      <c r="Z344" s="103" t="s">
        <v>868</v>
      </c>
      <c r="AA344" s="103" t="s">
        <v>874</v>
      </c>
      <c r="AB344" s="103" t="s">
        <v>153</v>
      </c>
      <c r="AC344" s="103">
        <v>0</v>
      </c>
      <c r="AD344" s="156">
        <v>42005</v>
      </c>
      <c r="AE344" s="103"/>
      <c r="AF344" s="103" t="s">
        <v>870</v>
      </c>
      <c r="AG344" s="103" t="s">
        <v>871</v>
      </c>
      <c r="AH344" s="103" t="s">
        <v>976</v>
      </c>
      <c r="AI344" s="103">
        <v>0</v>
      </c>
      <c r="AJ344" s="103"/>
      <c r="AK344" s="103"/>
      <c r="AL344" s="103"/>
      <c r="AM344" s="103"/>
      <c r="AN344" s="103"/>
      <c r="AO344" s="103" t="str">
        <f t="shared" si="11"/>
        <v>CFLscw(18w)Single-pack</v>
      </c>
    </row>
    <row r="345" spans="1:41">
      <c r="A345" s="177">
        <f>IFERROR(MATCH(D345,'Measure &amp; Standard CostIDs'!C$5:C$177,0),MATCH(D345,'Measure &amp; Standard CostIDs'!S$5:S$177,0))</f>
        <v>11</v>
      </c>
      <c r="B345" s="177">
        <f t="shared" si="12"/>
        <v>2</v>
      </c>
      <c r="C345" s="103" t="s">
        <v>153</v>
      </c>
      <c r="D345" s="103" t="str">
        <f t="shared" si="13"/>
        <v>CFLscw(19w)</v>
      </c>
      <c r="E345" s="103" t="str">
        <f>IF(LEFT(D345,3)="Std","Base case cost for mix of 60% Incandescent and 40% CFL lamps for CFL TechID: "&amp;INDEX('Measure &amp; Standard CostIDs'!$C$5:$C$177,A345),"&lt;from TechID&gt;")</f>
        <v>&lt;from TechID&gt;</v>
      </c>
      <c r="F345" s="103" t="s">
        <v>860</v>
      </c>
      <c r="G345" s="103" t="s">
        <v>151</v>
      </c>
      <c r="H345" s="103" t="s">
        <v>861</v>
      </c>
      <c r="I345" s="103" t="s">
        <v>862</v>
      </c>
      <c r="J345" s="103" t="s">
        <v>863</v>
      </c>
      <c r="K345" s="103" t="s">
        <v>864</v>
      </c>
      <c r="L345" s="103" t="s">
        <v>153</v>
      </c>
      <c r="M345" s="103" t="s">
        <v>865</v>
      </c>
      <c r="N345" s="103" t="s">
        <v>866</v>
      </c>
      <c r="O345" s="103" t="str">
        <f t="shared" si="10"/>
        <v>CFLscw(19w)</v>
      </c>
      <c r="P345" s="103" t="s">
        <v>153</v>
      </c>
      <c r="Q345" s="103" t="s">
        <v>153</v>
      </c>
      <c r="R345" s="103" t="s">
        <v>153</v>
      </c>
      <c r="S345" s="103" t="str">
        <f>INDEX('Measure &amp; Standard CostIDs'!$AK$8:$AK$12,B345)</f>
        <v>Single-pack</v>
      </c>
      <c r="T345" s="103" t="s">
        <v>867</v>
      </c>
      <c r="U345" s="103"/>
      <c r="V345" s="103"/>
      <c r="W345" s="103">
        <f>ROUND(IF(LEFT(D345,3)="Std",VLOOKUP(D345,'Measure &amp; Standard CostIDs'!$S$5:$X$177,1+B345,FALSE),VLOOKUP(D345,'Measure &amp; Standard CostIDs'!$C$5:$H$177,1+B345,FALSE)),2)</f>
        <v>5.24</v>
      </c>
      <c r="X345" s="103"/>
      <c r="Y345" s="103"/>
      <c r="Z345" s="103" t="s">
        <v>868</v>
      </c>
      <c r="AA345" s="103" t="s">
        <v>874</v>
      </c>
      <c r="AB345" s="103" t="s">
        <v>153</v>
      </c>
      <c r="AC345" s="103">
        <v>0</v>
      </c>
      <c r="AD345" s="156">
        <v>42005</v>
      </c>
      <c r="AE345" s="103"/>
      <c r="AF345" s="103" t="s">
        <v>870</v>
      </c>
      <c r="AG345" s="103" t="s">
        <v>871</v>
      </c>
      <c r="AH345" s="103" t="s">
        <v>976</v>
      </c>
      <c r="AI345" s="103">
        <v>0</v>
      </c>
      <c r="AJ345" s="103"/>
      <c r="AK345" s="103"/>
      <c r="AL345" s="103"/>
      <c r="AM345" s="103"/>
      <c r="AN345" s="103"/>
      <c r="AO345" s="103" t="str">
        <f t="shared" si="11"/>
        <v>CFLscw(19w)Single-pack</v>
      </c>
    </row>
    <row r="346" spans="1:41">
      <c r="A346" s="177">
        <f>IFERROR(MATCH(D346,'Measure &amp; Standard CostIDs'!C$5:C$177,0),MATCH(D346,'Measure &amp; Standard CostIDs'!S$5:S$177,0))</f>
        <v>12</v>
      </c>
      <c r="B346" s="177">
        <f t="shared" si="12"/>
        <v>2</v>
      </c>
      <c r="C346" s="103" t="s">
        <v>153</v>
      </c>
      <c r="D346" s="103" t="str">
        <f t="shared" si="13"/>
        <v>CFLscw(20w)</v>
      </c>
      <c r="E346" s="103" t="str">
        <f>IF(LEFT(D346,3)="Std","Base case cost for mix of 60% Incandescent and 40% CFL lamps for CFL TechID: "&amp;INDEX('Measure &amp; Standard CostIDs'!$C$5:$C$177,A346),"&lt;from TechID&gt;")</f>
        <v>&lt;from TechID&gt;</v>
      </c>
      <c r="F346" s="103" t="s">
        <v>860</v>
      </c>
      <c r="G346" s="103" t="s">
        <v>151</v>
      </c>
      <c r="H346" s="103" t="s">
        <v>861</v>
      </c>
      <c r="I346" s="103" t="s">
        <v>862</v>
      </c>
      <c r="J346" s="103" t="s">
        <v>863</v>
      </c>
      <c r="K346" s="103" t="s">
        <v>864</v>
      </c>
      <c r="L346" s="103" t="s">
        <v>153</v>
      </c>
      <c r="M346" s="103" t="s">
        <v>865</v>
      </c>
      <c r="N346" s="103" t="s">
        <v>866</v>
      </c>
      <c r="O346" s="103" t="str">
        <f t="shared" si="10"/>
        <v>CFLscw(20w)</v>
      </c>
      <c r="P346" s="103" t="s">
        <v>153</v>
      </c>
      <c r="Q346" s="103" t="s">
        <v>153</v>
      </c>
      <c r="R346" s="103" t="s">
        <v>153</v>
      </c>
      <c r="S346" s="103" t="str">
        <f>INDEX('Measure &amp; Standard CostIDs'!$AK$8:$AK$12,B346)</f>
        <v>Single-pack</v>
      </c>
      <c r="T346" s="103" t="s">
        <v>867</v>
      </c>
      <c r="U346" s="103"/>
      <c r="V346" s="103"/>
      <c r="W346" s="103">
        <f>ROUND(IF(LEFT(D346,3)="Std",VLOOKUP(D346,'Measure &amp; Standard CostIDs'!$S$5:$X$177,1+B346,FALSE),VLOOKUP(D346,'Measure &amp; Standard CostIDs'!$C$5:$H$177,1+B346,FALSE)),2)</f>
        <v>5.31</v>
      </c>
      <c r="X346" s="103"/>
      <c r="Y346" s="103"/>
      <c r="Z346" s="103" t="s">
        <v>868</v>
      </c>
      <c r="AA346" s="103" t="s">
        <v>874</v>
      </c>
      <c r="AB346" s="103" t="s">
        <v>153</v>
      </c>
      <c r="AC346" s="103">
        <v>0</v>
      </c>
      <c r="AD346" s="156">
        <v>42005</v>
      </c>
      <c r="AE346" s="103"/>
      <c r="AF346" s="103" t="s">
        <v>870</v>
      </c>
      <c r="AG346" s="103" t="s">
        <v>871</v>
      </c>
      <c r="AH346" s="103" t="s">
        <v>976</v>
      </c>
      <c r="AI346" s="103">
        <v>0</v>
      </c>
      <c r="AJ346" s="103"/>
      <c r="AK346" s="103"/>
      <c r="AL346" s="103"/>
      <c r="AM346" s="103"/>
      <c r="AN346" s="103"/>
      <c r="AO346" s="103" t="str">
        <f t="shared" si="11"/>
        <v>CFLscw(20w)Single-pack</v>
      </c>
    </row>
    <row r="347" spans="1:41">
      <c r="A347" s="177">
        <f>IFERROR(MATCH(D347,'Measure &amp; Standard CostIDs'!C$5:C$177,0),MATCH(D347,'Measure &amp; Standard CostIDs'!S$5:S$177,0))</f>
        <v>13</v>
      </c>
      <c r="B347" s="177">
        <f t="shared" si="12"/>
        <v>2</v>
      </c>
      <c r="C347" s="103" t="s">
        <v>153</v>
      </c>
      <c r="D347" s="103" t="str">
        <f t="shared" si="13"/>
        <v>CFLscw(21w)</v>
      </c>
      <c r="E347" s="103" t="str">
        <f>IF(LEFT(D347,3)="Std","Base case cost for mix of 60% Incandescent and 40% CFL lamps for CFL TechID: "&amp;INDEX('Measure &amp; Standard CostIDs'!$C$5:$C$177,A347),"&lt;from TechID&gt;")</f>
        <v>&lt;from TechID&gt;</v>
      </c>
      <c r="F347" s="103" t="s">
        <v>860</v>
      </c>
      <c r="G347" s="103" t="s">
        <v>151</v>
      </c>
      <c r="H347" s="103" t="s">
        <v>861</v>
      </c>
      <c r="I347" s="103" t="s">
        <v>862</v>
      </c>
      <c r="J347" s="103" t="s">
        <v>863</v>
      </c>
      <c r="K347" s="103" t="s">
        <v>864</v>
      </c>
      <c r="L347" s="103" t="s">
        <v>153</v>
      </c>
      <c r="M347" s="103" t="s">
        <v>865</v>
      </c>
      <c r="N347" s="103" t="s">
        <v>866</v>
      </c>
      <c r="O347" s="103" t="str">
        <f t="shared" si="10"/>
        <v>CFLscw(21w)</v>
      </c>
      <c r="P347" s="103" t="s">
        <v>153</v>
      </c>
      <c r="Q347" s="103" t="s">
        <v>153</v>
      </c>
      <c r="R347" s="103" t="s">
        <v>153</v>
      </c>
      <c r="S347" s="103" t="str">
        <f>INDEX('Measure &amp; Standard CostIDs'!$AK$8:$AK$12,B347)</f>
        <v>Single-pack</v>
      </c>
      <c r="T347" s="103" t="s">
        <v>867</v>
      </c>
      <c r="U347" s="103"/>
      <c r="V347" s="103"/>
      <c r="W347" s="103">
        <f>ROUND(IF(LEFT(D347,3)="Std",VLOOKUP(D347,'Measure &amp; Standard CostIDs'!$S$5:$X$177,1+B347,FALSE),VLOOKUP(D347,'Measure &amp; Standard CostIDs'!$C$5:$H$177,1+B347,FALSE)),2)</f>
        <v>5.37</v>
      </c>
      <c r="X347" s="103"/>
      <c r="Y347" s="103"/>
      <c r="Z347" s="103" t="s">
        <v>868</v>
      </c>
      <c r="AA347" s="103" t="s">
        <v>874</v>
      </c>
      <c r="AB347" s="103" t="s">
        <v>153</v>
      </c>
      <c r="AC347" s="103">
        <v>0</v>
      </c>
      <c r="AD347" s="156">
        <v>42005</v>
      </c>
      <c r="AE347" s="103"/>
      <c r="AF347" s="103" t="s">
        <v>870</v>
      </c>
      <c r="AG347" s="103" t="s">
        <v>871</v>
      </c>
      <c r="AH347" s="103" t="s">
        <v>976</v>
      </c>
      <c r="AI347" s="103">
        <v>0</v>
      </c>
      <c r="AJ347" s="103"/>
      <c r="AK347" s="103"/>
      <c r="AL347" s="103"/>
      <c r="AM347" s="103"/>
      <c r="AN347" s="103"/>
      <c r="AO347" s="103" t="str">
        <f t="shared" si="11"/>
        <v>CFLscw(21w)Single-pack</v>
      </c>
    </row>
    <row r="348" spans="1:41">
      <c r="A348" s="177">
        <f>IFERROR(MATCH(D348,'Measure &amp; Standard CostIDs'!C$5:C$177,0),MATCH(D348,'Measure &amp; Standard CostIDs'!S$5:S$177,0))</f>
        <v>14</v>
      </c>
      <c r="B348" s="177">
        <f t="shared" si="12"/>
        <v>2</v>
      </c>
      <c r="C348" s="103" t="s">
        <v>153</v>
      </c>
      <c r="D348" s="103" t="str">
        <f t="shared" si="13"/>
        <v>CFLscw(22w)</v>
      </c>
      <c r="E348" s="103" t="str">
        <f>IF(LEFT(D348,3)="Std","Base case cost for mix of 60% Incandescent and 40% CFL lamps for CFL TechID: "&amp;INDEX('Measure &amp; Standard CostIDs'!$C$5:$C$177,A348),"&lt;from TechID&gt;")</f>
        <v>&lt;from TechID&gt;</v>
      </c>
      <c r="F348" s="103" t="s">
        <v>860</v>
      </c>
      <c r="G348" s="103" t="s">
        <v>151</v>
      </c>
      <c r="H348" s="103" t="s">
        <v>861</v>
      </c>
      <c r="I348" s="103" t="s">
        <v>862</v>
      </c>
      <c r="J348" s="103" t="s">
        <v>863</v>
      </c>
      <c r="K348" s="103" t="s">
        <v>864</v>
      </c>
      <c r="L348" s="103" t="s">
        <v>153</v>
      </c>
      <c r="M348" s="103" t="s">
        <v>865</v>
      </c>
      <c r="N348" s="103" t="s">
        <v>866</v>
      </c>
      <c r="O348" s="103" t="str">
        <f t="shared" si="10"/>
        <v>CFLscw(22w)</v>
      </c>
      <c r="P348" s="103" t="s">
        <v>153</v>
      </c>
      <c r="Q348" s="103" t="s">
        <v>153</v>
      </c>
      <c r="R348" s="103" t="s">
        <v>153</v>
      </c>
      <c r="S348" s="103" t="str">
        <f>INDEX('Measure &amp; Standard CostIDs'!$AK$8:$AK$12,B348)</f>
        <v>Single-pack</v>
      </c>
      <c r="T348" s="103" t="s">
        <v>867</v>
      </c>
      <c r="U348" s="103"/>
      <c r="V348" s="103"/>
      <c r="W348" s="103">
        <f>ROUND(IF(LEFT(D348,3)="Std",VLOOKUP(D348,'Measure &amp; Standard CostIDs'!$S$5:$X$177,1+B348,FALSE),VLOOKUP(D348,'Measure &amp; Standard CostIDs'!$C$5:$H$177,1+B348,FALSE)),2)</f>
        <v>5.44</v>
      </c>
      <c r="X348" s="103"/>
      <c r="Y348" s="103"/>
      <c r="Z348" s="103" t="s">
        <v>868</v>
      </c>
      <c r="AA348" s="103" t="s">
        <v>874</v>
      </c>
      <c r="AB348" s="103" t="s">
        <v>153</v>
      </c>
      <c r="AC348" s="103">
        <v>0</v>
      </c>
      <c r="AD348" s="156">
        <v>42005</v>
      </c>
      <c r="AE348" s="103"/>
      <c r="AF348" s="103" t="s">
        <v>870</v>
      </c>
      <c r="AG348" s="103" t="s">
        <v>871</v>
      </c>
      <c r="AH348" s="103" t="s">
        <v>976</v>
      </c>
      <c r="AI348" s="103">
        <v>0</v>
      </c>
      <c r="AJ348" s="103"/>
      <c r="AK348" s="103"/>
      <c r="AL348" s="103"/>
      <c r="AM348" s="103"/>
      <c r="AN348" s="103"/>
      <c r="AO348" s="103" t="str">
        <f t="shared" si="11"/>
        <v>CFLscw(22w)Single-pack</v>
      </c>
    </row>
    <row r="349" spans="1:41">
      <c r="A349" s="177">
        <f>IFERROR(MATCH(D349,'Measure &amp; Standard CostIDs'!C$5:C$177,0),MATCH(D349,'Measure &amp; Standard CostIDs'!S$5:S$177,0))</f>
        <v>15</v>
      </c>
      <c r="B349" s="177">
        <f t="shared" si="12"/>
        <v>2</v>
      </c>
      <c r="C349" s="103" t="s">
        <v>153</v>
      </c>
      <c r="D349" s="103" t="str">
        <f t="shared" si="13"/>
        <v>CFLscw(23w)</v>
      </c>
      <c r="E349" s="103" t="str">
        <f>IF(LEFT(D349,3)="Std","Base case cost for mix of 60% Incandescent and 40% CFL lamps for CFL TechID: "&amp;INDEX('Measure &amp; Standard CostIDs'!$C$5:$C$177,A349),"&lt;from TechID&gt;")</f>
        <v>&lt;from TechID&gt;</v>
      </c>
      <c r="F349" s="103" t="s">
        <v>860</v>
      </c>
      <c r="G349" s="103" t="s">
        <v>151</v>
      </c>
      <c r="H349" s="103" t="s">
        <v>861</v>
      </c>
      <c r="I349" s="103" t="s">
        <v>862</v>
      </c>
      <c r="J349" s="103" t="s">
        <v>863</v>
      </c>
      <c r="K349" s="103" t="s">
        <v>864</v>
      </c>
      <c r="L349" s="103" t="s">
        <v>153</v>
      </c>
      <c r="M349" s="103" t="s">
        <v>865</v>
      </c>
      <c r="N349" s="103" t="s">
        <v>866</v>
      </c>
      <c r="O349" s="103" t="str">
        <f t="shared" si="10"/>
        <v>CFLscw(23w)</v>
      </c>
      <c r="P349" s="103" t="s">
        <v>153</v>
      </c>
      <c r="Q349" s="103" t="s">
        <v>153</v>
      </c>
      <c r="R349" s="103" t="s">
        <v>153</v>
      </c>
      <c r="S349" s="103" t="str">
        <f>INDEX('Measure &amp; Standard CostIDs'!$AK$8:$AK$12,B349)</f>
        <v>Single-pack</v>
      </c>
      <c r="T349" s="103" t="s">
        <v>867</v>
      </c>
      <c r="U349" s="103"/>
      <c r="V349" s="103"/>
      <c r="W349" s="103">
        <f>ROUND(IF(LEFT(D349,3)="Std",VLOOKUP(D349,'Measure &amp; Standard CostIDs'!$S$5:$X$177,1+B349,FALSE),VLOOKUP(D349,'Measure &amp; Standard CostIDs'!$C$5:$H$177,1+B349,FALSE)),2)</f>
        <v>5.51</v>
      </c>
      <c r="X349" s="103"/>
      <c r="Y349" s="103"/>
      <c r="Z349" s="103" t="s">
        <v>868</v>
      </c>
      <c r="AA349" s="103" t="s">
        <v>874</v>
      </c>
      <c r="AB349" s="103" t="s">
        <v>153</v>
      </c>
      <c r="AC349" s="103">
        <v>0</v>
      </c>
      <c r="AD349" s="156">
        <v>42005</v>
      </c>
      <c r="AE349" s="103"/>
      <c r="AF349" s="103" t="s">
        <v>870</v>
      </c>
      <c r="AG349" s="103" t="s">
        <v>871</v>
      </c>
      <c r="AH349" s="103" t="s">
        <v>976</v>
      </c>
      <c r="AI349" s="103">
        <v>0</v>
      </c>
      <c r="AJ349" s="103"/>
      <c r="AK349" s="103"/>
      <c r="AL349" s="103"/>
      <c r="AM349" s="103"/>
      <c r="AN349" s="103"/>
      <c r="AO349" s="103" t="str">
        <f t="shared" si="11"/>
        <v>CFLscw(23w)Single-pack</v>
      </c>
    </row>
    <row r="350" spans="1:41">
      <c r="A350" s="177">
        <f>IFERROR(MATCH(D350,'Measure &amp; Standard CostIDs'!C$5:C$177,0),MATCH(D350,'Measure &amp; Standard CostIDs'!S$5:S$177,0))</f>
        <v>16</v>
      </c>
      <c r="B350" s="177">
        <f t="shared" si="12"/>
        <v>2</v>
      </c>
      <c r="C350" s="103" t="s">
        <v>153</v>
      </c>
      <c r="D350" s="103" t="str">
        <f t="shared" si="13"/>
        <v>CFLscw(24w)</v>
      </c>
      <c r="E350" s="103" t="str">
        <f>IF(LEFT(D350,3)="Std","Base case cost for mix of 60% Incandescent and 40% CFL lamps for CFL TechID: "&amp;INDEX('Measure &amp; Standard CostIDs'!$C$5:$C$177,A350),"&lt;from TechID&gt;")</f>
        <v>&lt;from TechID&gt;</v>
      </c>
      <c r="F350" s="103" t="s">
        <v>860</v>
      </c>
      <c r="G350" s="103" t="s">
        <v>151</v>
      </c>
      <c r="H350" s="103" t="s">
        <v>861</v>
      </c>
      <c r="I350" s="103" t="s">
        <v>862</v>
      </c>
      <c r="J350" s="103" t="s">
        <v>863</v>
      </c>
      <c r="K350" s="103" t="s">
        <v>864</v>
      </c>
      <c r="L350" s="103" t="s">
        <v>153</v>
      </c>
      <c r="M350" s="103" t="s">
        <v>865</v>
      </c>
      <c r="N350" s="103" t="s">
        <v>866</v>
      </c>
      <c r="O350" s="103" t="str">
        <f t="shared" si="10"/>
        <v>CFLscw(24w)</v>
      </c>
      <c r="P350" s="103" t="s">
        <v>153</v>
      </c>
      <c r="Q350" s="103" t="s">
        <v>153</v>
      </c>
      <c r="R350" s="103" t="s">
        <v>153</v>
      </c>
      <c r="S350" s="103" t="str">
        <f>INDEX('Measure &amp; Standard CostIDs'!$AK$8:$AK$12,B350)</f>
        <v>Single-pack</v>
      </c>
      <c r="T350" s="103" t="s">
        <v>867</v>
      </c>
      <c r="U350" s="103"/>
      <c r="V350" s="103"/>
      <c r="W350" s="103">
        <f>ROUND(IF(LEFT(D350,3)="Std",VLOOKUP(D350,'Measure &amp; Standard CostIDs'!$S$5:$X$177,1+B350,FALSE),VLOOKUP(D350,'Measure &amp; Standard CostIDs'!$C$5:$H$177,1+B350,FALSE)),2)</f>
        <v>5.57</v>
      </c>
      <c r="X350" s="103"/>
      <c r="Y350" s="103"/>
      <c r="Z350" s="103" t="s">
        <v>868</v>
      </c>
      <c r="AA350" s="103" t="s">
        <v>874</v>
      </c>
      <c r="AB350" s="103" t="s">
        <v>153</v>
      </c>
      <c r="AC350" s="103">
        <v>0</v>
      </c>
      <c r="AD350" s="156">
        <v>42005</v>
      </c>
      <c r="AE350" s="103"/>
      <c r="AF350" s="103" t="s">
        <v>870</v>
      </c>
      <c r="AG350" s="103" t="s">
        <v>871</v>
      </c>
      <c r="AH350" s="103" t="s">
        <v>976</v>
      </c>
      <c r="AI350" s="103">
        <v>0</v>
      </c>
      <c r="AJ350" s="103"/>
      <c r="AK350" s="103"/>
      <c r="AL350" s="103"/>
      <c r="AM350" s="103"/>
      <c r="AN350" s="103"/>
      <c r="AO350" s="103" t="str">
        <f t="shared" si="11"/>
        <v>CFLscw(24w)Single-pack</v>
      </c>
    </row>
    <row r="351" spans="1:41">
      <c r="A351" s="177">
        <f>IFERROR(MATCH(D351,'Measure &amp; Standard CostIDs'!C$5:C$177,0),MATCH(D351,'Measure &amp; Standard CostIDs'!S$5:S$177,0))</f>
        <v>17</v>
      </c>
      <c r="B351" s="177">
        <f t="shared" si="12"/>
        <v>2</v>
      </c>
      <c r="C351" s="103" t="s">
        <v>153</v>
      </c>
      <c r="D351" s="103" t="str">
        <f t="shared" si="13"/>
        <v>CFLscw(25w)</v>
      </c>
      <c r="E351" s="103" t="str">
        <f>IF(LEFT(D351,3)="Std","Base case cost for mix of 60% Incandescent and 40% CFL lamps for CFL TechID: "&amp;INDEX('Measure &amp; Standard CostIDs'!$C$5:$C$177,A351),"&lt;from TechID&gt;")</f>
        <v>&lt;from TechID&gt;</v>
      </c>
      <c r="F351" s="103" t="s">
        <v>860</v>
      </c>
      <c r="G351" s="103" t="s">
        <v>151</v>
      </c>
      <c r="H351" s="103" t="s">
        <v>861</v>
      </c>
      <c r="I351" s="103" t="s">
        <v>862</v>
      </c>
      <c r="J351" s="103" t="s">
        <v>863</v>
      </c>
      <c r="K351" s="103" t="s">
        <v>864</v>
      </c>
      <c r="L351" s="103" t="s">
        <v>153</v>
      </c>
      <c r="M351" s="103" t="s">
        <v>865</v>
      </c>
      <c r="N351" s="103" t="s">
        <v>866</v>
      </c>
      <c r="O351" s="103" t="str">
        <f t="shared" si="10"/>
        <v>CFLscw(25w)</v>
      </c>
      <c r="P351" s="103" t="s">
        <v>153</v>
      </c>
      <c r="Q351" s="103" t="s">
        <v>153</v>
      </c>
      <c r="R351" s="103" t="s">
        <v>153</v>
      </c>
      <c r="S351" s="103" t="str">
        <f>INDEX('Measure &amp; Standard CostIDs'!$AK$8:$AK$12,B351)</f>
        <v>Single-pack</v>
      </c>
      <c r="T351" s="103" t="s">
        <v>867</v>
      </c>
      <c r="U351" s="103"/>
      <c r="V351" s="103"/>
      <c r="W351" s="103">
        <f>ROUND(IF(LEFT(D351,3)="Std",VLOOKUP(D351,'Measure &amp; Standard CostIDs'!$S$5:$X$177,1+B351,FALSE),VLOOKUP(D351,'Measure &amp; Standard CostIDs'!$C$5:$H$177,1+B351,FALSE)),2)</f>
        <v>5.64</v>
      </c>
      <c r="X351" s="103"/>
      <c r="Y351" s="103"/>
      <c r="Z351" s="103" t="s">
        <v>868</v>
      </c>
      <c r="AA351" s="103" t="s">
        <v>874</v>
      </c>
      <c r="AB351" s="103" t="s">
        <v>153</v>
      </c>
      <c r="AC351" s="103">
        <v>0</v>
      </c>
      <c r="AD351" s="156">
        <v>42005</v>
      </c>
      <c r="AE351" s="103"/>
      <c r="AF351" s="103" t="s">
        <v>870</v>
      </c>
      <c r="AG351" s="103" t="s">
        <v>871</v>
      </c>
      <c r="AH351" s="103" t="s">
        <v>976</v>
      </c>
      <c r="AI351" s="103">
        <v>0</v>
      </c>
      <c r="AJ351" s="103"/>
      <c r="AK351" s="103"/>
      <c r="AL351" s="103"/>
      <c r="AM351" s="103"/>
      <c r="AN351" s="103"/>
      <c r="AO351" s="103" t="str">
        <f t="shared" si="11"/>
        <v>CFLscw(25w)Single-pack</v>
      </c>
    </row>
    <row r="352" spans="1:41">
      <c r="A352" s="177">
        <f>IFERROR(MATCH(D352,'Measure &amp; Standard CostIDs'!C$5:C$177,0),MATCH(D352,'Measure &amp; Standard CostIDs'!S$5:S$177,0))</f>
        <v>18</v>
      </c>
      <c r="B352" s="177">
        <f t="shared" si="12"/>
        <v>2</v>
      </c>
      <c r="C352" s="103" t="s">
        <v>153</v>
      </c>
      <c r="D352" s="103" t="str">
        <f t="shared" si="13"/>
        <v>CFLscw(26w)</v>
      </c>
      <c r="E352" s="103" t="str">
        <f>IF(LEFT(D352,3)="Std","Base case cost for mix of 60% Incandescent and 40% CFL lamps for CFL TechID: "&amp;INDEX('Measure &amp; Standard CostIDs'!$C$5:$C$177,A352),"&lt;from TechID&gt;")</f>
        <v>&lt;from TechID&gt;</v>
      </c>
      <c r="F352" s="103" t="s">
        <v>860</v>
      </c>
      <c r="G352" s="103" t="s">
        <v>151</v>
      </c>
      <c r="H352" s="103" t="s">
        <v>861</v>
      </c>
      <c r="I352" s="103" t="s">
        <v>862</v>
      </c>
      <c r="J352" s="103" t="s">
        <v>863</v>
      </c>
      <c r="K352" s="103" t="s">
        <v>864</v>
      </c>
      <c r="L352" s="103" t="s">
        <v>153</v>
      </c>
      <c r="M352" s="103" t="s">
        <v>865</v>
      </c>
      <c r="N352" s="103" t="s">
        <v>866</v>
      </c>
      <c r="O352" s="103" t="str">
        <f t="shared" si="10"/>
        <v>CFLscw(26w)</v>
      </c>
      <c r="P352" s="103" t="s">
        <v>153</v>
      </c>
      <c r="Q352" s="103" t="s">
        <v>153</v>
      </c>
      <c r="R352" s="103" t="s">
        <v>153</v>
      </c>
      <c r="S352" s="103" t="str">
        <f>INDEX('Measure &amp; Standard CostIDs'!$AK$8:$AK$12,B352)</f>
        <v>Single-pack</v>
      </c>
      <c r="T352" s="103" t="s">
        <v>867</v>
      </c>
      <c r="U352" s="103"/>
      <c r="V352" s="103"/>
      <c r="W352" s="103">
        <f>ROUND(IF(LEFT(D352,3)="Std",VLOOKUP(D352,'Measure &amp; Standard CostIDs'!$S$5:$X$177,1+B352,FALSE),VLOOKUP(D352,'Measure &amp; Standard CostIDs'!$C$5:$H$177,1+B352,FALSE)),2)</f>
        <v>5.8</v>
      </c>
      <c r="X352" s="103"/>
      <c r="Y352" s="103"/>
      <c r="Z352" s="103" t="s">
        <v>868</v>
      </c>
      <c r="AA352" s="103" t="s">
        <v>874</v>
      </c>
      <c r="AB352" s="103" t="s">
        <v>153</v>
      </c>
      <c r="AC352" s="103">
        <v>0</v>
      </c>
      <c r="AD352" s="156">
        <v>42005</v>
      </c>
      <c r="AE352" s="103"/>
      <c r="AF352" s="103" t="s">
        <v>870</v>
      </c>
      <c r="AG352" s="103" t="s">
        <v>871</v>
      </c>
      <c r="AH352" s="103" t="s">
        <v>976</v>
      </c>
      <c r="AI352" s="103">
        <v>0</v>
      </c>
      <c r="AJ352" s="103"/>
      <c r="AK352" s="103"/>
      <c r="AL352" s="103"/>
      <c r="AM352" s="103"/>
      <c r="AN352" s="103"/>
      <c r="AO352" s="103" t="str">
        <f t="shared" si="11"/>
        <v>CFLscw(26w)Single-pack</v>
      </c>
    </row>
    <row r="353" spans="1:41">
      <c r="A353" s="177">
        <f>IFERROR(MATCH(D353,'Measure &amp; Standard CostIDs'!C$5:C$177,0),MATCH(D353,'Measure &amp; Standard CostIDs'!S$5:S$177,0))</f>
        <v>19</v>
      </c>
      <c r="B353" s="177">
        <f t="shared" si="12"/>
        <v>2</v>
      </c>
      <c r="C353" s="103" t="s">
        <v>153</v>
      </c>
      <c r="D353" s="103" t="str">
        <f t="shared" si="13"/>
        <v>CFLscw(27w)</v>
      </c>
      <c r="E353" s="103" t="str">
        <f>IF(LEFT(D353,3)="Std","Base case cost for mix of 60% Incandescent and 40% CFL lamps for CFL TechID: "&amp;INDEX('Measure &amp; Standard CostIDs'!$C$5:$C$177,A353),"&lt;from TechID&gt;")</f>
        <v>&lt;from TechID&gt;</v>
      </c>
      <c r="F353" s="103" t="s">
        <v>860</v>
      </c>
      <c r="G353" s="103" t="s">
        <v>151</v>
      </c>
      <c r="H353" s="103" t="s">
        <v>861</v>
      </c>
      <c r="I353" s="103" t="s">
        <v>862</v>
      </c>
      <c r="J353" s="103" t="s">
        <v>863</v>
      </c>
      <c r="K353" s="103" t="s">
        <v>864</v>
      </c>
      <c r="L353" s="103" t="s">
        <v>153</v>
      </c>
      <c r="M353" s="103" t="s">
        <v>865</v>
      </c>
      <c r="N353" s="103" t="s">
        <v>866</v>
      </c>
      <c r="O353" s="103" t="str">
        <f t="shared" si="10"/>
        <v>CFLscw(27w)</v>
      </c>
      <c r="P353" s="103" t="s">
        <v>153</v>
      </c>
      <c r="Q353" s="103" t="s">
        <v>153</v>
      </c>
      <c r="R353" s="103" t="s">
        <v>153</v>
      </c>
      <c r="S353" s="103" t="str">
        <f>INDEX('Measure &amp; Standard CostIDs'!$AK$8:$AK$12,B353)</f>
        <v>Single-pack</v>
      </c>
      <c r="T353" s="103" t="s">
        <v>867</v>
      </c>
      <c r="U353" s="103"/>
      <c r="V353" s="103"/>
      <c r="W353" s="103">
        <f>ROUND(IF(LEFT(D353,3)="Std",VLOOKUP(D353,'Measure &amp; Standard CostIDs'!$S$5:$X$177,1+B353,FALSE),VLOOKUP(D353,'Measure &amp; Standard CostIDs'!$C$5:$H$177,1+B353,FALSE)),2)</f>
        <v>5.96</v>
      </c>
      <c r="X353" s="103"/>
      <c r="Y353" s="103"/>
      <c r="Z353" s="103" t="s">
        <v>868</v>
      </c>
      <c r="AA353" s="103" t="s">
        <v>874</v>
      </c>
      <c r="AB353" s="103" t="s">
        <v>153</v>
      </c>
      <c r="AC353" s="103">
        <v>0</v>
      </c>
      <c r="AD353" s="156">
        <v>42005</v>
      </c>
      <c r="AE353" s="103"/>
      <c r="AF353" s="103" t="s">
        <v>870</v>
      </c>
      <c r="AG353" s="103" t="s">
        <v>871</v>
      </c>
      <c r="AH353" s="103" t="s">
        <v>976</v>
      </c>
      <c r="AI353" s="103">
        <v>0</v>
      </c>
      <c r="AJ353" s="103"/>
      <c r="AK353" s="103"/>
      <c r="AL353" s="103"/>
      <c r="AM353" s="103"/>
      <c r="AN353" s="103"/>
      <c r="AO353" s="103" t="str">
        <f t="shared" si="11"/>
        <v>CFLscw(27w)Single-pack</v>
      </c>
    </row>
    <row r="354" spans="1:41">
      <c r="A354" s="177">
        <f>IFERROR(MATCH(D354,'Measure &amp; Standard CostIDs'!C$5:C$177,0),MATCH(D354,'Measure &amp; Standard CostIDs'!S$5:S$177,0))</f>
        <v>20</v>
      </c>
      <c r="B354" s="177">
        <f t="shared" si="12"/>
        <v>2</v>
      </c>
      <c r="C354" s="103" t="s">
        <v>153</v>
      </c>
      <c r="D354" s="103" t="str">
        <f t="shared" si="13"/>
        <v>CFLscw(28w)</v>
      </c>
      <c r="E354" s="103" t="str">
        <f>IF(LEFT(D354,3)="Std","Base case cost for mix of 60% Incandescent and 40% CFL lamps for CFL TechID: "&amp;INDEX('Measure &amp; Standard CostIDs'!$C$5:$C$177,A354),"&lt;from TechID&gt;")</f>
        <v>&lt;from TechID&gt;</v>
      </c>
      <c r="F354" s="103" t="s">
        <v>860</v>
      </c>
      <c r="G354" s="103" t="s">
        <v>151</v>
      </c>
      <c r="H354" s="103" t="s">
        <v>861</v>
      </c>
      <c r="I354" s="103" t="s">
        <v>862</v>
      </c>
      <c r="J354" s="103" t="s">
        <v>863</v>
      </c>
      <c r="K354" s="103" t="s">
        <v>864</v>
      </c>
      <c r="L354" s="103" t="s">
        <v>153</v>
      </c>
      <c r="M354" s="103" t="s">
        <v>865</v>
      </c>
      <c r="N354" s="103" t="s">
        <v>866</v>
      </c>
      <c r="O354" s="103" t="str">
        <f t="shared" si="10"/>
        <v>CFLscw(28w)</v>
      </c>
      <c r="P354" s="103" t="s">
        <v>153</v>
      </c>
      <c r="Q354" s="103" t="s">
        <v>153</v>
      </c>
      <c r="R354" s="103" t="s">
        <v>153</v>
      </c>
      <c r="S354" s="103" t="str">
        <f>INDEX('Measure &amp; Standard CostIDs'!$AK$8:$AK$12,B354)</f>
        <v>Single-pack</v>
      </c>
      <c r="T354" s="103" t="s">
        <v>867</v>
      </c>
      <c r="U354" s="103"/>
      <c r="V354" s="103"/>
      <c r="W354" s="103">
        <f>ROUND(IF(LEFT(D354,3)="Std",VLOOKUP(D354,'Measure &amp; Standard CostIDs'!$S$5:$X$177,1+B354,FALSE),VLOOKUP(D354,'Measure &amp; Standard CostIDs'!$C$5:$H$177,1+B354,FALSE)),2)</f>
        <v>6.12</v>
      </c>
      <c r="X354" s="103"/>
      <c r="Y354" s="103"/>
      <c r="Z354" s="103" t="s">
        <v>868</v>
      </c>
      <c r="AA354" s="103" t="s">
        <v>874</v>
      </c>
      <c r="AB354" s="103" t="s">
        <v>153</v>
      </c>
      <c r="AC354" s="103">
        <v>0</v>
      </c>
      <c r="AD354" s="156">
        <v>42005</v>
      </c>
      <c r="AE354" s="103"/>
      <c r="AF354" s="103" t="s">
        <v>870</v>
      </c>
      <c r="AG354" s="103" t="s">
        <v>871</v>
      </c>
      <c r="AH354" s="103" t="s">
        <v>976</v>
      </c>
      <c r="AI354" s="103">
        <v>0</v>
      </c>
      <c r="AJ354" s="103"/>
      <c r="AK354" s="103"/>
      <c r="AL354" s="103"/>
      <c r="AM354" s="103"/>
      <c r="AN354" s="103"/>
      <c r="AO354" s="103" t="str">
        <f t="shared" si="11"/>
        <v>CFLscw(28w)Single-pack</v>
      </c>
    </row>
    <row r="355" spans="1:41">
      <c r="A355" s="177">
        <f>IFERROR(MATCH(D355,'Measure &amp; Standard CostIDs'!C$5:C$177,0),MATCH(D355,'Measure &amp; Standard CostIDs'!S$5:S$177,0))</f>
        <v>21</v>
      </c>
      <c r="B355" s="177">
        <f t="shared" si="12"/>
        <v>2</v>
      </c>
      <c r="C355" s="103" t="s">
        <v>153</v>
      </c>
      <c r="D355" s="103" t="str">
        <f t="shared" si="13"/>
        <v>CFLscw(29w)</v>
      </c>
      <c r="E355" s="103" t="str">
        <f>IF(LEFT(D355,3)="Std","Base case cost for mix of 60% Incandescent and 40% CFL lamps for CFL TechID: "&amp;INDEX('Measure &amp; Standard CostIDs'!$C$5:$C$177,A355),"&lt;from TechID&gt;")</f>
        <v>&lt;from TechID&gt;</v>
      </c>
      <c r="F355" s="103" t="s">
        <v>860</v>
      </c>
      <c r="G355" s="103" t="s">
        <v>151</v>
      </c>
      <c r="H355" s="103" t="s">
        <v>861</v>
      </c>
      <c r="I355" s="103" t="s">
        <v>862</v>
      </c>
      <c r="J355" s="103" t="s">
        <v>863</v>
      </c>
      <c r="K355" s="103" t="s">
        <v>864</v>
      </c>
      <c r="L355" s="103" t="s">
        <v>153</v>
      </c>
      <c r="M355" s="103" t="s">
        <v>865</v>
      </c>
      <c r="N355" s="103" t="s">
        <v>866</v>
      </c>
      <c r="O355" s="103" t="str">
        <f t="shared" si="10"/>
        <v>CFLscw(29w)</v>
      </c>
      <c r="P355" s="103" t="s">
        <v>153</v>
      </c>
      <c r="Q355" s="103" t="s">
        <v>153</v>
      </c>
      <c r="R355" s="103" t="s">
        <v>153</v>
      </c>
      <c r="S355" s="103" t="str">
        <f>INDEX('Measure &amp; Standard CostIDs'!$AK$8:$AK$12,B355)</f>
        <v>Single-pack</v>
      </c>
      <c r="T355" s="103" t="s">
        <v>867</v>
      </c>
      <c r="U355" s="103"/>
      <c r="V355" s="103"/>
      <c r="W355" s="103">
        <f>ROUND(IF(LEFT(D355,3)="Std",VLOOKUP(D355,'Measure &amp; Standard CostIDs'!$S$5:$X$177,1+B355,FALSE),VLOOKUP(D355,'Measure &amp; Standard CostIDs'!$C$5:$H$177,1+B355,FALSE)),2)</f>
        <v>6.28</v>
      </c>
      <c r="X355" s="103"/>
      <c r="Y355" s="103"/>
      <c r="Z355" s="103" t="s">
        <v>868</v>
      </c>
      <c r="AA355" s="103" t="s">
        <v>874</v>
      </c>
      <c r="AB355" s="103" t="s">
        <v>153</v>
      </c>
      <c r="AC355" s="103">
        <v>0</v>
      </c>
      <c r="AD355" s="156">
        <v>42005</v>
      </c>
      <c r="AE355" s="103"/>
      <c r="AF355" s="103" t="s">
        <v>870</v>
      </c>
      <c r="AG355" s="103" t="s">
        <v>871</v>
      </c>
      <c r="AH355" s="103" t="s">
        <v>976</v>
      </c>
      <c r="AI355" s="103">
        <v>0</v>
      </c>
      <c r="AJ355" s="103"/>
      <c r="AK355" s="103"/>
      <c r="AL355" s="103"/>
      <c r="AM355" s="103"/>
      <c r="AN355" s="103"/>
      <c r="AO355" s="103" t="str">
        <f t="shared" si="11"/>
        <v>CFLscw(29w)Single-pack</v>
      </c>
    </row>
    <row r="356" spans="1:41">
      <c r="A356" s="177">
        <f>IFERROR(MATCH(D356,'Measure &amp; Standard CostIDs'!C$5:C$177,0),MATCH(D356,'Measure &amp; Standard CostIDs'!S$5:S$177,0))</f>
        <v>22</v>
      </c>
      <c r="B356" s="177">
        <f t="shared" si="12"/>
        <v>2</v>
      </c>
      <c r="C356" s="103" t="s">
        <v>153</v>
      </c>
      <c r="D356" s="103" t="str">
        <f t="shared" si="13"/>
        <v>CFLscw(30w)</v>
      </c>
      <c r="E356" s="103" t="str">
        <f>IF(LEFT(D356,3)="Std","Base case cost for mix of 60% Incandescent and 40% CFL lamps for CFL TechID: "&amp;INDEX('Measure &amp; Standard CostIDs'!$C$5:$C$177,A356),"&lt;from TechID&gt;")</f>
        <v>&lt;from TechID&gt;</v>
      </c>
      <c r="F356" s="103" t="s">
        <v>860</v>
      </c>
      <c r="G356" s="103" t="s">
        <v>151</v>
      </c>
      <c r="H356" s="103" t="s">
        <v>861</v>
      </c>
      <c r="I356" s="103" t="s">
        <v>862</v>
      </c>
      <c r="J356" s="103" t="s">
        <v>863</v>
      </c>
      <c r="K356" s="103" t="s">
        <v>864</v>
      </c>
      <c r="L356" s="103" t="s">
        <v>153</v>
      </c>
      <c r="M356" s="103" t="s">
        <v>865</v>
      </c>
      <c r="N356" s="103" t="s">
        <v>866</v>
      </c>
      <c r="O356" s="103" t="str">
        <f t="shared" si="10"/>
        <v>CFLscw(30w)</v>
      </c>
      <c r="P356" s="103" t="s">
        <v>153</v>
      </c>
      <c r="Q356" s="103" t="s">
        <v>153</v>
      </c>
      <c r="R356" s="103" t="s">
        <v>153</v>
      </c>
      <c r="S356" s="103" t="str">
        <f>INDEX('Measure &amp; Standard CostIDs'!$AK$8:$AK$12,B356)</f>
        <v>Single-pack</v>
      </c>
      <c r="T356" s="103" t="s">
        <v>867</v>
      </c>
      <c r="U356" s="103"/>
      <c r="V356" s="103"/>
      <c r="W356" s="103">
        <f>ROUND(IF(LEFT(D356,3)="Std",VLOOKUP(D356,'Measure &amp; Standard CostIDs'!$S$5:$X$177,1+B356,FALSE),VLOOKUP(D356,'Measure &amp; Standard CostIDs'!$C$5:$H$177,1+B356,FALSE)),2)</f>
        <v>6.44</v>
      </c>
      <c r="X356" s="103"/>
      <c r="Y356" s="103"/>
      <c r="Z356" s="103" t="s">
        <v>868</v>
      </c>
      <c r="AA356" s="103" t="s">
        <v>874</v>
      </c>
      <c r="AB356" s="103" t="s">
        <v>153</v>
      </c>
      <c r="AC356" s="103">
        <v>0</v>
      </c>
      <c r="AD356" s="156">
        <v>42005</v>
      </c>
      <c r="AE356" s="103"/>
      <c r="AF356" s="103" t="s">
        <v>870</v>
      </c>
      <c r="AG356" s="103" t="s">
        <v>871</v>
      </c>
      <c r="AH356" s="103" t="s">
        <v>976</v>
      </c>
      <c r="AI356" s="103">
        <v>0</v>
      </c>
      <c r="AJ356" s="103"/>
      <c r="AK356" s="103"/>
      <c r="AL356" s="103"/>
      <c r="AM356" s="103"/>
      <c r="AN356" s="103"/>
      <c r="AO356" s="103" t="str">
        <f t="shared" si="11"/>
        <v>CFLscw(30w)Single-pack</v>
      </c>
    </row>
    <row r="357" spans="1:41">
      <c r="A357" s="177">
        <f>IFERROR(MATCH(D357,'Measure &amp; Standard CostIDs'!C$5:C$177,0),MATCH(D357,'Measure &amp; Standard CostIDs'!S$5:S$177,0))</f>
        <v>23</v>
      </c>
      <c r="B357" s="177">
        <f t="shared" si="12"/>
        <v>2</v>
      </c>
      <c r="C357" s="103" t="s">
        <v>153</v>
      </c>
      <c r="D357" s="103" t="str">
        <f t="shared" si="13"/>
        <v>CFLscw(31w)</v>
      </c>
      <c r="E357" s="103" t="str">
        <f>IF(LEFT(D357,3)="Std","Base case cost for mix of 60% Incandescent and 40% CFL lamps for CFL TechID: "&amp;INDEX('Measure &amp; Standard CostIDs'!$C$5:$C$177,A357),"&lt;from TechID&gt;")</f>
        <v>&lt;from TechID&gt;</v>
      </c>
      <c r="F357" s="103" t="s">
        <v>860</v>
      </c>
      <c r="G357" s="103" t="s">
        <v>151</v>
      </c>
      <c r="H357" s="103" t="s">
        <v>861</v>
      </c>
      <c r="I357" s="103" t="s">
        <v>862</v>
      </c>
      <c r="J357" s="103" t="s">
        <v>863</v>
      </c>
      <c r="K357" s="103" t="s">
        <v>864</v>
      </c>
      <c r="L357" s="103" t="s">
        <v>153</v>
      </c>
      <c r="M357" s="103" t="s">
        <v>865</v>
      </c>
      <c r="N357" s="103" t="s">
        <v>866</v>
      </c>
      <c r="O357" s="103" t="str">
        <f t="shared" si="10"/>
        <v>CFLscw(31w)</v>
      </c>
      <c r="P357" s="103" t="s">
        <v>153</v>
      </c>
      <c r="Q357" s="103" t="s">
        <v>153</v>
      </c>
      <c r="R357" s="103" t="s">
        <v>153</v>
      </c>
      <c r="S357" s="103" t="str">
        <f>INDEX('Measure &amp; Standard CostIDs'!$AK$8:$AK$12,B357)</f>
        <v>Single-pack</v>
      </c>
      <c r="T357" s="103" t="s">
        <v>867</v>
      </c>
      <c r="U357" s="103"/>
      <c r="V357" s="103"/>
      <c r="W357" s="103">
        <f>ROUND(IF(LEFT(D357,3)="Std",VLOOKUP(D357,'Measure &amp; Standard CostIDs'!$S$5:$X$177,1+B357,FALSE),VLOOKUP(D357,'Measure &amp; Standard CostIDs'!$C$5:$H$177,1+B357,FALSE)),2)</f>
        <v>6.6</v>
      </c>
      <c r="X357" s="103"/>
      <c r="Y357" s="103"/>
      <c r="Z357" s="103" t="s">
        <v>868</v>
      </c>
      <c r="AA357" s="103" t="s">
        <v>874</v>
      </c>
      <c r="AB357" s="103" t="s">
        <v>153</v>
      </c>
      <c r="AC357" s="103">
        <v>0</v>
      </c>
      <c r="AD357" s="156">
        <v>42005</v>
      </c>
      <c r="AE357" s="103"/>
      <c r="AF357" s="103" t="s">
        <v>870</v>
      </c>
      <c r="AG357" s="103" t="s">
        <v>871</v>
      </c>
      <c r="AH357" s="103" t="s">
        <v>976</v>
      </c>
      <c r="AI357" s="103">
        <v>0</v>
      </c>
      <c r="AJ357" s="103"/>
      <c r="AK357" s="103"/>
      <c r="AL357" s="103"/>
      <c r="AM357" s="103"/>
      <c r="AN357" s="103"/>
      <c r="AO357" s="103" t="str">
        <f t="shared" si="11"/>
        <v>CFLscw(31w)Single-pack</v>
      </c>
    </row>
    <row r="358" spans="1:41">
      <c r="A358" s="177">
        <f>IFERROR(MATCH(D358,'Measure &amp; Standard CostIDs'!C$5:C$177,0),MATCH(D358,'Measure &amp; Standard CostIDs'!S$5:S$177,0))</f>
        <v>24</v>
      </c>
      <c r="B358" s="177">
        <f t="shared" si="12"/>
        <v>2</v>
      </c>
      <c r="C358" s="103" t="s">
        <v>153</v>
      </c>
      <c r="D358" s="103" t="str">
        <f t="shared" si="13"/>
        <v>CFLscw(32w)</v>
      </c>
      <c r="E358" s="103" t="str">
        <f>IF(LEFT(D358,3)="Std","Base case cost for mix of 60% Incandescent and 40% CFL lamps for CFL TechID: "&amp;INDEX('Measure &amp; Standard CostIDs'!$C$5:$C$177,A358),"&lt;from TechID&gt;")</f>
        <v>&lt;from TechID&gt;</v>
      </c>
      <c r="F358" s="103" t="s">
        <v>860</v>
      </c>
      <c r="G358" s="103" t="s">
        <v>151</v>
      </c>
      <c r="H358" s="103" t="s">
        <v>861</v>
      </c>
      <c r="I358" s="103" t="s">
        <v>862</v>
      </c>
      <c r="J358" s="103" t="s">
        <v>863</v>
      </c>
      <c r="K358" s="103" t="s">
        <v>864</v>
      </c>
      <c r="L358" s="103" t="s">
        <v>153</v>
      </c>
      <c r="M358" s="103" t="s">
        <v>865</v>
      </c>
      <c r="N358" s="103" t="s">
        <v>866</v>
      </c>
      <c r="O358" s="103" t="str">
        <f t="shared" si="10"/>
        <v>CFLscw(32w)</v>
      </c>
      <c r="P358" s="103" t="s">
        <v>153</v>
      </c>
      <c r="Q358" s="103" t="s">
        <v>153</v>
      </c>
      <c r="R358" s="103" t="s">
        <v>153</v>
      </c>
      <c r="S358" s="103" t="str">
        <f>INDEX('Measure &amp; Standard CostIDs'!$AK$8:$AK$12,B358)</f>
        <v>Single-pack</v>
      </c>
      <c r="T358" s="103" t="s">
        <v>867</v>
      </c>
      <c r="U358" s="103"/>
      <c r="V358" s="103"/>
      <c r="W358" s="103">
        <f>ROUND(IF(LEFT(D358,3)="Std",VLOOKUP(D358,'Measure &amp; Standard CostIDs'!$S$5:$X$177,1+B358,FALSE),VLOOKUP(D358,'Measure &amp; Standard CostIDs'!$C$5:$H$177,1+B358,FALSE)),2)</f>
        <v>6.76</v>
      </c>
      <c r="X358" s="103"/>
      <c r="Y358" s="103"/>
      <c r="Z358" s="103" t="s">
        <v>868</v>
      </c>
      <c r="AA358" s="103" t="s">
        <v>874</v>
      </c>
      <c r="AB358" s="103" t="s">
        <v>153</v>
      </c>
      <c r="AC358" s="103">
        <v>0</v>
      </c>
      <c r="AD358" s="156">
        <v>42005</v>
      </c>
      <c r="AE358" s="103"/>
      <c r="AF358" s="103" t="s">
        <v>870</v>
      </c>
      <c r="AG358" s="103" t="s">
        <v>871</v>
      </c>
      <c r="AH358" s="103" t="s">
        <v>976</v>
      </c>
      <c r="AI358" s="103">
        <v>0</v>
      </c>
      <c r="AJ358" s="103"/>
      <c r="AK358" s="103"/>
      <c r="AL358" s="103"/>
      <c r="AM358" s="103"/>
      <c r="AN358" s="103"/>
      <c r="AO358" s="103" t="str">
        <f t="shared" si="11"/>
        <v>CFLscw(32w)Single-pack</v>
      </c>
    </row>
    <row r="359" spans="1:41">
      <c r="A359" s="177">
        <f>IFERROR(MATCH(D359,'Measure &amp; Standard CostIDs'!C$5:C$177,0),MATCH(D359,'Measure &amp; Standard CostIDs'!S$5:S$177,0))</f>
        <v>25</v>
      </c>
      <c r="B359" s="177">
        <f t="shared" si="12"/>
        <v>2</v>
      </c>
      <c r="C359" s="103" t="s">
        <v>153</v>
      </c>
      <c r="D359" s="103" t="str">
        <f t="shared" si="13"/>
        <v>CFLscw(33w)</v>
      </c>
      <c r="E359" s="103" t="str">
        <f>IF(LEFT(D359,3)="Std","Base case cost for mix of 60% Incandescent and 40% CFL lamps for CFL TechID: "&amp;INDEX('Measure &amp; Standard CostIDs'!$C$5:$C$177,A359),"&lt;from TechID&gt;")</f>
        <v>&lt;from TechID&gt;</v>
      </c>
      <c r="F359" s="103" t="s">
        <v>860</v>
      </c>
      <c r="G359" s="103" t="s">
        <v>151</v>
      </c>
      <c r="H359" s="103" t="s">
        <v>861</v>
      </c>
      <c r="I359" s="103" t="s">
        <v>862</v>
      </c>
      <c r="J359" s="103" t="s">
        <v>863</v>
      </c>
      <c r="K359" s="103" t="s">
        <v>864</v>
      </c>
      <c r="L359" s="103" t="s">
        <v>153</v>
      </c>
      <c r="M359" s="103" t="s">
        <v>865</v>
      </c>
      <c r="N359" s="103" t="s">
        <v>866</v>
      </c>
      <c r="O359" s="103" t="str">
        <f t="shared" si="10"/>
        <v>CFLscw(33w)</v>
      </c>
      <c r="P359" s="103" t="s">
        <v>153</v>
      </c>
      <c r="Q359" s="103" t="s">
        <v>153</v>
      </c>
      <c r="R359" s="103" t="s">
        <v>153</v>
      </c>
      <c r="S359" s="103" t="str">
        <f>INDEX('Measure &amp; Standard CostIDs'!$AK$8:$AK$12,B359)</f>
        <v>Single-pack</v>
      </c>
      <c r="T359" s="103" t="s">
        <v>867</v>
      </c>
      <c r="U359" s="103"/>
      <c r="V359" s="103"/>
      <c r="W359" s="103">
        <f>ROUND(IF(LEFT(D359,3)="Std",VLOOKUP(D359,'Measure &amp; Standard CostIDs'!$S$5:$X$177,1+B359,FALSE),VLOOKUP(D359,'Measure &amp; Standard CostIDs'!$C$5:$H$177,1+B359,FALSE)),2)</f>
        <v>6.92</v>
      </c>
      <c r="X359" s="103"/>
      <c r="Y359" s="103"/>
      <c r="Z359" s="103" t="s">
        <v>868</v>
      </c>
      <c r="AA359" s="103" t="s">
        <v>874</v>
      </c>
      <c r="AB359" s="103" t="s">
        <v>153</v>
      </c>
      <c r="AC359" s="103">
        <v>0</v>
      </c>
      <c r="AD359" s="156">
        <v>42005</v>
      </c>
      <c r="AE359" s="103"/>
      <c r="AF359" s="103" t="s">
        <v>870</v>
      </c>
      <c r="AG359" s="103" t="s">
        <v>871</v>
      </c>
      <c r="AH359" s="103" t="s">
        <v>976</v>
      </c>
      <c r="AI359" s="103">
        <v>0</v>
      </c>
      <c r="AJ359" s="103"/>
      <c r="AK359" s="103"/>
      <c r="AL359" s="103"/>
      <c r="AM359" s="103"/>
      <c r="AN359" s="103"/>
      <c r="AO359" s="103" t="str">
        <f t="shared" si="11"/>
        <v>CFLscw(33w)Single-pack</v>
      </c>
    </row>
    <row r="360" spans="1:41">
      <c r="A360" s="177">
        <f>IFERROR(MATCH(D360,'Measure &amp; Standard CostIDs'!C$5:C$177,0),MATCH(D360,'Measure &amp; Standard CostIDs'!S$5:S$177,0))</f>
        <v>26</v>
      </c>
      <c r="B360" s="177">
        <f t="shared" si="12"/>
        <v>2</v>
      </c>
      <c r="C360" s="103" t="s">
        <v>153</v>
      </c>
      <c r="D360" s="103" t="str">
        <f t="shared" si="13"/>
        <v>CFLscw(36w)</v>
      </c>
      <c r="E360" s="103" t="str">
        <f>IF(LEFT(D360,3)="Std","Base case cost for mix of 60% Incandescent and 40% CFL lamps for CFL TechID: "&amp;INDEX('Measure &amp; Standard CostIDs'!$C$5:$C$177,A360),"&lt;from TechID&gt;")</f>
        <v>&lt;from TechID&gt;</v>
      </c>
      <c r="F360" s="103" t="s">
        <v>860</v>
      </c>
      <c r="G360" s="103" t="s">
        <v>151</v>
      </c>
      <c r="H360" s="103" t="s">
        <v>861</v>
      </c>
      <c r="I360" s="103" t="s">
        <v>862</v>
      </c>
      <c r="J360" s="103" t="s">
        <v>863</v>
      </c>
      <c r="K360" s="103" t="s">
        <v>864</v>
      </c>
      <c r="L360" s="103" t="s">
        <v>153</v>
      </c>
      <c r="M360" s="103" t="s">
        <v>865</v>
      </c>
      <c r="N360" s="103" t="s">
        <v>866</v>
      </c>
      <c r="O360" s="103" t="str">
        <f t="shared" si="10"/>
        <v>CFLscw(36w)</v>
      </c>
      <c r="P360" s="103" t="s">
        <v>153</v>
      </c>
      <c r="Q360" s="103" t="s">
        <v>153</v>
      </c>
      <c r="R360" s="103" t="s">
        <v>153</v>
      </c>
      <c r="S360" s="103" t="str">
        <f>INDEX('Measure &amp; Standard CostIDs'!$AK$8:$AK$12,B360)</f>
        <v>Single-pack</v>
      </c>
      <c r="T360" s="103" t="s">
        <v>867</v>
      </c>
      <c r="U360" s="103"/>
      <c r="V360" s="103"/>
      <c r="W360" s="103">
        <f>ROUND(IF(LEFT(D360,3)="Std",VLOOKUP(D360,'Measure &amp; Standard CostIDs'!$S$5:$X$177,1+B360,FALSE),VLOOKUP(D360,'Measure &amp; Standard CostIDs'!$C$5:$H$177,1+B360,FALSE)),2)</f>
        <v>7.4</v>
      </c>
      <c r="X360" s="103"/>
      <c r="Y360" s="103"/>
      <c r="Z360" s="103" t="s">
        <v>868</v>
      </c>
      <c r="AA360" s="103" t="s">
        <v>874</v>
      </c>
      <c r="AB360" s="103" t="s">
        <v>153</v>
      </c>
      <c r="AC360" s="103">
        <v>0</v>
      </c>
      <c r="AD360" s="156">
        <v>42005</v>
      </c>
      <c r="AE360" s="103"/>
      <c r="AF360" s="103" t="s">
        <v>870</v>
      </c>
      <c r="AG360" s="103" t="s">
        <v>871</v>
      </c>
      <c r="AH360" s="103" t="s">
        <v>976</v>
      </c>
      <c r="AI360" s="103">
        <v>0</v>
      </c>
      <c r="AJ360" s="103"/>
      <c r="AK360" s="103"/>
      <c r="AL360" s="103"/>
      <c r="AM360" s="103"/>
      <c r="AN360" s="103"/>
      <c r="AO360" s="103" t="str">
        <f t="shared" si="11"/>
        <v>CFLscw(36w)Single-pack</v>
      </c>
    </row>
    <row r="361" spans="1:41">
      <c r="A361" s="177">
        <f>IFERROR(MATCH(D361,'Measure &amp; Standard CostIDs'!C$5:C$177,0),MATCH(D361,'Measure &amp; Standard CostIDs'!S$5:S$177,0))</f>
        <v>27</v>
      </c>
      <c r="B361" s="177">
        <f t="shared" si="12"/>
        <v>2</v>
      </c>
      <c r="C361" s="103" t="s">
        <v>153</v>
      </c>
      <c r="D361" s="103" t="str">
        <f t="shared" si="13"/>
        <v>CFLscw(38w)</v>
      </c>
      <c r="E361" s="103" t="str">
        <f>IF(LEFT(D361,3)="Std","Base case cost for mix of 60% Incandescent and 40% CFL lamps for CFL TechID: "&amp;INDEX('Measure &amp; Standard CostIDs'!$C$5:$C$177,A361),"&lt;from TechID&gt;")</f>
        <v>&lt;from TechID&gt;</v>
      </c>
      <c r="F361" s="103" t="s">
        <v>860</v>
      </c>
      <c r="G361" s="103" t="s">
        <v>151</v>
      </c>
      <c r="H361" s="103" t="s">
        <v>861</v>
      </c>
      <c r="I361" s="103" t="s">
        <v>862</v>
      </c>
      <c r="J361" s="103" t="s">
        <v>863</v>
      </c>
      <c r="K361" s="103" t="s">
        <v>864</v>
      </c>
      <c r="L361" s="103" t="s">
        <v>153</v>
      </c>
      <c r="M361" s="103" t="s">
        <v>865</v>
      </c>
      <c r="N361" s="103" t="s">
        <v>866</v>
      </c>
      <c r="O361" s="103" t="str">
        <f t="shared" si="10"/>
        <v>CFLscw(38w)</v>
      </c>
      <c r="P361" s="103" t="s">
        <v>153</v>
      </c>
      <c r="Q361" s="103" t="s">
        <v>153</v>
      </c>
      <c r="R361" s="103" t="s">
        <v>153</v>
      </c>
      <c r="S361" s="103" t="str">
        <f>INDEX('Measure &amp; Standard CostIDs'!$AK$8:$AK$12,B361)</f>
        <v>Single-pack</v>
      </c>
      <c r="T361" s="103" t="s">
        <v>867</v>
      </c>
      <c r="U361" s="103"/>
      <c r="V361" s="103"/>
      <c r="W361" s="103">
        <f>ROUND(IF(LEFT(D361,3)="Std",VLOOKUP(D361,'Measure &amp; Standard CostIDs'!$S$5:$X$177,1+B361,FALSE),VLOOKUP(D361,'Measure &amp; Standard CostIDs'!$C$5:$H$177,1+B361,FALSE)),2)</f>
        <v>7.72</v>
      </c>
      <c r="X361" s="103"/>
      <c r="Y361" s="103"/>
      <c r="Z361" s="103" t="s">
        <v>868</v>
      </c>
      <c r="AA361" s="103" t="s">
        <v>874</v>
      </c>
      <c r="AB361" s="103" t="s">
        <v>153</v>
      </c>
      <c r="AC361" s="103">
        <v>0</v>
      </c>
      <c r="AD361" s="156">
        <v>42005</v>
      </c>
      <c r="AE361" s="103"/>
      <c r="AF361" s="103" t="s">
        <v>870</v>
      </c>
      <c r="AG361" s="103" t="s">
        <v>871</v>
      </c>
      <c r="AH361" s="103" t="s">
        <v>976</v>
      </c>
      <c r="AI361" s="103">
        <v>0</v>
      </c>
      <c r="AJ361" s="103"/>
      <c r="AK361" s="103"/>
      <c r="AL361" s="103"/>
      <c r="AM361" s="103"/>
      <c r="AN361" s="103"/>
      <c r="AO361" s="103" t="str">
        <f t="shared" si="11"/>
        <v>CFLscw(38w)Single-pack</v>
      </c>
    </row>
    <row r="362" spans="1:41">
      <c r="A362" s="177">
        <f>IFERROR(MATCH(D362,'Measure &amp; Standard CostIDs'!C$5:C$177,0),MATCH(D362,'Measure &amp; Standard CostIDs'!S$5:S$177,0))</f>
        <v>28</v>
      </c>
      <c r="B362" s="177">
        <f t="shared" si="12"/>
        <v>2</v>
      </c>
      <c r="C362" s="103" t="s">
        <v>153</v>
      </c>
      <c r="D362" s="103" t="str">
        <f t="shared" si="13"/>
        <v>CFLscw(39w)</v>
      </c>
      <c r="E362" s="103" t="str">
        <f>IF(LEFT(D362,3)="Std","Base case cost for mix of 60% Incandescent and 40% CFL lamps for CFL TechID: "&amp;INDEX('Measure &amp; Standard CostIDs'!$C$5:$C$177,A362),"&lt;from TechID&gt;")</f>
        <v>&lt;from TechID&gt;</v>
      </c>
      <c r="F362" s="103" t="s">
        <v>860</v>
      </c>
      <c r="G362" s="103" t="s">
        <v>151</v>
      </c>
      <c r="H362" s="103" t="s">
        <v>861</v>
      </c>
      <c r="I362" s="103" t="s">
        <v>862</v>
      </c>
      <c r="J362" s="103" t="s">
        <v>863</v>
      </c>
      <c r="K362" s="103" t="s">
        <v>864</v>
      </c>
      <c r="L362" s="103" t="s">
        <v>153</v>
      </c>
      <c r="M362" s="103" t="s">
        <v>865</v>
      </c>
      <c r="N362" s="103" t="s">
        <v>866</v>
      </c>
      <c r="O362" s="103" t="str">
        <f t="shared" si="10"/>
        <v>CFLscw(39w)</v>
      </c>
      <c r="P362" s="103" t="s">
        <v>153</v>
      </c>
      <c r="Q362" s="103" t="s">
        <v>153</v>
      </c>
      <c r="R362" s="103" t="s">
        <v>153</v>
      </c>
      <c r="S362" s="103" t="str">
        <f>INDEX('Measure &amp; Standard CostIDs'!$AK$8:$AK$12,B362)</f>
        <v>Single-pack</v>
      </c>
      <c r="T362" s="103" t="s">
        <v>867</v>
      </c>
      <c r="U362" s="103"/>
      <c r="V362" s="103"/>
      <c r="W362" s="103">
        <f>ROUND(IF(LEFT(D362,3)="Std",VLOOKUP(D362,'Measure &amp; Standard CostIDs'!$S$5:$X$177,1+B362,FALSE),VLOOKUP(D362,'Measure &amp; Standard CostIDs'!$C$5:$H$177,1+B362,FALSE)),2)</f>
        <v>7.88</v>
      </c>
      <c r="X362" s="103"/>
      <c r="Y362" s="103"/>
      <c r="Z362" s="103" t="s">
        <v>868</v>
      </c>
      <c r="AA362" s="103" t="s">
        <v>874</v>
      </c>
      <c r="AB362" s="103" t="s">
        <v>153</v>
      </c>
      <c r="AC362" s="103">
        <v>0</v>
      </c>
      <c r="AD362" s="156">
        <v>42005</v>
      </c>
      <c r="AE362" s="103"/>
      <c r="AF362" s="103" t="s">
        <v>870</v>
      </c>
      <c r="AG362" s="103" t="s">
        <v>871</v>
      </c>
      <c r="AH362" s="103" t="s">
        <v>976</v>
      </c>
      <c r="AI362" s="103">
        <v>0</v>
      </c>
      <c r="AJ362" s="103"/>
      <c r="AK362" s="103"/>
      <c r="AL362" s="103"/>
      <c r="AM362" s="103"/>
      <c r="AN362" s="103"/>
      <c r="AO362" s="103" t="str">
        <f t="shared" si="11"/>
        <v>CFLscw(39w)Single-pack</v>
      </c>
    </row>
    <row r="363" spans="1:41">
      <c r="A363" s="177">
        <f>IFERROR(MATCH(D363,'Measure &amp; Standard CostIDs'!C$5:C$177,0),MATCH(D363,'Measure &amp; Standard CostIDs'!S$5:S$177,0))</f>
        <v>29</v>
      </c>
      <c r="B363" s="177">
        <f t="shared" si="12"/>
        <v>2</v>
      </c>
      <c r="C363" s="103" t="s">
        <v>153</v>
      </c>
      <c r="D363" s="103" t="str">
        <f t="shared" si="13"/>
        <v>CFLscw(3w)</v>
      </c>
      <c r="E363" s="103" t="str">
        <f>IF(LEFT(D363,3)="Std","Base case cost for mix of 60% Incandescent and 40% CFL lamps for CFL TechID: "&amp;INDEX('Measure &amp; Standard CostIDs'!$C$5:$C$177,A363),"&lt;from TechID&gt;")</f>
        <v>&lt;from TechID&gt;</v>
      </c>
      <c r="F363" s="103" t="s">
        <v>860</v>
      </c>
      <c r="G363" s="103" t="s">
        <v>151</v>
      </c>
      <c r="H363" s="103" t="s">
        <v>861</v>
      </c>
      <c r="I363" s="103" t="s">
        <v>862</v>
      </c>
      <c r="J363" s="103" t="s">
        <v>863</v>
      </c>
      <c r="K363" s="103" t="s">
        <v>864</v>
      </c>
      <c r="L363" s="103" t="s">
        <v>153</v>
      </c>
      <c r="M363" s="103" t="s">
        <v>865</v>
      </c>
      <c r="N363" s="103" t="s">
        <v>866</v>
      </c>
      <c r="O363" s="103" t="str">
        <f t="shared" si="10"/>
        <v>CFLscw(3w)</v>
      </c>
      <c r="P363" s="103" t="s">
        <v>153</v>
      </c>
      <c r="Q363" s="103" t="s">
        <v>153</v>
      </c>
      <c r="R363" s="103" t="s">
        <v>153</v>
      </c>
      <c r="S363" s="103" t="str">
        <f>INDEX('Measure &amp; Standard CostIDs'!$AK$8:$AK$12,B363)</f>
        <v>Single-pack</v>
      </c>
      <c r="T363" s="103" t="s">
        <v>867</v>
      </c>
      <c r="U363" s="103"/>
      <c r="V363" s="103"/>
      <c r="W363" s="103">
        <f>ROUND(IF(LEFT(D363,3)="Std",VLOOKUP(D363,'Measure &amp; Standard CostIDs'!$S$5:$X$177,1+B363,FALSE),VLOOKUP(D363,'Measure &amp; Standard CostIDs'!$C$5:$H$177,1+B363,FALSE)),2)</f>
        <v>4.18</v>
      </c>
      <c r="X363" s="103"/>
      <c r="Y363" s="103"/>
      <c r="Z363" s="103" t="s">
        <v>868</v>
      </c>
      <c r="AA363" s="103" t="s">
        <v>874</v>
      </c>
      <c r="AB363" s="103" t="s">
        <v>153</v>
      </c>
      <c r="AC363" s="103">
        <v>0</v>
      </c>
      <c r="AD363" s="156">
        <v>42005</v>
      </c>
      <c r="AE363" s="103"/>
      <c r="AF363" s="103" t="s">
        <v>870</v>
      </c>
      <c r="AG363" s="103" t="s">
        <v>871</v>
      </c>
      <c r="AH363" s="103" t="s">
        <v>976</v>
      </c>
      <c r="AI363" s="103">
        <v>0</v>
      </c>
      <c r="AJ363" s="103"/>
      <c r="AK363" s="103"/>
      <c r="AL363" s="103"/>
      <c r="AM363" s="103"/>
      <c r="AN363" s="103"/>
      <c r="AO363" s="103" t="str">
        <f t="shared" si="11"/>
        <v>CFLscw(3w)Single-pack</v>
      </c>
    </row>
    <row r="364" spans="1:41">
      <c r="A364" s="177">
        <f>IFERROR(MATCH(D364,'Measure &amp; Standard CostIDs'!C$5:C$177,0),MATCH(D364,'Measure &amp; Standard CostIDs'!S$5:S$177,0))</f>
        <v>30</v>
      </c>
      <c r="B364" s="177">
        <f t="shared" si="12"/>
        <v>2</v>
      </c>
      <c r="C364" s="103" t="s">
        <v>153</v>
      </c>
      <c r="D364" s="103" t="str">
        <f t="shared" si="13"/>
        <v>CFLscw(40w)</v>
      </c>
      <c r="E364" s="103" t="str">
        <f>IF(LEFT(D364,3)="Std","Base case cost for mix of 60% Incandescent and 40% CFL lamps for CFL TechID: "&amp;INDEX('Measure &amp; Standard CostIDs'!$C$5:$C$177,A364),"&lt;from TechID&gt;")</f>
        <v>&lt;from TechID&gt;</v>
      </c>
      <c r="F364" s="103" t="s">
        <v>860</v>
      </c>
      <c r="G364" s="103" t="s">
        <v>151</v>
      </c>
      <c r="H364" s="103" t="s">
        <v>861</v>
      </c>
      <c r="I364" s="103" t="s">
        <v>862</v>
      </c>
      <c r="J364" s="103" t="s">
        <v>863</v>
      </c>
      <c r="K364" s="103" t="s">
        <v>864</v>
      </c>
      <c r="L364" s="103" t="s">
        <v>153</v>
      </c>
      <c r="M364" s="103" t="s">
        <v>865</v>
      </c>
      <c r="N364" s="103" t="s">
        <v>866</v>
      </c>
      <c r="O364" s="103" t="str">
        <f t="shared" si="10"/>
        <v>CFLscw(40w)</v>
      </c>
      <c r="P364" s="103" t="s">
        <v>153</v>
      </c>
      <c r="Q364" s="103" t="s">
        <v>153</v>
      </c>
      <c r="R364" s="103" t="s">
        <v>153</v>
      </c>
      <c r="S364" s="103" t="str">
        <f>INDEX('Measure &amp; Standard CostIDs'!$AK$8:$AK$12,B364)</f>
        <v>Single-pack</v>
      </c>
      <c r="T364" s="103" t="s">
        <v>867</v>
      </c>
      <c r="U364" s="103"/>
      <c r="V364" s="103"/>
      <c r="W364" s="103">
        <f>ROUND(IF(LEFT(D364,3)="Std",VLOOKUP(D364,'Measure &amp; Standard CostIDs'!$S$5:$X$177,1+B364,FALSE),VLOOKUP(D364,'Measure &amp; Standard CostIDs'!$C$5:$H$177,1+B364,FALSE)),2)</f>
        <v>8.0399999999999991</v>
      </c>
      <c r="X364" s="103"/>
      <c r="Y364" s="103"/>
      <c r="Z364" s="103" t="s">
        <v>868</v>
      </c>
      <c r="AA364" s="103" t="s">
        <v>874</v>
      </c>
      <c r="AB364" s="103" t="s">
        <v>153</v>
      </c>
      <c r="AC364" s="103">
        <v>0</v>
      </c>
      <c r="AD364" s="156">
        <v>42005</v>
      </c>
      <c r="AE364" s="103"/>
      <c r="AF364" s="103" t="s">
        <v>870</v>
      </c>
      <c r="AG364" s="103" t="s">
        <v>871</v>
      </c>
      <c r="AH364" s="103" t="s">
        <v>976</v>
      </c>
      <c r="AI364" s="103">
        <v>0</v>
      </c>
      <c r="AJ364" s="103"/>
      <c r="AK364" s="103"/>
      <c r="AL364" s="103"/>
      <c r="AM364" s="103"/>
      <c r="AN364" s="103"/>
      <c r="AO364" s="103" t="str">
        <f t="shared" si="11"/>
        <v>CFLscw(40w)Single-pack</v>
      </c>
    </row>
    <row r="365" spans="1:41">
      <c r="A365" s="177">
        <f>IFERROR(MATCH(D365,'Measure &amp; Standard CostIDs'!C$5:C$177,0),MATCH(D365,'Measure &amp; Standard CostIDs'!S$5:S$177,0))</f>
        <v>31</v>
      </c>
      <c r="B365" s="177">
        <f t="shared" si="12"/>
        <v>2</v>
      </c>
      <c r="C365" s="103" t="s">
        <v>153</v>
      </c>
      <c r="D365" s="103" t="str">
        <f t="shared" si="13"/>
        <v>CFLscw(42w)</v>
      </c>
      <c r="E365" s="103" t="str">
        <f>IF(LEFT(D365,3)="Std","Base case cost for mix of 60% Incandescent and 40% CFL lamps for CFL TechID: "&amp;INDEX('Measure &amp; Standard CostIDs'!$C$5:$C$177,A365),"&lt;from TechID&gt;")</f>
        <v>&lt;from TechID&gt;</v>
      </c>
      <c r="F365" s="103" t="s">
        <v>860</v>
      </c>
      <c r="G365" s="103" t="s">
        <v>151</v>
      </c>
      <c r="H365" s="103" t="s">
        <v>861</v>
      </c>
      <c r="I365" s="103" t="s">
        <v>862</v>
      </c>
      <c r="J365" s="103" t="s">
        <v>863</v>
      </c>
      <c r="K365" s="103" t="s">
        <v>864</v>
      </c>
      <c r="L365" s="103" t="s">
        <v>153</v>
      </c>
      <c r="M365" s="103" t="s">
        <v>865</v>
      </c>
      <c r="N365" s="103" t="s">
        <v>866</v>
      </c>
      <c r="O365" s="103" t="str">
        <f t="shared" si="10"/>
        <v>CFLscw(42w)</v>
      </c>
      <c r="P365" s="103" t="s">
        <v>153</v>
      </c>
      <c r="Q365" s="103" t="s">
        <v>153</v>
      </c>
      <c r="R365" s="103" t="s">
        <v>153</v>
      </c>
      <c r="S365" s="103" t="str">
        <f>INDEX('Measure &amp; Standard CostIDs'!$AK$8:$AK$12,B365)</f>
        <v>Single-pack</v>
      </c>
      <c r="T365" s="103" t="s">
        <v>867</v>
      </c>
      <c r="U365" s="103"/>
      <c r="V365" s="103"/>
      <c r="W365" s="103">
        <f>ROUND(IF(LEFT(D365,3)="Std",VLOOKUP(D365,'Measure &amp; Standard CostIDs'!$S$5:$X$177,1+B365,FALSE),VLOOKUP(D365,'Measure &amp; Standard CostIDs'!$C$5:$H$177,1+B365,FALSE)),2)</f>
        <v>8.36</v>
      </c>
      <c r="X365" s="103"/>
      <c r="Y365" s="103"/>
      <c r="Z365" s="103" t="s">
        <v>868</v>
      </c>
      <c r="AA365" s="103" t="s">
        <v>874</v>
      </c>
      <c r="AB365" s="103" t="s">
        <v>153</v>
      </c>
      <c r="AC365" s="103">
        <v>0</v>
      </c>
      <c r="AD365" s="156">
        <v>42005</v>
      </c>
      <c r="AE365" s="103"/>
      <c r="AF365" s="103" t="s">
        <v>870</v>
      </c>
      <c r="AG365" s="103" t="s">
        <v>871</v>
      </c>
      <c r="AH365" s="103" t="s">
        <v>976</v>
      </c>
      <c r="AI365" s="103">
        <v>0</v>
      </c>
      <c r="AJ365" s="103"/>
      <c r="AK365" s="103"/>
      <c r="AL365" s="103"/>
      <c r="AM365" s="103"/>
      <c r="AN365" s="103"/>
      <c r="AO365" s="103" t="str">
        <f t="shared" si="11"/>
        <v>CFLscw(42w)Single-pack</v>
      </c>
    </row>
    <row r="366" spans="1:41">
      <c r="A366" s="177">
        <f>IFERROR(MATCH(D366,'Measure &amp; Standard CostIDs'!C$5:C$177,0),MATCH(D366,'Measure &amp; Standard CostIDs'!S$5:S$177,0))</f>
        <v>32</v>
      </c>
      <c r="B366" s="177">
        <f t="shared" si="12"/>
        <v>2</v>
      </c>
      <c r="C366" s="103" t="s">
        <v>153</v>
      </c>
      <c r="D366" s="103" t="str">
        <f t="shared" si="13"/>
        <v>CFLscw(44w)</v>
      </c>
      <c r="E366" s="103" t="str">
        <f>IF(LEFT(D366,3)="Std","Base case cost for mix of 60% Incandescent and 40% CFL lamps for CFL TechID: "&amp;INDEX('Measure &amp; Standard CostIDs'!$C$5:$C$177,A366),"&lt;from TechID&gt;")</f>
        <v>&lt;from TechID&gt;</v>
      </c>
      <c r="F366" s="103" t="s">
        <v>860</v>
      </c>
      <c r="G366" s="103" t="s">
        <v>151</v>
      </c>
      <c r="H366" s="103" t="s">
        <v>861</v>
      </c>
      <c r="I366" s="103" t="s">
        <v>862</v>
      </c>
      <c r="J366" s="103" t="s">
        <v>863</v>
      </c>
      <c r="K366" s="103" t="s">
        <v>864</v>
      </c>
      <c r="L366" s="103" t="s">
        <v>153</v>
      </c>
      <c r="M366" s="103" t="s">
        <v>865</v>
      </c>
      <c r="N366" s="103" t="s">
        <v>866</v>
      </c>
      <c r="O366" s="103" t="str">
        <f t="shared" si="10"/>
        <v>CFLscw(44w)</v>
      </c>
      <c r="P366" s="103" t="s">
        <v>153</v>
      </c>
      <c r="Q366" s="103" t="s">
        <v>153</v>
      </c>
      <c r="R366" s="103" t="s">
        <v>153</v>
      </c>
      <c r="S366" s="103" t="str">
        <f>INDEX('Measure &amp; Standard CostIDs'!$AK$8:$AK$12,B366)</f>
        <v>Single-pack</v>
      </c>
      <c r="T366" s="103" t="s">
        <v>867</v>
      </c>
      <c r="U366" s="103"/>
      <c r="V366" s="103"/>
      <c r="W366" s="103">
        <f>ROUND(IF(LEFT(D366,3)="Std",VLOOKUP(D366,'Measure &amp; Standard CostIDs'!$S$5:$X$177,1+B366,FALSE),VLOOKUP(D366,'Measure &amp; Standard CostIDs'!$C$5:$H$177,1+B366,FALSE)),2)</f>
        <v>8.68</v>
      </c>
      <c r="X366" s="103"/>
      <c r="Y366" s="103"/>
      <c r="Z366" s="103" t="s">
        <v>868</v>
      </c>
      <c r="AA366" s="103" t="s">
        <v>874</v>
      </c>
      <c r="AB366" s="103" t="s">
        <v>153</v>
      </c>
      <c r="AC366" s="103">
        <v>0</v>
      </c>
      <c r="AD366" s="156">
        <v>42005</v>
      </c>
      <c r="AE366" s="103"/>
      <c r="AF366" s="103" t="s">
        <v>870</v>
      </c>
      <c r="AG366" s="103" t="s">
        <v>871</v>
      </c>
      <c r="AH366" s="103" t="s">
        <v>976</v>
      </c>
      <c r="AI366" s="103">
        <v>0</v>
      </c>
      <c r="AJ366" s="103"/>
      <c r="AK366" s="103"/>
      <c r="AL366" s="103"/>
      <c r="AM366" s="103"/>
      <c r="AN366" s="103"/>
      <c r="AO366" s="103" t="str">
        <f t="shared" si="11"/>
        <v>CFLscw(44w)Single-pack</v>
      </c>
    </row>
    <row r="367" spans="1:41">
      <c r="A367" s="177">
        <f>IFERROR(MATCH(D367,'Measure &amp; Standard CostIDs'!C$5:C$177,0),MATCH(D367,'Measure &amp; Standard CostIDs'!S$5:S$177,0))</f>
        <v>33</v>
      </c>
      <c r="B367" s="177">
        <f t="shared" si="12"/>
        <v>2</v>
      </c>
      <c r="C367" s="103" t="s">
        <v>153</v>
      </c>
      <c r="D367" s="103" t="str">
        <f t="shared" si="13"/>
        <v>CFLscw(45w)</v>
      </c>
      <c r="E367" s="103" t="str">
        <f>IF(LEFT(D367,3)="Std","Base case cost for mix of 60% Incandescent and 40% CFL lamps for CFL TechID: "&amp;INDEX('Measure &amp; Standard CostIDs'!$C$5:$C$177,A367),"&lt;from TechID&gt;")</f>
        <v>&lt;from TechID&gt;</v>
      </c>
      <c r="F367" s="103" t="s">
        <v>860</v>
      </c>
      <c r="G367" s="103" t="s">
        <v>151</v>
      </c>
      <c r="H367" s="103" t="s">
        <v>861</v>
      </c>
      <c r="I367" s="103" t="s">
        <v>862</v>
      </c>
      <c r="J367" s="103" t="s">
        <v>863</v>
      </c>
      <c r="K367" s="103" t="s">
        <v>864</v>
      </c>
      <c r="L367" s="103" t="s">
        <v>153</v>
      </c>
      <c r="M367" s="103" t="s">
        <v>865</v>
      </c>
      <c r="N367" s="103" t="s">
        <v>866</v>
      </c>
      <c r="O367" s="103" t="str">
        <f t="shared" si="10"/>
        <v>CFLscw(45w)</v>
      </c>
      <c r="P367" s="103" t="s">
        <v>153</v>
      </c>
      <c r="Q367" s="103" t="s">
        <v>153</v>
      </c>
      <c r="R367" s="103" t="s">
        <v>153</v>
      </c>
      <c r="S367" s="103" t="str">
        <f>INDEX('Measure &amp; Standard CostIDs'!$AK$8:$AK$12,B367)</f>
        <v>Single-pack</v>
      </c>
      <c r="T367" s="103" t="s">
        <v>867</v>
      </c>
      <c r="U367" s="103"/>
      <c r="V367" s="103"/>
      <c r="W367" s="103">
        <f>ROUND(IF(LEFT(D367,3)="Std",VLOOKUP(D367,'Measure &amp; Standard CostIDs'!$S$5:$X$177,1+B367,FALSE),VLOOKUP(D367,'Measure &amp; Standard CostIDs'!$C$5:$H$177,1+B367,FALSE)),2)</f>
        <v>8.84</v>
      </c>
      <c r="X367" s="103"/>
      <c r="Y367" s="103"/>
      <c r="Z367" s="103" t="s">
        <v>868</v>
      </c>
      <c r="AA367" s="103" t="s">
        <v>874</v>
      </c>
      <c r="AB367" s="103" t="s">
        <v>153</v>
      </c>
      <c r="AC367" s="103">
        <v>0</v>
      </c>
      <c r="AD367" s="156">
        <v>42005</v>
      </c>
      <c r="AE367" s="103"/>
      <c r="AF367" s="103" t="s">
        <v>870</v>
      </c>
      <c r="AG367" s="103" t="s">
        <v>871</v>
      </c>
      <c r="AH367" s="103" t="s">
        <v>976</v>
      </c>
      <c r="AI367" s="103">
        <v>0</v>
      </c>
      <c r="AJ367" s="103"/>
      <c r="AK367" s="103"/>
      <c r="AL367" s="103"/>
      <c r="AM367" s="103"/>
      <c r="AN367" s="103"/>
      <c r="AO367" s="103" t="str">
        <f t="shared" si="11"/>
        <v>CFLscw(45w)Single-pack</v>
      </c>
    </row>
    <row r="368" spans="1:41">
      <c r="A368" s="177">
        <f>IFERROR(MATCH(D368,'Measure &amp; Standard CostIDs'!C$5:C$177,0),MATCH(D368,'Measure &amp; Standard CostIDs'!S$5:S$177,0))</f>
        <v>34</v>
      </c>
      <c r="B368" s="177">
        <f t="shared" si="12"/>
        <v>2</v>
      </c>
      <c r="C368" s="103" t="s">
        <v>153</v>
      </c>
      <c r="D368" s="103" t="str">
        <f t="shared" si="13"/>
        <v>CFLscw(48w)</v>
      </c>
      <c r="E368" s="103" t="str">
        <f>IF(LEFT(D368,3)="Std","Base case cost for mix of 60% Incandescent and 40% CFL lamps for CFL TechID: "&amp;INDEX('Measure &amp; Standard CostIDs'!$C$5:$C$177,A368),"&lt;from TechID&gt;")</f>
        <v>&lt;from TechID&gt;</v>
      </c>
      <c r="F368" s="103" t="s">
        <v>860</v>
      </c>
      <c r="G368" s="103" t="s">
        <v>151</v>
      </c>
      <c r="H368" s="103" t="s">
        <v>861</v>
      </c>
      <c r="I368" s="103" t="s">
        <v>862</v>
      </c>
      <c r="J368" s="103" t="s">
        <v>863</v>
      </c>
      <c r="K368" s="103" t="s">
        <v>864</v>
      </c>
      <c r="L368" s="103" t="s">
        <v>153</v>
      </c>
      <c r="M368" s="103" t="s">
        <v>865</v>
      </c>
      <c r="N368" s="103" t="s">
        <v>866</v>
      </c>
      <c r="O368" s="103" t="str">
        <f t="shared" si="10"/>
        <v>CFLscw(48w)</v>
      </c>
      <c r="P368" s="103" t="s">
        <v>153</v>
      </c>
      <c r="Q368" s="103" t="s">
        <v>153</v>
      </c>
      <c r="R368" s="103" t="s">
        <v>153</v>
      </c>
      <c r="S368" s="103" t="str">
        <f>INDEX('Measure &amp; Standard CostIDs'!$AK$8:$AK$12,B368)</f>
        <v>Single-pack</v>
      </c>
      <c r="T368" s="103" t="s">
        <v>867</v>
      </c>
      <c r="U368" s="103"/>
      <c r="V368" s="103"/>
      <c r="W368" s="103">
        <f>ROUND(IF(LEFT(D368,3)="Std",VLOOKUP(D368,'Measure &amp; Standard CostIDs'!$S$5:$X$177,1+B368,FALSE),VLOOKUP(D368,'Measure &amp; Standard CostIDs'!$C$5:$H$177,1+B368,FALSE)),2)</f>
        <v>9.32</v>
      </c>
      <c r="X368" s="103"/>
      <c r="Y368" s="103"/>
      <c r="Z368" s="103" t="s">
        <v>868</v>
      </c>
      <c r="AA368" s="103" t="s">
        <v>874</v>
      </c>
      <c r="AB368" s="103" t="s">
        <v>153</v>
      </c>
      <c r="AC368" s="103">
        <v>0</v>
      </c>
      <c r="AD368" s="156">
        <v>42005</v>
      </c>
      <c r="AE368" s="103"/>
      <c r="AF368" s="103" t="s">
        <v>870</v>
      </c>
      <c r="AG368" s="103" t="s">
        <v>871</v>
      </c>
      <c r="AH368" s="103" t="s">
        <v>976</v>
      </c>
      <c r="AI368" s="103">
        <v>0</v>
      </c>
      <c r="AJ368" s="103"/>
      <c r="AK368" s="103"/>
      <c r="AL368" s="103"/>
      <c r="AM368" s="103"/>
      <c r="AN368" s="103"/>
      <c r="AO368" s="103" t="str">
        <f t="shared" si="11"/>
        <v>CFLscw(48w)Single-pack</v>
      </c>
    </row>
    <row r="369" spans="1:41">
      <c r="A369" s="177">
        <f>IFERROR(MATCH(D369,'Measure &amp; Standard CostIDs'!C$5:C$177,0),MATCH(D369,'Measure &amp; Standard CostIDs'!S$5:S$177,0))</f>
        <v>35</v>
      </c>
      <c r="B369" s="177">
        <f t="shared" si="12"/>
        <v>2</v>
      </c>
      <c r="C369" s="103" t="s">
        <v>153</v>
      </c>
      <c r="D369" s="103" t="str">
        <f t="shared" si="13"/>
        <v>CFLscw(4w)</v>
      </c>
      <c r="E369" s="103" t="str">
        <f>IF(LEFT(D369,3)="Std","Base case cost for mix of 60% Incandescent and 40% CFL lamps for CFL TechID: "&amp;INDEX('Measure &amp; Standard CostIDs'!$C$5:$C$177,A369),"&lt;from TechID&gt;")</f>
        <v>&lt;from TechID&gt;</v>
      </c>
      <c r="F369" s="103" t="s">
        <v>860</v>
      </c>
      <c r="G369" s="103" t="s">
        <v>151</v>
      </c>
      <c r="H369" s="103" t="s">
        <v>861</v>
      </c>
      <c r="I369" s="103" t="s">
        <v>862</v>
      </c>
      <c r="J369" s="103" t="s">
        <v>863</v>
      </c>
      <c r="K369" s="103" t="s">
        <v>864</v>
      </c>
      <c r="L369" s="103" t="s">
        <v>153</v>
      </c>
      <c r="M369" s="103" t="s">
        <v>865</v>
      </c>
      <c r="N369" s="103" t="s">
        <v>866</v>
      </c>
      <c r="O369" s="103" t="str">
        <f t="shared" si="10"/>
        <v>CFLscw(4w)</v>
      </c>
      <c r="P369" s="103" t="s">
        <v>153</v>
      </c>
      <c r="Q369" s="103" t="s">
        <v>153</v>
      </c>
      <c r="R369" s="103" t="s">
        <v>153</v>
      </c>
      <c r="S369" s="103" t="str">
        <f>INDEX('Measure &amp; Standard CostIDs'!$AK$8:$AK$12,B369)</f>
        <v>Single-pack</v>
      </c>
      <c r="T369" s="103" t="s">
        <v>867</v>
      </c>
      <c r="U369" s="103"/>
      <c r="V369" s="103"/>
      <c r="W369" s="103">
        <f>ROUND(IF(LEFT(D369,3)="Std",VLOOKUP(D369,'Measure &amp; Standard CostIDs'!$S$5:$X$177,1+B369,FALSE),VLOOKUP(D369,'Measure &amp; Standard CostIDs'!$C$5:$H$177,1+B369,FALSE)),2)</f>
        <v>4.24</v>
      </c>
      <c r="X369" s="103"/>
      <c r="Y369" s="103"/>
      <c r="Z369" s="103" t="s">
        <v>868</v>
      </c>
      <c r="AA369" s="103" t="s">
        <v>874</v>
      </c>
      <c r="AB369" s="103" t="s">
        <v>153</v>
      </c>
      <c r="AC369" s="103">
        <v>0</v>
      </c>
      <c r="AD369" s="156">
        <v>42005</v>
      </c>
      <c r="AE369" s="103"/>
      <c r="AF369" s="103" t="s">
        <v>870</v>
      </c>
      <c r="AG369" s="103" t="s">
        <v>871</v>
      </c>
      <c r="AH369" s="103" t="s">
        <v>976</v>
      </c>
      <c r="AI369" s="103">
        <v>0</v>
      </c>
      <c r="AJ369" s="103"/>
      <c r="AK369" s="103"/>
      <c r="AL369" s="103"/>
      <c r="AM369" s="103"/>
      <c r="AN369" s="103"/>
      <c r="AO369" s="103" t="str">
        <f t="shared" si="11"/>
        <v>CFLscw(4w)Single-pack</v>
      </c>
    </row>
    <row r="370" spans="1:41">
      <c r="A370" s="177">
        <f>IFERROR(MATCH(D370,'Measure &amp; Standard CostIDs'!C$5:C$177,0),MATCH(D370,'Measure &amp; Standard CostIDs'!S$5:S$177,0))</f>
        <v>36</v>
      </c>
      <c r="B370" s="177">
        <f t="shared" si="12"/>
        <v>2</v>
      </c>
      <c r="C370" s="103" t="s">
        <v>153</v>
      </c>
      <c r="D370" s="103" t="str">
        <f t="shared" si="13"/>
        <v>CFLscw(50w)</v>
      </c>
      <c r="E370" s="103" t="str">
        <f>IF(LEFT(D370,3)="Std","Base case cost for mix of 60% Incandescent and 40% CFL lamps for CFL TechID: "&amp;INDEX('Measure &amp; Standard CostIDs'!$C$5:$C$177,A370),"&lt;from TechID&gt;")</f>
        <v>&lt;from TechID&gt;</v>
      </c>
      <c r="F370" s="103" t="s">
        <v>860</v>
      </c>
      <c r="G370" s="103" t="s">
        <v>151</v>
      </c>
      <c r="H370" s="103" t="s">
        <v>861</v>
      </c>
      <c r="I370" s="103" t="s">
        <v>862</v>
      </c>
      <c r="J370" s="103" t="s">
        <v>863</v>
      </c>
      <c r="K370" s="103" t="s">
        <v>864</v>
      </c>
      <c r="L370" s="103" t="s">
        <v>153</v>
      </c>
      <c r="M370" s="103" t="s">
        <v>865</v>
      </c>
      <c r="N370" s="103" t="s">
        <v>866</v>
      </c>
      <c r="O370" s="103" t="str">
        <f t="shared" si="10"/>
        <v>CFLscw(50w)</v>
      </c>
      <c r="P370" s="103" t="s">
        <v>153</v>
      </c>
      <c r="Q370" s="103" t="s">
        <v>153</v>
      </c>
      <c r="R370" s="103" t="s">
        <v>153</v>
      </c>
      <c r="S370" s="103" t="str">
        <f>INDEX('Measure &amp; Standard CostIDs'!$AK$8:$AK$12,B370)</f>
        <v>Single-pack</v>
      </c>
      <c r="T370" s="103" t="s">
        <v>867</v>
      </c>
      <c r="U370" s="103"/>
      <c r="V370" s="103"/>
      <c r="W370" s="103">
        <f>ROUND(IF(LEFT(D370,3)="Std",VLOOKUP(D370,'Measure &amp; Standard CostIDs'!$S$5:$X$177,1+B370,FALSE),VLOOKUP(D370,'Measure &amp; Standard CostIDs'!$C$5:$H$177,1+B370,FALSE)),2)</f>
        <v>9.64</v>
      </c>
      <c r="X370" s="103"/>
      <c r="Y370" s="103"/>
      <c r="Z370" s="103" t="s">
        <v>868</v>
      </c>
      <c r="AA370" s="103" t="s">
        <v>874</v>
      </c>
      <c r="AB370" s="103" t="s">
        <v>153</v>
      </c>
      <c r="AC370" s="103">
        <v>0</v>
      </c>
      <c r="AD370" s="156">
        <v>42005</v>
      </c>
      <c r="AE370" s="103"/>
      <c r="AF370" s="103" t="s">
        <v>870</v>
      </c>
      <c r="AG370" s="103" t="s">
        <v>871</v>
      </c>
      <c r="AH370" s="103" t="s">
        <v>976</v>
      </c>
      <c r="AI370" s="103">
        <v>0</v>
      </c>
      <c r="AJ370" s="103"/>
      <c r="AK370" s="103"/>
      <c r="AL370" s="103"/>
      <c r="AM370" s="103"/>
      <c r="AN370" s="103"/>
      <c r="AO370" s="103" t="str">
        <f t="shared" si="11"/>
        <v>CFLscw(50w)Single-pack</v>
      </c>
    </row>
    <row r="371" spans="1:41">
      <c r="A371" s="177">
        <f>IFERROR(MATCH(D371,'Measure &amp; Standard CostIDs'!C$5:C$177,0),MATCH(D371,'Measure &amp; Standard CostIDs'!S$5:S$177,0))</f>
        <v>37</v>
      </c>
      <c r="B371" s="177">
        <f t="shared" si="12"/>
        <v>2</v>
      </c>
      <c r="C371" s="103" t="s">
        <v>153</v>
      </c>
      <c r="D371" s="103" t="str">
        <f t="shared" si="13"/>
        <v>CFLscw(52w)</v>
      </c>
      <c r="E371" s="103" t="str">
        <f>IF(LEFT(D371,3)="Std","Base case cost for mix of 60% Incandescent and 40% CFL lamps for CFL TechID: "&amp;INDEX('Measure &amp; Standard CostIDs'!$C$5:$C$177,A371),"&lt;from TechID&gt;")</f>
        <v>&lt;from TechID&gt;</v>
      </c>
      <c r="F371" s="103" t="s">
        <v>860</v>
      </c>
      <c r="G371" s="103" t="s">
        <v>151</v>
      </c>
      <c r="H371" s="103" t="s">
        <v>861</v>
      </c>
      <c r="I371" s="103" t="s">
        <v>862</v>
      </c>
      <c r="J371" s="103" t="s">
        <v>863</v>
      </c>
      <c r="K371" s="103" t="s">
        <v>864</v>
      </c>
      <c r="L371" s="103" t="s">
        <v>153</v>
      </c>
      <c r="M371" s="103" t="s">
        <v>865</v>
      </c>
      <c r="N371" s="103" t="s">
        <v>866</v>
      </c>
      <c r="O371" s="103" t="str">
        <f t="shared" si="10"/>
        <v>CFLscw(52w)</v>
      </c>
      <c r="P371" s="103" t="s">
        <v>153</v>
      </c>
      <c r="Q371" s="103" t="s">
        <v>153</v>
      </c>
      <c r="R371" s="103" t="s">
        <v>153</v>
      </c>
      <c r="S371" s="103" t="str">
        <f>INDEX('Measure &amp; Standard CostIDs'!$AK$8:$AK$12,B371)</f>
        <v>Single-pack</v>
      </c>
      <c r="T371" s="103" t="s">
        <v>867</v>
      </c>
      <c r="U371" s="103"/>
      <c r="V371" s="103"/>
      <c r="W371" s="103">
        <f>ROUND(IF(LEFT(D371,3)="Std",VLOOKUP(D371,'Measure &amp; Standard CostIDs'!$S$5:$X$177,1+B371,FALSE),VLOOKUP(D371,'Measure &amp; Standard CostIDs'!$C$5:$H$177,1+B371,FALSE)),2)</f>
        <v>9.9600000000000009</v>
      </c>
      <c r="X371" s="103"/>
      <c r="Y371" s="103"/>
      <c r="Z371" s="103" t="s">
        <v>868</v>
      </c>
      <c r="AA371" s="103" t="s">
        <v>874</v>
      </c>
      <c r="AB371" s="103" t="s">
        <v>153</v>
      </c>
      <c r="AC371" s="103">
        <v>0</v>
      </c>
      <c r="AD371" s="156">
        <v>42005</v>
      </c>
      <c r="AE371" s="103"/>
      <c r="AF371" s="103" t="s">
        <v>870</v>
      </c>
      <c r="AG371" s="103" t="s">
        <v>871</v>
      </c>
      <c r="AH371" s="103" t="s">
        <v>976</v>
      </c>
      <c r="AI371" s="103">
        <v>0</v>
      </c>
      <c r="AJ371" s="103"/>
      <c r="AK371" s="103"/>
      <c r="AL371" s="103"/>
      <c r="AM371" s="103"/>
      <c r="AN371" s="103"/>
      <c r="AO371" s="103" t="str">
        <f t="shared" si="11"/>
        <v>CFLscw(52w)Single-pack</v>
      </c>
    </row>
    <row r="372" spans="1:41">
      <c r="A372" s="177">
        <f>IFERROR(MATCH(D372,'Measure &amp; Standard CostIDs'!C$5:C$177,0),MATCH(D372,'Measure &amp; Standard CostIDs'!S$5:S$177,0))</f>
        <v>38</v>
      </c>
      <c r="B372" s="177">
        <f t="shared" si="12"/>
        <v>2</v>
      </c>
      <c r="C372" s="103" t="s">
        <v>153</v>
      </c>
      <c r="D372" s="103" t="str">
        <f t="shared" si="13"/>
        <v>CFLscw(55w)</v>
      </c>
      <c r="E372" s="103" t="str">
        <f>IF(LEFT(D372,3)="Std","Base case cost for mix of 60% Incandescent and 40% CFL lamps for CFL TechID: "&amp;INDEX('Measure &amp; Standard CostIDs'!$C$5:$C$177,A372),"&lt;from TechID&gt;")</f>
        <v>&lt;from TechID&gt;</v>
      </c>
      <c r="F372" s="103" t="s">
        <v>860</v>
      </c>
      <c r="G372" s="103" t="s">
        <v>151</v>
      </c>
      <c r="H372" s="103" t="s">
        <v>861</v>
      </c>
      <c r="I372" s="103" t="s">
        <v>862</v>
      </c>
      <c r="J372" s="103" t="s">
        <v>863</v>
      </c>
      <c r="K372" s="103" t="s">
        <v>864</v>
      </c>
      <c r="L372" s="103" t="s">
        <v>153</v>
      </c>
      <c r="M372" s="103" t="s">
        <v>865</v>
      </c>
      <c r="N372" s="103" t="s">
        <v>866</v>
      </c>
      <c r="O372" s="103" t="str">
        <f t="shared" si="10"/>
        <v>CFLscw(55w)</v>
      </c>
      <c r="P372" s="103" t="s">
        <v>153</v>
      </c>
      <c r="Q372" s="103" t="s">
        <v>153</v>
      </c>
      <c r="R372" s="103" t="s">
        <v>153</v>
      </c>
      <c r="S372" s="103" t="str">
        <f>INDEX('Measure &amp; Standard CostIDs'!$AK$8:$AK$12,B372)</f>
        <v>Single-pack</v>
      </c>
      <c r="T372" s="103" t="s">
        <v>867</v>
      </c>
      <c r="U372" s="103"/>
      <c r="V372" s="103"/>
      <c r="W372" s="103">
        <f>ROUND(IF(LEFT(D372,3)="Std",VLOOKUP(D372,'Measure &amp; Standard CostIDs'!$S$5:$X$177,1+B372,FALSE),VLOOKUP(D372,'Measure &amp; Standard CostIDs'!$C$5:$H$177,1+B372,FALSE)),2)</f>
        <v>10.44</v>
      </c>
      <c r="X372" s="103"/>
      <c r="Y372" s="103"/>
      <c r="Z372" s="103" t="s">
        <v>868</v>
      </c>
      <c r="AA372" s="103" t="s">
        <v>874</v>
      </c>
      <c r="AB372" s="103" t="s">
        <v>153</v>
      </c>
      <c r="AC372" s="103">
        <v>0</v>
      </c>
      <c r="AD372" s="156">
        <v>42005</v>
      </c>
      <c r="AE372" s="103"/>
      <c r="AF372" s="103" t="s">
        <v>870</v>
      </c>
      <c r="AG372" s="103" t="s">
        <v>871</v>
      </c>
      <c r="AH372" s="103" t="s">
        <v>976</v>
      </c>
      <c r="AI372" s="103">
        <v>0</v>
      </c>
      <c r="AJ372" s="103"/>
      <c r="AK372" s="103"/>
      <c r="AL372" s="103"/>
      <c r="AM372" s="103"/>
      <c r="AN372" s="103"/>
      <c r="AO372" s="103" t="str">
        <f t="shared" si="11"/>
        <v>CFLscw(55w)Single-pack</v>
      </c>
    </row>
    <row r="373" spans="1:41">
      <c r="A373" s="177">
        <f>IFERROR(MATCH(D373,'Measure &amp; Standard CostIDs'!C$5:C$177,0),MATCH(D373,'Measure &amp; Standard CostIDs'!S$5:S$177,0))</f>
        <v>39</v>
      </c>
      <c r="B373" s="177">
        <f t="shared" si="12"/>
        <v>2</v>
      </c>
      <c r="C373" s="103" t="s">
        <v>153</v>
      </c>
      <c r="D373" s="103" t="str">
        <f t="shared" si="13"/>
        <v>CFLscw(5w)</v>
      </c>
      <c r="E373" s="103" t="str">
        <f>IF(LEFT(D373,3)="Std","Base case cost for mix of 60% Incandescent and 40% CFL lamps for CFL TechID: "&amp;INDEX('Measure &amp; Standard CostIDs'!$C$5:$C$177,A373),"&lt;from TechID&gt;")</f>
        <v>&lt;from TechID&gt;</v>
      </c>
      <c r="F373" s="103" t="s">
        <v>860</v>
      </c>
      <c r="G373" s="103" t="s">
        <v>151</v>
      </c>
      <c r="H373" s="103" t="s">
        <v>861</v>
      </c>
      <c r="I373" s="103" t="s">
        <v>862</v>
      </c>
      <c r="J373" s="103" t="s">
        <v>863</v>
      </c>
      <c r="K373" s="103" t="s">
        <v>864</v>
      </c>
      <c r="L373" s="103" t="s">
        <v>153</v>
      </c>
      <c r="M373" s="103" t="s">
        <v>865</v>
      </c>
      <c r="N373" s="103" t="s">
        <v>866</v>
      </c>
      <c r="O373" s="103" t="str">
        <f t="shared" si="10"/>
        <v>CFLscw(5w)</v>
      </c>
      <c r="P373" s="103" t="s">
        <v>153</v>
      </c>
      <c r="Q373" s="103" t="s">
        <v>153</v>
      </c>
      <c r="R373" s="103" t="s">
        <v>153</v>
      </c>
      <c r="S373" s="103" t="str">
        <f>INDEX('Measure &amp; Standard CostIDs'!$AK$8:$AK$12,B373)</f>
        <v>Single-pack</v>
      </c>
      <c r="T373" s="103" t="s">
        <v>867</v>
      </c>
      <c r="U373" s="103"/>
      <c r="V373" s="103"/>
      <c r="W373" s="103">
        <f>ROUND(IF(LEFT(D373,3)="Std",VLOOKUP(D373,'Measure &amp; Standard CostIDs'!$S$5:$X$177,1+B373,FALSE),VLOOKUP(D373,'Measure &amp; Standard CostIDs'!$C$5:$H$177,1+B373,FALSE)),2)</f>
        <v>4.3099999999999996</v>
      </c>
      <c r="X373" s="103"/>
      <c r="Y373" s="103"/>
      <c r="Z373" s="103" t="s">
        <v>868</v>
      </c>
      <c r="AA373" s="103" t="s">
        <v>874</v>
      </c>
      <c r="AB373" s="103" t="s">
        <v>153</v>
      </c>
      <c r="AC373" s="103">
        <v>0</v>
      </c>
      <c r="AD373" s="156">
        <v>42005</v>
      </c>
      <c r="AE373" s="103"/>
      <c r="AF373" s="103" t="s">
        <v>870</v>
      </c>
      <c r="AG373" s="103" t="s">
        <v>871</v>
      </c>
      <c r="AH373" s="103" t="s">
        <v>976</v>
      </c>
      <c r="AI373" s="103">
        <v>0</v>
      </c>
      <c r="AJ373" s="103"/>
      <c r="AK373" s="103"/>
      <c r="AL373" s="103"/>
      <c r="AM373" s="103"/>
      <c r="AN373" s="103"/>
      <c r="AO373" s="103" t="str">
        <f t="shared" si="11"/>
        <v>CFLscw(5w)Single-pack</v>
      </c>
    </row>
    <row r="374" spans="1:41">
      <c r="A374" s="177">
        <f>IFERROR(MATCH(D374,'Measure &amp; Standard CostIDs'!C$5:C$177,0),MATCH(D374,'Measure &amp; Standard CostIDs'!S$5:S$177,0))</f>
        <v>40</v>
      </c>
      <c r="B374" s="177">
        <f t="shared" si="12"/>
        <v>2</v>
      </c>
      <c r="C374" s="103" t="s">
        <v>153</v>
      </c>
      <c r="D374" s="103" t="str">
        <f t="shared" si="13"/>
        <v>CFLscw(68w)</v>
      </c>
      <c r="E374" s="103" t="str">
        <f>IF(LEFT(D374,3)="Std","Base case cost for mix of 60% Incandescent and 40% CFL lamps for CFL TechID: "&amp;INDEX('Measure &amp; Standard CostIDs'!$C$5:$C$177,A374),"&lt;from TechID&gt;")</f>
        <v>&lt;from TechID&gt;</v>
      </c>
      <c r="F374" s="103" t="s">
        <v>860</v>
      </c>
      <c r="G374" s="103" t="s">
        <v>151</v>
      </c>
      <c r="H374" s="103" t="s">
        <v>861</v>
      </c>
      <c r="I374" s="103" t="s">
        <v>862</v>
      </c>
      <c r="J374" s="103" t="s">
        <v>863</v>
      </c>
      <c r="K374" s="103" t="s">
        <v>864</v>
      </c>
      <c r="L374" s="103" t="s">
        <v>153</v>
      </c>
      <c r="M374" s="103" t="s">
        <v>865</v>
      </c>
      <c r="N374" s="103" t="s">
        <v>866</v>
      </c>
      <c r="O374" s="103" t="str">
        <f t="shared" si="10"/>
        <v>CFLscw(68w)</v>
      </c>
      <c r="P374" s="103" t="s">
        <v>153</v>
      </c>
      <c r="Q374" s="103" t="s">
        <v>153</v>
      </c>
      <c r="R374" s="103" t="s">
        <v>153</v>
      </c>
      <c r="S374" s="103" t="str">
        <f>INDEX('Measure &amp; Standard CostIDs'!$AK$8:$AK$12,B374)</f>
        <v>Single-pack</v>
      </c>
      <c r="T374" s="103" t="s">
        <v>867</v>
      </c>
      <c r="U374" s="103"/>
      <c r="V374" s="103"/>
      <c r="W374" s="103">
        <f>ROUND(IF(LEFT(D374,3)="Std",VLOOKUP(D374,'Measure &amp; Standard CostIDs'!$S$5:$X$177,1+B374,FALSE),VLOOKUP(D374,'Measure &amp; Standard CostIDs'!$C$5:$H$177,1+B374,FALSE)),2)</f>
        <v>12.52</v>
      </c>
      <c r="X374" s="103"/>
      <c r="Y374" s="103"/>
      <c r="Z374" s="103" t="s">
        <v>868</v>
      </c>
      <c r="AA374" s="103" t="s">
        <v>874</v>
      </c>
      <c r="AB374" s="103" t="s">
        <v>153</v>
      </c>
      <c r="AC374" s="103">
        <v>0</v>
      </c>
      <c r="AD374" s="156">
        <v>42005</v>
      </c>
      <c r="AE374" s="103"/>
      <c r="AF374" s="103" t="s">
        <v>870</v>
      </c>
      <c r="AG374" s="103" t="s">
        <v>871</v>
      </c>
      <c r="AH374" s="103" t="s">
        <v>976</v>
      </c>
      <c r="AI374" s="103">
        <v>0</v>
      </c>
      <c r="AJ374" s="103"/>
      <c r="AK374" s="103"/>
      <c r="AL374" s="103"/>
      <c r="AM374" s="103"/>
      <c r="AN374" s="103"/>
      <c r="AO374" s="103" t="str">
        <f t="shared" si="11"/>
        <v>CFLscw(68w)Single-pack</v>
      </c>
    </row>
    <row r="375" spans="1:41">
      <c r="A375" s="177">
        <f>IFERROR(MATCH(D375,'Measure &amp; Standard CostIDs'!C$5:C$177,0),MATCH(D375,'Measure &amp; Standard CostIDs'!S$5:S$177,0))</f>
        <v>41</v>
      </c>
      <c r="B375" s="177">
        <f t="shared" si="12"/>
        <v>2</v>
      </c>
      <c r="C375" s="103" t="s">
        <v>153</v>
      </c>
      <c r="D375" s="103" t="str">
        <f t="shared" si="13"/>
        <v>CFLscw(69w)</v>
      </c>
      <c r="E375" s="103" t="str">
        <f>IF(LEFT(D375,3)="Std","Base case cost for mix of 60% Incandescent and 40% CFL lamps for CFL TechID: "&amp;INDEX('Measure &amp; Standard CostIDs'!$C$5:$C$177,A375),"&lt;from TechID&gt;")</f>
        <v>&lt;from TechID&gt;</v>
      </c>
      <c r="F375" s="103" t="s">
        <v>860</v>
      </c>
      <c r="G375" s="103" t="s">
        <v>151</v>
      </c>
      <c r="H375" s="103" t="s">
        <v>861</v>
      </c>
      <c r="I375" s="103" t="s">
        <v>862</v>
      </c>
      <c r="J375" s="103" t="s">
        <v>863</v>
      </c>
      <c r="K375" s="103" t="s">
        <v>864</v>
      </c>
      <c r="L375" s="103" t="s">
        <v>153</v>
      </c>
      <c r="M375" s="103" t="s">
        <v>865</v>
      </c>
      <c r="N375" s="103" t="s">
        <v>866</v>
      </c>
      <c r="O375" s="103" t="str">
        <f t="shared" si="10"/>
        <v>CFLscw(69w)</v>
      </c>
      <c r="P375" s="103" t="s">
        <v>153</v>
      </c>
      <c r="Q375" s="103" t="s">
        <v>153</v>
      </c>
      <c r="R375" s="103" t="s">
        <v>153</v>
      </c>
      <c r="S375" s="103" t="str">
        <f>INDEX('Measure &amp; Standard CostIDs'!$AK$8:$AK$12,B375)</f>
        <v>Single-pack</v>
      </c>
      <c r="T375" s="103" t="s">
        <v>867</v>
      </c>
      <c r="U375" s="103"/>
      <c r="V375" s="103"/>
      <c r="W375" s="103">
        <f>ROUND(IF(LEFT(D375,3)="Std",VLOOKUP(D375,'Measure &amp; Standard CostIDs'!$S$5:$X$177,1+B375,FALSE),VLOOKUP(D375,'Measure &amp; Standard CostIDs'!$C$5:$H$177,1+B375,FALSE)),2)</f>
        <v>12.68</v>
      </c>
      <c r="X375" s="103"/>
      <c r="Y375" s="103"/>
      <c r="Z375" s="103" t="s">
        <v>868</v>
      </c>
      <c r="AA375" s="103" t="s">
        <v>874</v>
      </c>
      <c r="AB375" s="103" t="s">
        <v>153</v>
      </c>
      <c r="AC375" s="103">
        <v>0</v>
      </c>
      <c r="AD375" s="156">
        <v>42005</v>
      </c>
      <c r="AE375" s="103"/>
      <c r="AF375" s="103" t="s">
        <v>870</v>
      </c>
      <c r="AG375" s="103" t="s">
        <v>871</v>
      </c>
      <c r="AH375" s="103" t="s">
        <v>976</v>
      </c>
      <c r="AI375" s="103">
        <v>0</v>
      </c>
      <c r="AJ375" s="103"/>
      <c r="AK375" s="103"/>
      <c r="AL375" s="103"/>
      <c r="AM375" s="103"/>
      <c r="AN375" s="103"/>
      <c r="AO375" s="103" t="str">
        <f t="shared" si="11"/>
        <v>CFLscw(69w)Single-pack</v>
      </c>
    </row>
    <row r="376" spans="1:41">
      <c r="A376" s="177">
        <f>IFERROR(MATCH(D376,'Measure &amp; Standard CostIDs'!C$5:C$177,0),MATCH(D376,'Measure &amp; Standard CostIDs'!S$5:S$177,0))</f>
        <v>42</v>
      </c>
      <c r="B376" s="177">
        <f t="shared" si="12"/>
        <v>2</v>
      </c>
      <c r="C376" s="103" t="s">
        <v>153</v>
      </c>
      <c r="D376" s="103" t="str">
        <f t="shared" si="13"/>
        <v>CFLscw(6w)</v>
      </c>
      <c r="E376" s="103" t="str">
        <f>IF(LEFT(D376,3)="Std","Base case cost for mix of 60% Incandescent and 40% CFL lamps for CFL TechID: "&amp;INDEX('Measure &amp; Standard CostIDs'!$C$5:$C$177,A376),"&lt;from TechID&gt;")</f>
        <v>&lt;from TechID&gt;</v>
      </c>
      <c r="F376" s="103" t="s">
        <v>860</v>
      </c>
      <c r="G376" s="103" t="s">
        <v>151</v>
      </c>
      <c r="H376" s="103" t="s">
        <v>861</v>
      </c>
      <c r="I376" s="103" t="s">
        <v>862</v>
      </c>
      <c r="J376" s="103" t="s">
        <v>863</v>
      </c>
      <c r="K376" s="103" t="s">
        <v>864</v>
      </c>
      <c r="L376" s="103" t="s">
        <v>153</v>
      </c>
      <c r="M376" s="103" t="s">
        <v>865</v>
      </c>
      <c r="N376" s="103" t="s">
        <v>866</v>
      </c>
      <c r="O376" s="103" t="str">
        <f t="shared" si="10"/>
        <v>CFLscw(6w)</v>
      </c>
      <c r="P376" s="103" t="s">
        <v>153</v>
      </c>
      <c r="Q376" s="103" t="s">
        <v>153</v>
      </c>
      <c r="R376" s="103" t="s">
        <v>153</v>
      </c>
      <c r="S376" s="103" t="str">
        <f>INDEX('Measure &amp; Standard CostIDs'!$AK$8:$AK$12,B376)</f>
        <v>Single-pack</v>
      </c>
      <c r="T376" s="103" t="s">
        <v>867</v>
      </c>
      <c r="U376" s="103"/>
      <c r="V376" s="103"/>
      <c r="W376" s="103">
        <f>ROUND(IF(LEFT(D376,3)="Std",VLOOKUP(D376,'Measure &amp; Standard CostIDs'!$S$5:$X$177,1+B376,FALSE),VLOOKUP(D376,'Measure &amp; Standard CostIDs'!$C$5:$H$177,1+B376,FALSE)),2)</f>
        <v>4.37</v>
      </c>
      <c r="X376" s="103"/>
      <c r="Y376" s="103"/>
      <c r="Z376" s="103" t="s">
        <v>868</v>
      </c>
      <c r="AA376" s="103" t="s">
        <v>874</v>
      </c>
      <c r="AB376" s="103" t="s">
        <v>153</v>
      </c>
      <c r="AC376" s="103">
        <v>0</v>
      </c>
      <c r="AD376" s="156">
        <v>42005</v>
      </c>
      <c r="AE376" s="103"/>
      <c r="AF376" s="103" t="s">
        <v>870</v>
      </c>
      <c r="AG376" s="103" t="s">
        <v>871</v>
      </c>
      <c r="AH376" s="103" t="s">
        <v>976</v>
      </c>
      <c r="AI376" s="103">
        <v>0</v>
      </c>
      <c r="AJ376" s="103"/>
      <c r="AK376" s="103"/>
      <c r="AL376" s="103"/>
      <c r="AM376" s="103"/>
      <c r="AN376" s="103"/>
      <c r="AO376" s="103" t="str">
        <f t="shared" si="11"/>
        <v>CFLscw(6w)Single-pack</v>
      </c>
    </row>
    <row r="377" spans="1:41">
      <c r="A377" s="177">
        <f>IFERROR(MATCH(D377,'Measure &amp; Standard CostIDs'!C$5:C$177,0),MATCH(D377,'Measure &amp; Standard CostIDs'!S$5:S$177,0))</f>
        <v>43</v>
      </c>
      <c r="B377" s="177">
        <f t="shared" si="12"/>
        <v>2</v>
      </c>
      <c r="C377" s="103" t="s">
        <v>153</v>
      </c>
      <c r="D377" s="103" t="str">
        <f t="shared" si="13"/>
        <v>CFLscw(7w)</v>
      </c>
      <c r="E377" s="103" t="str">
        <f>IF(LEFT(D377,3)="Std","Base case cost for mix of 60% Incandescent and 40% CFL lamps for CFL TechID: "&amp;INDEX('Measure &amp; Standard CostIDs'!$C$5:$C$177,A377),"&lt;from TechID&gt;")</f>
        <v>&lt;from TechID&gt;</v>
      </c>
      <c r="F377" s="103" t="s">
        <v>860</v>
      </c>
      <c r="G377" s="103" t="s">
        <v>151</v>
      </c>
      <c r="H377" s="103" t="s">
        <v>861</v>
      </c>
      <c r="I377" s="103" t="s">
        <v>862</v>
      </c>
      <c r="J377" s="103" t="s">
        <v>863</v>
      </c>
      <c r="K377" s="103" t="s">
        <v>864</v>
      </c>
      <c r="L377" s="103" t="s">
        <v>153</v>
      </c>
      <c r="M377" s="103" t="s">
        <v>865</v>
      </c>
      <c r="N377" s="103" t="s">
        <v>866</v>
      </c>
      <c r="O377" s="103" t="str">
        <f t="shared" si="10"/>
        <v>CFLscw(7w)</v>
      </c>
      <c r="P377" s="103" t="s">
        <v>153</v>
      </c>
      <c r="Q377" s="103" t="s">
        <v>153</v>
      </c>
      <c r="R377" s="103" t="s">
        <v>153</v>
      </c>
      <c r="S377" s="103" t="str">
        <f>INDEX('Measure &amp; Standard CostIDs'!$AK$8:$AK$12,B377)</f>
        <v>Single-pack</v>
      </c>
      <c r="T377" s="103" t="s">
        <v>867</v>
      </c>
      <c r="U377" s="103"/>
      <c r="V377" s="103"/>
      <c r="W377" s="103">
        <f>ROUND(IF(LEFT(D377,3)="Std",VLOOKUP(D377,'Measure &amp; Standard CostIDs'!$S$5:$X$177,1+B377,FALSE),VLOOKUP(D377,'Measure &amp; Standard CostIDs'!$C$5:$H$177,1+B377,FALSE)),2)</f>
        <v>4.4400000000000004</v>
      </c>
      <c r="X377" s="103"/>
      <c r="Y377" s="103"/>
      <c r="Z377" s="103" t="s">
        <v>868</v>
      </c>
      <c r="AA377" s="103" t="s">
        <v>874</v>
      </c>
      <c r="AB377" s="103" t="s">
        <v>153</v>
      </c>
      <c r="AC377" s="103">
        <v>0</v>
      </c>
      <c r="AD377" s="156">
        <v>42005</v>
      </c>
      <c r="AE377" s="103"/>
      <c r="AF377" s="103" t="s">
        <v>870</v>
      </c>
      <c r="AG377" s="103" t="s">
        <v>871</v>
      </c>
      <c r="AH377" s="103" t="s">
        <v>976</v>
      </c>
      <c r="AI377" s="103">
        <v>0</v>
      </c>
      <c r="AJ377" s="103"/>
      <c r="AK377" s="103"/>
      <c r="AL377" s="103"/>
      <c r="AM377" s="103"/>
      <c r="AN377" s="103"/>
      <c r="AO377" s="103" t="str">
        <f t="shared" si="11"/>
        <v>CFLscw(7w)Single-pack</v>
      </c>
    </row>
    <row r="378" spans="1:41">
      <c r="A378" s="177">
        <f>IFERROR(MATCH(D378,'Measure &amp; Standard CostIDs'!C$5:C$177,0),MATCH(D378,'Measure &amp; Standard CostIDs'!S$5:S$177,0))</f>
        <v>44</v>
      </c>
      <c r="B378" s="177">
        <f t="shared" si="12"/>
        <v>2</v>
      </c>
      <c r="C378" s="103" t="s">
        <v>153</v>
      </c>
      <c r="D378" s="103" t="str">
        <f t="shared" si="13"/>
        <v>CFLscw(84w)</v>
      </c>
      <c r="E378" s="103" t="str">
        <f>IF(LEFT(D378,3)="Std","Base case cost for mix of 60% Incandescent and 40% CFL lamps for CFL TechID: "&amp;INDEX('Measure &amp; Standard CostIDs'!$C$5:$C$177,A378),"&lt;from TechID&gt;")</f>
        <v>&lt;from TechID&gt;</v>
      </c>
      <c r="F378" s="103" t="s">
        <v>860</v>
      </c>
      <c r="G378" s="103" t="s">
        <v>151</v>
      </c>
      <c r="H378" s="103" t="s">
        <v>861</v>
      </c>
      <c r="I378" s="103" t="s">
        <v>862</v>
      </c>
      <c r="J378" s="103" t="s">
        <v>863</v>
      </c>
      <c r="K378" s="103" t="s">
        <v>864</v>
      </c>
      <c r="L378" s="103" t="s">
        <v>153</v>
      </c>
      <c r="M378" s="103" t="s">
        <v>865</v>
      </c>
      <c r="N378" s="103" t="s">
        <v>866</v>
      </c>
      <c r="O378" s="103" t="str">
        <f t="shared" si="10"/>
        <v>CFLscw(84w)</v>
      </c>
      <c r="P378" s="103" t="s">
        <v>153</v>
      </c>
      <c r="Q378" s="103" t="s">
        <v>153</v>
      </c>
      <c r="R378" s="103" t="s">
        <v>153</v>
      </c>
      <c r="S378" s="103" t="str">
        <f>INDEX('Measure &amp; Standard CostIDs'!$AK$8:$AK$12,B378)</f>
        <v>Single-pack</v>
      </c>
      <c r="T378" s="103" t="s">
        <v>867</v>
      </c>
      <c r="U378" s="103"/>
      <c r="V378" s="103"/>
      <c r="W378" s="103">
        <f>ROUND(IF(LEFT(D378,3)="Std",VLOOKUP(D378,'Measure &amp; Standard CostIDs'!$S$5:$X$177,1+B378,FALSE),VLOOKUP(D378,'Measure &amp; Standard CostIDs'!$C$5:$H$177,1+B378,FALSE)),2)</f>
        <v>15.08</v>
      </c>
      <c r="X378" s="103"/>
      <c r="Y378" s="103"/>
      <c r="Z378" s="103" t="s">
        <v>868</v>
      </c>
      <c r="AA378" s="103" t="s">
        <v>874</v>
      </c>
      <c r="AB378" s="103" t="s">
        <v>153</v>
      </c>
      <c r="AC378" s="103">
        <v>0</v>
      </c>
      <c r="AD378" s="156">
        <v>42005</v>
      </c>
      <c r="AE378" s="103"/>
      <c r="AF378" s="103" t="s">
        <v>870</v>
      </c>
      <c r="AG378" s="103" t="s">
        <v>871</v>
      </c>
      <c r="AH378" s="103" t="s">
        <v>976</v>
      </c>
      <c r="AI378" s="103">
        <v>0</v>
      </c>
      <c r="AJ378" s="103"/>
      <c r="AK378" s="103"/>
      <c r="AL378" s="103"/>
      <c r="AM378" s="103"/>
      <c r="AN378" s="103"/>
      <c r="AO378" s="103" t="str">
        <f t="shared" si="11"/>
        <v>CFLscw(84w)Single-pack</v>
      </c>
    </row>
    <row r="379" spans="1:41">
      <c r="A379" s="177">
        <f>IFERROR(MATCH(D379,'Measure &amp; Standard CostIDs'!C$5:C$177,0),MATCH(D379,'Measure &amp; Standard CostIDs'!S$5:S$177,0))</f>
        <v>45</v>
      </c>
      <c r="B379" s="177">
        <f t="shared" si="12"/>
        <v>2</v>
      </c>
      <c r="C379" s="103" t="s">
        <v>153</v>
      </c>
      <c r="D379" s="103" t="str">
        <f t="shared" si="13"/>
        <v>CFLscw(85w)</v>
      </c>
      <c r="E379" s="103" t="str">
        <f>IF(LEFT(D379,3)="Std","Base case cost for mix of 60% Incandescent and 40% CFL lamps for CFL TechID: "&amp;INDEX('Measure &amp; Standard CostIDs'!$C$5:$C$177,A379),"&lt;from TechID&gt;")</f>
        <v>&lt;from TechID&gt;</v>
      </c>
      <c r="F379" s="103" t="s">
        <v>860</v>
      </c>
      <c r="G379" s="103" t="s">
        <v>151</v>
      </c>
      <c r="H379" s="103" t="s">
        <v>861</v>
      </c>
      <c r="I379" s="103" t="s">
        <v>862</v>
      </c>
      <c r="J379" s="103" t="s">
        <v>863</v>
      </c>
      <c r="K379" s="103" t="s">
        <v>864</v>
      </c>
      <c r="L379" s="103" t="s">
        <v>153</v>
      </c>
      <c r="M379" s="103" t="s">
        <v>865</v>
      </c>
      <c r="N379" s="103" t="s">
        <v>866</v>
      </c>
      <c r="O379" s="103" t="str">
        <f t="shared" si="10"/>
        <v>CFLscw(85w)</v>
      </c>
      <c r="P379" s="103" t="s">
        <v>153</v>
      </c>
      <c r="Q379" s="103" t="s">
        <v>153</v>
      </c>
      <c r="R379" s="103" t="s">
        <v>153</v>
      </c>
      <c r="S379" s="103" t="str">
        <f>INDEX('Measure &amp; Standard CostIDs'!$AK$8:$AK$12,B379)</f>
        <v>Single-pack</v>
      </c>
      <c r="T379" s="103" t="s">
        <v>867</v>
      </c>
      <c r="U379" s="103"/>
      <c r="V379" s="103"/>
      <c r="W379" s="103">
        <f>ROUND(IF(LEFT(D379,3)="Std",VLOOKUP(D379,'Measure &amp; Standard CostIDs'!$S$5:$X$177,1+B379,FALSE),VLOOKUP(D379,'Measure &amp; Standard CostIDs'!$C$5:$H$177,1+B379,FALSE)),2)</f>
        <v>15.24</v>
      </c>
      <c r="X379" s="103"/>
      <c r="Y379" s="103"/>
      <c r="Z379" s="103" t="s">
        <v>868</v>
      </c>
      <c r="AA379" s="103" t="s">
        <v>874</v>
      </c>
      <c r="AB379" s="103" t="s">
        <v>153</v>
      </c>
      <c r="AC379" s="103">
        <v>0</v>
      </c>
      <c r="AD379" s="156">
        <v>42005</v>
      </c>
      <c r="AE379" s="103"/>
      <c r="AF379" s="103" t="s">
        <v>870</v>
      </c>
      <c r="AG379" s="103" t="s">
        <v>871</v>
      </c>
      <c r="AH379" s="103" t="s">
        <v>976</v>
      </c>
      <c r="AI379" s="103">
        <v>0</v>
      </c>
      <c r="AJ379" s="103"/>
      <c r="AK379" s="103"/>
      <c r="AL379" s="103"/>
      <c r="AM379" s="103"/>
      <c r="AN379" s="103"/>
      <c r="AO379" s="103" t="str">
        <f t="shared" si="11"/>
        <v>CFLscw(85w)Single-pack</v>
      </c>
    </row>
    <row r="380" spans="1:41">
      <c r="A380" s="177">
        <f>IFERROR(MATCH(D380,'Measure &amp; Standard CostIDs'!C$5:C$177,0),MATCH(D380,'Measure &amp; Standard CostIDs'!S$5:S$177,0))</f>
        <v>46</v>
      </c>
      <c r="B380" s="177">
        <f t="shared" si="12"/>
        <v>2</v>
      </c>
      <c r="C380" s="103" t="s">
        <v>153</v>
      </c>
      <c r="D380" s="103" t="str">
        <f t="shared" si="13"/>
        <v>CFLscw(8w)</v>
      </c>
      <c r="E380" s="103" t="str">
        <f>IF(LEFT(D380,3)="Std","Base case cost for mix of 60% Incandescent and 40% CFL lamps for CFL TechID: "&amp;INDEX('Measure &amp; Standard CostIDs'!$C$5:$C$177,A380),"&lt;from TechID&gt;")</f>
        <v>&lt;from TechID&gt;</v>
      </c>
      <c r="F380" s="103" t="s">
        <v>860</v>
      </c>
      <c r="G380" s="103" t="s">
        <v>151</v>
      </c>
      <c r="H380" s="103" t="s">
        <v>861</v>
      </c>
      <c r="I380" s="103" t="s">
        <v>862</v>
      </c>
      <c r="J380" s="103" t="s">
        <v>863</v>
      </c>
      <c r="K380" s="103" t="s">
        <v>864</v>
      </c>
      <c r="L380" s="103" t="s">
        <v>153</v>
      </c>
      <c r="M380" s="103" t="s">
        <v>865</v>
      </c>
      <c r="N380" s="103" t="s">
        <v>866</v>
      </c>
      <c r="O380" s="103" t="str">
        <f t="shared" si="10"/>
        <v>CFLscw(8w)</v>
      </c>
      <c r="P380" s="103" t="s">
        <v>153</v>
      </c>
      <c r="Q380" s="103" t="s">
        <v>153</v>
      </c>
      <c r="R380" s="103" t="s">
        <v>153</v>
      </c>
      <c r="S380" s="103" t="str">
        <f>INDEX('Measure &amp; Standard CostIDs'!$AK$8:$AK$12,B380)</f>
        <v>Single-pack</v>
      </c>
      <c r="T380" s="103" t="s">
        <v>867</v>
      </c>
      <c r="U380" s="103"/>
      <c r="V380" s="103"/>
      <c r="W380" s="103">
        <f>ROUND(IF(LEFT(D380,3)="Std",VLOOKUP(D380,'Measure &amp; Standard CostIDs'!$S$5:$X$177,1+B380,FALSE),VLOOKUP(D380,'Measure &amp; Standard CostIDs'!$C$5:$H$177,1+B380,FALSE)),2)</f>
        <v>4.51</v>
      </c>
      <c r="X380" s="103"/>
      <c r="Y380" s="103"/>
      <c r="Z380" s="103" t="s">
        <v>868</v>
      </c>
      <c r="AA380" s="103" t="s">
        <v>874</v>
      </c>
      <c r="AB380" s="103" t="s">
        <v>153</v>
      </c>
      <c r="AC380" s="103">
        <v>0</v>
      </c>
      <c r="AD380" s="156">
        <v>42005</v>
      </c>
      <c r="AE380" s="103"/>
      <c r="AF380" s="103" t="s">
        <v>870</v>
      </c>
      <c r="AG380" s="103" t="s">
        <v>871</v>
      </c>
      <c r="AH380" s="103" t="s">
        <v>976</v>
      </c>
      <c r="AI380" s="103">
        <v>0</v>
      </c>
      <c r="AJ380" s="103"/>
      <c r="AK380" s="103"/>
      <c r="AL380" s="103"/>
      <c r="AM380" s="103"/>
      <c r="AN380" s="103"/>
      <c r="AO380" s="103" t="str">
        <f t="shared" si="11"/>
        <v>CFLscw(8w)Single-pack</v>
      </c>
    </row>
    <row r="381" spans="1:41">
      <c r="A381" s="177">
        <f>IFERROR(MATCH(D381,'Measure &amp; Standard CostIDs'!C$5:C$177,0),MATCH(D381,'Measure &amp; Standard CostIDs'!S$5:S$177,0))</f>
        <v>47</v>
      </c>
      <c r="B381" s="177">
        <f t="shared" si="12"/>
        <v>2</v>
      </c>
      <c r="C381" s="103" t="s">
        <v>153</v>
      </c>
      <c r="D381" s="103" t="str">
        <f t="shared" si="13"/>
        <v>CFLscw(9w)</v>
      </c>
      <c r="E381" s="103" t="str">
        <f>IF(LEFT(D381,3)="Std","Base case cost for mix of 60% Incandescent and 40% CFL lamps for CFL TechID: "&amp;INDEX('Measure &amp; Standard CostIDs'!$C$5:$C$177,A381),"&lt;from TechID&gt;")</f>
        <v>&lt;from TechID&gt;</v>
      </c>
      <c r="F381" s="103" t="s">
        <v>860</v>
      </c>
      <c r="G381" s="103" t="s">
        <v>151</v>
      </c>
      <c r="H381" s="103" t="s">
        <v>861</v>
      </c>
      <c r="I381" s="103" t="s">
        <v>862</v>
      </c>
      <c r="J381" s="103" t="s">
        <v>863</v>
      </c>
      <c r="K381" s="103" t="s">
        <v>864</v>
      </c>
      <c r="L381" s="103" t="s">
        <v>153</v>
      </c>
      <c r="M381" s="103" t="s">
        <v>865</v>
      </c>
      <c r="N381" s="103" t="s">
        <v>866</v>
      </c>
      <c r="O381" s="103" t="str">
        <f t="shared" si="10"/>
        <v>CFLscw(9w)</v>
      </c>
      <c r="P381" s="103" t="s">
        <v>153</v>
      </c>
      <c r="Q381" s="103" t="s">
        <v>153</v>
      </c>
      <c r="R381" s="103" t="s">
        <v>153</v>
      </c>
      <c r="S381" s="103" t="str">
        <f>INDEX('Measure &amp; Standard CostIDs'!$AK$8:$AK$12,B381)</f>
        <v>Single-pack</v>
      </c>
      <c r="T381" s="103" t="s">
        <v>867</v>
      </c>
      <c r="U381" s="103"/>
      <c r="V381" s="103"/>
      <c r="W381" s="103">
        <f>ROUND(IF(LEFT(D381,3)="Std",VLOOKUP(D381,'Measure &amp; Standard CostIDs'!$S$5:$X$177,1+B381,FALSE),VLOOKUP(D381,'Measure &amp; Standard CostIDs'!$C$5:$H$177,1+B381,FALSE)),2)</f>
        <v>4.57</v>
      </c>
      <c r="X381" s="103"/>
      <c r="Y381" s="103"/>
      <c r="Z381" s="103" t="s">
        <v>868</v>
      </c>
      <c r="AA381" s="103" t="s">
        <v>874</v>
      </c>
      <c r="AB381" s="103" t="s">
        <v>153</v>
      </c>
      <c r="AC381" s="103">
        <v>0</v>
      </c>
      <c r="AD381" s="156">
        <v>42005</v>
      </c>
      <c r="AE381" s="103"/>
      <c r="AF381" s="103" t="s">
        <v>870</v>
      </c>
      <c r="AG381" s="103" t="s">
        <v>871</v>
      </c>
      <c r="AH381" s="103" t="s">
        <v>976</v>
      </c>
      <c r="AI381" s="103">
        <v>0</v>
      </c>
      <c r="AJ381" s="103"/>
      <c r="AK381" s="103"/>
      <c r="AL381" s="103"/>
      <c r="AM381" s="103"/>
      <c r="AN381" s="103"/>
      <c r="AO381" s="103" t="str">
        <f t="shared" si="11"/>
        <v>CFLscw(9w)Single-pack</v>
      </c>
    </row>
    <row r="382" spans="1:41">
      <c r="A382" s="177">
        <f>IFERROR(MATCH(D382,'Measure &amp; Standard CostIDs'!C$5:C$177,0),MATCH(D382,'Measure &amp; Standard CostIDs'!S$5:S$177,0))</f>
        <v>48</v>
      </c>
      <c r="B382" s="177">
        <f t="shared" si="12"/>
        <v>2</v>
      </c>
      <c r="C382" s="103" t="s">
        <v>153</v>
      </c>
      <c r="D382" s="103" t="str">
        <f t="shared" si="13"/>
        <v>CFLscw-3way(13w)</v>
      </c>
      <c r="E382" s="103" t="str">
        <f>IF(LEFT(D382,3)="Std","Base case cost for mix of 60% Incandescent and 40% CFL lamps for CFL TechID: "&amp;INDEX('Measure &amp; Standard CostIDs'!$C$5:$C$177,A382),"&lt;from TechID&gt;")</f>
        <v>&lt;from TechID&gt;</v>
      </c>
      <c r="F382" s="103" t="s">
        <v>860</v>
      </c>
      <c r="G382" s="103" t="s">
        <v>151</v>
      </c>
      <c r="H382" s="103" t="s">
        <v>861</v>
      </c>
      <c r="I382" s="103" t="s">
        <v>862</v>
      </c>
      <c r="J382" s="103" t="s">
        <v>863</v>
      </c>
      <c r="K382" s="103" t="s">
        <v>864</v>
      </c>
      <c r="L382" s="103" t="s">
        <v>153</v>
      </c>
      <c r="M382" s="103" t="s">
        <v>865</v>
      </c>
      <c r="N382" s="103" t="s">
        <v>866</v>
      </c>
      <c r="O382" s="103" t="str">
        <f t="shared" si="10"/>
        <v>CFLscw-3way(13w)</v>
      </c>
      <c r="P382" s="103" t="s">
        <v>153</v>
      </c>
      <c r="Q382" s="103" t="s">
        <v>153</v>
      </c>
      <c r="R382" s="103" t="s">
        <v>153</v>
      </c>
      <c r="S382" s="103" t="str">
        <f>INDEX('Measure &amp; Standard CostIDs'!$AK$8:$AK$12,B382)</f>
        <v>Single-pack</v>
      </c>
      <c r="T382" s="103" t="s">
        <v>867</v>
      </c>
      <c r="U382" s="103"/>
      <c r="V382" s="103"/>
      <c r="W382" s="103">
        <f>ROUND(IF(LEFT(D382,3)="Std",VLOOKUP(D382,'Measure &amp; Standard CostIDs'!$S$5:$X$177,1+B382,FALSE),VLOOKUP(D382,'Measure &amp; Standard CostIDs'!$C$5:$H$177,1+B382,FALSE)),2)</f>
        <v>11.59</v>
      </c>
      <c r="X382" s="103"/>
      <c r="Y382" s="103"/>
      <c r="Z382" s="103" t="s">
        <v>868</v>
      </c>
      <c r="AA382" s="103" t="s">
        <v>874</v>
      </c>
      <c r="AB382" s="103" t="s">
        <v>153</v>
      </c>
      <c r="AC382" s="103">
        <v>0</v>
      </c>
      <c r="AD382" s="156">
        <v>42005</v>
      </c>
      <c r="AE382" s="103"/>
      <c r="AF382" s="103" t="s">
        <v>870</v>
      </c>
      <c r="AG382" s="103" t="s">
        <v>871</v>
      </c>
      <c r="AH382" s="103" t="s">
        <v>976</v>
      </c>
      <c r="AI382" s="103">
        <v>0</v>
      </c>
      <c r="AJ382" s="103"/>
      <c r="AK382" s="103"/>
      <c r="AL382" s="103"/>
      <c r="AM382" s="103"/>
      <c r="AN382" s="103"/>
      <c r="AO382" s="103" t="str">
        <f t="shared" si="11"/>
        <v>CFLscw-3way(13w)Single-pack</v>
      </c>
    </row>
    <row r="383" spans="1:41">
      <c r="A383" s="177">
        <f>IFERROR(MATCH(D383,'Measure &amp; Standard CostIDs'!C$5:C$177,0),MATCH(D383,'Measure &amp; Standard CostIDs'!S$5:S$177,0))</f>
        <v>49</v>
      </c>
      <c r="B383" s="177">
        <f t="shared" si="12"/>
        <v>2</v>
      </c>
      <c r="C383" s="103" t="s">
        <v>153</v>
      </c>
      <c r="D383" s="103" t="str">
        <f t="shared" si="13"/>
        <v>CFLscw-3way(15w)</v>
      </c>
      <c r="E383" s="103" t="str">
        <f>IF(LEFT(D383,3)="Std","Base case cost for mix of 60% Incandescent and 40% CFL lamps for CFL TechID: "&amp;INDEX('Measure &amp; Standard CostIDs'!$C$5:$C$177,A383),"&lt;from TechID&gt;")</f>
        <v>&lt;from TechID&gt;</v>
      </c>
      <c r="F383" s="103" t="s">
        <v>860</v>
      </c>
      <c r="G383" s="103" t="s">
        <v>151</v>
      </c>
      <c r="H383" s="103" t="s">
        <v>861</v>
      </c>
      <c r="I383" s="103" t="s">
        <v>862</v>
      </c>
      <c r="J383" s="103" t="s">
        <v>863</v>
      </c>
      <c r="K383" s="103" t="s">
        <v>864</v>
      </c>
      <c r="L383" s="103" t="s">
        <v>153</v>
      </c>
      <c r="M383" s="103" t="s">
        <v>865</v>
      </c>
      <c r="N383" s="103" t="s">
        <v>866</v>
      </c>
      <c r="O383" s="103" t="str">
        <f t="shared" si="10"/>
        <v>CFLscw-3way(15w)</v>
      </c>
      <c r="P383" s="103" t="s">
        <v>153</v>
      </c>
      <c r="Q383" s="103" t="s">
        <v>153</v>
      </c>
      <c r="R383" s="103" t="s">
        <v>153</v>
      </c>
      <c r="S383" s="103" t="str">
        <f>INDEX('Measure &amp; Standard CostIDs'!$AK$8:$AK$12,B383)</f>
        <v>Single-pack</v>
      </c>
      <c r="T383" s="103" t="s">
        <v>867</v>
      </c>
      <c r="U383" s="103"/>
      <c r="V383" s="103"/>
      <c r="W383" s="103">
        <f>ROUND(IF(LEFT(D383,3)="Std",VLOOKUP(D383,'Measure &amp; Standard CostIDs'!$S$5:$X$177,1+B383,FALSE),VLOOKUP(D383,'Measure &amp; Standard CostIDs'!$C$5:$H$177,1+B383,FALSE)),2)</f>
        <v>11.72</v>
      </c>
      <c r="X383" s="103"/>
      <c r="Y383" s="103"/>
      <c r="Z383" s="103" t="s">
        <v>868</v>
      </c>
      <c r="AA383" s="103" t="s">
        <v>874</v>
      </c>
      <c r="AB383" s="103" t="s">
        <v>153</v>
      </c>
      <c r="AC383" s="103">
        <v>0</v>
      </c>
      <c r="AD383" s="156">
        <v>42005</v>
      </c>
      <c r="AE383" s="103"/>
      <c r="AF383" s="103" t="s">
        <v>870</v>
      </c>
      <c r="AG383" s="103" t="s">
        <v>871</v>
      </c>
      <c r="AH383" s="103" t="s">
        <v>976</v>
      </c>
      <c r="AI383" s="103">
        <v>0</v>
      </c>
      <c r="AJ383" s="103"/>
      <c r="AK383" s="103"/>
      <c r="AL383" s="103"/>
      <c r="AM383" s="103"/>
      <c r="AN383" s="103"/>
      <c r="AO383" s="103" t="str">
        <f t="shared" si="11"/>
        <v>CFLscw-3way(15w)Single-pack</v>
      </c>
    </row>
    <row r="384" spans="1:41">
      <c r="A384" s="177">
        <f>IFERROR(MATCH(D384,'Measure &amp; Standard CostIDs'!C$5:C$177,0),MATCH(D384,'Measure &amp; Standard CostIDs'!S$5:S$177,0))</f>
        <v>50</v>
      </c>
      <c r="B384" s="177">
        <f t="shared" si="12"/>
        <v>2</v>
      </c>
      <c r="C384" s="103" t="s">
        <v>153</v>
      </c>
      <c r="D384" s="103" t="str">
        <f t="shared" si="13"/>
        <v>CFLscw-3way(16w)</v>
      </c>
      <c r="E384" s="103" t="str">
        <f>IF(LEFT(D384,3)="Std","Base case cost for mix of 60% Incandescent and 40% CFL lamps for CFL TechID: "&amp;INDEX('Measure &amp; Standard CostIDs'!$C$5:$C$177,A384),"&lt;from TechID&gt;")</f>
        <v>&lt;from TechID&gt;</v>
      </c>
      <c r="F384" s="103" t="s">
        <v>860</v>
      </c>
      <c r="G384" s="103" t="s">
        <v>151</v>
      </c>
      <c r="H384" s="103" t="s">
        <v>861</v>
      </c>
      <c r="I384" s="103" t="s">
        <v>862</v>
      </c>
      <c r="J384" s="103" t="s">
        <v>863</v>
      </c>
      <c r="K384" s="103" t="s">
        <v>864</v>
      </c>
      <c r="L384" s="103" t="s">
        <v>153</v>
      </c>
      <c r="M384" s="103" t="s">
        <v>865</v>
      </c>
      <c r="N384" s="103" t="s">
        <v>866</v>
      </c>
      <c r="O384" s="103" t="str">
        <f t="shared" si="10"/>
        <v>CFLscw-3way(16w)</v>
      </c>
      <c r="P384" s="103" t="s">
        <v>153</v>
      </c>
      <c r="Q384" s="103" t="s">
        <v>153</v>
      </c>
      <c r="R384" s="103" t="s">
        <v>153</v>
      </c>
      <c r="S384" s="103" t="str">
        <f>INDEX('Measure &amp; Standard CostIDs'!$AK$8:$AK$12,B384)</f>
        <v>Single-pack</v>
      </c>
      <c r="T384" s="103" t="s">
        <v>867</v>
      </c>
      <c r="U384" s="103"/>
      <c r="V384" s="103"/>
      <c r="W384" s="103">
        <f>ROUND(IF(LEFT(D384,3)="Std",VLOOKUP(D384,'Measure &amp; Standard CostIDs'!$S$5:$X$177,1+B384,FALSE),VLOOKUP(D384,'Measure &amp; Standard CostIDs'!$C$5:$H$177,1+B384,FALSE)),2)</f>
        <v>11.79</v>
      </c>
      <c r="X384" s="103"/>
      <c r="Y384" s="103"/>
      <c r="Z384" s="103" t="s">
        <v>868</v>
      </c>
      <c r="AA384" s="103" t="s">
        <v>874</v>
      </c>
      <c r="AB384" s="103" t="s">
        <v>153</v>
      </c>
      <c r="AC384" s="103">
        <v>0</v>
      </c>
      <c r="AD384" s="156">
        <v>42005</v>
      </c>
      <c r="AE384" s="103"/>
      <c r="AF384" s="103" t="s">
        <v>870</v>
      </c>
      <c r="AG384" s="103" t="s">
        <v>871</v>
      </c>
      <c r="AH384" s="103" t="s">
        <v>976</v>
      </c>
      <c r="AI384" s="103">
        <v>0</v>
      </c>
      <c r="AJ384" s="103"/>
      <c r="AK384" s="103"/>
      <c r="AL384" s="103"/>
      <c r="AM384" s="103"/>
      <c r="AN384" s="103"/>
      <c r="AO384" s="103" t="str">
        <f t="shared" si="11"/>
        <v>CFLscw-3way(16w)Single-pack</v>
      </c>
    </row>
    <row r="385" spans="1:41">
      <c r="A385" s="177">
        <f>IFERROR(MATCH(D385,'Measure &amp; Standard CostIDs'!C$5:C$177,0),MATCH(D385,'Measure &amp; Standard CostIDs'!S$5:S$177,0))</f>
        <v>51</v>
      </c>
      <c r="B385" s="177">
        <f t="shared" si="12"/>
        <v>2</v>
      </c>
      <c r="C385" s="103" t="s">
        <v>153</v>
      </c>
      <c r="D385" s="103" t="str">
        <f t="shared" si="13"/>
        <v>CFLscw-3way(17w)</v>
      </c>
      <c r="E385" s="103" t="str">
        <f>IF(LEFT(D385,3)="Std","Base case cost for mix of 60% Incandescent and 40% CFL lamps for CFL TechID: "&amp;INDEX('Measure &amp; Standard CostIDs'!$C$5:$C$177,A385),"&lt;from TechID&gt;")</f>
        <v>&lt;from TechID&gt;</v>
      </c>
      <c r="F385" s="103" t="s">
        <v>860</v>
      </c>
      <c r="G385" s="103" t="s">
        <v>151</v>
      </c>
      <c r="H385" s="103" t="s">
        <v>861</v>
      </c>
      <c r="I385" s="103" t="s">
        <v>862</v>
      </c>
      <c r="J385" s="103" t="s">
        <v>863</v>
      </c>
      <c r="K385" s="103" t="s">
        <v>864</v>
      </c>
      <c r="L385" s="103" t="s">
        <v>153</v>
      </c>
      <c r="M385" s="103" t="s">
        <v>865</v>
      </c>
      <c r="N385" s="103" t="s">
        <v>866</v>
      </c>
      <c r="O385" s="103" t="str">
        <f t="shared" si="10"/>
        <v>CFLscw-3way(17w)</v>
      </c>
      <c r="P385" s="103" t="s">
        <v>153</v>
      </c>
      <c r="Q385" s="103" t="s">
        <v>153</v>
      </c>
      <c r="R385" s="103" t="s">
        <v>153</v>
      </c>
      <c r="S385" s="103" t="str">
        <f>INDEX('Measure &amp; Standard CostIDs'!$AK$8:$AK$12,B385)</f>
        <v>Single-pack</v>
      </c>
      <c r="T385" s="103" t="s">
        <v>867</v>
      </c>
      <c r="U385" s="103"/>
      <c r="V385" s="103"/>
      <c r="W385" s="103">
        <f>ROUND(IF(LEFT(D385,3)="Std",VLOOKUP(D385,'Measure &amp; Standard CostIDs'!$S$5:$X$177,1+B385,FALSE),VLOOKUP(D385,'Measure &amp; Standard CostIDs'!$C$5:$H$177,1+B385,FALSE)),2)</f>
        <v>11.86</v>
      </c>
      <c r="X385" s="103"/>
      <c r="Y385" s="103"/>
      <c r="Z385" s="103" t="s">
        <v>868</v>
      </c>
      <c r="AA385" s="103" t="s">
        <v>874</v>
      </c>
      <c r="AB385" s="103" t="s">
        <v>153</v>
      </c>
      <c r="AC385" s="103">
        <v>0</v>
      </c>
      <c r="AD385" s="156">
        <v>42005</v>
      </c>
      <c r="AE385" s="103"/>
      <c r="AF385" s="103" t="s">
        <v>870</v>
      </c>
      <c r="AG385" s="103" t="s">
        <v>871</v>
      </c>
      <c r="AH385" s="103" t="s">
        <v>976</v>
      </c>
      <c r="AI385" s="103">
        <v>0</v>
      </c>
      <c r="AJ385" s="103"/>
      <c r="AK385" s="103"/>
      <c r="AL385" s="103"/>
      <c r="AM385" s="103"/>
      <c r="AN385" s="103"/>
      <c r="AO385" s="103" t="str">
        <f t="shared" si="11"/>
        <v>CFLscw-3way(17w)Single-pack</v>
      </c>
    </row>
    <row r="386" spans="1:41">
      <c r="A386" s="177">
        <f>IFERROR(MATCH(D386,'Measure &amp; Standard CostIDs'!C$5:C$177,0),MATCH(D386,'Measure &amp; Standard CostIDs'!S$5:S$177,0))</f>
        <v>52</v>
      </c>
      <c r="B386" s="177">
        <f t="shared" si="12"/>
        <v>2</v>
      </c>
      <c r="C386" s="103" t="s">
        <v>153</v>
      </c>
      <c r="D386" s="103" t="str">
        <f t="shared" si="13"/>
        <v>CFLscw-3way(18w)</v>
      </c>
      <c r="E386" s="103" t="str">
        <f>IF(LEFT(D386,3)="Std","Base case cost for mix of 60% Incandescent and 40% CFL lamps for CFL TechID: "&amp;INDEX('Measure &amp; Standard CostIDs'!$C$5:$C$177,A386),"&lt;from TechID&gt;")</f>
        <v>&lt;from TechID&gt;</v>
      </c>
      <c r="F386" s="103" t="s">
        <v>860</v>
      </c>
      <c r="G386" s="103" t="s">
        <v>151</v>
      </c>
      <c r="H386" s="103" t="s">
        <v>861</v>
      </c>
      <c r="I386" s="103" t="s">
        <v>862</v>
      </c>
      <c r="J386" s="103" t="s">
        <v>863</v>
      </c>
      <c r="K386" s="103" t="s">
        <v>864</v>
      </c>
      <c r="L386" s="103" t="s">
        <v>153</v>
      </c>
      <c r="M386" s="103" t="s">
        <v>865</v>
      </c>
      <c r="N386" s="103" t="s">
        <v>866</v>
      </c>
      <c r="O386" s="103" t="str">
        <f t="shared" si="10"/>
        <v>CFLscw-3way(18w)</v>
      </c>
      <c r="P386" s="103" t="s">
        <v>153</v>
      </c>
      <c r="Q386" s="103" t="s">
        <v>153</v>
      </c>
      <c r="R386" s="103" t="s">
        <v>153</v>
      </c>
      <c r="S386" s="103" t="str">
        <f>INDEX('Measure &amp; Standard CostIDs'!$AK$8:$AK$12,B386)</f>
        <v>Single-pack</v>
      </c>
      <c r="T386" s="103" t="s">
        <v>867</v>
      </c>
      <c r="U386" s="103"/>
      <c r="V386" s="103"/>
      <c r="W386" s="103">
        <f>ROUND(IF(LEFT(D386,3)="Std",VLOOKUP(D386,'Measure &amp; Standard CostIDs'!$S$5:$X$177,1+B386,FALSE),VLOOKUP(D386,'Measure &amp; Standard CostIDs'!$C$5:$H$177,1+B386,FALSE)),2)</f>
        <v>11.92</v>
      </c>
      <c r="X386" s="103"/>
      <c r="Y386" s="103"/>
      <c r="Z386" s="103" t="s">
        <v>868</v>
      </c>
      <c r="AA386" s="103" t="s">
        <v>874</v>
      </c>
      <c r="AB386" s="103" t="s">
        <v>153</v>
      </c>
      <c r="AC386" s="103">
        <v>0</v>
      </c>
      <c r="AD386" s="156">
        <v>42005</v>
      </c>
      <c r="AE386" s="103"/>
      <c r="AF386" s="103" t="s">
        <v>870</v>
      </c>
      <c r="AG386" s="103" t="s">
        <v>871</v>
      </c>
      <c r="AH386" s="103" t="s">
        <v>976</v>
      </c>
      <c r="AI386" s="103">
        <v>0</v>
      </c>
      <c r="AJ386" s="103"/>
      <c r="AK386" s="103"/>
      <c r="AL386" s="103"/>
      <c r="AM386" s="103"/>
      <c r="AN386" s="103"/>
      <c r="AO386" s="103" t="str">
        <f t="shared" si="11"/>
        <v>CFLscw-3way(18w)Single-pack</v>
      </c>
    </row>
    <row r="387" spans="1:41">
      <c r="A387" s="177">
        <f>IFERROR(MATCH(D387,'Measure &amp; Standard CostIDs'!C$5:C$177,0),MATCH(D387,'Measure &amp; Standard CostIDs'!S$5:S$177,0))</f>
        <v>53</v>
      </c>
      <c r="B387" s="177">
        <f t="shared" si="12"/>
        <v>2</v>
      </c>
      <c r="C387" s="103" t="s">
        <v>153</v>
      </c>
      <c r="D387" s="103" t="str">
        <f t="shared" si="13"/>
        <v>CFLscw-3way(19w)</v>
      </c>
      <c r="E387" s="103" t="str">
        <f>IF(LEFT(D387,3)="Std","Base case cost for mix of 60% Incandescent and 40% CFL lamps for CFL TechID: "&amp;INDEX('Measure &amp; Standard CostIDs'!$C$5:$C$177,A387),"&lt;from TechID&gt;")</f>
        <v>&lt;from TechID&gt;</v>
      </c>
      <c r="F387" s="103" t="s">
        <v>860</v>
      </c>
      <c r="G387" s="103" t="s">
        <v>151</v>
      </c>
      <c r="H387" s="103" t="s">
        <v>861</v>
      </c>
      <c r="I387" s="103" t="s">
        <v>862</v>
      </c>
      <c r="J387" s="103" t="s">
        <v>863</v>
      </c>
      <c r="K387" s="103" t="s">
        <v>864</v>
      </c>
      <c r="L387" s="103" t="s">
        <v>153</v>
      </c>
      <c r="M387" s="103" t="s">
        <v>865</v>
      </c>
      <c r="N387" s="103" t="s">
        <v>866</v>
      </c>
      <c r="O387" s="103" t="str">
        <f t="shared" si="10"/>
        <v>CFLscw-3way(19w)</v>
      </c>
      <c r="P387" s="103" t="s">
        <v>153</v>
      </c>
      <c r="Q387" s="103" t="s">
        <v>153</v>
      </c>
      <c r="R387" s="103" t="s">
        <v>153</v>
      </c>
      <c r="S387" s="103" t="str">
        <f>INDEX('Measure &amp; Standard CostIDs'!$AK$8:$AK$12,B387)</f>
        <v>Single-pack</v>
      </c>
      <c r="T387" s="103" t="s">
        <v>867</v>
      </c>
      <c r="U387" s="103"/>
      <c r="V387" s="103"/>
      <c r="W387" s="103">
        <f>ROUND(IF(LEFT(D387,3)="Std",VLOOKUP(D387,'Measure &amp; Standard CostIDs'!$S$5:$X$177,1+B387,FALSE),VLOOKUP(D387,'Measure &amp; Standard CostIDs'!$C$5:$H$177,1+B387,FALSE)),2)</f>
        <v>11.99</v>
      </c>
      <c r="X387" s="103"/>
      <c r="Y387" s="103"/>
      <c r="Z387" s="103" t="s">
        <v>868</v>
      </c>
      <c r="AA387" s="103" t="s">
        <v>874</v>
      </c>
      <c r="AB387" s="103" t="s">
        <v>153</v>
      </c>
      <c r="AC387" s="103">
        <v>0</v>
      </c>
      <c r="AD387" s="156">
        <v>42005</v>
      </c>
      <c r="AE387" s="103"/>
      <c r="AF387" s="103" t="s">
        <v>870</v>
      </c>
      <c r="AG387" s="103" t="s">
        <v>871</v>
      </c>
      <c r="AH387" s="103" t="s">
        <v>976</v>
      </c>
      <c r="AI387" s="103">
        <v>0</v>
      </c>
      <c r="AJ387" s="103"/>
      <c r="AK387" s="103"/>
      <c r="AL387" s="103"/>
      <c r="AM387" s="103"/>
      <c r="AN387" s="103"/>
      <c r="AO387" s="103" t="str">
        <f t="shared" si="11"/>
        <v>CFLscw-3way(19w)Single-pack</v>
      </c>
    </row>
    <row r="388" spans="1:41">
      <c r="A388" s="177">
        <f>IFERROR(MATCH(D388,'Measure &amp; Standard CostIDs'!C$5:C$177,0),MATCH(D388,'Measure &amp; Standard CostIDs'!S$5:S$177,0))</f>
        <v>54</v>
      </c>
      <c r="B388" s="177">
        <f t="shared" si="12"/>
        <v>2</v>
      </c>
      <c r="C388" s="103" t="s">
        <v>153</v>
      </c>
      <c r="D388" s="103" t="str">
        <f t="shared" si="13"/>
        <v>CFLscw-3way(20w)</v>
      </c>
      <c r="E388" s="103" t="str">
        <f>IF(LEFT(D388,3)="Std","Base case cost for mix of 60% Incandescent and 40% CFL lamps for CFL TechID: "&amp;INDEX('Measure &amp; Standard CostIDs'!$C$5:$C$177,A388),"&lt;from TechID&gt;")</f>
        <v>&lt;from TechID&gt;</v>
      </c>
      <c r="F388" s="103" t="s">
        <v>860</v>
      </c>
      <c r="G388" s="103" t="s">
        <v>151</v>
      </c>
      <c r="H388" s="103" t="s">
        <v>861</v>
      </c>
      <c r="I388" s="103" t="s">
        <v>862</v>
      </c>
      <c r="J388" s="103" t="s">
        <v>863</v>
      </c>
      <c r="K388" s="103" t="s">
        <v>864</v>
      </c>
      <c r="L388" s="103" t="s">
        <v>153</v>
      </c>
      <c r="M388" s="103" t="s">
        <v>865</v>
      </c>
      <c r="N388" s="103" t="s">
        <v>866</v>
      </c>
      <c r="O388" s="103" t="str">
        <f t="shared" si="10"/>
        <v>CFLscw-3way(20w)</v>
      </c>
      <c r="P388" s="103" t="s">
        <v>153</v>
      </c>
      <c r="Q388" s="103" t="s">
        <v>153</v>
      </c>
      <c r="R388" s="103" t="s">
        <v>153</v>
      </c>
      <c r="S388" s="103" t="str">
        <f>INDEX('Measure &amp; Standard CostIDs'!$AK$8:$AK$12,B388)</f>
        <v>Single-pack</v>
      </c>
      <c r="T388" s="103" t="s">
        <v>867</v>
      </c>
      <c r="U388" s="103"/>
      <c r="V388" s="103"/>
      <c r="W388" s="103">
        <f>ROUND(IF(LEFT(D388,3)="Std",VLOOKUP(D388,'Measure &amp; Standard CostIDs'!$S$5:$X$177,1+B388,FALSE),VLOOKUP(D388,'Measure &amp; Standard CostIDs'!$C$5:$H$177,1+B388,FALSE)),2)</f>
        <v>12.06</v>
      </c>
      <c r="X388" s="103"/>
      <c r="Y388" s="103"/>
      <c r="Z388" s="103" t="s">
        <v>868</v>
      </c>
      <c r="AA388" s="103" t="s">
        <v>874</v>
      </c>
      <c r="AB388" s="103" t="s">
        <v>153</v>
      </c>
      <c r="AC388" s="103">
        <v>0</v>
      </c>
      <c r="AD388" s="156">
        <v>42005</v>
      </c>
      <c r="AE388" s="103"/>
      <c r="AF388" s="103" t="s">
        <v>870</v>
      </c>
      <c r="AG388" s="103" t="s">
        <v>871</v>
      </c>
      <c r="AH388" s="103" t="s">
        <v>976</v>
      </c>
      <c r="AI388" s="103">
        <v>0</v>
      </c>
      <c r="AJ388" s="103"/>
      <c r="AK388" s="103"/>
      <c r="AL388" s="103"/>
      <c r="AM388" s="103"/>
      <c r="AN388" s="103"/>
      <c r="AO388" s="103" t="str">
        <f t="shared" si="11"/>
        <v>CFLscw-3way(20w)Single-pack</v>
      </c>
    </row>
    <row r="389" spans="1:41">
      <c r="A389" s="177">
        <f>IFERROR(MATCH(D389,'Measure &amp; Standard CostIDs'!C$5:C$177,0),MATCH(D389,'Measure &amp; Standard CostIDs'!S$5:S$177,0))</f>
        <v>55</v>
      </c>
      <c r="B389" s="177">
        <f t="shared" si="12"/>
        <v>2</v>
      </c>
      <c r="C389" s="103" t="s">
        <v>153</v>
      </c>
      <c r="D389" s="103" t="str">
        <f t="shared" si="13"/>
        <v>CFLscw-3way(21w)</v>
      </c>
      <c r="E389" s="103" t="str">
        <f>IF(LEFT(D389,3)="Std","Base case cost for mix of 60% Incandescent and 40% CFL lamps for CFL TechID: "&amp;INDEX('Measure &amp; Standard CostIDs'!$C$5:$C$177,A389),"&lt;from TechID&gt;")</f>
        <v>&lt;from TechID&gt;</v>
      </c>
      <c r="F389" s="103" t="s">
        <v>860</v>
      </c>
      <c r="G389" s="103" t="s">
        <v>151</v>
      </c>
      <c r="H389" s="103" t="s">
        <v>861</v>
      </c>
      <c r="I389" s="103" t="s">
        <v>862</v>
      </c>
      <c r="J389" s="103" t="s">
        <v>863</v>
      </c>
      <c r="K389" s="103" t="s">
        <v>864</v>
      </c>
      <c r="L389" s="103" t="s">
        <v>153</v>
      </c>
      <c r="M389" s="103" t="s">
        <v>865</v>
      </c>
      <c r="N389" s="103" t="s">
        <v>866</v>
      </c>
      <c r="O389" s="103" t="str">
        <f t="shared" si="10"/>
        <v>CFLscw-3way(21w)</v>
      </c>
      <c r="P389" s="103" t="s">
        <v>153</v>
      </c>
      <c r="Q389" s="103" t="s">
        <v>153</v>
      </c>
      <c r="R389" s="103" t="s">
        <v>153</v>
      </c>
      <c r="S389" s="103" t="str">
        <f>INDEX('Measure &amp; Standard CostIDs'!$AK$8:$AK$12,B389)</f>
        <v>Single-pack</v>
      </c>
      <c r="T389" s="103" t="s">
        <v>867</v>
      </c>
      <c r="U389" s="103"/>
      <c r="V389" s="103"/>
      <c r="W389" s="103">
        <f>ROUND(IF(LEFT(D389,3)="Std",VLOOKUP(D389,'Measure &amp; Standard CostIDs'!$S$5:$X$177,1+B389,FALSE),VLOOKUP(D389,'Measure &amp; Standard CostIDs'!$C$5:$H$177,1+B389,FALSE)),2)</f>
        <v>12.12</v>
      </c>
      <c r="X389" s="103"/>
      <c r="Y389" s="103"/>
      <c r="Z389" s="103" t="s">
        <v>868</v>
      </c>
      <c r="AA389" s="103" t="s">
        <v>874</v>
      </c>
      <c r="AB389" s="103" t="s">
        <v>153</v>
      </c>
      <c r="AC389" s="103">
        <v>0</v>
      </c>
      <c r="AD389" s="156">
        <v>42005</v>
      </c>
      <c r="AE389" s="103"/>
      <c r="AF389" s="103" t="s">
        <v>870</v>
      </c>
      <c r="AG389" s="103" t="s">
        <v>871</v>
      </c>
      <c r="AH389" s="103" t="s">
        <v>976</v>
      </c>
      <c r="AI389" s="103">
        <v>0</v>
      </c>
      <c r="AJ389" s="103"/>
      <c r="AK389" s="103"/>
      <c r="AL389" s="103"/>
      <c r="AM389" s="103"/>
      <c r="AN389" s="103"/>
      <c r="AO389" s="103" t="str">
        <f t="shared" si="11"/>
        <v>CFLscw-3way(21w)Single-pack</v>
      </c>
    </row>
    <row r="390" spans="1:41">
      <c r="A390" s="177">
        <f>IFERROR(MATCH(D390,'Measure &amp; Standard CostIDs'!C$5:C$177,0),MATCH(D390,'Measure &amp; Standard CostIDs'!S$5:S$177,0))</f>
        <v>56</v>
      </c>
      <c r="B390" s="177">
        <f t="shared" si="12"/>
        <v>2</v>
      </c>
      <c r="C390" s="103" t="s">
        <v>153</v>
      </c>
      <c r="D390" s="103" t="str">
        <f t="shared" si="13"/>
        <v>CFLscw-3way(22w)</v>
      </c>
      <c r="E390" s="103" t="str">
        <f>IF(LEFT(D390,3)="Std","Base case cost for mix of 60% Incandescent and 40% CFL lamps for CFL TechID: "&amp;INDEX('Measure &amp; Standard CostIDs'!$C$5:$C$177,A390),"&lt;from TechID&gt;")</f>
        <v>&lt;from TechID&gt;</v>
      </c>
      <c r="F390" s="103" t="s">
        <v>860</v>
      </c>
      <c r="G390" s="103" t="s">
        <v>151</v>
      </c>
      <c r="H390" s="103" t="s">
        <v>861</v>
      </c>
      <c r="I390" s="103" t="s">
        <v>862</v>
      </c>
      <c r="J390" s="103" t="s">
        <v>863</v>
      </c>
      <c r="K390" s="103" t="s">
        <v>864</v>
      </c>
      <c r="L390" s="103" t="s">
        <v>153</v>
      </c>
      <c r="M390" s="103" t="s">
        <v>865</v>
      </c>
      <c r="N390" s="103" t="s">
        <v>866</v>
      </c>
      <c r="O390" s="103" t="str">
        <f t="shared" ref="O390:O453" si="14">IF(LEFT(D390,3)="Std","",D390)</f>
        <v>CFLscw-3way(22w)</v>
      </c>
      <c r="P390" s="103" t="s">
        <v>153</v>
      </c>
      <c r="Q390" s="103" t="s">
        <v>153</v>
      </c>
      <c r="R390" s="103" t="s">
        <v>153</v>
      </c>
      <c r="S390" s="103" t="str">
        <f>INDEX('Measure &amp; Standard CostIDs'!$AK$8:$AK$12,B390)</f>
        <v>Single-pack</v>
      </c>
      <c r="T390" s="103" t="s">
        <v>867</v>
      </c>
      <c r="U390" s="103"/>
      <c r="V390" s="103"/>
      <c r="W390" s="103">
        <f>ROUND(IF(LEFT(D390,3)="Std",VLOOKUP(D390,'Measure &amp; Standard CostIDs'!$S$5:$X$177,1+B390,FALSE),VLOOKUP(D390,'Measure &amp; Standard CostIDs'!$C$5:$H$177,1+B390,FALSE)),2)</f>
        <v>12.19</v>
      </c>
      <c r="X390" s="103"/>
      <c r="Y390" s="103"/>
      <c r="Z390" s="103" t="s">
        <v>868</v>
      </c>
      <c r="AA390" s="103" t="s">
        <v>874</v>
      </c>
      <c r="AB390" s="103" t="s">
        <v>153</v>
      </c>
      <c r="AC390" s="103">
        <v>0</v>
      </c>
      <c r="AD390" s="156">
        <v>42005</v>
      </c>
      <c r="AE390" s="103"/>
      <c r="AF390" s="103" t="s">
        <v>870</v>
      </c>
      <c r="AG390" s="103" t="s">
        <v>871</v>
      </c>
      <c r="AH390" s="103" t="s">
        <v>976</v>
      </c>
      <c r="AI390" s="103">
        <v>0</v>
      </c>
      <c r="AJ390" s="103"/>
      <c r="AK390" s="103"/>
      <c r="AL390" s="103"/>
      <c r="AM390" s="103"/>
      <c r="AN390" s="103"/>
      <c r="AO390" s="103" t="str">
        <f t="shared" ref="AO390:AO453" si="15">D390&amp;S390</f>
        <v>CFLscw-3way(22w)Single-pack</v>
      </c>
    </row>
    <row r="391" spans="1:41">
      <c r="A391" s="177">
        <f>IFERROR(MATCH(D391,'Measure &amp; Standard CostIDs'!C$5:C$177,0),MATCH(D391,'Measure &amp; Standard CostIDs'!S$5:S$177,0))</f>
        <v>57</v>
      </c>
      <c r="B391" s="177">
        <f t="shared" si="12"/>
        <v>2</v>
      </c>
      <c r="C391" s="103" t="s">
        <v>153</v>
      </c>
      <c r="D391" s="103" t="str">
        <f t="shared" si="13"/>
        <v>CFLscw-3way(23w)</v>
      </c>
      <c r="E391" s="103" t="str">
        <f>IF(LEFT(D391,3)="Std","Base case cost for mix of 60% Incandescent and 40% CFL lamps for CFL TechID: "&amp;INDEX('Measure &amp; Standard CostIDs'!$C$5:$C$177,A391),"&lt;from TechID&gt;")</f>
        <v>&lt;from TechID&gt;</v>
      </c>
      <c r="F391" s="103" t="s">
        <v>860</v>
      </c>
      <c r="G391" s="103" t="s">
        <v>151</v>
      </c>
      <c r="H391" s="103" t="s">
        <v>861</v>
      </c>
      <c r="I391" s="103" t="s">
        <v>862</v>
      </c>
      <c r="J391" s="103" t="s">
        <v>863</v>
      </c>
      <c r="K391" s="103" t="s">
        <v>864</v>
      </c>
      <c r="L391" s="103" t="s">
        <v>153</v>
      </c>
      <c r="M391" s="103" t="s">
        <v>865</v>
      </c>
      <c r="N391" s="103" t="s">
        <v>866</v>
      </c>
      <c r="O391" s="103" t="str">
        <f t="shared" si="14"/>
        <v>CFLscw-3way(23w)</v>
      </c>
      <c r="P391" s="103" t="s">
        <v>153</v>
      </c>
      <c r="Q391" s="103" t="s">
        <v>153</v>
      </c>
      <c r="R391" s="103" t="s">
        <v>153</v>
      </c>
      <c r="S391" s="103" t="str">
        <f>INDEX('Measure &amp; Standard CostIDs'!$AK$8:$AK$12,B391)</f>
        <v>Single-pack</v>
      </c>
      <c r="T391" s="103" t="s">
        <v>867</v>
      </c>
      <c r="U391" s="103"/>
      <c r="V391" s="103"/>
      <c r="W391" s="103">
        <f>ROUND(IF(LEFT(D391,3)="Std",VLOOKUP(D391,'Measure &amp; Standard CostIDs'!$S$5:$X$177,1+B391,FALSE),VLOOKUP(D391,'Measure &amp; Standard CostIDs'!$C$5:$H$177,1+B391,FALSE)),2)</f>
        <v>12.26</v>
      </c>
      <c r="X391" s="103"/>
      <c r="Y391" s="103"/>
      <c r="Z391" s="103" t="s">
        <v>868</v>
      </c>
      <c r="AA391" s="103" t="s">
        <v>874</v>
      </c>
      <c r="AB391" s="103" t="s">
        <v>153</v>
      </c>
      <c r="AC391" s="103">
        <v>0</v>
      </c>
      <c r="AD391" s="156">
        <v>42005</v>
      </c>
      <c r="AE391" s="103"/>
      <c r="AF391" s="103" t="s">
        <v>870</v>
      </c>
      <c r="AG391" s="103" t="s">
        <v>871</v>
      </c>
      <c r="AH391" s="103" t="s">
        <v>976</v>
      </c>
      <c r="AI391" s="103">
        <v>0</v>
      </c>
      <c r="AJ391" s="103"/>
      <c r="AK391" s="103"/>
      <c r="AL391" s="103"/>
      <c r="AM391" s="103"/>
      <c r="AN391" s="103"/>
      <c r="AO391" s="103" t="str">
        <f t="shared" si="15"/>
        <v>CFLscw-3way(23w)Single-pack</v>
      </c>
    </row>
    <row r="392" spans="1:41">
      <c r="A392" s="177">
        <f>IFERROR(MATCH(D392,'Measure &amp; Standard CostIDs'!C$5:C$177,0),MATCH(D392,'Measure &amp; Standard CostIDs'!S$5:S$177,0))</f>
        <v>58</v>
      </c>
      <c r="B392" s="177">
        <f t="shared" si="12"/>
        <v>2</v>
      </c>
      <c r="C392" s="103" t="s">
        <v>153</v>
      </c>
      <c r="D392" s="103" t="str">
        <f t="shared" si="13"/>
        <v>CFLscw-3way(24w)</v>
      </c>
      <c r="E392" s="103" t="str">
        <f>IF(LEFT(D392,3)="Std","Base case cost for mix of 60% Incandescent and 40% CFL lamps for CFL TechID: "&amp;INDEX('Measure &amp; Standard CostIDs'!$C$5:$C$177,A392),"&lt;from TechID&gt;")</f>
        <v>&lt;from TechID&gt;</v>
      </c>
      <c r="F392" s="103" t="s">
        <v>860</v>
      </c>
      <c r="G392" s="103" t="s">
        <v>151</v>
      </c>
      <c r="H392" s="103" t="s">
        <v>861</v>
      </c>
      <c r="I392" s="103" t="s">
        <v>862</v>
      </c>
      <c r="J392" s="103" t="s">
        <v>863</v>
      </c>
      <c r="K392" s="103" t="s">
        <v>864</v>
      </c>
      <c r="L392" s="103" t="s">
        <v>153</v>
      </c>
      <c r="M392" s="103" t="s">
        <v>865</v>
      </c>
      <c r="N392" s="103" t="s">
        <v>866</v>
      </c>
      <c r="O392" s="103" t="str">
        <f t="shared" si="14"/>
        <v>CFLscw-3way(24w)</v>
      </c>
      <c r="P392" s="103" t="s">
        <v>153</v>
      </c>
      <c r="Q392" s="103" t="s">
        <v>153</v>
      </c>
      <c r="R392" s="103" t="s">
        <v>153</v>
      </c>
      <c r="S392" s="103" t="str">
        <f>INDEX('Measure &amp; Standard CostIDs'!$AK$8:$AK$12,B392)</f>
        <v>Single-pack</v>
      </c>
      <c r="T392" s="103" t="s">
        <v>867</v>
      </c>
      <c r="U392" s="103"/>
      <c r="V392" s="103"/>
      <c r="W392" s="103">
        <f>ROUND(IF(LEFT(D392,3)="Std",VLOOKUP(D392,'Measure &amp; Standard CostIDs'!$S$5:$X$177,1+B392,FALSE),VLOOKUP(D392,'Measure &amp; Standard CostIDs'!$C$5:$H$177,1+B392,FALSE)),2)</f>
        <v>12.32</v>
      </c>
      <c r="X392" s="103"/>
      <c r="Y392" s="103"/>
      <c r="Z392" s="103" t="s">
        <v>868</v>
      </c>
      <c r="AA392" s="103" t="s">
        <v>874</v>
      </c>
      <c r="AB392" s="103" t="s">
        <v>153</v>
      </c>
      <c r="AC392" s="103">
        <v>0</v>
      </c>
      <c r="AD392" s="156">
        <v>42005</v>
      </c>
      <c r="AE392" s="103"/>
      <c r="AF392" s="103" t="s">
        <v>870</v>
      </c>
      <c r="AG392" s="103" t="s">
        <v>871</v>
      </c>
      <c r="AH392" s="103" t="s">
        <v>976</v>
      </c>
      <c r="AI392" s="103">
        <v>0</v>
      </c>
      <c r="AJ392" s="103"/>
      <c r="AK392" s="103"/>
      <c r="AL392" s="103"/>
      <c r="AM392" s="103"/>
      <c r="AN392" s="103"/>
      <c r="AO392" s="103" t="str">
        <f t="shared" si="15"/>
        <v>CFLscw-3way(24w)Single-pack</v>
      </c>
    </row>
    <row r="393" spans="1:41">
      <c r="A393" s="177">
        <f>IFERROR(MATCH(D393,'Measure &amp; Standard CostIDs'!C$5:C$177,0),MATCH(D393,'Measure &amp; Standard CostIDs'!S$5:S$177,0))</f>
        <v>59</v>
      </c>
      <c r="B393" s="177">
        <f t="shared" si="12"/>
        <v>2</v>
      </c>
      <c r="C393" s="103" t="s">
        <v>153</v>
      </c>
      <c r="D393" s="103" t="str">
        <f t="shared" si="13"/>
        <v>CFLscw-3way(25w)</v>
      </c>
      <c r="E393" s="103" t="str">
        <f>IF(LEFT(D393,3)="Std","Base case cost for mix of 60% Incandescent and 40% CFL lamps for CFL TechID: "&amp;INDEX('Measure &amp; Standard CostIDs'!$C$5:$C$177,A393),"&lt;from TechID&gt;")</f>
        <v>&lt;from TechID&gt;</v>
      </c>
      <c r="F393" s="103" t="s">
        <v>860</v>
      </c>
      <c r="G393" s="103" t="s">
        <v>151</v>
      </c>
      <c r="H393" s="103" t="s">
        <v>861</v>
      </c>
      <c r="I393" s="103" t="s">
        <v>862</v>
      </c>
      <c r="J393" s="103" t="s">
        <v>863</v>
      </c>
      <c r="K393" s="103" t="s">
        <v>864</v>
      </c>
      <c r="L393" s="103" t="s">
        <v>153</v>
      </c>
      <c r="M393" s="103" t="s">
        <v>865</v>
      </c>
      <c r="N393" s="103" t="s">
        <v>866</v>
      </c>
      <c r="O393" s="103" t="str">
        <f t="shared" si="14"/>
        <v>CFLscw-3way(25w)</v>
      </c>
      <c r="P393" s="103" t="s">
        <v>153</v>
      </c>
      <c r="Q393" s="103" t="s">
        <v>153</v>
      </c>
      <c r="R393" s="103" t="s">
        <v>153</v>
      </c>
      <c r="S393" s="103" t="str">
        <f>INDEX('Measure &amp; Standard CostIDs'!$AK$8:$AK$12,B393)</f>
        <v>Single-pack</v>
      </c>
      <c r="T393" s="103" t="s">
        <v>867</v>
      </c>
      <c r="U393" s="103"/>
      <c r="V393" s="103"/>
      <c r="W393" s="103">
        <f>ROUND(IF(LEFT(D393,3)="Std",VLOOKUP(D393,'Measure &amp; Standard CostIDs'!$S$5:$X$177,1+B393,FALSE),VLOOKUP(D393,'Measure &amp; Standard CostIDs'!$C$5:$H$177,1+B393,FALSE)),2)</f>
        <v>12.39</v>
      </c>
      <c r="X393" s="103"/>
      <c r="Y393" s="103"/>
      <c r="Z393" s="103" t="s">
        <v>868</v>
      </c>
      <c r="AA393" s="103" t="s">
        <v>874</v>
      </c>
      <c r="AB393" s="103" t="s">
        <v>153</v>
      </c>
      <c r="AC393" s="103">
        <v>0</v>
      </c>
      <c r="AD393" s="156">
        <v>42005</v>
      </c>
      <c r="AE393" s="103"/>
      <c r="AF393" s="103" t="s">
        <v>870</v>
      </c>
      <c r="AG393" s="103" t="s">
        <v>871</v>
      </c>
      <c r="AH393" s="103" t="s">
        <v>976</v>
      </c>
      <c r="AI393" s="103">
        <v>0</v>
      </c>
      <c r="AJ393" s="103"/>
      <c r="AK393" s="103"/>
      <c r="AL393" s="103"/>
      <c r="AM393" s="103"/>
      <c r="AN393" s="103"/>
      <c r="AO393" s="103" t="str">
        <f t="shared" si="15"/>
        <v>CFLscw-3way(25w)Single-pack</v>
      </c>
    </row>
    <row r="394" spans="1:41">
      <c r="A394" s="177">
        <f>IFERROR(MATCH(D394,'Measure &amp; Standard CostIDs'!C$5:C$177,0),MATCH(D394,'Measure &amp; Standard CostIDs'!S$5:S$177,0))</f>
        <v>60</v>
      </c>
      <c r="B394" s="177">
        <f t="shared" si="12"/>
        <v>2</v>
      </c>
      <c r="C394" s="103" t="s">
        <v>153</v>
      </c>
      <c r="D394" s="103" t="str">
        <f t="shared" si="13"/>
        <v>CFLscw-3way(26w)</v>
      </c>
      <c r="E394" s="103" t="str">
        <f>IF(LEFT(D394,3)="Std","Base case cost for mix of 60% Incandescent and 40% CFL lamps for CFL TechID: "&amp;INDEX('Measure &amp; Standard CostIDs'!$C$5:$C$177,A394),"&lt;from TechID&gt;")</f>
        <v>&lt;from TechID&gt;</v>
      </c>
      <c r="F394" s="103" t="s">
        <v>860</v>
      </c>
      <c r="G394" s="103" t="s">
        <v>151</v>
      </c>
      <c r="H394" s="103" t="s">
        <v>861</v>
      </c>
      <c r="I394" s="103" t="s">
        <v>862</v>
      </c>
      <c r="J394" s="103" t="s">
        <v>863</v>
      </c>
      <c r="K394" s="103" t="s">
        <v>864</v>
      </c>
      <c r="L394" s="103" t="s">
        <v>153</v>
      </c>
      <c r="M394" s="103" t="s">
        <v>865</v>
      </c>
      <c r="N394" s="103" t="s">
        <v>866</v>
      </c>
      <c r="O394" s="103" t="str">
        <f t="shared" si="14"/>
        <v>CFLscw-3way(26w)</v>
      </c>
      <c r="P394" s="103" t="s">
        <v>153</v>
      </c>
      <c r="Q394" s="103" t="s">
        <v>153</v>
      </c>
      <c r="R394" s="103" t="s">
        <v>153</v>
      </c>
      <c r="S394" s="103" t="str">
        <f>INDEX('Measure &amp; Standard CostIDs'!$AK$8:$AK$12,B394)</f>
        <v>Single-pack</v>
      </c>
      <c r="T394" s="103" t="s">
        <v>867</v>
      </c>
      <c r="U394" s="103"/>
      <c r="V394" s="103"/>
      <c r="W394" s="103">
        <f>ROUND(IF(LEFT(D394,3)="Std",VLOOKUP(D394,'Measure &amp; Standard CostIDs'!$S$5:$X$177,1+B394,FALSE),VLOOKUP(D394,'Measure &amp; Standard CostIDs'!$C$5:$H$177,1+B394,FALSE)),2)</f>
        <v>12.55</v>
      </c>
      <c r="X394" s="103"/>
      <c r="Y394" s="103"/>
      <c r="Z394" s="103" t="s">
        <v>868</v>
      </c>
      <c r="AA394" s="103" t="s">
        <v>874</v>
      </c>
      <c r="AB394" s="103" t="s">
        <v>153</v>
      </c>
      <c r="AC394" s="103">
        <v>0</v>
      </c>
      <c r="AD394" s="156">
        <v>42005</v>
      </c>
      <c r="AE394" s="103"/>
      <c r="AF394" s="103" t="s">
        <v>870</v>
      </c>
      <c r="AG394" s="103" t="s">
        <v>871</v>
      </c>
      <c r="AH394" s="103" t="s">
        <v>976</v>
      </c>
      <c r="AI394" s="103">
        <v>0</v>
      </c>
      <c r="AJ394" s="103"/>
      <c r="AK394" s="103"/>
      <c r="AL394" s="103"/>
      <c r="AM394" s="103"/>
      <c r="AN394" s="103"/>
      <c r="AO394" s="103" t="str">
        <f t="shared" si="15"/>
        <v>CFLscw-3way(26w)Single-pack</v>
      </c>
    </row>
    <row r="395" spans="1:41">
      <c r="A395" s="177">
        <f>IFERROR(MATCH(D395,'Measure &amp; Standard CostIDs'!C$5:C$177,0),MATCH(D395,'Measure &amp; Standard CostIDs'!S$5:S$177,0))</f>
        <v>61</v>
      </c>
      <c r="B395" s="177">
        <f t="shared" si="12"/>
        <v>2</v>
      </c>
      <c r="C395" s="103" t="s">
        <v>153</v>
      </c>
      <c r="D395" s="103" t="str">
        <f t="shared" si="13"/>
        <v>CFLscw-3way(27w)</v>
      </c>
      <c r="E395" s="103" t="str">
        <f>IF(LEFT(D395,3)="Std","Base case cost for mix of 60% Incandescent and 40% CFL lamps for CFL TechID: "&amp;INDEX('Measure &amp; Standard CostIDs'!$C$5:$C$177,A395),"&lt;from TechID&gt;")</f>
        <v>&lt;from TechID&gt;</v>
      </c>
      <c r="F395" s="103" t="s">
        <v>860</v>
      </c>
      <c r="G395" s="103" t="s">
        <v>151</v>
      </c>
      <c r="H395" s="103" t="s">
        <v>861</v>
      </c>
      <c r="I395" s="103" t="s">
        <v>862</v>
      </c>
      <c r="J395" s="103" t="s">
        <v>863</v>
      </c>
      <c r="K395" s="103" t="s">
        <v>864</v>
      </c>
      <c r="L395" s="103" t="s">
        <v>153</v>
      </c>
      <c r="M395" s="103" t="s">
        <v>865</v>
      </c>
      <c r="N395" s="103" t="s">
        <v>866</v>
      </c>
      <c r="O395" s="103" t="str">
        <f t="shared" si="14"/>
        <v>CFLscw-3way(27w)</v>
      </c>
      <c r="P395" s="103" t="s">
        <v>153</v>
      </c>
      <c r="Q395" s="103" t="s">
        <v>153</v>
      </c>
      <c r="R395" s="103" t="s">
        <v>153</v>
      </c>
      <c r="S395" s="103" t="str">
        <f>INDEX('Measure &amp; Standard CostIDs'!$AK$8:$AK$12,B395)</f>
        <v>Single-pack</v>
      </c>
      <c r="T395" s="103" t="s">
        <v>867</v>
      </c>
      <c r="U395" s="103"/>
      <c r="V395" s="103"/>
      <c r="W395" s="103">
        <f>ROUND(IF(LEFT(D395,3)="Std",VLOOKUP(D395,'Measure &amp; Standard CostIDs'!$S$5:$X$177,1+B395,FALSE),VLOOKUP(D395,'Measure &amp; Standard CostIDs'!$C$5:$H$177,1+B395,FALSE)),2)</f>
        <v>12.71</v>
      </c>
      <c r="X395" s="103"/>
      <c r="Y395" s="103"/>
      <c r="Z395" s="103" t="s">
        <v>868</v>
      </c>
      <c r="AA395" s="103" t="s">
        <v>874</v>
      </c>
      <c r="AB395" s="103" t="s">
        <v>153</v>
      </c>
      <c r="AC395" s="103">
        <v>0</v>
      </c>
      <c r="AD395" s="156">
        <v>42005</v>
      </c>
      <c r="AE395" s="103"/>
      <c r="AF395" s="103" t="s">
        <v>870</v>
      </c>
      <c r="AG395" s="103" t="s">
        <v>871</v>
      </c>
      <c r="AH395" s="103" t="s">
        <v>976</v>
      </c>
      <c r="AI395" s="103">
        <v>0</v>
      </c>
      <c r="AJ395" s="103"/>
      <c r="AK395" s="103"/>
      <c r="AL395" s="103"/>
      <c r="AM395" s="103"/>
      <c r="AN395" s="103"/>
      <c r="AO395" s="103" t="str">
        <f t="shared" si="15"/>
        <v>CFLscw-3way(27w)Single-pack</v>
      </c>
    </row>
    <row r="396" spans="1:41">
      <c r="A396" s="177">
        <f>IFERROR(MATCH(D396,'Measure &amp; Standard CostIDs'!C$5:C$177,0),MATCH(D396,'Measure &amp; Standard CostIDs'!S$5:S$177,0))</f>
        <v>62</v>
      </c>
      <c r="B396" s="177">
        <f t="shared" si="12"/>
        <v>2</v>
      </c>
      <c r="C396" s="103" t="s">
        <v>153</v>
      </c>
      <c r="D396" s="103" t="str">
        <f t="shared" si="13"/>
        <v>CFLscw-3way(28w)</v>
      </c>
      <c r="E396" s="103" t="str">
        <f>IF(LEFT(D396,3)="Std","Base case cost for mix of 60% Incandescent and 40% CFL lamps for CFL TechID: "&amp;INDEX('Measure &amp; Standard CostIDs'!$C$5:$C$177,A396),"&lt;from TechID&gt;")</f>
        <v>&lt;from TechID&gt;</v>
      </c>
      <c r="F396" s="103" t="s">
        <v>860</v>
      </c>
      <c r="G396" s="103" t="s">
        <v>151</v>
      </c>
      <c r="H396" s="103" t="s">
        <v>861</v>
      </c>
      <c r="I396" s="103" t="s">
        <v>862</v>
      </c>
      <c r="J396" s="103" t="s">
        <v>863</v>
      </c>
      <c r="K396" s="103" t="s">
        <v>864</v>
      </c>
      <c r="L396" s="103" t="s">
        <v>153</v>
      </c>
      <c r="M396" s="103" t="s">
        <v>865</v>
      </c>
      <c r="N396" s="103" t="s">
        <v>866</v>
      </c>
      <c r="O396" s="103" t="str">
        <f t="shared" si="14"/>
        <v>CFLscw-3way(28w)</v>
      </c>
      <c r="P396" s="103" t="s">
        <v>153</v>
      </c>
      <c r="Q396" s="103" t="s">
        <v>153</v>
      </c>
      <c r="R396" s="103" t="s">
        <v>153</v>
      </c>
      <c r="S396" s="103" t="str">
        <f>INDEX('Measure &amp; Standard CostIDs'!$AK$8:$AK$12,B396)</f>
        <v>Single-pack</v>
      </c>
      <c r="T396" s="103" t="s">
        <v>867</v>
      </c>
      <c r="U396" s="103"/>
      <c r="V396" s="103"/>
      <c r="W396" s="103">
        <f>ROUND(IF(LEFT(D396,3)="Std",VLOOKUP(D396,'Measure &amp; Standard CostIDs'!$S$5:$X$177,1+B396,FALSE),VLOOKUP(D396,'Measure &amp; Standard CostIDs'!$C$5:$H$177,1+B396,FALSE)),2)</f>
        <v>12.87</v>
      </c>
      <c r="X396" s="103"/>
      <c r="Y396" s="103"/>
      <c r="Z396" s="103" t="s">
        <v>868</v>
      </c>
      <c r="AA396" s="103" t="s">
        <v>874</v>
      </c>
      <c r="AB396" s="103" t="s">
        <v>153</v>
      </c>
      <c r="AC396" s="103">
        <v>0</v>
      </c>
      <c r="AD396" s="156">
        <v>42005</v>
      </c>
      <c r="AE396" s="103"/>
      <c r="AF396" s="103" t="s">
        <v>870</v>
      </c>
      <c r="AG396" s="103" t="s">
        <v>871</v>
      </c>
      <c r="AH396" s="103" t="s">
        <v>976</v>
      </c>
      <c r="AI396" s="103">
        <v>0</v>
      </c>
      <c r="AJ396" s="103"/>
      <c r="AK396" s="103"/>
      <c r="AL396" s="103"/>
      <c r="AM396" s="103"/>
      <c r="AN396" s="103"/>
      <c r="AO396" s="103" t="str">
        <f t="shared" si="15"/>
        <v>CFLscw-3way(28w)Single-pack</v>
      </c>
    </row>
    <row r="397" spans="1:41">
      <c r="A397" s="177">
        <f>IFERROR(MATCH(D397,'Measure &amp; Standard CostIDs'!C$5:C$177,0),MATCH(D397,'Measure &amp; Standard CostIDs'!S$5:S$177,0))</f>
        <v>63</v>
      </c>
      <c r="B397" s="177">
        <f t="shared" si="12"/>
        <v>2</v>
      </c>
      <c r="C397" s="103" t="s">
        <v>153</v>
      </c>
      <c r="D397" s="103" t="str">
        <f t="shared" si="13"/>
        <v>CFLscw-3way(29w)</v>
      </c>
      <c r="E397" s="103" t="str">
        <f>IF(LEFT(D397,3)="Std","Base case cost for mix of 60% Incandescent and 40% CFL lamps for CFL TechID: "&amp;INDEX('Measure &amp; Standard CostIDs'!$C$5:$C$177,A397),"&lt;from TechID&gt;")</f>
        <v>&lt;from TechID&gt;</v>
      </c>
      <c r="F397" s="103" t="s">
        <v>860</v>
      </c>
      <c r="G397" s="103" t="s">
        <v>151</v>
      </c>
      <c r="H397" s="103" t="s">
        <v>861</v>
      </c>
      <c r="I397" s="103" t="s">
        <v>862</v>
      </c>
      <c r="J397" s="103" t="s">
        <v>863</v>
      </c>
      <c r="K397" s="103" t="s">
        <v>864</v>
      </c>
      <c r="L397" s="103" t="s">
        <v>153</v>
      </c>
      <c r="M397" s="103" t="s">
        <v>865</v>
      </c>
      <c r="N397" s="103" t="s">
        <v>866</v>
      </c>
      <c r="O397" s="103" t="str">
        <f t="shared" si="14"/>
        <v>CFLscw-3way(29w)</v>
      </c>
      <c r="P397" s="103" t="s">
        <v>153</v>
      </c>
      <c r="Q397" s="103" t="s">
        <v>153</v>
      </c>
      <c r="R397" s="103" t="s">
        <v>153</v>
      </c>
      <c r="S397" s="103" t="str">
        <f>INDEX('Measure &amp; Standard CostIDs'!$AK$8:$AK$12,B397)</f>
        <v>Single-pack</v>
      </c>
      <c r="T397" s="103" t="s">
        <v>867</v>
      </c>
      <c r="U397" s="103"/>
      <c r="V397" s="103"/>
      <c r="W397" s="103">
        <f>ROUND(IF(LEFT(D397,3)="Std",VLOOKUP(D397,'Measure &amp; Standard CostIDs'!$S$5:$X$177,1+B397,FALSE),VLOOKUP(D397,'Measure &amp; Standard CostIDs'!$C$5:$H$177,1+B397,FALSE)),2)</f>
        <v>13.03</v>
      </c>
      <c r="X397" s="103"/>
      <c r="Y397" s="103"/>
      <c r="Z397" s="103" t="s">
        <v>868</v>
      </c>
      <c r="AA397" s="103" t="s">
        <v>874</v>
      </c>
      <c r="AB397" s="103" t="s">
        <v>153</v>
      </c>
      <c r="AC397" s="103">
        <v>0</v>
      </c>
      <c r="AD397" s="156">
        <v>42005</v>
      </c>
      <c r="AE397" s="103"/>
      <c r="AF397" s="103" t="s">
        <v>870</v>
      </c>
      <c r="AG397" s="103" t="s">
        <v>871</v>
      </c>
      <c r="AH397" s="103" t="s">
        <v>976</v>
      </c>
      <c r="AI397" s="103">
        <v>0</v>
      </c>
      <c r="AJ397" s="103"/>
      <c r="AK397" s="103"/>
      <c r="AL397" s="103"/>
      <c r="AM397" s="103"/>
      <c r="AN397" s="103"/>
      <c r="AO397" s="103" t="str">
        <f t="shared" si="15"/>
        <v>CFLscw-3way(29w)Single-pack</v>
      </c>
    </row>
    <row r="398" spans="1:41">
      <c r="A398" s="177">
        <f>IFERROR(MATCH(D398,'Measure &amp; Standard CostIDs'!C$5:C$177,0),MATCH(D398,'Measure &amp; Standard CostIDs'!S$5:S$177,0))</f>
        <v>64</v>
      </c>
      <c r="B398" s="177">
        <f t="shared" si="12"/>
        <v>2</v>
      </c>
      <c r="C398" s="103" t="s">
        <v>153</v>
      </c>
      <c r="D398" s="103" t="str">
        <f t="shared" si="13"/>
        <v>CFLscw-3way(30w)</v>
      </c>
      <c r="E398" s="103" t="str">
        <f>IF(LEFT(D398,3)="Std","Base case cost for mix of 60% Incandescent and 40% CFL lamps for CFL TechID: "&amp;INDEX('Measure &amp; Standard CostIDs'!$C$5:$C$177,A398),"&lt;from TechID&gt;")</f>
        <v>&lt;from TechID&gt;</v>
      </c>
      <c r="F398" s="103" t="s">
        <v>860</v>
      </c>
      <c r="G398" s="103" t="s">
        <v>151</v>
      </c>
      <c r="H398" s="103" t="s">
        <v>861</v>
      </c>
      <c r="I398" s="103" t="s">
        <v>862</v>
      </c>
      <c r="J398" s="103" t="s">
        <v>863</v>
      </c>
      <c r="K398" s="103" t="s">
        <v>864</v>
      </c>
      <c r="L398" s="103" t="s">
        <v>153</v>
      </c>
      <c r="M398" s="103" t="s">
        <v>865</v>
      </c>
      <c r="N398" s="103" t="s">
        <v>866</v>
      </c>
      <c r="O398" s="103" t="str">
        <f t="shared" si="14"/>
        <v>CFLscw-3way(30w)</v>
      </c>
      <c r="P398" s="103" t="s">
        <v>153</v>
      </c>
      <c r="Q398" s="103" t="s">
        <v>153</v>
      </c>
      <c r="R398" s="103" t="s">
        <v>153</v>
      </c>
      <c r="S398" s="103" t="str">
        <f>INDEX('Measure &amp; Standard CostIDs'!$AK$8:$AK$12,B398)</f>
        <v>Single-pack</v>
      </c>
      <c r="T398" s="103" t="s">
        <v>867</v>
      </c>
      <c r="U398" s="103"/>
      <c r="V398" s="103"/>
      <c r="W398" s="103">
        <f>ROUND(IF(LEFT(D398,3)="Std",VLOOKUP(D398,'Measure &amp; Standard CostIDs'!$S$5:$X$177,1+B398,FALSE),VLOOKUP(D398,'Measure &amp; Standard CostIDs'!$C$5:$H$177,1+B398,FALSE)),2)</f>
        <v>13.19</v>
      </c>
      <c r="X398" s="103"/>
      <c r="Y398" s="103"/>
      <c r="Z398" s="103" t="s">
        <v>868</v>
      </c>
      <c r="AA398" s="103" t="s">
        <v>874</v>
      </c>
      <c r="AB398" s="103" t="s">
        <v>153</v>
      </c>
      <c r="AC398" s="103">
        <v>0</v>
      </c>
      <c r="AD398" s="156">
        <v>42005</v>
      </c>
      <c r="AE398" s="103"/>
      <c r="AF398" s="103" t="s">
        <v>870</v>
      </c>
      <c r="AG398" s="103" t="s">
        <v>871</v>
      </c>
      <c r="AH398" s="103" t="s">
        <v>976</v>
      </c>
      <c r="AI398" s="103">
        <v>0</v>
      </c>
      <c r="AJ398" s="103"/>
      <c r="AK398" s="103"/>
      <c r="AL398" s="103"/>
      <c r="AM398" s="103"/>
      <c r="AN398" s="103"/>
      <c r="AO398" s="103" t="str">
        <f t="shared" si="15"/>
        <v>CFLscw-3way(30w)Single-pack</v>
      </c>
    </row>
    <row r="399" spans="1:41">
      <c r="A399" s="177">
        <f>IFERROR(MATCH(D399,'Measure &amp; Standard CostIDs'!C$5:C$177,0),MATCH(D399,'Measure &amp; Standard CostIDs'!S$5:S$177,0))</f>
        <v>65</v>
      </c>
      <c r="B399" s="177">
        <f t="shared" si="12"/>
        <v>2</v>
      </c>
      <c r="C399" s="103" t="s">
        <v>153</v>
      </c>
      <c r="D399" s="103" t="str">
        <f t="shared" si="13"/>
        <v>CFLscw-3way(31w)</v>
      </c>
      <c r="E399" s="103" t="str">
        <f>IF(LEFT(D399,3)="Std","Base case cost for mix of 60% Incandescent and 40% CFL lamps for CFL TechID: "&amp;INDEX('Measure &amp; Standard CostIDs'!$C$5:$C$177,A399),"&lt;from TechID&gt;")</f>
        <v>&lt;from TechID&gt;</v>
      </c>
      <c r="F399" s="103" t="s">
        <v>860</v>
      </c>
      <c r="G399" s="103" t="s">
        <v>151</v>
      </c>
      <c r="H399" s="103" t="s">
        <v>861</v>
      </c>
      <c r="I399" s="103" t="s">
        <v>862</v>
      </c>
      <c r="J399" s="103" t="s">
        <v>863</v>
      </c>
      <c r="K399" s="103" t="s">
        <v>864</v>
      </c>
      <c r="L399" s="103" t="s">
        <v>153</v>
      </c>
      <c r="M399" s="103" t="s">
        <v>865</v>
      </c>
      <c r="N399" s="103" t="s">
        <v>866</v>
      </c>
      <c r="O399" s="103" t="str">
        <f t="shared" si="14"/>
        <v>CFLscw-3way(31w)</v>
      </c>
      <c r="P399" s="103" t="s">
        <v>153</v>
      </c>
      <c r="Q399" s="103" t="s">
        <v>153</v>
      </c>
      <c r="R399" s="103" t="s">
        <v>153</v>
      </c>
      <c r="S399" s="103" t="str">
        <f>INDEX('Measure &amp; Standard CostIDs'!$AK$8:$AK$12,B399)</f>
        <v>Single-pack</v>
      </c>
      <c r="T399" s="103" t="s">
        <v>867</v>
      </c>
      <c r="U399" s="103"/>
      <c r="V399" s="103"/>
      <c r="W399" s="103">
        <f>ROUND(IF(LEFT(D399,3)="Std",VLOOKUP(D399,'Measure &amp; Standard CostIDs'!$S$5:$X$177,1+B399,FALSE),VLOOKUP(D399,'Measure &amp; Standard CostIDs'!$C$5:$H$177,1+B399,FALSE)),2)</f>
        <v>13.35</v>
      </c>
      <c r="X399" s="103"/>
      <c r="Y399" s="103"/>
      <c r="Z399" s="103" t="s">
        <v>868</v>
      </c>
      <c r="AA399" s="103" t="s">
        <v>874</v>
      </c>
      <c r="AB399" s="103" t="s">
        <v>153</v>
      </c>
      <c r="AC399" s="103">
        <v>0</v>
      </c>
      <c r="AD399" s="156">
        <v>42005</v>
      </c>
      <c r="AE399" s="103"/>
      <c r="AF399" s="103" t="s">
        <v>870</v>
      </c>
      <c r="AG399" s="103" t="s">
        <v>871</v>
      </c>
      <c r="AH399" s="103" t="s">
        <v>976</v>
      </c>
      <c r="AI399" s="103">
        <v>0</v>
      </c>
      <c r="AJ399" s="103"/>
      <c r="AK399" s="103"/>
      <c r="AL399" s="103"/>
      <c r="AM399" s="103"/>
      <c r="AN399" s="103"/>
      <c r="AO399" s="103" t="str">
        <f t="shared" si="15"/>
        <v>CFLscw-3way(31w)Single-pack</v>
      </c>
    </row>
    <row r="400" spans="1:41">
      <c r="A400" s="177">
        <f>IFERROR(MATCH(D400,'Measure &amp; Standard CostIDs'!C$5:C$177,0),MATCH(D400,'Measure &amp; Standard CostIDs'!S$5:S$177,0))</f>
        <v>66</v>
      </c>
      <c r="B400" s="177">
        <f t="shared" ref="B400:B463" si="16">+B70+1</f>
        <v>2</v>
      </c>
      <c r="C400" s="103" t="s">
        <v>153</v>
      </c>
      <c r="D400" s="103" t="str">
        <f t="shared" ref="D400:D463" si="17">+D70</f>
        <v>CFLscw-3way(32w)</v>
      </c>
      <c r="E400" s="103" t="str">
        <f>IF(LEFT(D400,3)="Std","Base case cost for mix of 60% Incandescent and 40% CFL lamps for CFL TechID: "&amp;INDEX('Measure &amp; Standard CostIDs'!$C$5:$C$177,A400),"&lt;from TechID&gt;")</f>
        <v>&lt;from TechID&gt;</v>
      </c>
      <c r="F400" s="103" t="s">
        <v>860</v>
      </c>
      <c r="G400" s="103" t="s">
        <v>151</v>
      </c>
      <c r="H400" s="103" t="s">
        <v>861</v>
      </c>
      <c r="I400" s="103" t="s">
        <v>862</v>
      </c>
      <c r="J400" s="103" t="s">
        <v>863</v>
      </c>
      <c r="K400" s="103" t="s">
        <v>864</v>
      </c>
      <c r="L400" s="103" t="s">
        <v>153</v>
      </c>
      <c r="M400" s="103" t="s">
        <v>865</v>
      </c>
      <c r="N400" s="103" t="s">
        <v>866</v>
      </c>
      <c r="O400" s="103" t="str">
        <f t="shared" si="14"/>
        <v>CFLscw-3way(32w)</v>
      </c>
      <c r="P400" s="103" t="s">
        <v>153</v>
      </c>
      <c r="Q400" s="103" t="s">
        <v>153</v>
      </c>
      <c r="R400" s="103" t="s">
        <v>153</v>
      </c>
      <c r="S400" s="103" t="str">
        <f>INDEX('Measure &amp; Standard CostIDs'!$AK$8:$AK$12,B400)</f>
        <v>Single-pack</v>
      </c>
      <c r="T400" s="103" t="s">
        <v>867</v>
      </c>
      <c r="U400" s="103"/>
      <c r="V400" s="103"/>
      <c r="W400" s="103">
        <f>ROUND(IF(LEFT(D400,3)="Std",VLOOKUP(D400,'Measure &amp; Standard CostIDs'!$S$5:$X$177,1+B400,FALSE),VLOOKUP(D400,'Measure &amp; Standard CostIDs'!$C$5:$H$177,1+B400,FALSE)),2)</f>
        <v>13.51</v>
      </c>
      <c r="X400" s="103"/>
      <c r="Y400" s="103"/>
      <c r="Z400" s="103" t="s">
        <v>868</v>
      </c>
      <c r="AA400" s="103" t="s">
        <v>874</v>
      </c>
      <c r="AB400" s="103" t="s">
        <v>153</v>
      </c>
      <c r="AC400" s="103">
        <v>0</v>
      </c>
      <c r="AD400" s="156">
        <v>42005</v>
      </c>
      <c r="AE400" s="103"/>
      <c r="AF400" s="103" t="s">
        <v>870</v>
      </c>
      <c r="AG400" s="103" t="s">
        <v>871</v>
      </c>
      <c r="AH400" s="103" t="s">
        <v>976</v>
      </c>
      <c r="AI400" s="103">
        <v>0</v>
      </c>
      <c r="AJ400" s="103"/>
      <c r="AK400" s="103"/>
      <c r="AL400" s="103"/>
      <c r="AM400" s="103"/>
      <c r="AN400" s="103"/>
      <c r="AO400" s="103" t="str">
        <f t="shared" si="15"/>
        <v>CFLscw-3way(32w)Single-pack</v>
      </c>
    </row>
    <row r="401" spans="1:41">
      <c r="A401" s="177">
        <f>IFERROR(MATCH(D401,'Measure &amp; Standard CostIDs'!C$5:C$177,0),MATCH(D401,'Measure &amp; Standard CostIDs'!S$5:S$177,0))</f>
        <v>67</v>
      </c>
      <c r="B401" s="177">
        <f t="shared" si="16"/>
        <v>2</v>
      </c>
      <c r="C401" s="103" t="s">
        <v>153</v>
      </c>
      <c r="D401" s="103" t="str">
        <f t="shared" si="17"/>
        <v>CFLscw-3way(33w)</v>
      </c>
      <c r="E401" s="103" t="str">
        <f>IF(LEFT(D401,3)="Std","Base case cost for mix of 60% Incandescent and 40% CFL lamps for CFL TechID: "&amp;INDEX('Measure &amp; Standard CostIDs'!$C$5:$C$177,A401),"&lt;from TechID&gt;")</f>
        <v>&lt;from TechID&gt;</v>
      </c>
      <c r="F401" s="103" t="s">
        <v>860</v>
      </c>
      <c r="G401" s="103" t="s">
        <v>151</v>
      </c>
      <c r="H401" s="103" t="s">
        <v>861</v>
      </c>
      <c r="I401" s="103" t="s">
        <v>862</v>
      </c>
      <c r="J401" s="103" t="s">
        <v>863</v>
      </c>
      <c r="K401" s="103" t="s">
        <v>864</v>
      </c>
      <c r="L401" s="103" t="s">
        <v>153</v>
      </c>
      <c r="M401" s="103" t="s">
        <v>865</v>
      </c>
      <c r="N401" s="103" t="s">
        <v>866</v>
      </c>
      <c r="O401" s="103" t="str">
        <f t="shared" si="14"/>
        <v>CFLscw-3way(33w)</v>
      </c>
      <c r="P401" s="103" t="s">
        <v>153</v>
      </c>
      <c r="Q401" s="103" t="s">
        <v>153</v>
      </c>
      <c r="R401" s="103" t="s">
        <v>153</v>
      </c>
      <c r="S401" s="103" t="str">
        <f>INDEX('Measure &amp; Standard CostIDs'!$AK$8:$AK$12,B401)</f>
        <v>Single-pack</v>
      </c>
      <c r="T401" s="103" t="s">
        <v>867</v>
      </c>
      <c r="U401" s="103"/>
      <c r="V401" s="103"/>
      <c r="W401" s="103">
        <f>ROUND(IF(LEFT(D401,3)="Std",VLOOKUP(D401,'Measure &amp; Standard CostIDs'!$S$5:$X$177,1+B401,FALSE),VLOOKUP(D401,'Measure &amp; Standard CostIDs'!$C$5:$H$177,1+B401,FALSE)),2)</f>
        <v>13.67</v>
      </c>
      <c r="X401" s="103"/>
      <c r="Y401" s="103"/>
      <c r="Z401" s="103" t="s">
        <v>868</v>
      </c>
      <c r="AA401" s="103" t="s">
        <v>874</v>
      </c>
      <c r="AB401" s="103" t="s">
        <v>153</v>
      </c>
      <c r="AC401" s="103">
        <v>0</v>
      </c>
      <c r="AD401" s="156">
        <v>42005</v>
      </c>
      <c r="AE401" s="103"/>
      <c r="AF401" s="103" t="s">
        <v>870</v>
      </c>
      <c r="AG401" s="103" t="s">
        <v>871</v>
      </c>
      <c r="AH401" s="103" t="s">
        <v>976</v>
      </c>
      <c r="AI401" s="103">
        <v>0</v>
      </c>
      <c r="AJ401" s="103"/>
      <c r="AK401" s="103"/>
      <c r="AL401" s="103"/>
      <c r="AM401" s="103"/>
      <c r="AN401" s="103"/>
      <c r="AO401" s="103" t="str">
        <f t="shared" si="15"/>
        <v>CFLscw-3way(33w)Single-pack</v>
      </c>
    </row>
    <row r="402" spans="1:41">
      <c r="A402" s="177">
        <f>IFERROR(MATCH(D402,'Measure &amp; Standard CostIDs'!C$5:C$177,0),MATCH(D402,'Measure &amp; Standard CostIDs'!S$5:S$177,0))</f>
        <v>68</v>
      </c>
      <c r="B402" s="177">
        <f t="shared" si="16"/>
        <v>2</v>
      </c>
      <c r="C402" s="103" t="s">
        <v>153</v>
      </c>
      <c r="D402" s="103" t="str">
        <f t="shared" si="17"/>
        <v>CFLscw-3way(40w)</v>
      </c>
      <c r="E402" s="103" t="str">
        <f>IF(LEFT(D402,3)="Std","Base case cost for mix of 60% Incandescent and 40% CFL lamps for CFL TechID: "&amp;INDEX('Measure &amp; Standard CostIDs'!$C$5:$C$177,A402),"&lt;from TechID&gt;")</f>
        <v>&lt;from TechID&gt;</v>
      </c>
      <c r="F402" s="103" t="s">
        <v>860</v>
      </c>
      <c r="G402" s="103" t="s">
        <v>151</v>
      </c>
      <c r="H402" s="103" t="s">
        <v>861</v>
      </c>
      <c r="I402" s="103" t="s">
        <v>862</v>
      </c>
      <c r="J402" s="103" t="s">
        <v>863</v>
      </c>
      <c r="K402" s="103" t="s">
        <v>864</v>
      </c>
      <c r="L402" s="103" t="s">
        <v>153</v>
      </c>
      <c r="M402" s="103" t="s">
        <v>865</v>
      </c>
      <c r="N402" s="103" t="s">
        <v>866</v>
      </c>
      <c r="O402" s="103" t="str">
        <f t="shared" si="14"/>
        <v>CFLscw-3way(40w)</v>
      </c>
      <c r="P402" s="103" t="s">
        <v>153</v>
      </c>
      <c r="Q402" s="103" t="s">
        <v>153</v>
      </c>
      <c r="R402" s="103" t="s">
        <v>153</v>
      </c>
      <c r="S402" s="103" t="str">
        <f>INDEX('Measure &amp; Standard CostIDs'!$AK$8:$AK$12,B402)</f>
        <v>Single-pack</v>
      </c>
      <c r="T402" s="103" t="s">
        <v>867</v>
      </c>
      <c r="U402" s="103"/>
      <c r="V402" s="103"/>
      <c r="W402" s="103">
        <f>ROUND(IF(LEFT(D402,3)="Std",VLOOKUP(D402,'Measure &amp; Standard CostIDs'!$S$5:$X$177,1+B402,FALSE),VLOOKUP(D402,'Measure &amp; Standard CostIDs'!$C$5:$H$177,1+B402,FALSE)),2)</f>
        <v>14.79</v>
      </c>
      <c r="X402" s="103"/>
      <c r="Y402" s="103"/>
      <c r="Z402" s="103" t="s">
        <v>868</v>
      </c>
      <c r="AA402" s="103" t="s">
        <v>874</v>
      </c>
      <c r="AB402" s="103" t="s">
        <v>153</v>
      </c>
      <c r="AC402" s="103">
        <v>0</v>
      </c>
      <c r="AD402" s="156">
        <v>42005</v>
      </c>
      <c r="AE402" s="103"/>
      <c r="AF402" s="103" t="s">
        <v>870</v>
      </c>
      <c r="AG402" s="103" t="s">
        <v>871</v>
      </c>
      <c r="AH402" s="103" t="s">
        <v>976</v>
      </c>
      <c r="AI402" s="103">
        <v>0</v>
      </c>
      <c r="AJ402" s="103"/>
      <c r="AK402" s="103"/>
      <c r="AL402" s="103"/>
      <c r="AM402" s="103"/>
      <c r="AN402" s="103"/>
      <c r="AO402" s="103" t="str">
        <f t="shared" si="15"/>
        <v>CFLscw-3way(40w)Single-pack</v>
      </c>
    </row>
    <row r="403" spans="1:41">
      <c r="A403" s="177">
        <f>IFERROR(MATCH(D403,'Measure &amp; Standard CostIDs'!C$5:C$177,0),MATCH(D403,'Measure &amp; Standard CostIDs'!S$5:S$177,0))</f>
        <v>69</v>
      </c>
      <c r="B403" s="177">
        <f t="shared" si="16"/>
        <v>2</v>
      </c>
      <c r="C403" s="103" t="s">
        <v>153</v>
      </c>
      <c r="D403" s="103" t="str">
        <f t="shared" si="17"/>
        <v>CFLscw-3way(42w)</v>
      </c>
      <c r="E403" s="103" t="str">
        <f>IF(LEFT(D403,3)="Std","Base case cost for mix of 60% Incandescent and 40% CFL lamps for CFL TechID: "&amp;INDEX('Measure &amp; Standard CostIDs'!$C$5:$C$177,A403),"&lt;from TechID&gt;")</f>
        <v>&lt;from TechID&gt;</v>
      </c>
      <c r="F403" s="103" t="s">
        <v>860</v>
      </c>
      <c r="G403" s="103" t="s">
        <v>151</v>
      </c>
      <c r="H403" s="103" t="s">
        <v>861</v>
      </c>
      <c r="I403" s="103" t="s">
        <v>862</v>
      </c>
      <c r="J403" s="103" t="s">
        <v>863</v>
      </c>
      <c r="K403" s="103" t="s">
        <v>864</v>
      </c>
      <c r="L403" s="103" t="s">
        <v>153</v>
      </c>
      <c r="M403" s="103" t="s">
        <v>865</v>
      </c>
      <c r="N403" s="103" t="s">
        <v>866</v>
      </c>
      <c r="O403" s="103" t="str">
        <f t="shared" si="14"/>
        <v>CFLscw-3way(42w)</v>
      </c>
      <c r="P403" s="103" t="s">
        <v>153</v>
      </c>
      <c r="Q403" s="103" t="s">
        <v>153</v>
      </c>
      <c r="R403" s="103" t="s">
        <v>153</v>
      </c>
      <c r="S403" s="103" t="str">
        <f>INDEX('Measure &amp; Standard CostIDs'!$AK$8:$AK$12,B403)</f>
        <v>Single-pack</v>
      </c>
      <c r="T403" s="103" t="s">
        <v>867</v>
      </c>
      <c r="U403" s="103"/>
      <c r="V403" s="103"/>
      <c r="W403" s="103">
        <f>ROUND(IF(LEFT(D403,3)="Std",VLOOKUP(D403,'Measure &amp; Standard CostIDs'!$S$5:$X$177,1+B403,FALSE),VLOOKUP(D403,'Measure &amp; Standard CostIDs'!$C$5:$H$177,1+B403,FALSE)),2)</f>
        <v>15.11</v>
      </c>
      <c r="X403" s="103"/>
      <c r="Y403" s="103"/>
      <c r="Z403" s="103" t="s">
        <v>868</v>
      </c>
      <c r="AA403" s="103" t="s">
        <v>874</v>
      </c>
      <c r="AB403" s="103" t="s">
        <v>153</v>
      </c>
      <c r="AC403" s="103">
        <v>0</v>
      </c>
      <c r="AD403" s="156">
        <v>42005</v>
      </c>
      <c r="AE403" s="103"/>
      <c r="AF403" s="103" t="s">
        <v>870</v>
      </c>
      <c r="AG403" s="103" t="s">
        <v>871</v>
      </c>
      <c r="AH403" s="103" t="s">
        <v>976</v>
      </c>
      <c r="AI403" s="103">
        <v>0</v>
      </c>
      <c r="AJ403" s="103"/>
      <c r="AK403" s="103"/>
      <c r="AL403" s="103"/>
      <c r="AM403" s="103"/>
      <c r="AN403" s="103"/>
      <c r="AO403" s="103" t="str">
        <f t="shared" si="15"/>
        <v>CFLscw-3way(42w)Single-pack</v>
      </c>
    </row>
    <row r="404" spans="1:41">
      <c r="A404" s="177">
        <f>IFERROR(MATCH(D404,'Measure &amp; Standard CostIDs'!C$5:C$177,0),MATCH(D404,'Measure &amp; Standard CostIDs'!S$5:S$177,0))</f>
        <v>70</v>
      </c>
      <c r="B404" s="177">
        <f t="shared" si="16"/>
        <v>2</v>
      </c>
      <c r="C404" s="103" t="s">
        <v>153</v>
      </c>
      <c r="D404" s="103" t="str">
        <f t="shared" si="17"/>
        <v>CFLscw-A(10w)</v>
      </c>
      <c r="E404" s="103" t="str">
        <f>IF(LEFT(D404,3)="Std","Base case cost for mix of 60% Incandescent and 40% CFL lamps for CFL TechID: "&amp;INDEX('Measure &amp; Standard CostIDs'!$C$5:$C$177,A404),"&lt;from TechID&gt;")</f>
        <v>&lt;from TechID&gt;</v>
      </c>
      <c r="F404" s="103" t="s">
        <v>860</v>
      </c>
      <c r="G404" s="103" t="s">
        <v>151</v>
      </c>
      <c r="H404" s="103" t="s">
        <v>861</v>
      </c>
      <c r="I404" s="103" t="s">
        <v>862</v>
      </c>
      <c r="J404" s="103" t="s">
        <v>863</v>
      </c>
      <c r="K404" s="103" t="s">
        <v>864</v>
      </c>
      <c r="L404" s="103" t="s">
        <v>153</v>
      </c>
      <c r="M404" s="103" t="s">
        <v>865</v>
      </c>
      <c r="N404" s="103" t="s">
        <v>866</v>
      </c>
      <c r="O404" s="103" t="str">
        <f t="shared" si="14"/>
        <v>CFLscw-A(10w)</v>
      </c>
      <c r="P404" s="103" t="s">
        <v>153</v>
      </c>
      <c r="Q404" s="103" t="s">
        <v>153</v>
      </c>
      <c r="R404" s="103" t="s">
        <v>153</v>
      </c>
      <c r="S404" s="103" t="str">
        <f>INDEX('Measure &amp; Standard CostIDs'!$AK$8:$AK$12,B404)</f>
        <v>Single-pack</v>
      </c>
      <c r="T404" s="103" t="s">
        <v>867</v>
      </c>
      <c r="U404" s="103"/>
      <c r="V404" s="103"/>
      <c r="W404" s="103">
        <f>ROUND(IF(LEFT(D404,3)="Std",VLOOKUP(D404,'Measure &amp; Standard CostIDs'!$S$5:$X$177,1+B404,FALSE),VLOOKUP(D404,'Measure &amp; Standard CostIDs'!$C$5:$H$177,1+B404,FALSE)),2)</f>
        <v>6.48</v>
      </c>
      <c r="X404" s="103"/>
      <c r="Y404" s="103"/>
      <c r="Z404" s="103" t="s">
        <v>868</v>
      </c>
      <c r="AA404" s="103" t="s">
        <v>874</v>
      </c>
      <c r="AB404" s="103" t="s">
        <v>153</v>
      </c>
      <c r="AC404" s="103">
        <v>0</v>
      </c>
      <c r="AD404" s="156">
        <v>42005</v>
      </c>
      <c r="AE404" s="103"/>
      <c r="AF404" s="103" t="s">
        <v>870</v>
      </c>
      <c r="AG404" s="103" t="s">
        <v>871</v>
      </c>
      <c r="AH404" s="103" t="s">
        <v>976</v>
      </c>
      <c r="AI404" s="103">
        <v>0</v>
      </c>
      <c r="AJ404" s="103"/>
      <c r="AK404" s="103"/>
      <c r="AL404" s="103"/>
      <c r="AM404" s="103"/>
      <c r="AN404" s="103"/>
      <c r="AO404" s="103" t="str">
        <f t="shared" si="15"/>
        <v>CFLscw-A(10w)Single-pack</v>
      </c>
    </row>
    <row r="405" spans="1:41">
      <c r="A405" s="177">
        <f>IFERROR(MATCH(D405,'Measure &amp; Standard CostIDs'!C$5:C$177,0),MATCH(D405,'Measure &amp; Standard CostIDs'!S$5:S$177,0))</f>
        <v>71</v>
      </c>
      <c r="B405" s="177">
        <f t="shared" si="16"/>
        <v>2</v>
      </c>
      <c r="C405" s="103" t="s">
        <v>153</v>
      </c>
      <c r="D405" s="103" t="str">
        <f t="shared" si="17"/>
        <v>CFLscw-A(11w)</v>
      </c>
      <c r="E405" s="103" t="str">
        <f>IF(LEFT(D405,3)="Std","Base case cost for mix of 60% Incandescent and 40% CFL lamps for CFL TechID: "&amp;INDEX('Measure &amp; Standard CostIDs'!$C$5:$C$177,A405),"&lt;from TechID&gt;")</f>
        <v>&lt;from TechID&gt;</v>
      </c>
      <c r="F405" s="103" t="s">
        <v>860</v>
      </c>
      <c r="G405" s="103" t="s">
        <v>151</v>
      </c>
      <c r="H405" s="103" t="s">
        <v>861</v>
      </c>
      <c r="I405" s="103" t="s">
        <v>862</v>
      </c>
      <c r="J405" s="103" t="s">
        <v>863</v>
      </c>
      <c r="K405" s="103" t="s">
        <v>864</v>
      </c>
      <c r="L405" s="103" t="s">
        <v>153</v>
      </c>
      <c r="M405" s="103" t="s">
        <v>865</v>
      </c>
      <c r="N405" s="103" t="s">
        <v>866</v>
      </c>
      <c r="O405" s="103" t="str">
        <f t="shared" si="14"/>
        <v>CFLscw-A(11w)</v>
      </c>
      <c r="P405" s="103" t="s">
        <v>153</v>
      </c>
      <c r="Q405" s="103" t="s">
        <v>153</v>
      </c>
      <c r="R405" s="103" t="s">
        <v>153</v>
      </c>
      <c r="S405" s="103" t="str">
        <f>INDEX('Measure &amp; Standard CostIDs'!$AK$8:$AK$12,B405)</f>
        <v>Single-pack</v>
      </c>
      <c r="T405" s="103" t="s">
        <v>867</v>
      </c>
      <c r="U405" s="103"/>
      <c r="V405" s="103"/>
      <c r="W405" s="103">
        <f>ROUND(IF(LEFT(D405,3)="Std",VLOOKUP(D405,'Measure &amp; Standard CostIDs'!$S$5:$X$177,1+B405,FALSE),VLOOKUP(D405,'Measure &amp; Standard CostIDs'!$C$5:$H$177,1+B405,FALSE)),2)</f>
        <v>6.55</v>
      </c>
      <c r="X405" s="103"/>
      <c r="Y405" s="103"/>
      <c r="Z405" s="103" t="s">
        <v>868</v>
      </c>
      <c r="AA405" s="103" t="s">
        <v>874</v>
      </c>
      <c r="AB405" s="103" t="s">
        <v>153</v>
      </c>
      <c r="AC405" s="103">
        <v>0</v>
      </c>
      <c r="AD405" s="156">
        <v>42005</v>
      </c>
      <c r="AE405" s="103"/>
      <c r="AF405" s="103" t="s">
        <v>870</v>
      </c>
      <c r="AG405" s="103" t="s">
        <v>871</v>
      </c>
      <c r="AH405" s="103" t="s">
        <v>976</v>
      </c>
      <c r="AI405" s="103">
        <v>0</v>
      </c>
      <c r="AJ405" s="103"/>
      <c r="AK405" s="103"/>
      <c r="AL405" s="103"/>
      <c r="AM405" s="103"/>
      <c r="AN405" s="103"/>
      <c r="AO405" s="103" t="str">
        <f t="shared" si="15"/>
        <v>CFLscw-A(11w)Single-pack</v>
      </c>
    </row>
    <row r="406" spans="1:41">
      <c r="A406" s="177">
        <f>IFERROR(MATCH(D406,'Measure &amp; Standard CostIDs'!C$5:C$177,0),MATCH(D406,'Measure &amp; Standard CostIDs'!S$5:S$177,0))</f>
        <v>72</v>
      </c>
      <c r="B406" s="177">
        <f t="shared" si="16"/>
        <v>2</v>
      </c>
      <c r="C406" s="103" t="s">
        <v>153</v>
      </c>
      <c r="D406" s="103" t="str">
        <f t="shared" si="17"/>
        <v>CFLscw-A(12w)</v>
      </c>
      <c r="E406" s="103" t="str">
        <f>IF(LEFT(D406,3)="Std","Base case cost for mix of 60% Incandescent and 40% CFL lamps for CFL TechID: "&amp;INDEX('Measure &amp; Standard CostIDs'!$C$5:$C$177,A406),"&lt;from TechID&gt;")</f>
        <v>&lt;from TechID&gt;</v>
      </c>
      <c r="F406" s="103" t="s">
        <v>860</v>
      </c>
      <c r="G406" s="103" t="s">
        <v>151</v>
      </c>
      <c r="H406" s="103" t="s">
        <v>861</v>
      </c>
      <c r="I406" s="103" t="s">
        <v>862</v>
      </c>
      <c r="J406" s="103" t="s">
        <v>863</v>
      </c>
      <c r="K406" s="103" t="s">
        <v>864</v>
      </c>
      <c r="L406" s="103" t="s">
        <v>153</v>
      </c>
      <c r="M406" s="103" t="s">
        <v>865</v>
      </c>
      <c r="N406" s="103" t="s">
        <v>866</v>
      </c>
      <c r="O406" s="103" t="str">
        <f t="shared" si="14"/>
        <v>CFLscw-A(12w)</v>
      </c>
      <c r="P406" s="103" t="s">
        <v>153</v>
      </c>
      <c r="Q406" s="103" t="s">
        <v>153</v>
      </c>
      <c r="R406" s="103" t="s">
        <v>153</v>
      </c>
      <c r="S406" s="103" t="str">
        <f>INDEX('Measure &amp; Standard CostIDs'!$AK$8:$AK$12,B406)</f>
        <v>Single-pack</v>
      </c>
      <c r="T406" s="103" t="s">
        <v>867</v>
      </c>
      <c r="U406" s="103"/>
      <c r="V406" s="103"/>
      <c r="W406" s="103">
        <f>ROUND(IF(LEFT(D406,3)="Std",VLOOKUP(D406,'Measure &amp; Standard CostIDs'!$S$5:$X$177,1+B406,FALSE),VLOOKUP(D406,'Measure &amp; Standard CostIDs'!$C$5:$H$177,1+B406,FALSE)),2)</f>
        <v>6.61</v>
      </c>
      <c r="X406" s="103"/>
      <c r="Y406" s="103"/>
      <c r="Z406" s="103" t="s">
        <v>868</v>
      </c>
      <c r="AA406" s="103" t="s">
        <v>874</v>
      </c>
      <c r="AB406" s="103" t="s">
        <v>153</v>
      </c>
      <c r="AC406" s="103">
        <v>0</v>
      </c>
      <c r="AD406" s="156">
        <v>42005</v>
      </c>
      <c r="AE406" s="103"/>
      <c r="AF406" s="103" t="s">
        <v>870</v>
      </c>
      <c r="AG406" s="103" t="s">
        <v>871</v>
      </c>
      <c r="AH406" s="103" t="s">
        <v>976</v>
      </c>
      <c r="AI406" s="103">
        <v>0</v>
      </c>
      <c r="AJ406" s="103"/>
      <c r="AK406" s="103"/>
      <c r="AL406" s="103"/>
      <c r="AM406" s="103"/>
      <c r="AN406" s="103"/>
      <c r="AO406" s="103" t="str">
        <f t="shared" si="15"/>
        <v>CFLscw-A(12w)Single-pack</v>
      </c>
    </row>
    <row r="407" spans="1:41">
      <c r="A407" s="177">
        <f>IFERROR(MATCH(D407,'Measure &amp; Standard CostIDs'!C$5:C$177,0),MATCH(D407,'Measure &amp; Standard CostIDs'!S$5:S$177,0))</f>
        <v>73</v>
      </c>
      <c r="B407" s="177">
        <f t="shared" si="16"/>
        <v>2</v>
      </c>
      <c r="C407" s="103" t="s">
        <v>153</v>
      </c>
      <c r="D407" s="103" t="str">
        <f t="shared" si="17"/>
        <v>CFLscw-A(13w)</v>
      </c>
      <c r="E407" s="103" t="str">
        <f>IF(LEFT(D407,3)="Std","Base case cost for mix of 60% Incandescent and 40% CFL lamps for CFL TechID: "&amp;INDEX('Measure &amp; Standard CostIDs'!$C$5:$C$177,A407),"&lt;from TechID&gt;")</f>
        <v>&lt;from TechID&gt;</v>
      </c>
      <c r="F407" s="103" t="s">
        <v>860</v>
      </c>
      <c r="G407" s="103" t="s">
        <v>151</v>
      </c>
      <c r="H407" s="103" t="s">
        <v>861</v>
      </c>
      <c r="I407" s="103" t="s">
        <v>862</v>
      </c>
      <c r="J407" s="103" t="s">
        <v>863</v>
      </c>
      <c r="K407" s="103" t="s">
        <v>864</v>
      </c>
      <c r="L407" s="103" t="s">
        <v>153</v>
      </c>
      <c r="M407" s="103" t="s">
        <v>865</v>
      </c>
      <c r="N407" s="103" t="s">
        <v>866</v>
      </c>
      <c r="O407" s="103" t="str">
        <f t="shared" si="14"/>
        <v>CFLscw-A(13w)</v>
      </c>
      <c r="P407" s="103" t="s">
        <v>153</v>
      </c>
      <c r="Q407" s="103" t="s">
        <v>153</v>
      </c>
      <c r="R407" s="103" t="s">
        <v>153</v>
      </c>
      <c r="S407" s="103" t="str">
        <f>INDEX('Measure &amp; Standard CostIDs'!$AK$8:$AK$12,B407)</f>
        <v>Single-pack</v>
      </c>
      <c r="T407" s="103" t="s">
        <v>867</v>
      </c>
      <c r="U407" s="103"/>
      <c r="V407" s="103"/>
      <c r="W407" s="103">
        <f>ROUND(IF(LEFT(D407,3)="Std",VLOOKUP(D407,'Measure &amp; Standard CostIDs'!$S$5:$X$177,1+B407,FALSE),VLOOKUP(D407,'Measure &amp; Standard CostIDs'!$C$5:$H$177,1+B407,FALSE)),2)</f>
        <v>6.68</v>
      </c>
      <c r="X407" s="103"/>
      <c r="Y407" s="103"/>
      <c r="Z407" s="103" t="s">
        <v>868</v>
      </c>
      <c r="AA407" s="103" t="s">
        <v>874</v>
      </c>
      <c r="AB407" s="103" t="s">
        <v>153</v>
      </c>
      <c r="AC407" s="103">
        <v>0</v>
      </c>
      <c r="AD407" s="156">
        <v>42005</v>
      </c>
      <c r="AE407" s="103"/>
      <c r="AF407" s="103" t="s">
        <v>870</v>
      </c>
      <c r="AG407" s="103" t="s">
        <v>871</v>
      </c>
      <c r="AH407" s="103" t="s">
        <v>976</v>
      </c>
      <c r="AI407" s="103">
        <v>0</v>
      </c>
      <c r="AJ407" s="103"/>
      <c r="AK407" s="103"/>
      <c r="AL407" s="103"/>
      <c r="AM407" s="103"/>
      <c r="AN407" s="103"/>
      <c r="AO407" s="103" t="str">
        <f t="shared" si="15"/>
        <v>CFLscw-A(13w)Single-pack</v>
      </c>
    </row>
    <row r="408" spans="1:41">
      <c r="A408" s="177">
        <f>IFERROR(MATCH(D408,'Measure &amp; Standard CostIDs'!C$5:C$177,0),MATCH(D408,'Measure &amp; Standard CostIDs'!S$5:S$177,0))</f>
        <v>74</v>
      </c>
      <c r="B408" s="177">
        <f t="shared" si="16"/>
        <v>2</v>
      </c>
      <c r="C408" s="103" t="s">
        <v>153</v>
      </c>
      <c r="D408" s="103" t="str">
        <f t="shared" si="17"/>
        <v>CFLscw-A(14w)</v>
      </c>
      <c r="E408" s="103" t="str">
        <f>IF(LEFT(D408,3)="Std","Base case cost for mix of 60% Incandescent and 40% CFL lamps for CFL TechID: "&amp;INDEX('Measure &amp; Standard CostIDs'!$C$5:$C$177,A408),"&lt;from TechID&gt;")</f>
        <v>&lt;from TechID&gt;</v>
      </c>
      <c r="F408" s="103" t="s">
        <v>860</v>
      </c>
      <c r="G408" s="103" t="s">
        <v>151</v>
      </c>
      <c r="H408" s="103" t="s">
        <v>861</v>
      </c>
      <c r="I408" s="103" t="s">
        <v>862</v>
      </c>
      <c r="J408" s="103" t="s">
        <v>863</v>
      </c>
      <c r="K408" s="103" t="s">
        <v>864</v>
      </c>
      <c r="L408" s="103" t="s">
        <v>153</v>
      </c>
      <c r="M408" s="103" t="s">
        <v>865</v>
      </c>
      <c r="N408" s="103" t="s">
        <v>866</v>
      </c>
      <c r="O408" s="103" t="str">
        <f t="shared" si="14"/>
        <v>CFLscw-A(14w)</v>
      </c>
      <c r="P408" s="103" t="s">
        <v>153</v>
      </c>
      <c r="Q408" s="103" t="s">
        <v>153</v>
      </c>
      <c r="R408" s="103" t="s">
        <v>153</v>
      </c>
      <c r="S408" s="103" t="str">
        <f>INDEX('Measure &amp; Standard CostIDs'!$AK$8:$AK$12,B408)</f>
        <v>Single-pack</v>
      </c>
      <c r="T408" s="103" t="s">
        <v>867</v>
      </c>
      <c r="U408" s="103"/>
      <c r="V408" s="103"/>
      <c r="W408" s="103">
        <f>ROUND(IF(LEFT(D408,3)="Std",VLOOKUP(D408,'Measure &amp; Standard CostIDs'!$S$5:$X$177,1+B408,FALSE),VLOOKUP(D408,'Measure &amp; Standard CostIDs'!$C$5:$H$177,1+B408,FALSE)),2)</f>
        <v>6.75</v>
      </c>
      <c r="X408" s="103"/>
      <c r="Y408" s="103"/>
      <c r="Z408" s="103" t="s">
        <v>868</v>
      </c>
      <c r="AA408" s="103" t="s">
        <v>874</v>
      </c>
      <c r="AB408" s="103" t="s">
        <v>153</v>
      </c>
      <c r="AC408" s="103">
        <v>0</v>
      </c>
      <c r="AD408" s="156">
        <v>42005</v>
      </c>
      <c r="AE408" s="103"/>
      <c r="AF408" s="103" t="s">
        <v>870</v>
      </c>
      <c r="AG408" s="103" t="s">
        <v>871</v>
      </c>
      <c r="AH408" s="103" t="s">
        <v>976</v>
      </c>
      <c r="AI408" s="103">
        <v>0</v>
      </c>
      <c r="AJ408" s="103"/>
      <c r="AK408" s="103"/>
      <c r="AL408" s="103"/>
      <c r="AM408" s="103"/>
      <c r="AN408" s="103"/>
      <c r="AO408" s="103" t="str">
        <f t="shared" si="15"/>
        <v>CFLscw-A(14w)Single-pack</v>
      </c>
    </row>
    <row r="409" spans="1:41">
      <c r="A409" s="177">
        <f>IFERROR(MATCH(D409,'Measure &amp; Standard CostIDs'!C$5:C$177,0),MATCH(D409,'Measure &amp; Standard CostIDs'!S$5:S$177,0))</f>
        <v>75</v>
      </c>
      <c r="B409" s="177">
        <f t="shared" si="16"/>
        <v>2</v>
      </c>
      <c r="C409" s="103" t="s">
        <v>153</v>
      </c>
      <c r="D409" s="103" t="str">
        <f t="shared" si="17"/>
        <v>CFLscw-A(15w)</v>
      </c>
      <c r="E409" s="103" t="str">
        <f>IF(LEFT(D409,3)="Std","Base case cost for mix of 60% Incandescent and 40% CFL lamps for CFL TechID: "&amp;INDEX('Measure &amp; Standard CostIDs'!$C$5:$C$177,A409),"&lt;from TechID&gt;")</f>
        <v>&lt;from TechID&gt;</v>
      </c>
      <c r="F409" s="103" t="s">
        <v>860</v>
      </c>
      <c r="G409" s="103" t="s">
        <v>151</v>
      </c>
      <c r="H409" s="103" t="s">
        <v>861</v>
      </c>
      <c r="I409" s="103" t="s">
        <v>862</v>
      </c>
      <c r="J409" s="103" t="s">
        <v>863</v>
      </c>
      <c r="K409" s="103" t="s">
        <v>864</v>
      </c>
      <c r="L409" s="103" t="s">
        <v>153</v>
      </c>
      <c r="M409" s="103" t="s">
        <v>865</v>
      </c>
      <c r="N409" s="103" t="s">
        <v>866</v>
      </c>
      <c r="O409" s="103" t="str">
        <f t="shared" si="14"/>
        <v>CFLscw-A(15w)</v>
      </c>
      <c r="P409" s="103" t="s">
        <v>153</v>
      </c>
      <c r="Q409" s="103" t="s">
        <v>153</v>
      </c>
      <c r="R409" s="103" t="s">
        <v>153</v>
      </c>
      <c r="S409" s="103" t="str">
        <f>INDEX('Measure &amp; Standard CostIDs'!$AK$8:$AK$12,B409)</f>
        <v>Single-pack</v>
      </c>
      <c r="T409" s="103" t="s">
        <v>867</v>
      </c>
      <c r="U409" s="103"/>
      <c r="V409" s="103"/>
      <c r="W409" s="103">
        <f>ROUND(IF(LEFT(D409,3)="Std",VLOOKUP(D409,'Measure &amp; Standard CostIDs'!$S$5:$X$177,1+B409,FALSE),VLOOKUP(D409,'Measure &amp; Standard CostIDs'!$C$5:$H$177,1+B409,FALSE)),2)</f>
        <v>6.81</v>
      </c>
      <c r="X409" s="103"/>
      <c r="Y409" s="103"/>
      <c r="Z409" s="103" t="s">
        <v>868</v>
      </c>
      <c r="AA409" s="103" t="s">
        <v>874</v>
      </c>
      <c r="AB409" s="103" t="s">
        <v>153</v>
      </c>
      <c r="AC409" s="103">
        <v>0</v>
      </c>
      <c r="AD409" s="156">
        <v>42005</v>
      </c>
      <c r="AE409" s="103"/>
      <c r="AF409" s="103" t="s">
        <v>870</v>
      </c>
      <c r="AG409" s="103" t="s">
        <v>871</v>
      </c>
      <c r="AH409" s="103" t="s">
        <v>976</v>
      </c>
      <c r="AI409" s="103">
        <v>0</v>
      </c>
      <c r="AJ409" s="103"/>
      <c r="AK409" s="103"/>
      <c r="AL409" s="103"/>
      <c r="AM409" s="103"/>
      <c r="AN409" s="103"/>
      <c r="AO409" s="103" t="str">
        <f t="shared" si="15"/>
        <v>CFLscw-A(15w)Single-pack</v>
      </c>
    </row>
    <row r="410" spans="1:41">
      <c r="A410" s="177">
        <f>IFERROR(MATCH(D410,'Measure &amp; Standard CostIDs'!C$5:C$177,0),MATCH(D410,'Measure &amp; Standard CostIDs'!S$5:S$177,0))</f>
        <v>76</v>
      </c>
      <c r="B410" s="177">
        <f t="shared" si="16"/>
        <v>2</v>
      </c>
      <c r="C410" s="103" t="s">
        <v>153</v>
      </c>
      <c r="D410" s="103" t="str">
        <f t="shared" si="17"/>
        <v>CFLscw-A(16w)</v>
      </c>
      <c r="E410" s="103" t="str">
        <f>IF(LEFT(D410,3)="Std","Base case cost for mix of 60% Incandescent and 40% CFL lamps for CFL TechID: "&amp;INDEX('Measure &amp; Standard CostIDs'!$C$5:$C$177,A410),"&lt;from TechID&gt;")</f>
        <v>&lt;from TechID&gt;</v>
      </c>
      <c r="F410" s="103" t="s">
        <v>860</v>
      </c>
      <c r="G410" s="103" t="s">
        <v>151</v>
      </c>
      <c r="H410" s="103" t="s">
        <v>861</v>
      </c>
      <c r="I410" s="103" t="s">
        <v>862</v>
      </c>
      <c r="J410" s="103" t="s">
        <v>863</v>
      </c>
      <c r="K410" s="103" t="s">
        <v>864</v>
      </c>
      <c r="L410" s="103" t="s">
        <v>153</v>
      </c>
      <c r="M410" s="103" t="s">
        <v>865</v>
      </c>
      <c r="N410" s="103" t="s">
        <v>866</v>
      </c>
      <c r="O410" s="103" t="str">
        <f t="shared" si="14"/>
        <v>CFLscw-A(16w)</v>
      </c>
      <c r="P410" s="103" t="s">
        <v>153</v>
      </c>
      <c r="Q410" s="103" t="s">
        <v>153</v>
      </c>
      <c r="R410" s="103" t="s">
        <v>153</v>
      </c>
      <c r="S410" s="103" t="str">
        <f>INDEX('Measure &amp; Standard CostIDs'!$AK$8:$AK$12,B410)</f>
        <v>Single-pack</v>
      </c>
      <c r="T410" s="103" t="s">
        <v>867</v>
      </c>
      <c r="U410" s="103"/>
      <c r="V410" s="103"/>
      <c r="W410" s="103">
        <f>ROUND(IF(LEFT(D410,3)="Std",VLOOKUP(D410,'Measure &amp; Standard CostIDs'!$S$5:$X$177,1+B410,FALSE),VLOOKUP(D410,'Measure &amp; Standard CostIDs'!$C$5:$H$177,1+B410,FALSE)),2)</f>
        <v>6.88</v>
      </c>
      <c r="X410" s="103"/>
      <c r="Y410" s="103"/>
      <c r="Z410" s="103" t="s">
        <v>868</v>
      </c>
      <c r="AA410" s="103" t="s">
        <v>874</v>
      </c>
      <c r="AB410" s="103" t="s">
        <v>153</v>
      </c>
      <c r="AC410" s="103">
        <v>0</v>
      </c>
      <c r="AD410" s="156">
        <v>42005</v>
      </c>
      <c r="AE410" s="103"/>
      <c r="AF410" s="103" t="s">
        <v>870</v>
      </c>
      <c r="AG410" s="103" t="s">
        <v>871</v>
      </c>
      <c r="AH410" s="103" t="s">
        <v>976</v>
      </c>
      <c r="AI410" s="103">
        <v>0</v>
      </c>
      <c r="AJ410" s="103"/>
      <c r="AK410" s="103"/>
      <c r="AL410" s="103"/>
      <c r="AM410" s="103"/>
      <c r="AN410" s="103"/>
      <c r="AO410" s="103" t="str">
        <f t="shared" si="15"/>
        <v>CFLscw-A(16w)Single-pack</v>
      </c>
    </row>
    <row r="411" spans="1:41">
      <c r="A411" s="177">
        <f>IFERROR(MATCH(D411,'Measure &amp; Standard CostIDs'!C$5:C$177,0),MATCH(D411,'Measure &amp; Standard CostIDs'!S$5:S$177,0))</f>
        <v>77</v>
      </c>
      <c r="B411" s="177">
        <f t="shared" si="16"/>
        <v>2</v>
      </c>
      <c r="C411" s="103" t="s">
        <v>153</v>
      </c>
      <c r="D411" s="103" t="str">
        <f t="shared" si="17"/>
        <v>CFLscw-A(18w)</v>
      </c>
      <c r="E411" s="103" t="str">
        <f>IF(LEFT(D411,3)="Std","Base case cost for mix of 60% Incandescent and 40% CFL lamps for CFL TechID: "&amp;INDEX('Measure &amp; Standard CostIDs'!$C$5:$C$177,A411),"&lt;from TechID&gt;")</f>
        <v>&lt;from TechID&gt;</v>
      </c>
      <c r="F411" s="103" t="s">
        <v>860</v>
      </c>
      <c r="G411" s="103" t="s">
        <v>151</v>
      </c>
      <c r="H411" s="103" t="s">
        <v>861</v>
      </c>
      <c r="I411" s="103" t="s">
        <v>862</v>
      </c>
      <c r="J411" s="103" t="s">
        <v>863</v>
      </c>
      <c r="K411" s="103" t="s">
        <v>864</v>
      </c>
      <c r="L411" s="103" t="s">
        <v>153</v>
      </c>
      <c r="M411" s="103" t="s">
        <v>865</v>
      </c>
      <c r="N411" s="103" t="s">
        <v>866</v>
      </c>
      <c r="O411" s="103" t="str">
        <f t="shared" si="14"/>
        <v>CFLscw-A(18w)</v>
      </c>
      <c r="P411" s="103" t="s">
        <v>153</v>
      </c>
      <c r="Q411" s="103" t="s">
        <v>153</v>
      </c>
      <c r="R411" s="103" t="s">
        <v>153</v>
      </c>
      <c r="S411" s="103" t="str">
        <f>INDEX('Measure &amp; Standard CostIDs'!$AK$8:$AK$12,B411)</f>
        <v>Single-pack</v>
      </c>
      <c r="T411" s="103" t="s">
        <v>867</v>
      </c>
      <c r="U411" s="103"/>
      <c r="V411" s="103"/>
      <c r="W411" s="103">
        <f>ROUND(IF(LEFT(D411,3)="Std",VLOOKUP(D411,'Measure &amp; Standard CostIDs'!$S$5:$X$177,1+B411,FALSE),VLOOKUP(D411,'Measure &amp; Standard CostIDs'!$C$5:$H$177,1+B411,FALSE)),2)</f>
        <v>7.01</v>
      </c>
      <c r="X411" s="103"/>
      <c r="Y411" s="103"/>
      <c r="Z411" s="103" t="s">
        <v>868</v>
      </c>
      <c r="AA411" s="103" t="s">
        <v>874</v>
      </c>
      <c r="AB411" s="103" t="s">
        <v>153</v>
      </c>
      <c r="AC411" s="103">
        <v>0</v>
      </c>
      <c r="AD411" s="156">
        <v>42005</v>
      </c>
      <c r="AE411" s="103"/>
      <c r="AF411" s="103" t="s">
        <v>870</v>
      </c>
      <c r="AG411" s="103" t="s">
        <v>871</v>
      </c>
      <c r="AH411" s="103" t="s">
        <v>976</v>
      </c>
      <c r="AI411" s="103">
        <v>0</v>
      </c>
      <c r="AJ411" s="103"/>
      <c r="AK411" s="103"/>
      <c r="AL411" s="103"/>
      <c r="AM411" s="103"/>
      <c r="AN411" s="103"/>
      <c r="AO411" s="103" t="str">
        <f t="shared" si="15"/>
        <v>CFLscw-A(18w)Single-pack</v>
      </c>
    </row>
    <row r="412" spans="1:41">
      <c r="A412" s="177">
        <f>IFERROR(MATCH(D412,'Measure &amp; Standard CostIDs'!C$5:C$177,0),MATCH(D412,'Measure &amp; Standard CostIDs'!S$5:S$177,0))</f>
        <v>78</v>
      </c>
      <c r="B412" s="177">
        <f t="shared" si="16"/>
        <v>2</v>
      </c>
      <c r="C412" s="103" t="s">
        <v>153</v>
      </c>
      <c r="D412" s="103" t="str">
        <f t="shared" si="17"/>
        <v>CFLscw-A(19w)</v>
      </c>
      <c r="E412" s="103" t="str">
        <f>IF(LEFT(D412,3)="Std","Base case cost for mix of 60% Incandescent and 40% CFL lamps for CFL TechID: "&amp;INDEX('Measure &amp; Standard CostIDs'!$C$5:$C$177,A412),"&lt;from TechID&gt;")</f>
        <v>&lt;from TechID&gt;</v>
      </c>
      <c r="F412" s="103" t="s">
        <v>860</v>
      </c>
      <c r="G412" s="103" t="s">
        <v>151</v>
      </c>
      <c r="H412" s="103" t="s">
        <v>861</v>
      </c>
      <c r="I412" s="103" t="s">
        <v>862</v>
      </c>
      <c r="J412" s="103" t="s">
        <v>863</v>
      </c>
      <c r="K412" s="103" t="s">
        <v>864</v>
      </c>
      <c r="L412" s="103" t="s">
        <v>153</v>
      </c>
      <c r="M412" s="103" t="s">
        <v>865</v>
      </c>
      <c r="N412" s="103" t="s">
        <v>866</v>
      </c>
      <c r="O412" s="103" t="str">
        <f t="shared" si="14"/>
        <v>CFLscw-A(19w)</v>
      </c>
      <c r="P412" s="103" t="s">
        <v>153</v>
      </c>
      <c r="Q412" s="103" t="s">
        <v>153</v>
      </c>
      <c r="R412" s="103" t="s">
        <v>153</v>
      </c>
      <c r="S412" s="103" t="str">
        <f>INDEX('Measure &amp; Standard CostIDs'!$AK$8:$AK$12,B412)</f>
        <v>Single-pack</v>
      </c>
      <c r="T412" s="103" t="s">
        <v>867</v>
      </c>
      <c r="U412" s="103"/>
      <c r="V412" s="103"/>
      <c r="W412" s="103">
        <f>ROUND(IF(LEFT(D412,3)="Std",VLOOKUP(D412,'Measure &amp; Standard CostIDs'!$S$5:$X$177,1+B412,FALSE),VLOOKUP(D412,'Measure &amp; Standard CostIDs'!$C$5:$H$177,1+B412,FALSE)),2)</f>
        <v>7.08</v>
      </c>
      <c r="X412" s="103"/>
      <c r="Y412" s="103"/>
      <c r="Z412" s="103" t="s">
        <v>868</v>
      </c>
      <c r="AA412" s="103" t="s">
        <v>874</v>
      </c>
      <c r="AB412" s="103" t="s">
        <v>153</v>
      </c>
      <c r="AC412" s="103">
        <v>0</v>
      </c>
      <c r="AD412" s="156">
        <v>42005</v>
      </c>
      <c r="AE412" s="103"/>
      <c r="AF412" s="103" t="s">
        <v>870</v>
      </c>
      <c r="AG412" s="103" t="s">
        <v>871</v>
      </c>
      <c r="AH412" s="103" t="s">
        <v>976</v>
      </c>
      <c r="AI412" s="103">
        <v>0</v>
      </c>
      <c r="AJ412" s="103"/>
      <c r="AK412" s="103"/>
      <c r="AL412" s="103"/>
      <c r="AM412" s="103"/>
      <c r="AN412" s="103"/>
      <c r="AO412" s="103" t="str">
        <f t="shared" si="15"/>
        <v>CFLscw-A(19w)Single-pack</v>
      </c>
    </row>
    <row r="413" spans="1:41">
      <c r="A413" s="177">
        <f>IFERROR(MATCH(D413,'Measure &amp; Standard CostIDs'!C$5:C$177,0),MATCH(D413,'Measure &amp; Standard CostIDs'!S$5:S$177,0))</f>
        <v>79</v>
      </c>
      <c r="B413" s="177">
        <f t="shared" si="16"/>
        <v>2</v>
      </c>
      <c r="C413" s="103" t="s">
        <v>153</v>
      </c>
      <c r="D413" s="103" t="str">
        <f t="shared" si="17"/>
        <v>CFLscw-A(20w)</v>
      </c>
      <c r="E413" s="103" t="str">
        <f>IF(LEFT(D413,3)="Std","Base case cost for mix of 60% Incandescent and 40% CFL lamps for CFL TechID: "&amp;INDEX('Measure &amp; Standard CostIDs'!$C$5:$C$177,A413),"&lt;from TechID&gt;")</f>
        <v>&lt;from TechID&gt;</v>
      </c>
      <c r="F413" s="103" t="s">
        <v>860</v>
      </c>
      <c r="G413" s="103" t="s">
        <v>151</v>
      </c>
      <c r="H413" s="103" t="s">
        <v>861</v>
      </c>
      <c r="I413" s="103" t="s">
        <v>862</v>
      </c>
      <c r="J413" s="103" t="s">
        <v>863</v>
      </c>
      <c r="K413" s="103" t="s">
        <v>864</v>
      </c>
      <c r="L413" s="103" t="s">
        <v>153</v>
      </c>
      <c r="M413" s="103" t="s">
        <v>865</v>
      </c>
      <c r="N413" s="103" t="s">
        <v>866</v>
      </c>
      <c r="O413" s="103" t="str">
        <f t="shared" si="14"/>
        <v>CFLscw-A(20w)</v>
      </c>
      <c r="P413" s="103" t="s">
        <v>153</v>
      </c>
      <c r="Q413" s="103" t="s">
        <v>153</v>
      </c>
      <c r="R413" s="103" t="s">
        <v>153</v>
      </c>
      <c r="S413" s="103" t="str">
        <f>INDEX('Measure &amp; Standard CostIDs'!$AK$8:$AK$12,B413)</f>
        <v>Single-pack</v>
      </c>
      <c r="T413" s="103" t="s">
        <v>867</v>
      </c>
      <c r="U413" s="103"/>
      <c r="V413" s="103"/>
      <c r="W413" s="103">
        <f>ROUND(IF(LEFT(D413,3)="Std",VLOOKUP(D413,'Measure &amp; Standard CostIDs'!$S$5:$X$177,1+B413,FALSE),VLOOKUP(D413,'Measure &amp; Standard CostIDs'!$C$5:$H$177,1+B413,FALSE)),2)</f>
        <v>7.15</v>
      </c>
      <c r="X413" s="103"/>
      <c r="Y413" s="103"/>
      <c r="Z413" s="103" t="s">
        <v>868</v>
      </c>
      <c r="AA413" s="103" t="s">
        <v>874</v>
      </c>
      <c r="AB413" s="103" t="s">
        <v>153</v>
      </c>
      <c r="AC413" s="103">
        <v>0</v>
      </c>
      <c r="AD413" s="156">
        <v>42005</v>
      </c>
      <c r="AE413" s="103"/>
      <c r="AF413" s="103" t="s">
        <v>870</v>
      </c>
      <c r="AG413" s="103" t="s">
        <v>871</v>
      </c>
      <c r="AH413" s="103" t="s">
        <v>976</v>
      </c>
      <c r="AI413" s="103">
        <v>0</v>
      </c>
      <c r="AJ413" s="103"/>
      <c r="AK413" s="103"/>
      <c r="AL413" s="103"/>
      <c r="AM413" s="103"/>
      <c r="AN413" s="103"/>
      <c r="AO413" s="103" t="str">
        <f t="shared" si="15"/>
        <v>CFLscw-A(20w)Single-pack</v>
      </c>
    </row>
    <row r="414" spans="1:41">
      <c r="A414" s="177">
        <f>IFERROR(MATCH(D414,'Measure &amp; Standard CostIDs'!C$5:C$177,0),MATCH(D414,'Measure &amp; Standard CostIDs'!S$5:S$177,0))</f>
        <v>80</v>
      </c>
      <c r="B414" s="177">
        <f t="shared" si="16"/>
        <v>2</v>
      </c>
      <c r="C414" s="103" t="s">
        <v>153</v>
      </c>
      <c r="D414" s="103" t="str">
        <f t="shared" si="17"/>
        <v>CFLscw-A(22w)</v>
      </c>
      <c r="E414" s="103" t="str">
        <f>IF(LEFT(D414,3)="Std","Base case cost for mix of 60% Incandescent and 40% CFL lamps for CFL TechID: "&amp;INDEX('Measure &amp; Standard CostIDs'!$C$5:$C$177,A414),"&lt;from TechID&gt;")</f>
        <v>&lt;from TechID&gt;</v>
      </c>
      <c r="F414" s="103" t="s">
        <v>860</v>
      </c>
      <c r="G414" s="103" t="s">
        <v>151</v>
      </c>
      <c r="H414" s="103" t="s">
        <v>861</v>
      </c>
      <c r="I414" s="103" t="s">
        <v>862</v>
      </c>
      <c r="J414" s="103" t="s">
        <v>863</v>
      </c>
      <c r="K414" s="103" t="s">
        <v>864</v>
      </c>
      <c r="L414" s="103" t="s">
        <v>153</v>
      </c>
      <c r="M414" s="103" t="s">
        <v>865</v>
      </c>
      <c r="N414" s="103" t="s">
        <v>866</v>
      </c>
      <c r="O414" s="103" t="str">
        <f t="shared" si="14"/>
        <v>CFLscw-A(22w)</v>
      </c>
      <c r="P414" s="103" t="s">
        <v>153</v>
      </c>
      <c r="Q414" s="103" t="s">
        <v>153</v>
      </c>
      <c r="R414" s="103" t="s">
        <v>153</v>
      </c>
      <c r="S414" s="103" t="str">
        <f>INDEX('Measure &amp; Standard CostIDs'!$AK$8:$AK$12,B414)</f>
        <v>Single-pack</v>
      </c>
      <c r="T414" s="103" t="s">
        <v>867</v>
      </c>
      <c r="U414" s="103"/>
      <c r="V414" s="103"/>
      <c r="W414" s="103">
        <f>ROUND(IF(LEFT(D414,3)="Std",VLOOKUP(D414,'Measure &amp; Standard CostIDs'!$S$5:$X$177,1+B414,FALSE),VLOOKUP(D414,'Measure &amp; Standard CostIDs'!$C$5:$H$177,1+B414,FALSE)),2)</f>
        <v>7.28</v>
      </c>
      <c r="X414" s="103"/>
      <c r="Y414" s="103"/>
      <c r="Z414" s="103" t="s">
        <v>868</v>
      </c>
      <c r="AA414" s="103" t="s">
        <v>874</v>
      </c>
      <c r="AB414" s="103" t="s">
        <v>153</v>
      </c>
      <c r="AC414" s="103">
        <v>0</v>
      </c>
      <c r="AD414" s="156">
        <v>42005</v>
      </c>
      <c r="AE414" s="103"/>
      <c r="AF414" s="103" t="s">
        <v>870</v>
      </c>
      <c r="AG414" s="103" t="s">
        <v>871</v>
      </c>
      <c r="AH414" s="103" t="s">
        <v>976</v>
      </c>
      <c r="AI414" s="103">
        <v>0</v>
      </c>
      <c r="AJ414" s="103"/>
      <c r="AK414" s="103"/>
      <c r="AL414" s="103"/>
      <c r="AM414" s="103"/>
      <c r="AN414" s="103"/>
      <c r="AO414" s="103" t="str">
        <f t="shared" si="15"/>
        <v>CFLscw-A(22w)Single-pack</v>
      </c>
    </row>
    <row r="415" spans="1:41">
      <c r="A415" s="177">
        <f>IFERROR(MATCH(D415,'Measure &amp; Standard CostIDs'!C$5:C$177,0),MATCH(D415,'Measure &amp; Standard CostIDs'!S$5:S$177,0))</f>
        <v>81</v>
      </c>
      <c r="B415" s="177">
        <f t="shared" si="16"/>
        <v>2</v>
      </c>
      <c r="C415" s="103" t="s">
        <v>153</v>
      </c>
      <c r="D415" s="103" t="str">
        <f t="shared" si="17"/>
        <v>CFLscw-A(23w)</v>
      </c>
      <c r="E415" s="103" t="str">
        <f>IF(LEFT(D415,3)="Std","Base case cost for mix of 60% Incandescent and 40% CFL lamps for CFL TechID: "&amp;INDEX('Measure &amp; Standard CostIDs'!$C$5:$C$177,A415),"&lt;from TechID&gt;")</f>
        <v>&lt;from TechID&gt;</v>
      </c>
      <c r="F415" s="103" t="s">
        <v>860</v>
      </c>
      <c r="G415" s="103" t="s">
        <v>151</v>
      </c>
      <c r="H415" s="103" t="s">
        <v>861</v>
      </c>
      <c r="I415" s="103" t="s">
        <v>862</v>
      </c>
      <c r="J415" s="103" t="s">
        <v>863</v>
      </c>
      <c r="K415" s="103" t="s">
        <v>864</v>
      </c>
      <c r="L415" s="103" t="s">
        <v>153</v>
      </c>
      <c r="M415" s="103" t="s">
        <v>865</v>
      </c>
      <c r="N415" s="103" t="s">
        <v>866</v>
      </c>
      <c r="O415" s="103" t="str">
        <f t="shared" si="14"/>
        <v>CFLscw-A(23w)</v>
      </c>
      <c r="P415" s="103" t="s">
        <v>153</v>
      </c>
      <c r="Q415" s="103" t="s">
        <v>153</v>
      </c>
      <c r="R415" s="103" t="s">
        <v>153</v>
      </c>
      <c r="S415" s="103" t="str">
        <f>INDEX('Measure &amp; Standard CostIDs'!$AK$8:$AK$12,B415)</f>
        <v>Single-pack</v>
      </c>
      <c r="T415" s="103" t="s">
        <v>867</v>
      </c>
      <c r="U415" s="103"/>
      <c r="V415" s="103"/>
      <c r="W415" s="103">
        <f>ROUND(IF(LEFT(D415,3)="Std",VLOOKUP(D415,'Measure &amp; Standard CostIDs'!$S$5:$X$177,1+B415,FALSE),VLOOKUP(D415,'Measure &amp; Standard CostIDs'!$C$5:$H$177,1+B415,FALSE)),2)</f>
        <v>7.35</v>
      </c>
      <c r="X415" s="103"/>
      <c r="Y415" s="103"/>
      <c r="Z415" s="103" t="s">
        <v>868</v>
      </c>
      <c r="AA415" s="103" t="s">
        <v>874</v>
      </c>
      <c r="AB415" s="103" t="s">
        <v>153</v>
      </c>
      <c r="AC415" s="103">
        <v>0</v>
      </c>
      <c r="AD415" s="156">
        <v>42005</v>
      </c>
      <c r="AE415" s="103"/>
      <c r="AF415" s="103" t="s">
        <v>870</v>
      </c>
      <c r="AG415" s="103" t="s">
        <v>871</v>
      </c>
      <c r="AH415" s="103" t="s">
        <v>976</v>
      </c>
      <c r="AI415" s="103">
        <v>0</v>
      </c>
      <c r="AJ415" s="103"/>
      <c r="AK415" s="103"/>
      <c r="AL415" s="103"/>
      <c r="AM415" s="103"/>
      <c r="AN415" s="103"/>
      <c r="AO415" s="103" t="str">
        <f t="shared" si="15"/>
        <v>CFLscw-A(23w)Single-pack</v>
      </c>
    </row>
    <row r="416" spans="1:41">
      <c r="A416" s="177">
        <f>IFERROR(MATCH(D416,'Measure &amp; Standard CostIDs'!C$5:C$177,0),MATCH(D416,'Measure &amp; Standard CostIDs'!S$5:S$177,0))</f>
        <v>82</v>
      </c>
      <c r="B416" s="177">
        <f t="shared" si="16"/>
        <v>2</v>
      </c>
      <c r="C416" s="103" t="s">
        <v>153</v>
      </c>
      <c r="D416" s="103" t="str">
        <f t="shared" si="17"/>
        <v>CFLscw-A(24w)</v>
      </c>
      <c r="E416" s="103" t="str">
        <f>IF(LEFT(D416,3)="Std","Base case cost for mix of 60% Incandescent and 40% CFL lamps for CFL TechID: "&amp;INDEX('Measure &amp; Standard CostIDs'!$C$5:$C$177,A416),"&lt;from TechID&gt;")</f>
        <v>&lt;from TechID&gt;</v>
      </c>
      <c r="F416" s="103" t="s">
        <v>860</v>
      </c>
      <c r="G416" s="103" t="s">
        <v>151</v>
      </c>
      <c r="H416" s="103" t="s">
        <v>861</v>
      </c>
      <c r="I416" s="103" t="s">
        <v>862</v>
      </c>
      <c r="J416" s="103" t="s">
        <v>863</v>
      </c>
      <c r="K416" s="103" t="s">
        <v>864</v>
      </c>
      <c r="L416" s="103" t="s">
        <v>153</v>
      </c>
      <c r="M416" s="103" t="s">
        <v>865</v>
      </c>
      <c r="N416" s="103" t="s">
        <v>866</v>
      </c>
      <c r="O416" s="103" t="str">
        <f t="shared" si="14"/>
        <v>CFLscw-A(24w)</v>
      </c>
      <c r="P416" s="103" t="s">
        <v>153</v>
      </c>
      <c r="Q416" s="103" t="s">
        <v>153</v>
      </c>
      <c r="R416" s="103" t="s">
        <v>153</v>
      </c>
      <c r="S416" s="103" t="str">
        <f>INDEX('Measure &amp; Standard CostIDs'!$AK$8:$AK$12,B416)</f>
        <v>Single-pack</v>
      </c>
      <c r="T416" s="103" t="s">
        <v>867</v>
      </c>
      <c r="U416" s="103"/>
      <c r="V416" s="103"/>
      <c r="W416" s="103">
        <f>ROUND(IF(LEFT(D416,3)="Std",VLOOKUP(D416,'Measure &amp; Standard CostIDs'!$S$5:$X$177,1+B416,FALSE),VLOOKUP(D416,'Measure &amp; Standard CostIDs'!$C$5:$H$177,1+B416,FALSE)),2)</f>
        <v>7.41</v>
      </c>
      <c r="X416" s="103"/>
      <c r="Y416" s="103"/>
      <c r="Z416" s="103" t="s">
        <v>868</v>
      </c>
      <c r="AA416" s="103" t="s">
        <v>874</v>
      </c>
      <c r="AB416" s="103" t="s">
        <v>153</v>
      </c>
      <c r="AC416" s="103">
        <v>0</v>
      </c>
      <c r="AD416" s="156">
        <v>42005</v>
      </c>
      <c r="AE416" s="103"/>
      <c r="AF416" s="103" t="s">
        <v>870</v>
      </c>
      <c r="AG416" s="103" t="s">
        <v>871</v>
      </c>
      <c r="AH416" s="103" t="s">
        <v>976</v>
      </c>
      <c r="AI416" s="103">
        <v>0</v>
      </c>
      <c r="AJ416" s="103"/>
      <c r="AK416" s="103"/>
      <c r="AL416" s="103"/>
      <c r="AM416" s="103"/>
      <c r="AN416" s="103"/>
      <c r="AO416" s="103" t="str">
        <f t="shared" si="15"/>
        <v>CFLscw-A(24w)Single-pack</v>
      </c>
    </row>
    <row r="417" spans="1:41">
      <c r="A417" s="177">
        <f>IFERROR(MATCH(D417,'Measure &amp; Standard CostIDs'!C$5:C$177,0),MATCH(D417,'Measure &amp; Standard CostIDs'!S$5:S$177,0))</f>
        <v>83</v>
      </c>
      <c r="B417" s="177">
        <f t="shared" si="16"/>
        <v>2</v>
      </c>
      <c r="C417" s="103" t="s">
        <v>153</v>
      </c>
      <c r="D417" s="103" t="str">
        <f t="shared" si="17"/>
        <v>CFLscw-A(25w)</v>
      </c>
      <c r="E417" s="103" t="str">
        <f>IF(LEFT(D417,3)="Std","Base case cost for mix of 60% Incandescent and 40% CFL lamps for CFL TechID: "&amp;INDEX('Measure &amp; Standard CostIDs'!$C$5:$C$177,A417),"&lt;from TechID&gt;")</f>
        <v>&lt;from TechID&gt;</v>
      </c>
      <c r="F417" s="103" t="s">
        <v>860</v>
      </c>
      <c r="G417" s="103" t="s">
        <v>151</v>
      </c>
      <c r="H417" s="103" t="s">
        <v>861</v>
      </c>
      <c r="I417" s="103" t="s">
        <v>862</v>
      </c>
      <c r="J417" s="103" t="s">
        <v>863</v>
      </c>
      <c r="K417" s="103" t="s">
        <v>864</v>
      </c>
      <c r="L417" s="103" t="s">
        <v>153</v>
      </c>
      <c r="M417" s="103" t="s">
        <v>865</v>
      </c>
      <c r="N417" s="103" t="s">
        <v>866</v>
      </c>
      <c r="O417" s="103" t="str">
        <f t="shared" si="14"/>
        <v>CFLscw-A(25w)</v>
      </c>
      <c r="P417" s="103" t="s">
        <v>153</v>
      </c>
      <c r="Q417" s="103" t="s">
        <v>153</v>
      </c>
      <c r="R417" s="103" t="s">
        <v>153</v>
      </c>
      <c r="S417" s="103" t="str">
        <f>INDEX('Measure &amp; Standard CostIDs'!$AK$8:$AK$12,B417)</f>
        <v>Single-pack</v>
      </c>
      <c r="T417" s="103" t="s">
        <v>867</v>
      </c>
      <c r="U417" s="103"/>
      <c r="V417" s="103"/>
      <c r="W417" s="103">
        <f>ROUND(IF(LEFT(D417,3)="Std",VLOOKUP(D417,'Measure &amp; Standard CostIDs'!$S$5:$X$177,1+B417,FALSE),VLOOKUP(D417,'Measure &amp; Standard CostIDs'!$C$5:$H$177,1+B417,FALSE)),2)</f>
        <v>7.48</v>
      </c>
      <c r="X417" s="103"/>
      <c r="Y417" s="103"/>
      <c r="Z417" s="103" t="s">
        <v>868</v>
      </c>
      <c r="AA417" s="103" t="s">
        <v>874</v>
      </c>
      <c r="AB417" s="103" t="s">
        <v>153</v>
      </c>
      <c r="AC417" s="103">
        <v>0</v>
      </c>
      <c r="AD417" s="156">
        <v>42005</v>
      </c>
      <c r="AE417" s="103"/>
      <c r="AF417" s="103" t="s">
        <v>870</v>
      </c>
      <c r="AG417" s="103" t="s">
        <v>871</v>
      </c>
      <c r="AH417" s="103" t="s">
        <v>976</v>
      </c>
      <c r="AI417" s="103">
        <v>0</v>
      </c>
      <c r="AJ417" s="103"/>
      <c r="AK417" s="103"/>
      <c r="AL417" s="103"/>
      <c r="AM417" s="103"/>
      <c r="AN417" s="103"/>
      <c r="AO417" s="103" t="str">
        <f t="shared" si="15"/>
        <v>CFLscw-A(25w)Single-pack</v>
      </c>
    </row>
    <row r="418" spans="1:41">
      <c r="A418" s="177">
        <f>IFERROR(MATCH(D418,'Measure &amp; Standard CostIDs'!C$5:C$177,0),MATCH(D418,'Measure &amp; Standard CostIDs'!S$5:S$177,0))</f>
        <v>84</v>
      </c>
      <c r="B418" s="177">
        <f t="shared" si="16"/>
        <v>2</v>
      </c>
      <c r="C418" s="103" t="s">
        <v>153</v>
      </c>
      <c r="D418" s="103" t="str">
        <f t="shared" si="17"/>
        <v>CFLscw-A(26w)</v>
      </c>
      <c r="E418" s="103" t="str">
        <f>IF(LEFT(D418,3)="Std","Base case cost for mix of 60% Incandescent and 40% CFL lamps for CFL TechID: "&amp;INDEX('Measure &amp; Standard CostIDs'!$C$5:$C$177,A418),"&lt;from TechID&gt;")</f>
        <v>&lt;from TechID&gt;</v>
      </c>
      <c r="F418" s="103" t="s">
        <v>860</v>
      </c>
      <c r="G418" s="103" t="s">
        <v>151</v>
      </c>
      <c r="H418" s="103" t="s">
        <v>861</v>
      </c>
      <c r="I418" s="103" t="s">
        <v>862</v>
      </c>
      <c r="J418" s="103" t="s">
        <v>863</v>
      </c>
      <c r="K418" s="103" t="s">
        <v>864</v>
      </c>
      <c r="L418" s="103" t="s">
        <v>153</v>
      </c>
      <c r="M418" s="103" t="s">
        <v>865</v>
      </c>
      <c r="N418" s="103" t="s">
        <v>866</v>
      </c>
      <c r="O418" s="103" t="str">
        <f t="shared" si="14"/>
        <v>CFLscw-A(26w)</v>
      </c>
      <c r="P418" s="103" t="s">
        <v>153</v>
      </c>
      <c r="Q418" s="103" t="s">
        <v>153</v>
      </c>
      <c r="R418" s="103" t="s">
        <v>153</v>
      </c>
      <c r="S418" s="103" t="str">
        <f>INDEX('Measure &amp; Standard CostIDs'!$AK$8:$AK$12,B418)</f>
        <v>Single-pack</v>
      </c>
      <c r="T418" s="103" t="s">
        <v>867</v>
      </c>
      <c r="U418" s="103"/>
      <c r="V418" s="103"/>
      <c r="W418" s="103">
        <f>ROUND(IF(LEFT(D418,3)="Std",VLOOKUP(D418,'Measure &amp; Standard CostIDs'!$S$5:$X$177,1+B418,FALSE),VLOOKUP(D418,'Measure &amp; Standard CostIDs'!$C$5:$H$177,1+B418,FALSE)),2)</f>
        <v>7.64</v>
      </c>
      <c r="X418" s="103"/>
      <c r="Y418" s="103"/>
      <c r="Z418" s="103" t="s">
        <v>868</v>
      </c>
      <c r="AA418" s="103" t="s">
        <v>874</v>
      </c>
      <c r="AB418" s="103" t="s">
        <v>153</v>
      </c>
      <c r="AC418" s="103">
        <v>0</v>
      </c>
      <c r="AD418" s="156">
        <v>42005</v>
      </c>
      <c r="AE418" s="103"/>
      <c r="AF418" s="103" t="s">
        <v>870</v>
      </c>
      <c r="AG418" s="103" t="s">
        <v>871</v>
      </c>
      <c r="AH418" s="103" t="s">
        <v>976</v>
      </c>
      <c r="AI418" s="103">
        <v>0</v>
      </c>
      <c r="AJ418" s="103"/>
      <c r="AK418" s="103"/>
      <c r="AL418" s="103"/>
      <c r="AM418" s="103"/>
      <c r="AN418" s="103"/>
      <c r="AO418" s="103" t="str">
        <f t="shared" si="15"/>
        <v>CFLscw-A(26w)Single-pack</v>
      </c>
    </row>
    <row r="419" spans="1:41">
      <c r="A419" s="177">
        <f>IFERROR(MATCH(D419,'Measure &amp; Standard CostIDs'!C$5:C$177,0),MATCH(D419,'Measure &amp; Standard CostIDs'!S$5:S$177,0))</f>
        <v>85</v>
      </c>
      <c r="B419" s="177">
        <f t="shared" si="16"/>
        <v>2</v>
      </c>
      <c r="C419" s="103" t="s">
        <v>153</v>
      </c>
      <c r="D419" s="103" t="str">
        <f t="shared" si="17"/>
        <v>CFLscw-A(27w)</v>
      </c>
      <c r="E419" s="103" t="str">
        <f>IF(LEFT(D419,3)="Std","Base case cost for mix of 60% Incandescent and 40% CFL lamps for CFL TechID: "&amp;INDEX('Measure &amp; Standard CostIDs'!$C$5:$C$177,A419),"&lt;from TechID&gt;")</f>
        <v>&lt;from TechID&gt;</v>
      </c>
      <c r="F419" s="103" t="s">
        <v>860</v>
      </c>
      <c r="G419" s="103" t="s">
        <v>151</v>
      </c>
      <c r="H419" s="103" t="s">
        <v>861</v>
      </c>
      <c r="I419" s="103" t="s">
        <v>862</v>
      </c>
      <c r="J419" s="103" t="s">
        <v>863</v>
      </c>
      <c r="K419" s="103" t="s">
        <v>864</v>
      </c>
      <c r="L419" s="103" t="s">
        <v>153</v>
      </c>
      <c r="M419" s="103" t="s">
        <v>865</v>
      </c>
      <c r="N419" s="103" t="s">
        <v>866</v>
      </c>
      <c r="O419" s="103" t="str">
        <f t="shared" si="14"/>
        <v>CFLscw-A(27w)</v>
      </c>
      <c r="P419" s="103" t="s">
        <v>153</v>
      </c>
      <c r="Q419" s="103" t="s">
        <v>153</v>
      </c>
      <c r="R419" s="103" t="s">
        <v>153</v>
      </c>
      <c r="S419" s="103" t="str">
        <f>INDEX('Measure &amp; Standard CostIDs'!$AK$8:$AK$12,B419)</f>
        <v>Single-pack</v>
      </c>
      <c r="T419" s="103" t="s">
        <v>867</v>
      </c>
      <c r="U419" s="103"/>
      <c r="V419" s="103"/>
      <c r="W419" s="103">
        <f>ROUND(IF(LEFT(D419,3)="Std",VLOOKUP(D419,'Measure &amp; Standard CostIDs'!$S$5:$X$177,1+B419,FALSE),VLOOKUP(D419,'Measure &amp; Standard CostIDs'!$C$5:$H$177,1+B419,FALSE)),2)</f>
        <v>7.8</v>
      </c>
      <c r="X419" s="103"/>
      <c r="Y419" s="103"/>
      <c r="Z419" s="103" t="s">
        <v>868</v>
      </c>
      <c r="AA419" s="103" t="s">
        <v>874</v>
      </c>
      <c r="AB419" s="103" t="s">
        <v>153</v>
      </c>
      <c r="AC419" s="103">
        <v>0</v>
      </c>
      <c r="AD419" s="156">
        <v>42005</v>
      </c>
      <c r="AE419" s="103"/>
      <c r="AF419" s="103" t="s">
        <v>870</v>
      </c>
      <c r="AG419" s="103" t="s">
        <v>871</v>
      </c>
      <c r="AH419" s="103" t="s">
        <v>976</v>
      </c>
      <c r="AI419" s="103">
        <v>0</v>
      </c>
      <c r="AJ419" s="103"/>
      <c r="AK419" s="103"/>
      <c r="AL419" s="103"/>
      <c r="AM419" s="103"/>
      <c r="AN419" s="103"/>
      <c r="AO419" s="103" t="str">
        <f t="shared" si="15"/>
        <v>CFLscw-A(27w)Single-pack</v>
      </c>
    </row>
    <row r="420" spans="1:41">
      <c r="A420" s="177">
        <f>IFERROR(MATCH(D420,'Measure &amp; Standard CostIDs'!C$5:C$177,0),MATCH(D420,'Measure &amp; Standard CostIDs'!S$5:S$177,0))</f>
        <v>86</v>
      </c>
      <c r="B420" s="177">
        <f t="shared" si="16"/>
        <v>2</v>
      </c>
      <c r="C420" s="103" t="s">
        <v>153</v>
      </c>
      <c r="D420" s="103" t="str">
        <f t="shared" si="17"/>
        <v>CFLscw-A(28w)</v>
      </c>
      <c r="E420" s="103" t="str">
        <f>IF(LEFT(D420,3)="Std","Base case cost for mix of 60% Incandescent and 40% CFL lamps for CFL TechID: "&amp;INDEX('Measure &amp; Standard CostIDs'!$C$5:$C$177,A420),"&lt;from TechID&gt;")</f>
        <v>&lt;from TechID&gt;</v>
      </c>
      <c r="F420" s="103" t="s">
        <v>860</v>
      </c>
      <c r="G420" s="103" t="s">
        <v>151</v>
      </c>
      <c r="H420" s="103" t="s">
        <v>861</v>
      </c>
      <c r="I420" s="103" t="s">
        <v>862</v>
      </c>
      <c r="J420" s="103" t="s">
        <v>863</v>
      </c>
      <c r="K420" s="103" t="s">
        <v>864</v>
      </c>
      <c r="L420" s="103" t="s">
        <v>153</v>
      </c>
      <c r="M420" s="103" t="s">
        <v>865</v>
      </c>
      <c r="N420" s="103" t="s">
        <v>866</v>
      </c>
      <c r="O420" s="103" t="str">
        <f t="shared" si="14"/>
        <v>CFLscw-A(28w)</v>
      </c>
      <c r="P420" s="103" t="s">
        <v>153</v>
      </c>
      <c r="Q420" s="103" t="s">
        <v>153</v>
      </c>
      <c r="R420" s="103" t="s">
        <v>153</v>
      </c>
      <c r="S420" s="103" t="str">
        <f>INDEX('Measure &amp; Standard CostIDs'!$AK$8:$AK$12,B420)</f>
        <v>Single-pack</v>
      </c>
      <c r="T420" s="103" t="s">
        <v>867</v>
      </c>
      <c r="U420" s="103"/>
      <c r="V420" s="103"/>
      <c r="W420" s="103">
        <f>ROUND(IF(LEFT(D420,3)="Std",VLOOKUP(D420,'Measure &amp; Standard CostIDs'!$S$5:$X$177,1+B420,FALSE),VLOOKUP(D420,'Measure &amp; Standard CostIDs'!$C$5:$H$177,1+B420,FALSE)),2)</f>
        <v>7.96</v>
      </c>
      <c r="X420" s="103"/>
      <c r="Y420" s="103"/>
      <c r="Z420" s="103" t="s">
        <v>868</v>
      </c>
      <c r="AA420" s="103" t="s">
        <v>874</v>
      </c>
      <c r="AB420" s="103" t="s">
        <v>153</v>
      </c>
      <c r="AC420" s="103">
        <v>0</v>
      </c>
      <c r="AD420" s="156">
        <v>42005</v>
      </c>
      <c r="AE420" s="103"/>
      <c r="AF420" s="103" t="s">
        <v>870</v>
      </c>
      <c r="AG420" s="103" t="s">
        <v>871</v>
      </c>
      <c r="AH420" s="103" t="s">
        <v>976</v>
      </c>
      <c r="AI420" s="103">
        <v>0</v>
      </c>
      <c r="AJ420" s="103"/>
      <c r="AK420" s="103"/>
      <c r="AL420" s="103"/>
      <c r="AM420" s="103"/>
      <c r="AN420" s="103"/>
      <c r="AO420" s="103" t="str">
        <f t="shared" si="15"/>
        <v>CFLscw-A(28w)Single-pack</v>
      </c>
    </row>
    <row r="421" spans="1:41">
      <c r="A421" s="177">
        <f>IFERROR(MATCH(D421,'Measure &amp; Standard CostIDs'!C$5:C$177,0),MATCH(D421,'Measure &amp; Standard CostIDs'!S$5:S$177,0))</f>
        <v>87</v>
      </c>
      <c r="B421" s="177">
        <f t="shared" si="16"/>
        <v>2</v>
      </c>
      <c r="C421" s="103" t="s">
        <v>153</v>
      </c>
      <c r="D421" s="103" t="str">
        <f t="shared" si="17"/>
        <v>CFLscw-A(30w)</v>
      </c>
      <c r="E421" s="103" t="str">
        <f>IF(LEFT(D421,3)="Std","Base case cost for mix of 60% Incandescent and 40% CFL lamps for CFL TechID: "&amp;INDEX('Measure &amp; Standard CostIDs'!$C$5:$C$177,A421),"&lt;from TechID&gt;")</f>
        <v>&lt;from TechID&gt;</v>
      </c>
      <c r="F421" s="103" t="s">
        <v>860</v>
      </c>
      <c r="G421" s="103" t="s">
        <v>151</v>
      </c>
      <c r="H421" s="103" t="s">
        <v>861</v>
      </c>
      <c r="I421" s="103" t="s">
        <v>862</v>
      </c>
      <c r="J421" s="103" t="s">
        <v>863</v>
      </c>
      <c r="K421" s="103" t="s">
        <v>864</v>
      </c>
      <c r="L421" s="103" t="s">
        <v>153</v>
      </c>
      <c r="M421" s="103" t="s">
        <v>865</v>
      </c>
      <c r="N421" s="103" t="s">
        <v>866</v>
      </c>
      <c r="O421" s="103" t="str">
        <f t="shared" si="14"/>
        <v>CFLscw-A(30w)</v>
      </c>
      <c r="P421" s="103" t="s">
        <v>153</v>
      </c>
      <c r="Q421" s="103" t="s">
        <v>153</v>
      </c>
      <c r="R421" s="103" t="s">
        <v>153</v>
      </c>
      <c r="S421" s="103" t="str">
        <f>INDEX('Measure &amp; Standard CostIDs'!$AK$8:$AK$12,B421)</f>
        <v>Single-pack</v>
      </c>
      <c r="T421" s="103" t="s">
        <v>867</v>
      </c>
      <c r="U421" s="103"/>
      <c r="V421" s="103"/>
      <c r="W421" s="103">
        <f>ROUND(IF(LEFT(D421,3)="Std",VLOOKUP(D421,'Measure &amp; Standard CostIDs'!$S$5:$X$177,1+B421,FALSE),VLOOKUP(D421,'Measure &amp; Standard CostIDs'!$C$5:$H$177,1+B421,FALSE)),2)</f>
        <v>8.2799999999999994</v>
      </c>
      <c r="X421" s="103"/>
      <c r="Y421" s="103"/>
      <c r="Z421" s="103" t="s">
        <v>868</v>
      </c>
      <c r="AA421" s="103" t="s">
        <v>874</v>
      </c>
      <c r="AB421" s="103" t="s">
        <v>153</v>
      </c>
      <c r="AC421" s="103">
        <v>0</v>
      </c>
      <c r="AD421" s="156">
        <v>42005</v>
      </c>
      <c r="AE421" s="103"/>
      <c r="AF421" s="103" t="s">
        <v>870</v>
      </c>
      <c r="AG421" s="103" t="s">
        <v>871</v>
      </c>
      <c r="AH421" s="103" t="s">
        <v>976</v>
      </c>
      <c r="AI421" s="103">
        <v>0</v>
      </c>
      <c r="AJ421" s="103"/>
      <c r="AK421" s="103"/>
      <c r="AL421" s="103"/>
      <c r="AM421" s="103"/>
      <c r="AN421" s="103"/>
      <c r="AO421" s="103" t="str">
        <f t="shared" si="15"/>
        <v>CFLscw-A(30w)Single-pack</v>
      </c>
    </row>
    <row r="422" spans="1:41">
      <c r="A422" s="177">
        <f>IFERROR(MATCH(D422,'Measure &amp; Standard CostIDs'!C$5:C$177,0),MATCH(D422,'Measure &amp; Standard CostIDs'!S$5:S$177,0))</f>
        <v>88</v>
      </c>
      <c r="B422" s="177">
        <f t="shared" si="16"/>
        <v>2</v>
      </c>
      <c r="C422" s="103" t="s">
        <v>153</v>
      </c>
      <c r="D422" s="103" t="str">
        <f t="shared" si="17"/>
        <v>CFLscw-A(32w)</v>
      </c>
      <c r="E422" s="103" t="str">
        <f>IF(LEFT(D422,3)="Std","Base case cost for mix of 60% Incandescent and 40% CFL lamps for CFL TechID: "&amp;INDEX('Measure &amp; Standard CostIDs'!$C$5:$C$177,A422),"&lt;from TechID&gt;")</f>
        <v>&lt;from TechID&gt;</v>
      </c>
      <c r="F422" s="103" t="s">
        <v>860</v>
      </c>
      <c r="G422" s="103" t="s">
        <v>151</v>
      </c>
      <c r="H422" s="103" t="s">
        <v>861</v>
      </c>
      <c r="I422" s="103" t="s">
        <v>862</v>
      </c>
      <c r="J422" s="103" t="s">
        <v>863</v>
      </c>
      <c r="K422" s="103" t="s">
        <v>864</v>
      </c>
      <c r="L422" s="103" t="s">
        <v>153</v>
      </c>
      <c r="M422" s="103" t="s">
        <v>865</v>
      </c>
      <c r="N422" s="103" t="s">
        <v>866</v>
      </c>
      <c r="O422" s="103" t="str">
        <f t="shared" si="14"/>
        <v>CFLscw-A(32w)</v>
      </c>
      <c r="P422" s="103" t="s">
        <v>153</v>
      </c>
      <c r="Q422" s="103" t="s">
        <v>153</v>
      </c>
      <c r="R422" s="103" t="s">
        <v>153</v>
      </c>
      <c r="S422" s="103" t="str">
        <f>INDEX('Measure &amp; Standard CostIDs'!$AK$8:$AK$12,B422)</f>
        <v>Single-pack</v>
      </c>
      <c r="T422" s="103" t="s">
        <v>867</v>
      </c>
      <c r="U422" s="103"/>
      <c r="V422" s="103"/>
      <c r="W422" s="103">
        <f>ROUND(IF(LEFT(D422,3)="Std",VLOOKUP(D422,'Measure &amp; Standard CostIDs'!$S$5:$X$177,1+B422,FALSE),VLOOKUP(D422,'Measure &amp; Standard CostIDs'!$C$5:$H$177,1+B422,FALSE)),2)</f>
        <v>8.6</v>
      </c>
      <c r="X422" s="103"/>
      <c r="Y422" s="103"/>
      <c r="Z422" s="103" t="s">
        <v>868</v>
      </c>
      <c r="AA422" s="103" t="s">
        <v>874</v>
      </c>
      <c r="AB422" s="103" t="s">
        <v>153</v>
      </c>
      <c r="AC422" s="103">
        <v>0</v>
      </c>
      <c r="AD422" s="156">
        <v>42005</v>
      </c>
      <c r="AE422" s="103"/>
      <c r="AF422" s="103" t="s">
        <v>870</v>
      </c>
      <c r="AG422" s="103" t="s">
        <v>871</v>
      </c>
      <c r="AH422" s="103" t="s">
        <v>976</v>
      </c>
      <c r="AI422" s="103">
        <v>0</v>
      </c>
      <c r="AJ422" s="103"/>
      <c r="AK422" s="103"/>
      <c r="AL422" s="103"/>
      <c r="AM422" s="103"/>
      <c r="AN422" s="103"/>
      <c r="AO422" s="103" t="str">
        <f t="shared" si="15"/>
        <v>CFLscw-A(32w)Single-pack</v>
      </c>
    </row>
    <row r="423" spans="1:41">
      <c r="A423" s="177">
        <f>IFERROR(MATCH(D423,'Measure &amp; Standard CostIDs'!C$5:C$177,0),MATCH(D423,'Measure &amp; Standard CostIDs'!S$5:S$177,0))</f>
        <v>89</v>
      </c>
      <c r="B423" s="177">
        <f t="shared" si="16"/>
        <v>2</v>
      </c>
      <c r="C423" s="103" t="s">
        <v>153</v>
      </c>
      <c r="D423" s="103" t="str">
        <f t="shared" si="17"/>
        <v>CFLscw-A(40w)</v>
      </c>
      <c r="E423" s="103" t="str">
        <f>IF(LEFT(D423,3)="Std","Base case cost for mix of 60% Incandescent and 40% CFL lamps for CFL TechID: "&amp;INDEX('Measure &amp; Standard CostIDs'!$C$5:$C$177,A423),"&lt;from TechID&gt;")</f>
        <v>&lt;from TechID&gt;</v>
      </c>
      <c r="F423" s="103" t="s">
        <v>860</v>
      </c>
      <c r="G423" s="103" t="s">
        <v>151</v>
      </c>
      <c r="H423" s="103" t="s">
        <v>861</v>
      </c>
      <c r="I423" s="103" t="s">
        <v>862</v>
      </c>
      <c r="J423" s="103" t="s">
        <v>863</v>
      </c>
      <c r="K423" s="103" t="s">
        <v>864</v>
      </c>
      <c r="L423" s="103" t="s">
        <v>153</v>
      </c>
      <c r="M423" s="103" t="s">
        <v>865</v>
      </c>
      <c r="N423" s="103" t="s">
        <v>866</v>
      </c>
      <c r="O423" s="103" t="str">
        <f t="shared" si="14"/>
        <v>CFLscw-A(40w)</v>
      </c>
      <c r="P423" s="103" t="s">
        <v>153</v>
      </c>
      <c r="Q423" s="103" t="s">
        <v>153</v>
      </c>
      <c r="R423" s="103" t="s">
        <v>153</v>
      </c>
      <c r="S423" s="103" t="str">
        <f>INDEX('Measure &amp; Standard CostIDs'!$AK$8:$AK$12,B423)</f>
        <v>Single-pack</v>
      </c>
      <c r="T423" s="103" t="s">
        <v>867</v>
      </c>
      <c r="U423" s="103"/>
      <c r="V423" s="103"/>
      <c r="W423" s="103">
        <f>ROUND(IF(LEFT(D423,3)="Std",VLOOKUP(D423,'Measure &amp; Standard CostIDs'!$S$5:$X$177,1+B423,FALSE),VLOOKUP(D423,'Measure &amp; Standard CostIDs'!$C$5:$H$177,1+B423,FALSE)),2)</f>
        <v>9.8800000000000008</v>
      </c>
      <c r="X423" s="103"/>
      <c r="Y423" s="103"/>
      <c r="Z423" s="103" t="s">
        <v>868</v>
      </c>
      <c r="AA423" s="103" t="s">
        <v>874</v>
      </c>
      <c r="AB423" s="103" t="s">
        <v>153</v>
      </c>
      <c r="AC423" s="103">
        <v>0</v>
      </c>
      <c r="AD423" s="156">
        <v>42005</v>
      </c>
      <c r="AE423" s="103"/>
      <c r="AF423" s="103" t="s">
        <v>870</v>
      </c>
      <c r="AG423" s="103" t="s">
        <v>871</v>
      </c>
      <c r="AH423" s="103" t="s">
        <v>976</v>
      </c>
      <c r="AI423" s="103">
        <v>0</v>
      </c>
      <c r="AJ423" s="103"/>
      <c r="AK423" s="103"/>
      <c r="AL423" s="103"/>
      <c r="AM423" s="103"/>
      <c r="AN423" s="103"/>
      <c r="AO423" s="103" t="str">
        <f t="shared" si="15"/>
        <v>CFLscw-A(40w)Single-pack</v>
      </c>
    </row>
    <row r="424" spans="1:41">
      <c r="A424" s="177">
        <f>IFERROR(MATCH(D424,'Measure &amp; Standard CostIDs'!C$5:C$177,0),MATCH(D424,'Measure &amp; Standard CostIDs'!S$5:S$177,0))</f>
        <v>90</v>
      </c>
      <c r="B424" s="177">
        <f t="shared" si="16"/>
        <v>2</v>
      </c>
      <c r="C424" s="103" t="s">
        <v>153</v>
      </c>
      <c r="D424" s="103" t="str">
        <f t="shared" si="17"/>
        <v>CFLscw-A(42w)</v>
      </c>
      <c r="E424" s="103" t="str">
        <f>IF(LEFT(D424,3)="Std","Base case cost for mix of 60% Incandescent and 40% CFL lamps for CFL TechID: "&amp;INDEX('Measure &amp; Standard CostIDs'!$C$5:$C$177,A424),"&lt;from TechID&gt;")</f>
        <v>&lt;from TechID&gt;</v>
      </c>
      <c r="F424" s="103" t="s">
        <v>860</v>
      </c>
      <c r="G424" s="103" t="s">
        <v>151</v>
      </c>
      <c r="H424" s="103" t="s">
        <v>861</v>
      </c>
      <c r="I424" s="103" t="s">
        <v>862</v>
      </c>
      <c r="J424" s="103" t="s">
        <v>863</v>
      </c>
      <c r="K424" s="103" t="s">
        <v>864</v>
      </c>
      <c r="L424" s="103" t="s">
        <v>153</v>
      </c>
      <c r="M424" s="103" t="s">
        <v>865</v>
      </c>
      <c r="N424" s="103" t="s">
        <v>866</v>
      </c>
      <c r="O424" s="103" t="str">
        <f t="shared" si="14"/>
        <v>CFLscw-A(42w)</v>
      </c>
      <c r="P424" s="103" t="s">
        <v>153</v>
      </c>
      <c r="Q424" s="103" t="s">
        <v>153</v>
      </c>
      <c r="R424" s="103" t="s">
        <v>153</v>
      </c>
      <c r="S424" s="103" t="str">
        <f>INDEX('Measure &amp; Standard CostIDs'!$AK$8:$AK$12,B424)</f>
        <v>Single-pack</v>
      </c>
      <c r="T424" s="103" t="s">
        <v>867</v>
      </c>
      <c r="U424" s="103"/>
      <c r="V424" s="103"/>
      <c r="W424" s="103">
        <f>ROUND(IF(LEFT(D424,3)="Std",VLOOKUP(D424,'Measure &amp; Standard CostIDs'!$S$5:$X$177,1+B424,FALSE),VLOOKUP(D424,'Measure &amp; Standard CostIDs'!$C$5:$H$177,1+B424,FALSE)),2)</f>
        <v>10.199999999999999</v>
      </c>
      <c r="X424" s="103"/>
      <c r="Y424" s="103"/>
      <c r="Z424" s="103" t="s">
        <v>868</v>
      </c>
      <c r="AA424" s="103" t="s">
        <v>874</v>
      </c>
      <c r="AB424" s="103" t="s">
        <v>153</v>
      </c>
      <c r="AC424" s="103">
        <v>0</v>
      </c>
      <c r="AD424" s="156">
        <v>42005</v>
      </c>
      <c r="AE424" s="103"/>
      <c r="AF424" s="103" t="s">
        <v>870</v>
      </c>
      <c r="AG424" s="103" t="s">
        <v>871</v>
      </c>
      <c r="AH424" s="103" t="s">
        <v>976</v>
      </c>
      <c r="AI424" s="103">
        <v>0</v>
      </c>
      <c r="AJ424" s="103"/>
      <c r="AK424" s="103"/>
      <c r="AL424" s="103"/>
      <c r="AM424" s="103"/>
      <c r="AN424" s="103"/>
      <c r="AO424" s="103" t="str">
        <f t="shared" si="15"/>
        <v>CFLscw-A(42w)Single-pack</v>
      </c>
    </row>
    <row r="425" spans="1:41">
      <c r="A425" s="177">
        <f>IFERROR(MATCH(D425,'Measure &amp; Standard CostIDs'!C$5:C$177,0),MATCH(D425,'Measure &amp; Standard CostIDs'!S$5:S$177,0))</f>
        <v>91</v>
      </c>
      <c r="B425" s="177">
        <f t="shared" si="16"/>
        <v>2</v>
      </c>
      <c r="C425" s="103" t="s">
        <v>153</v>
      </c>
      <c r="D425" s="103" t="str">
        <f t="shared" si="17"/>
        <v>CFLscw-A(45w)</v>
      </c>
      <c r="E425" s="103" t="str">
        <f>IF(LEFT(D425,3)="Std","Base case cost for mix of 60% Incandescent and 40% CFL lamps for CFL TechID: "&amp;INDEX('Measure &amp; Standard CostIDs'!$C$5:$C$177,A425),"&lt;from TechID&gt;")</f>
        <v>&lt;from TechID&gt;</v>
      </c>
      <c r="F425" s="103" t="s">
        <v>860</v>
      </c>
      <c r="G425" s="103" t="s">
        <v>151</v>
      </c>
      <c r="H425" s="103" t="s">
        <v>861</v>
      </c>
      <c r="I425" s="103" t="s">
        <v>862</v>
      </c>
      <c r="J425" s="103" t="s">
        <v>863</v>
      </c>
      <c r="K425" s="103" t="s">
        <v>864</v>
      </c>
      <c r="L425" s="103" t="s">
        <v>153</v>
      </c>
      <c r="M425" s="103" t="s">
        <v>865</v>
      </c>
      <c r="N425" s="103" t="s">
        <v>866</v>
      </c>
      <c r="O425" s="103" t="str">
        <f t="shared" si="14"/>
        <v>CFLscw-A(45w)</v>
      </c>
      <c r="P425" s="103" t="s">
        <v>153</v>
      </c>
      <c r="Q425" s="103" t="s">
        <v>153</v>
      </c>
      <c r="R425" s="103" t="s">
        <v>153</v>
      </c>
      <c r="S425" s="103" t="str">
        <f>INDEX('Measure &amp; Standard CostIDs'!$AK$8:$AK$12,B425)</f>
        <v>Single-pack</v>
      </c>
      <c r="T425" s="103" t="s">
        <v>867</v>
      </c>
      <c r="U425" s="103"/>
      <c r="V425" s="103"/>
      <c r="W425" s="103">
        <f>ROUND(IF(LEFT(D425,3)="Std",VLOOKUP(D425,'Measure &amp; Standard CostIDs'!$S$5:$X$177,1+B425,FALSE),VLOOKUP(D425,'Measure &amp; Standard CostIDs'!$C$5:$H$177,1+B425,FALSE)),2)</f>
        <v>10.68</v>
      </c>
      <c r="X425" s="103"/>
      <c r="Y425" s="103"/>
      <c r="Z425" s="103" t="s">
        <v>868</v>
      </c>
      <c r="AA425" s="103" t="s">
        <v>874</v>
      </c>
      <c r="AB425" s="103" t="s">
        <v>153</v>
      </c>
      <c r="AC425" s="103">
        <v>0</v>
      </c>
      <c r="AD425" s="156">
        <v>42005</v>
      </c>
      <c r="AE425" s="103"/>
      <c r="AF425" s="103" t="s">
        <v>870</v>
      </c>
      <c r="AG425" s="103" t="s">
        <v>871</v>
      </c>
      <c r="AH425" s="103" t="s">
        <v>976</v>
      </c>
      <c r="AI425" s="103">
        <v>0</v>
      </c>
      <c r="AJ425" s="103"/>
      <c r="AK425" s="103"/>
      <c r="AL425" s="103"/>
      <c r="AM425" s="103"/>
      <c r="AN425" s="103"/>
      <c r="AO425" s="103" t="str">
        <f t="shared" si="15"/>
        <v>CFLscw-A(45w)Single-pack</v>
      </c>
    </row>
    <row r="426" spans="1:41">
      <c r="A426" s="177">
        <f>IFERROR(MATCH(D426,'Measure &amp; Standard CostIDs'!C$5:C$177,0),MATCH(D426,'Measure &amp; Standard CostIDs'!S$5:S$177,0))</f>
        <v>92</v>
      </c>
      <c r="B426" s="177">
        <f t="shared" si="16"/>
        <v>2</v>
      </c>
      <c r="C426" s="103" t="s">
        <v>153</v>
      </c>
      <c r="D426" s="103" t="str">
        <f t="shared" si="17"/>
        <v>CFLscw-A(55w)</v>
      </c>
      <c r="E426" s="103" t="str">
        <f>IF(LEFT(D426,3)="Std","Base case cost for mix of 60% Incandescent and 40% CFL lamps for CFL TechID: "&amp;INDEX('Measure &amp; Standard CostIDs'!$C$5:$C$177,A426),"&lt;from TechID&gt;")</f>
        <v>&lt;from TechID&gt;</v>
      </c>
      <c r="F426" s="103" t="s">
        <v>860</v>
      </c>
      <c r="G426" s="103" t="s">
        <v>151</v>
      </c>
      <c r="H426" s="103" t="s">
        <v>861</v>
      </c>
      <c r="I426" s="103" t="s">
        <v>862</v>
      </c>
      <c r="J426" s="103" t="s">
        <v>863</v>
      </c>
      <c r="K426" s="103" t="s">
        <v>864</v>
      </c>
      <c r="L426" s="103" t="s">
        <v>153</v>
      </c>
      <c r="M426" s="103" t="s">
        <v>865</v>
      </c>
      <c r="N426" s="103" t="s">
        <v>866</v>
      </c>
      <c r="O426" s="103" t="str">
        <f t="shared" si="14"/>
        <v>CFLscw-A(55w)</v>
      </c>
      <c r="P426" s="103" t="s">
        <v>153</v>
      </c>
      <c r="Q426" s="103" t="s">
        <v>153</v>
      </c>
      <c r="R426" s="103" t="s">
        <v>153</v>
      </c>
      <c r="S426" s="103" t="str">
        <f>INDEX('Measure &amp; Standard CostIDs'!$AK$8:$AK$12,B426)</f>
        <v>Single-pack</v>
      </c>
      <c r="T426" s="103" t="s">
        <v>867</v>
      </c>
      <c r="U426" s="103"/>
      <c r="V426" s="103"/>
      <c r="W426" s="103">
        <f>ROUND(IF(LEFT(D426,3)="Std",VLOOKUP(D426,'Measure &amp; Standard CostIDs'!$S$5:$X$177,1+B426,FALSE),VLOOKUP(D426,'Measure &amp; Standard CostIDs'!$C$5:$H$177,1+B426,FALSE)),2)</f>
        <v>12.28</v>
      </c>
      <c r="X426" s="103"/>
      <c r="Y426" s="103"/>
      <c r="Z426" s="103" t="s">
        <v>868</v>
      </c>
      <c r="AA426" s="103" t="s">
        <v>874</v>
      </c>
      <c r="AB426" s="103" t="s">
        <v>153</v>
      </c>
      <c r="AC426" s="103">
        <v>0</v>
      </c>
      <c r="AD426" s="156">
        <v>42005</v>
      </c>
      <c r="AE426" s="103"/>
      <c r="AF426" s="103" t="s">
        <v>870</v>
      </c>
      <c r="AG426" s="103" t="s">
        <v>871</v>
      </c>
      <c r="AH426" s="103" t="s">
        <v>976</v>
      </c>
      <c r="AI426" s="103">
        <v>0</v>
      </c>
      <c r="AJ426" s="103"/>
      <c r="AK426" s="103"/>
      <c r="AL426" s="103"/>
      <c r="AM426" s="103"/>
      <c r="AN426" s="103"/>
      <c r="AO426" s="103" t="str">
        <f t="shared" si="15"/>
        <v>CFLscw-A(55w)Single-pack</v>
      </c>
    </row>
    <row r="427" spans="1:41">
      <c r="A427" s="177">
        <f>IFERROR(MATCH(D427,'Measure &amp; Standard CostIDs'!C$5:C$177,0),MATCH(D427,'Measure &amp; Standard CostIDs'!S$5:S$177,0))</f>
        <v>93</v>
      </c>
      <c r="B427" s="177">
        <f t="shared" si="16"/>
        <v>2</v>
      </c>
      <c r="C427" s="103" t="s">
        <v>153</v>
      </c>
      <c r="D427" s="103" t="str">
        <f t="shared" si="17"/>
        <v>CFLscw-A(7w)</v>
      </c>
      <c r="E427" s="103" t="str">
        <f>IF(LEFT(D427,3)="Std","Base case cost for mix of 60% Incandescent and 40% CFL lamps for CFL TechID: "&amp;INDEX('Measure &amp; Standard CostIDs'!$C$5:$C$177,A427),"&lt;from TechID&gt;")</f>
        <v>&lt;from TechID&gt;</v>
      </c>
      <c r="F427" s="103" t="s">
        <v>860</v>
      </c>
      <c r="G427" s="103" t="s">
        <v>151</v>
      </c>
      <c r="H427" s="103" t="s">
        <v>861</v>
      </c>
      <c r="I427" s="103" t="s">
        <v>862</v>
      </c>
      <c r="J427" s="103" t="s">
        <v>863</v>
      </c>
      <c r="K427" s="103" t="s">
        <v>864</v>
      </c>
      <c r="L427" s="103" t="s">
        <v>153</v>
      </c>
      <c r="M427" s="103" t="s">
        <v>865</v>
      </c>
      <c r="N427" s="103" t="s">
        <v>866</v>
      </c>
      <c r="O427" s="103" t="str">
        <f t="shared" si="14"/>
        <v>CFLscw-A(7w)</v>
      </c>
      <c r="P427" s="103" t="s">
        <v>153</v>
      </c>
      <c r="Q427" s="103" t="s">
        <v>153</v>
      </c>
      <c r="R427" s="103" t="s">
        <v>153</v>
      </c>
      <c r="S427" s="103" t="str">
        <f>INDEX('Measure &amp; Standard CostIDs'!$AK$8:$AK$12,B427)</f>
        <v>Single-pack</v>
      </c>
      <c r="T427" s="103" t="s">
        <v>867</v>
      </c>
      <c r="U427" s="103"/>
      <c r="V427" s="103"/>
      <c r="W427" s="103">
        <f>ROUND(IF(LEFT(D427,3)="Std",VLOOKUP(D427,'Measure &amp; Standard CostIDs'!$S$5:$X$177,1+B427,FALSE),VLOOKUP(D427,'Measure &amp; Standard CostIDs'!$C$5:$H$177,1+B427,FALSE)),2)</f>
        <v>6.28</v>
      </c>
      <c r="X427" s="103"/>
      <c r="Y427" s="103"/>
      <c r="Z427" s="103" t="s">
        <v>868</v>
      </c>
      <c r="AA427" s="103" t="s">
        <v>874</v>
      </c>
      <c r="AB427" s="103" t="s">
        <v>153</v>
      </c>
      <c r="AC427" s="103">
        <v>0</v>
      </c>
      <c r="AD427" s="156">
        <v>42005</v>
      </c>
      <c r="AE427" s="103"/>
      <c r="AF427" s="103" t="s">
        <v>870</v>
      </c>
      <c r="AG427" s="103" t="s">
        <v>871</v>
      </c>
      <c r="AH427" s="103" t="s">
        <v>976</v>
      </c>
      <c r="AI427" s="103">
        <v>0</v>
      </c>
      <c r="AJ427" s="103"/>
      <c r="AK427" s="103"/>
      <c r="AL427" s="103"/>
      <c r="AM427" s="103"/>
      <c r="AN427" s="103"/>
      <c r="AO427" s="103" t="str">
        <f t="shared" si="15"/>
        <v>CFLscw-A(7w)Single-pack</v>
      </c>
    </row>
    <row r="428" spans="1:41">
      <c r="A428" s="177">
        <f>IFERROR(MATCH(D428,'Measure &amp; Standard CostIDs'!C$5:C$177,0),MATCH(D428,'Measure &amp; Standard CostIDs'!S$5:S$177,0))</f>
        <v>94</v>
      </c>
      <c r="B428" s="177">
        <f t="shared" si="16"/>
        <v>2</v>
      </c>
      <c r="C428" s="103" t="s">
        <v>153</v>
      </c>
      <c r="D428" s="103" t="str">
        <f t="shared" si="17"/>
        <v>CFLscw-A(8w)</v>
      </c>
      <c r="E428" s="103" t="str">
        <f>IF(LEFT(D428,3)="Std","Base case cost for mix of 60% Incandescent and 40% CFL lamps for CFL TechID: "&amp;INDEX('Measure &amp; Standard CostIDs'!$C$5:$C$177,A428),"&lt;from TechID&gt;")</f>
        <v>&lt;from TechID&gt;</v>
      </c>
      <c r="F428" s="103" t="s">
        <v>860</v>
      </c>
      <c r="G428" s="103" t="s">
        <v>151</v>
      </c>
      <c r="H428" s="103" t="s">
        <v>861</v>
      </c>
      <c r="I428" s="103" t="s">
        <v>862</v>
      </c>
      <c r="J428" s="103" t="s">
        <v>863</v>
      </c>
      <c r="K428" s="103" t="s">
        <v>864</v>
      </c>
      <c r="L428" s="103" t="s">
        <v>153</v>
      </c>
      <c r="M428" s="103" t="s">
        <v>865</v>
      </c>
      <c r="N428" s="103" t="s">
        <v>866</v>
      </c>
      <c r="O428" s="103" t="str">
        <f t="shared" si="14"/>
        <v>CFLscw-A(8w)</v>
      </c>
      <c r="P428" s="103" t="s">
        <v>153</v>
      </c>
      <c r="Q428" s="103" t="s">
        <v>153</v>
      </c>
      <c r="R428" s="103" t="s">
        <v>153</v>
      </c>
      <c r="S428" s="103" t="str">
        <f>INDEX('Measure &amp; Standard CostIDs'!$AK$8:$AK$12,B428)</f>
        <v>Single-pack</v>
      </c>
      <c r="T428" s="103" t="s">
        <v>867</v>
      </c>
      <c r="U428" s="103"/>
      <c r="V428" s="103"/>
      <c r="W428" s="103">
        <f>ROUND(IF(LEFT(D428,3)="Std",VLOOKUP(D428,'Measure &amp; Standard CostIDs'!$S$5:$X$177,1+B428,FALSE),VLOOKUP(D428,'Measure &amp; Standard CostIDs'!$C$5:$H$177,1+B428,FALSE)),2)</f>
        <v>6.35</v>
      </c>
      <c r="X428" s="103"/>
      <c r="Y428" s="103"/>
      <c r="Z428" s="103" t="s">
        <v>868</v>
      </c>
      <c r="AA428" s="103" t="s">
        <v>874</v>
      </c>
      <c r="AB428" s="103" t="s">
        <v>153</v>
      </c>
      <c r="AC428" s="103">
        <v>0</v>
      </c>
      <c r="AD428" s="156">
        <v>42005</v>
      </c>
      <c r="AE428" s="103"/>
      <c r="AF428" s="103" t="s">
        <v>870</v>
      </c>
      <c r="AG428" s="103" t="s">
        <v>871</v>
      </c>
      <c r="AH428" s="103" t="s">
        <v>976</v>
      </c>
      <c r="AI428" s="103">
        <v>0</v>
      </c>
      <c r="AJ428" s="103"/>
      <c r="AK428" s="103"/>
      <c r="AL428" s="103"/>
      <c r="AM428" s="103"/>
      <c r="AN428" s="103"/>
      <c r="AO428" s="103" t="str">
        <f t="shared" si="15"/>
        <v>CFLscw-A(8w)Single-pack</v>
      </c>
    </row>
    <row r="429" spans="1:41">
      <c r="A429" s="177">
        <f>IFERROR(MATCH(D429,'Measure &amp; Standard CostIDs'!C$5:C$177,0),MATCH(D429,'Measure &amp; Standard CostIDs'!S$5:S$177,0))</f>
        <v>95</v>
      </c>
      <c r="B429" s="177">
        <f t="shared" si="16"/>
        <v>2</v>
      </c>
      <c r="C429" s="103" t="s">
        <v>153</v>
      </c>
      <c r="D429" s="103" t="str">
        <f t="shared" si="17"/>
        <v>CFLscw-A(9w)</v>
      </c>
      <c r="E429" s="103" t="str">
        <f>IF(LEFT(D429,3)="Std","Base case cost for mix of 60% Incandescent and 40% CFL lamps for CFL TechID: "&amp;INDEX('Measure &amp; Standard CostIDs'!$C$5:$C$177,A429),"&lt;from TechID&gt;")</f>
        <v>&lt;from TechID&gt;</v>
      </c>
      <c r="F429" s="103" t="s">
        <v>860</v>
      </c>
      <c r="G429" s="103" t="s">
        <v>151</v>
      </c>
      <c r="H429" s="103" t="s">
        <v>861</v>
      </c>
      <c r="I429" s="103" t="s">
        <v>862</v>
      </c>
      <c r="J429" s="103" t="s">
        <v>863</v>
      </c>
      <c r="K429" s="103" t="s">
        <v>864</v>
      </c>
      <c r="L429" s="103" t="s">
        <v>153</v>
      </c>
      <c r="M429" s="103" t="s">
        <v>865</v>
      </c>
      <c r="N429" s="103" t="s">
        <v>866</v>
      </c>
      <c r="O429" s="103" t="str">
        <f t="shared" si="14"/>
        <v>CFLscw-A(9w)</v>
      </c>
      <c r="P429" s="103" t="s">
        <v>153</v>
      </c>
      <c r="Q429" s="103" t="s">
        <v>153</v>
      </c>
      <c r="R429" s="103" t="s">
        <v>153</v>
      </c>
      <c r="S429" s="103" t="str">
        <f>INDEX('Measure &amp; Standard CostIDs'!$AK$8:$AK$12,B429)</f>
        <v>Single-pack</v>
      </c>
      <c r="T429" s="103" t="s">
        <v>867</v>
      </c>
      <c r="U429" s="103"/>
      <c r="V429" s="103"/>
      <c r="W429" s="103">
        <f>ROUND(IF(LEFT(D429,3)="Std",VLOOKUP(D429,'Measure &amp; Standard CostIDs'!$S$5:$X$177,1+B429,FALSE),VLOOKUP(D429,'Measure &amp; Standard CostIDs'!$C$5:$H$177,1+B429,FALSE)),2)</f>
        <v>6.42</v>
      </c>
      <c r="X429" s="103"/>
      <c r="Y429" s="103"/>
      <c r="Z429" s="103" t="s">
        <v>868</v>
      </c>
      <c r="AA429" s="103" t="s">
        <v>874</v>
      </c>
      <c r="AB429" s="103" t="s">
        <v>153</v>
      </c>
      <c r="AC429" s="103">
        <v>0</v>
      </c>
      <c r="AD429" s="156">
        <v>42005</v>
      </c>
      <c r="AE429" s="103"/>
      <c r="AF429" s="103" t="s">
        <v>870</v>
      </c>
      <c r="AG429" s="103" t="s">
        <v>871</v>
      </c>
      <c r="AH429" s="103" t="s">
        <v>976</v>
      </c>
      <c r="AI429" s="103">
        <v>0</v>
      </c>
      <c r="AJ429" s="103"/>
      <c r="AK429" s="103"/>
      <c r="AL429" s="103"/>
      <c r="AM429" s="103"/>
      <c r="AN429" s="103"/>
      <c r="AO429" s="103" t="str">
        <f t="shared" si="15"/>
        <v>CFLscw-A(9w)Single-pack</v>
      </c>
    </row>
    <row r="430" spans="1:41">
      <c r="A430" s="177">
        <f>IFERROR(MATCH(D430,'Measure &amp; Standard CostIDs'!C$5:C$177,0),MATCH(D430,'Measure &amp; Standard CostIDs'!S$5:S$177,0))</f>
        <v>96</v>
      </c>
      <c r="B430" s="177">
        <f t="shared" si="16"/>
        <v>2</v>
      </c>
      <c r="C430" s="103" t="s">
        <v>153</v>
      </c>
      <c r="D430" s="103" t="str">
        <f t="shared" si="17"/>
        <v>CFLscw-Candle(10w)</v>
      </c>
      <c r="E430" s="103" t="str">
        <f>IF(LEFT(D430,3)="Std","Base case cost for mix of 60% Incandescent and 40% CFL lamps for CFL TechID: "&amp;INDEX('Measure &amp; Standard CostIDs'!$C$5:$C$177,A430),"&lt;from TechID&gt;")</f>
        <v>&lt;from TechID&gt;</v>
      </c>
      <c r="F430" s="103" t="s">
        <v>860</v>
      </c>
      <c r="G430" s="103" t="s">
        <v>151</v>
      </c>
      <c r="H430" s="103" t="s">
        <v>861</v>
      </c>
      <c r="I430" s="103" t="s">
        <v>862</v>
      </c>
      <c r="J430" s="103" t="s">
        <v>863</v>
      </c>
      <c r="K430" s="103" t="s">
        <v>864</v>
      </c>
      <c r="L430" s="103" t="s">
        <v>153</v>
      </c>
      <c r="M430" s="103" t="s">
        <v>865</v>
      </c>
      <c r="N430" s="103" t="s">
        <v>866</v>
      </c>
      <c r="O430" s="103" t="str">
        <f t="shared" si="14"/>
        <v>CFLscw-Candle(10w)</v>
      </c>
      <c r="P430" s="103" t="s">
        <v>153</v>
      </c>
      <c r="Q430" s="103" t="s">
        <v>153</v>
      </c>
      <c r="R430" s="103" t="s">
        <v>153</v>
      </c>
      <c r="S430" s="103" t="str">
        <f>INDEX('Measure &amp; Standard CostIDs'!$AK$8:$AK$12,B430)</f>
        <v>Single-pack</v>
      </c>
      <c r="T430" s="103" t="s">
        <v>867</v>
      </c>
      <c r="U430" s="103"/>
      <c r="V430" s="103"/>
      <c r="W430" s="103">
        <f>ROUND(IF(LEFT(D430,3)="Std",VLOOKUP(D430,'Measure &amp; Standard CostIDs'!$S$5:$X$177,1+B430,FALSE),VLOOKUP(D430,'Measure &amp; Standard CostIDs'!$C$5:$H$177,1+B430,FALSE)),2)</f>
        <v>8.0399999999999991</v>
      </c>
      <c r="X430" s="103"/>
      <c r="Y430" s="103"/>
      <c r="Z430" s="103" t="s">
        <v>868</v>
      </c>
      <c r="AA430" s="103" t="s">
        <v>874</v>
      </c>
      <c r="AB430" s="103" t="s">
        <v>153</v>
      </c>
      <c r="AC430" s="103">
        <v>0</v>
      </c>
      <c r="AD430" s="156">
        <v>42005</v>
      </c>
      <c r="AE430" s="103"/>
      <c r="AF430" s="103" t="s">
        <v>870</v>
      </c>
      <c r="AG430" s="103" t="s">
        <v>871</v>
      </c>
      <c r="AH430" s="103" t="s">
        <v>976</v>
      </c>
      <c r="AI430" s="103">
        <v>0</v>
      </c>
      <c r="AJ430" s="103"/>
      <c r="AK430" s="103"/>
      <c r="AL430" s="103"/>
      <c r="AM430" s="103"/>
      <c r="AN430" s="103"/>
      <c r="AO430" s="103" t="str">
        <f t="shared" si="15"/>
        <v>CFLscw-Candle(10w)Single-pack</v>
      </c>
    </row>
    <row r="431" spans="1:41">
      <c r="A431" s="177">
        <f>IFERROR(MATCH(D431,'Measure &amp; Standard CostIDs'!C$5:C$177,0),MATCH(D431,'Measure &amp; Standard CostIDs'!S$5:S$177,0))</f>
        <v>97</v>
      </c>
      <c r="B431" s="177">
        <f t="shared" si="16"/>
        <v>2</v>
      </c>
      <c r="C431" s="103" t="s">
        <v>153</v>
      </c>
      <c r="D431" s="103" t="str">
        <f t="shared" si="17"/>
        <v>CFLscw-Candle(11w)</v>
      </c>
      <c r="E431" s="103" t="str">
        <f>IF(LEFT(D431,3)="Std","Base case cost for mix of 60% Incandescent and 40% CFL lamps for CFL TechID: "&amp;INDEX('Measure &amp; Standard CostIDs'!$C$5:$C$177,A431),"&lt;from TechID&gt;")</f>
        <v>&lt;from TechID&gt;</v>
      </c>
      <c r="F431" s="103" t="s">
        <v>860</v>
      </c>
      <c r="G431" s="103" t="s">
        <v>151</v>
      </c>
      <c r="H431" s="103" t="s">
        <v>861</v>
      </c>
      <c r="I431" s="103" t="s">
        <v>862</v>
      </c>
      <c r="J431" s="103" t="s">
        <v>863</v>
      </c>
      <c r="K431" s="103" t="s">
        <v>864</v>
      </c>
      <c r="L431" s="103" t="s">
        <v>153</v>
      </c>
      <c r="M431" s="103" t="s">
        <v>865</v>
      </c>
      <c r="N431" s="103" t="s">
        <v>866</v>
      </c>
      <c r="O431" s="103" t="str">
        <f t="shared" si="14"/>
        <v>CFLscw-Candle(11w)</v>
      </c>
      <c r="P431" s="103" t="s">
        <v>153</v>
      </c>
      <c r="Q431" s="103" t="s">
        <v>153</v>
      </c>
      <c r="R431" s="103" t="s">
        <v>153</v>
      </c>
      <c r="S431" s="103" t="str">
        <f>INDEX('Measure &amp; Standard CostIDs'!$AK$8:$AK$12,B431)</f>
        <v>Single-pack</v>
      </c>
      <c r="T431" s="103" t="s">
        <v>867</v>
      </c>
      <c r="U431" s="103"/>
      <c r="V431" s="103"/>
      <c r="W431" s="103">
        <f>ROUND(IF(LEFT(D431,3)="Std",VLOOKUP(D431,'Measure &amp; Standard CostIDs'!$S$5:$X$177,1+B431,FALSE),VLOOKUP(D431,'Measure &amp; Standard CostIDs'!$C$5:$H$177,1+B431,FALSE)),2)</f>
        <v>8.24</v>
      </c>
      <c r="X431" s="103"/>
      <c r="Y431" s="103"/>
      <c r="Z431" s="103" t="s">
        <v>868</v>
      </c>
      <c r="AA431" s="103" t="s">
        <v>874</v>
      </c>
      <c r="AB431" s="103" t="s">
        <v>153</v>
      </c>
      <c r="AC431" s="103">
        <v>0</v>
      </c>
      <c r="AD431" s="156">
        <v>42005</v>
      </c>
      <c r="AE431" s="103"/>
      <c r="AF431" s="103" t="s">
        <v>870</v>
      </c>
      <c r="AG431" s="103" t="s">
        <v>871</v>
      </c>
      <c r="AH431" s="103" t="s">
        <v>976</v>
      </c>
      <c r="AI431" s="103">
        <v>0</v>
      </c>
      <c r="AJ431" s="103"/>
      <c r="AK431" s="103"/>
      <c r="AL431" s="103"/>
      <c r="AM431" s="103"/>
      <c r="AN431" s="103"/>
      <c r="AO431" s="103" t="str">
        <f t="shared" si="15"/>
        <v>CFLscw-Candle(11w)Single-pack</v>
      </c>
    </row>
    <row r="432" spans="1:41">
      <c r="A432" s="177">
        <f>IFERROR(MATCH(D432,'Measure &amp; Standard CostIDs'!C$5:C$177,0),MATCH(D432,'Measure &amp; Standard CostIDs'!S$5:S$177,0))</f>
        <v>98</v>
      </c>
      <c r="B432" s="177">
        <f t="shared" si="16"/>
        <v>2</v>
      </c>
      <c r="C432" s="103" t="s">
        <v>153</v>
      </c>
      <c r="D432" s="103" t="str">
        <f t="shared" si="17"/>
        <v>CFLscw-Candle(12w)</v>
      </c>
      <c r="E432" s="103" t="str">
        <f>IF(LEFT(D432,3)="Std","Base case cost for mix of 60% Incandescent and 40% CFL lamps for CFL TechID: "&amp;INDEX('Measure &amp; Standard CostIDs'!$C$5:$C$177,A432),"&lt;from TechID&gt;")</f>
        <v>&lt;from TechID&gt;</v>
      </c>
      <c r="F432" s="103" t="s">
        <v>860</v>
      </c>
      <c r="G432" s="103" t="s">
        <v>151</v>
      </c>
      <c r="H432" s="103" t="s">
        <v>861</v>
      </c>
      <c r="I432" s="103" t="s">
        <v>862</v>
      </c>
      <c r="J432" s="103" t="s">
        <v>863</v>
      </c>
      <c r="K432" s="103" t="s">
        <v>864</v>
      </c>
      <c r="L432" s="103" t="s">
        <v>153</v>
      </c>
      <c r="M432" s="103" t="s">
        <v>865</v>
      </c>
      <c r="N432" s="103" t="s">
        <v>866</v>
      </c>
      <c r="O432" s="103" t="str">
        <f t="shared" si="14"/>
        <v>CFLscw-Candle(12w)</v>
      </c>
      <c r="P432" s="103" t="s">
        <v>153</v>
      </c>
      <c r="Q432" s="103" t="s">
        <v>153</v>
      </c>
      <c r="R432" s="103" t="s">
        <v>153</v>
      </c>
      <c r="S432" s="103" t="str">
        <f>INDEX('Measure &amp; Standard CostIDs'!$AK$8:$AK$12,B432)</f>
        <v>Single-pack</v>
      </c>
      <c r="T432" s="103" t="s">
        <v>867</v>
      </c>
      <c r="U432" s="103"/>
      <c r="V432" s="103"/>
      <c r="W432" s="103">
        <f>ROUND(IF(LEFT(D432,3)="Std",VLOOKUP(D432,'Measure &amp; Standard CostIDs'!$S$5:$X$177,1+B432,FALSE),VLOOKUP(D432,'Measure &amp; Standard CostIDs'!$C$5:$H$177,1+B432,FALSE)),2)</f>
        <v>8.4499999999999993</v>
      </c>
      <c r="X432" s="103"/>
      <c r="Y432" s="103"/>
      <c r="Z432" s="103" t="s">
        <v>868</v>
      </c>
      <c r="AA432" s="103" t="s">
        <v>874</v>
      </c>
      <c r="AB432" s="103" t="s">
        <v>153</v>
      </c>
      <c r="AC432" s="103">
        <v>0</v>
      </c>
      <c r="AD432" s="156">
        <v>42005</v>
      </c>
      <c r="AE432" s="103"/>
      <c r="AF432" s="103" t="s">
        <v>870</v>
      </c>
      <c r="AG432" s="103" t="s">
        <v>871</v>
      </c>
      <c r="AH432" s="103" t="s">
        <v>976</v>
      </c>
      <c r="AI432" s="103">
        <v>0</v>
      </c>
      <c r="AJ432" s="103"/>
      <c r="AK432" s="103"/>
      <c r="AL432" s="103"/>
      <c r="AM432" s="103"/>
      <c r="AN432" s="103"/>
      <c r="AO432" s="103" t="str">
        <f t="shared" si="15"/>
        <v>CFLscw-Candle(12w)Single-pack</v>
      </c>
    </row>
    <row r="433" spans="1:41">
      <c r="A433" s="177">
        <f>IFERROR(MATCH(D433,'Measure &amp; Standard CostIDs'!C$5:C$177,0),MATCH(D433,'Measure &amp; Standard CostIDs'!S$5:S$177,0))</f>
        <v>99</v>
      </c>
      <c r="B433" s="177">
        <f t="shared" si="16"/>
        <v>2</v>
      </c>
      <c r="C433" s="103" t="s">
        <v>153</v>
      </c>
      <c r="D433" s="103" t="str">
        <f t="shared" si="17"/>
        <v>CFLscw-Candle(13w)</v>
      </c>
      <c r="E433" s="103" t="str">
        <f>IF(LEFT(D433,3)="Std","Base case cost for mix of 60% Incandescent and 40% CFL lamps for CFL TechID: "&amp;INDEX('Measure &amp; Standard CostIDs'!$C$5:$C$177,A433),"&lt;from TechID&gt;")</f>
        <v>&lt;from TechID&gt;</v>
      </c>
      <c r="F433" s="103" t="s">
        <v>860</v>
      </c>
      <c r="G433" s="103" t="s">
        <v>151</v>
      </c>
      <c r="H433" s="103" t="s">
        <v>861</v>
      </c>
      <c r="I433" s="103" t="s">
        <v>862</v>
      </c>
      <c r="J433" s="103" t="s">
        <v>863</v>
      </c>
      <c r="K433" s="103" t="s">
        <v>864</v>
      </c>
      <c r="L433" s="103" t="s">
        <v>153</v>
      </c>
      <c r="M433" s="103" t="s">
        <v>865</v>
      </c>
      <c r="N433" s="103" t="s">
        <v>866</v>
      </c>
      <c r="O433" s="103" t="str">
        <f t="shared" si="14"/>
        <v>CFLscw-Candle(13w)</v>
      </c>
      <c r="P433" s="103" t="s">
        <v>153</v>
      </c>
      <c r="Q433" s="103" t="s">
        <v>153</v>
      </c>
      <c r="R433" s="103" t="s">
        <v>153</v>
      </c>
      <c r="S433" s="103" t="str">
        <f>INDEX('Measure &amp; Standard CostIDs'!$AK$8:$AK$12,B433)</f>
        <v>Single-pack</v>
      </c>
      <c r="T433" s="103" t="s">
        <v>867</v>
      </c>
      <c r="U433" s="103"/>
      <c r="V433" s="103"/>
      <c r="W433" s="103">
        <f>ROUND(IF(LEFT(D433,3)="Std",VLOOKUP(D433,'Measure &amp; Standard CostIDs'!$S$5:$X$177,1+B433,FALSE),VLOOKUP(D433,'Measure &amp; Standard CostIDs'!$C$5:$H$177,1+B433,FALSE)),2)</f>
        <v>8.66</v>
      </c>
      <c r="X433" s="103"/>
      <c r="Y433" s="103"/>
      <c r="Z433" s="103" t="s">
        <v>868</v>
      </c>
      <c r="AA433" s="103" t="s">
        <v>874</v>
      </c>
      <c r="AB433" s="103" t="s">
        <v>153</v>
      </c>
      <c r="AC433" s="103">
        <v>0</v>
      </c>
      <c r="AD433" s="156">
        <v>42005</v>
      </c>
      <c r="AE433" s="103"/>
      <c r="AF433" s="103" t="s">
        <v>870</v>
      </c>
      <c r="AG433" s="103" t="s">
        <v>871</v>
      </c>
      <c r="AH433" s="103" t="s">
        <v>976</v>
      </c>
      <c r="AI433" s="103">
        <v>0</v>
      </c>
      <c r="AJ433" s="103"/>
      <c r="AK433" s="103"/>
      <c r="AL433" s="103"/>
      <c r="AM433" s="103"/>
      <c r="AN433" s="103"/>
      <c r="AO433" s="103" t="str">
        <f t="shared" si="15"/>
        <v>CFLscw-Candle(13w)Single-pack</v>
      </c>
    </row>
    <row r="434" spans="1:41">
      <c r="A434" s="177">
        <f>IFERROR(MATCH(D434,'Measure &amp; Standard CostIDs'!C$5:C$177,0),MATCH(D434,'Measure &amp; Standard CostIDs'!S$5:S$177,0))</f>
        <v>100</v>
      </c>
      <c r="B434" s="177">
        <f t="shared" si="16"/>
        <v>2</v>
      </c>
      <c r="C434" s="103" t="s">
        <v>153</v>
      </c>
      <c r="D434" s="103" t="str">
        <f t="shared" si="17"/>
        <v>CFLscw-Candle(14w)</v>
      </c>
      <c r="E434" s="103" t="str">
        <f>IF(LEFT(D434,3)="Std","Base case cost for mix of 60% Incandescent and 40% CFL lamps for CFL TechID: "&amp;INDEX('Measure &amp; Standard CostIDs'!$C$5:$C$177,A434),"&lt;from TechID&gt;")</f>
        <v>&lt;from TechID&gt;</v>
      </c>
      <c r="F434" s="103" t="s">
        <v>860</v>
      </c>
      <c r="G434" s="103" t="s">
        <v>151</v>
      </c>
      <c r="H434" s="103" t="s">
        <v>861</v>
      </c>
      <c r="I434" s="103" t="s">
        <v>862</v>
      </c>
      <c r="J434" s="103" t="s">
        <v>863</v>
      </c>
      <c r="K434" s="103" t="s">
        <v>864</v>
      </c>
      <c r="L434" s="103" t="s">
        <v>153</v>
      </c>
      <c r="M434" s="103" t="s">
        <v>865</v>
      </c>
      <c r="N434" s="103" t="s">
        <v>866</v>
      </c>
      <c r="O434" s="103" t="str">
        <f t="shared" si="14"/>
        <v>CFLscw-Candle(14w)</v>
      </c>
      <c r="P434" s="103" t="s">
        <v>153</v>
      </c>
      <c r="Q434" s="103" t="s">
        <v>153</v>
      </c>
      <c r="R434" s="103" t="s">
        <v>153</v>
      </c>
      <c r="S434" s="103" t="str">
        <f>INDEX('Measure &amp; Standard CostIDs'!$AK$8:$AK$12,B434)</f>
        <v>Single-pack</v>
      </c>
      <c r="T434" s="103" t="s">
        <v>867</v>
      </c>
      <c r="U434" s="103"/>
      <c r="V434" s="103"/>
      <c r="W434" s="103">
        <f>ROUND(IF(LEFT(D434,3)="Std",VLOOKUP(D434,'Measure &amp; Standard CostIDs'!$S$5:$X$177,1+B434,FALSE),VLOOKUP(D434,'Measure &amp; Standard CostIDs'!$C$5:$H$177,1+B434,FALSE)),2)</f>
        <v>8.86</v>
      </c>
      <c r="X434" s="103"/>
      <c r="Y434" s="103"/>
      <c r="Z434" s="103" t="s">
        <v>868</v>
      </c>
      <c r="AA434" s="103" t="s">
        <v>874</v>
      </c>
      <c r="AB434" s="103" t="s">
        <v>153</v>
      </c>
      <c r="AC434" s="103">
        <v>0</v>
      </c>
      <c r="AD434" s="156">
        <v>42005</v>
      </c>
      <c r="AE434" s="103"/>
      <c r="AF434" s="103" t="s">
        <v>870</v>
      </c>
      <c r="AG434" s="103" t="s">
        <v>871</v>
      </c>
      <c r="AH434" s="103" t="s">
        <v>976</v>
      </c>
      <c r="AI434" s="103">
        <v>0</v>
      </c>
      <c r="AJ434" s="103"/>
      <c r="AK434" s="103"/>
      <c r="AL434" s="103"/>
      <c r="AM434" s="103"/>
      <c r="AN434" s="103"/>
      <c r="AO434" s="103" t="str">
        <f t="shared" si="15"/>
        <v>CFLscw-Candle(14w)Single-pack</v>
      </c>
    </row>
    <row r="435" spans="1:41">
      <c r="A435" s="177">
        <f>IFERROR(MATCH(D435,'Measure &amp; Standard CostIDs'!C$5:C$177,0),MATCH(D435,'Measure &amp; Standard CostIDs'!S$5:S$177,0))</f>
        <v>101</v>
      </c>
      <c r="B435" s="177">
        <f t="shared" si="16"/>
        <v>2</v>
      </c>
      <c r="C435" s="103" t="s">
        <v>153</v>
      </c>
      <c r="D435" s="103" t="str">
        <f t="shared" si="17"/>
        <v>CFLscw-Candle(15w)</v>
      </c>
      <c r="E435" s="103" t="str">
        <f>IF(LEFT(D435,3)="Std","Base case cost for mix of 60% Incandescent and 40% CFL lamps for CFL TechID: "&amp;INDEX('Measure &amp; Standard CostIDs'!$C$5:$C$177,A435),"&lt;from TechID&gt;")</f>
        <v>&lt;from TechID&gt;</v>
      </c>
      <c r="F435" s="103" t="s">
        <v>860</v>
      </c>
      <c r="G435" s="103" t="s">
        <v>151</v>
      </c>
      <c r="H435" s="103" t="s">
        <v>861</v>
      </c>
      <c r="I435" s="103" t="s">
        <v>862</v>
      </c>
      <c r="J435" s="103" t="s">
        <v>863</v>
      </c>
      <c r="K435" s="103" t="s">
        <v>864</v>
      </c>
      <c r="L435" s="103" t="s">
        <v>153</v>
      </c>
      <c r="M435" s="103" t="s">
        <v>865</v>
      </c>
      <c r="N435" s="103" t="s">
        <v>866</v>
      </c>
      <c r="O435" s="103" t="str">
        <f t="shared" si="14"/>
        <v>CFLscw-Candle(15w)</v>
      </c>
      <c r="P435" s="103" t="s">
        <v>153</v>
      </c>
      <c r="Q435" s="103" t="s">
        <v>153</v>
      </c>
      <c r="R435" s="103" t="s">
        <v>153</v>
      </c>
      <c r="S435" s="103" t="str">
        <f>INDEX('Measure &amp; Standard CostIDs'!$AK$8:$AK$12,B435)</f>
        <v>Single-pack</v>
      </c>
      <c r="T435" s="103" t="s">
        <v>867</v>
      </c>
      <c r="U435" s="103"/>
      <c r="V435" s="103"/>
      <c r="W435" s="103">
        <f>ROUND(IF(LEFT(D435,3)="Std",VLOOKUP(D435,'Measure &amp; Standard CostIDs'!$S$5:$X$177,1+B435,FALSE),VLOOKUP(D435,'Measure &amp; Standard CostIDs'!$C$5:$H$177,1+B435,FALSE)),2)</f>
        <v>9.07</v>
      </c>
      <c r="X435" s="103"/>
      <c r="Y435" s="103"/>
      <c r="Z435" s="103" t="s">
        <v>868</v>
      </c>
      <c r="AA435" s="103" t="s">
        <v>874</v>
      </c>
      <c r="AB435" s="103" t="s">
        <v>153</v>
      </c>
      <c r="AC435" s="103">
        <v>0</v>
      </c>
      <c r="AD435" s="156">
        <v>42005</v>
      </c>
      <c r="AE435" s="103"/>
      <c r="AF435" s="103" t="s">
        <v>870</v>
      </c>
      <c r="AG435" s="103" t="s">
        <v>871</v>
      </c>
      <c r="AH435" s="103" t="s">
        <v>976</v>
      </c>
      <c r="AI435" s="103">
        <v>0</v>
      </c>
      <c r="AJ435" s="103"/>
      <c r="AK435" s="103"/>
      <c r="AL435" s="103"/>
      <c r="AM435" s="103"/>
      <c r="AN435" s="103"/>
      <c r="AO435" s="103" t="str">
        <f t="shared" si="15"/>
        <v>CFLscw-Candle(15w)Single-pack</v>
      </c>
    </row>
    <row r="436" spans="1:41">
      <c r="A436" s="177">
        <f>IFERROR(MATCH(D436,'Measure &amp; Standard CostIDs'!C$5:C$177,0),MATCH(D436,'Measure &amp; Standard CostIDs'!S$5:S$177,0))</f>
        <v>102</v>
      </c>
      <c r="B436" s="177">
        <f t="shared" si="16"/>
        <v>2</v>
      </c>
      <c r="C436" s="103" t="s">
        <v>153</v>
      </c>
      <c r="D436" s="103" t="str">
        <f t="shared" si="17"/>
        <v>CFLscw-Candle(7w)</v>
      </c>
      <c r="E436" s="103" t="str">
        <f>IF(LEFT(D436,3)="Std","Base case cost for mix of 60% Incandescent and 40% CFL lamps for CFL TechID: "&amp;INDEX('Measure &amp; Standard CostIDs'!$C$5:$C$177,A436),"&lt;from TechID&gt;")</f>
        <v>&lt;from TechID&gt;</v>
      </c>
      <c r="F436" s="103" t="s">
        <v>860</v>
      </c>
      <c r="G436" s="103" t="s">
        <v>151</v>
      </c>
      <c r="H436" s="103" t="s">
        <v>861</v>
      </c>
      <c r="I436" s="103" t="s">
        <v>862</v>
      </c>
      <c r="J436" s="103" t="s">
        <v>863</v>
      </c>
      <c r="K436" s="103" t="s">
        <v>864</v>
      </c>
      <c r="L436" s="103" t="s">
        <v>153</v>
      </c>
      <c r="M436" s="103" t="s">
        <v>865</v>
      </c>
      <c r="N436" s="103" t="s">
        <v>866</v>
      </c>
      <c r="O436" s="103" t="str">
        <f t="shared" si="14"/>
        <v>CFLscw-Candle(7w)</v>
      </c>
      <c r="P436" s="103" t="s">
        <v>153</v>
      </c>
      <c r="Q436" s="103" t="s">
        <v>153</v>
      </c>
      <c r="R436" s="103" t="s">
        <v>153</v>
      </c>
      <c r="S436" s="103" t="str">
        <f>INDEX('Measure &amp; Standard CostIDs'!$AK$8:$AK$12,B436)</f>
        <v>Single-pack</v>
      </c>
      <c r="T436" s="103" t="s">
        <v>867</v>
      </c>
      <c r="U436" s="103"/>
      <c r="V436" s="103"/>
      <c r="W436" s="103">
        <f>ROUND(IF(LEFT(D436,3)="Std",VLOOKUP(D436,'Measure &amp; Standard CostIDs'!$S$5:$X$177,1+B436,FALSE),VLOOKUP(D436,'Measure &amp; Standard CostIDs'!$C$5:$H$177,1+B436,FALSE)),2)</f>
        <v>7.42</v>
      </c>
      <c r="X436" s="103"/>
      <c r="Y436" s="103"/>
      <c r="Z436" s="103" t="s">
        <v>868</v>
      </c>
      <c r="AA436" s="103" t="s">
        <v>874</v>
      </c>
      <c r="AB436" s="103" t="s">
        <v>153</v>
      </c>
      <c r="AC436" s="103">
        <v>0</v>
      </c>
      <c r="AD436" s="156">
        <v>42005</v>
      </c>
      <c r="AE436" s="103"/>
      <c r="AF436" s="103" t="s">
        <v>870</v>
      </c>
      <c r="AG436" s="103" t="s">
        <v>871</v>
      </c>
      <c r="AH436" s="103" t="s">
        <v>976</v>
      </c>
      <c r="AI436" s="103">
        <v>0</v>
      </c>
      <c r="AJ436" s="103"/>
      <c r="AK436" s="103"/>
      <c r="AL436" s="103"/>
      <c r="AM436" s="103"/>
      <c r="AN436" s="103"/>
      <c r="AO436" s="103" t="str">
        <f t="shared" si="15"/>
        <v>CFLscw-Candle(7w)Single-pack</v>
      </c>
    </row>
    <row r="437" spans="1:41">
      <c r="A437" s="177">
        <f>IFERROR(MATCH(D437,'Measure &amp; Standard CostIDs'!C$5:C$177,0),MATCH(D437,'Measure &amp; Standard CostIDs'!S$5:S$177,0))</f>
        <v>103</v>
      </c>
      <c r="B437" s="177">
        <f t="shared" si="16"/>
        <v>2</v>
      </c>
      <c r="C437" s="103" t="s">
        <v>153</v>
      </c>
      <c r="D437" s="103" t="str">
        <f t="shared" si="17"/>
        <v>CFLscw-Candle(8w)</v>
      </c>
      <c r="E437" s="103" t="str">
        <f>IF(LEFT(D437,3)="Std","Base case cost for mix of 60% Incandescent and 40% CFL lamps for CFL TechID: "&amp;INDEX('Measure &amp; Standard CostIDs'!$C$5:$C$177,A437),"&lt;from TechID&gt;")</f>
        <v>&lt;from TechID&gt;</v>
      </c>
      <c r="F437" s="103" t="s">
        <v>860</v>
      </c>
      <c r="G437" s="103" t="s">
        <v>151</v>
      </c>
      <c r="H437" s="103" t="s">
        <v>861</v>
      </c>
      <c r="I437" s="103" t="s">
        <v>862</v>
      </c>
      <c r="J437" s="103" t="s">
        <v>863</v>
      </c>
      <c r="K437" s="103" t="s">
        <v>864</v>
      </c>
      <c r="L437" s="103" t="s">
        <v>153</v>
      </c>
      <c r="M437" s="103" t="s">
        <v>865</v>
      </c>
      <c r="N437" s="103" t="s">
        <v>866</v>
      </c>
      <c r="O437" s="103" t="str">
        <f t="shared" si="14"/>
        <v>CFLscw-Candle(8w)</v>
      </c>
      <c r="P437" s="103" t="s">
        <v>153</v>
      </c>
      <c r="Q437" s="103" t="s">
        <v>153</v>
      </c>
      <c r="R437" s="103" t="s">
        <v>153</v>
      </c>
      <c r="S437" s="103" t="str">
        <f>INDEX('Measure &amp; Standard CostIDs'!$AK$8:$AK$12,B437)</f>
        <v>Single-pack</v>
      </c>
      <c r="T437" s="103" t="s">
        <v>867</v>
      </c>
      <c r="U437" s="103"/>
      <c r="V437" s="103"/>
      <c r="W437" s="103">
        <f>ROUND(IF(LEFT(D437,3)="Std",VLOOKUP(D437,'Measure &amp; Standard CostIDs'!$S$5:$X$177,1+B437,FALSE),VLOOKUP(D437,'Measure &amp; Standard CostIDs'!$C$5:$H$177,1+B437,FALSE)),2)</f>
        <v>7.63</v>
      </c>
      <c r="X437" s="103"/>
      <c r="Y437" s="103"/>
      <c r="Z437" s="103" t="s">
        <v>868</v>
      </c>
      <c r="AA437" s="103" t="s">
        <v>874</v>
      </c>
      <c r="AB437" s="103" t="s">
        <v>153</v>
      </c>
      <c r="AC437" s="103">
        <v>0</v>
      </c>
      <c r="AD437" s="156">
        <v>42005</v>
      </c>
      <c r="AE437" s="103"/>
      <c r="AF437" s="103" t="s">
        <v>870</v>
      </c>
      <c r="AG437" s="103" t="s">
        <v>871</v>
      </c>
      <c r="AH437" s="103" t="s">
        <v>976</v>
      </c>
      <c r="AI437" s="103">
        <v>0</v>
      </c>
      <c r="AJ437" s="103"/>
      <c r="AK437" s="103"/>
      <c r="AL437" s="103"/>
      <c r="AM437" s="103"/>
      <c r="AN437" s="103"/>
      <c r="AO437" s="103" t="str">
        <f t="shared" si="15"/>
        <v>CFLscw-Candle(8w)Single-pack</v>
      </c>
    </row>
    <row r="438" spans="1:41">
      <c r="A438" s="177">
        <f>IFERROR(MATCH(D438,'Measure &amp; Standard CostIDs'!C$5:C$177,0),MATCH(D438,'Measure &amp; Standard CostIDs'!S$5:S$177,0))</f>
        <v>104</v>
      </c>
      <c r="B438" s="177">
        <f t="shared" si="16"/>
        <v>2</v>
      </c>
      <c r="C438" s="103" t="s">
        <v>153</v>
      </c>
      <c r="D438" s="103" t="str">
        <f t="shared" si="17"/>
        <v>CFLscw-Candle(9w)</v>
      </c>
      <c r="E438" s="103" t="str">
        <f>IF(LEFT(D438,3)="Std","Base case cost for mix of 60% Incandescent and 40% CFL lamps for CFL TechID: "&amp;INDEX('Measure &amp; Standard CostIDs'!$C$5:$C$177,A438),"&lt;from TechID&gt;")</f>
        <v>&lt;from TechID&gt;</v>
      </c>
      <c r="F438" s="103" t="s">
        <v>860</v>
      </c>
      <c r="G438" s="103" t="s">
        <v>151</v>
      </c>
      <c r="H438" s="103" t="s">
        <v>861</v>
      </c>
      <c r="I438" s="103" t="s">
        <v>862</v>
      </c>
      <c r="J438" s="103" t="s">
        <v>863</v>
      </c>
      <c r="K438" s="103" t="s">
        <v>864</v>
      </c>
      <c r="L438" s="103" t="s">
        <v>153</v>
      </c>
      <c r="M438" s="103" t="s">
        <v>865</v>
      </c>
      <c r="N438" s="103" t="s">
        <v>866</v>
      </c>
      <c r="O438" s="103" t="str">
        <f t="shared" si="14"/>
        <v>CFLscw-Candle(9w)</v>
      </c>
      <c r="P438" s="103" t="s">
        <v>153</v>
      </c>
      <c r="Q438" s="103" t="s">
        <v>153</v>
      </c>
      <c r="R438" s="103" t="s">
        <v>153</v>
      </c>
      <c r="S438" s="103" t="str">
        <f>INDEX('Measure &amp; Standard CostIDs'!$AK$8:$AK$12,B438)</f>
        <v>Single-pack</v>
      </c>
      <c r="T438" s="103" t="s">
        <v>867</v>
      </c>
      <c r="U438" s="103"/>
      <c r="V438" s="103"/>
      <c r="W438" s="103">
        <f>ROUND(IF(LEFT(D438,3)="Std",VLOOKUP(D438,'Measure &amp; Standard CostIDs'!$S$5:$X$177,1+B438,FALSE),VLOOKUP(D438,'Measure &amp; Standard CostIDs'!$C$5:$H$177,1+B438,FALSE)),2)</f>
        <v>7.83</v>
      </c>
      <c r="X438" s="103"/>
      <c r="Y438" s="103"/>
      <c r="Z438" s="103" t="s">
        <v>868</v>
      </c>
      <c r="AA438" s="103" t="s">
        <v>874</v>
      </c>
      <c r="AB438" s="103" t="s">
        <v>153</v>
      </c>
      <c r="AC438" s="103">
        <v>0</v>
      </c>
      <c r="AD438" s="156">
        <v>42005</v>
      </c>
      <c r="AE438" s="103"/>
      <c r="AF438" s="103" t="s">
        <v>870</v>
      </c>
      <c r="AG438" s="103" t="s">
        <v>871</v>
      </c>
      <c r="AH438" s="103" t="s">
        <v>976</v>
      </c>
      <c r="AI438" s="103">
        <v>0</v>
      </c>
      <c r="AJ438" s="103"/>
      <c r="AK438" s="103"/>
      <c r="AL438" s="103"/>
      <c r="AM438" s="103"/>
      <c r="AN438" s="103"/>
      <c r="AO438" s="103" t="str">
        <f t="shared" si="15"/>
        <v>CFLscw-Candle(9w)Single-pack</v>
      </c>
    </row>
    <row r="439" spans="1:41">
      <c r="A439" s="177">
        <f>IFERROR(MATCH(D439,'Measure &amp; Standard CostIDs'!C$5:C$177,0),MATCH(D439,'Measure &amp; Standard CostIDs'!S$5:S$177,0))</f>
        <v>105</v>
      </c>
      <c r="B439" s="177">
        <f t="shared" si="16"/>
        <v>2</v>
      </c>
      <c r="C439" s="103" t="s">
        <v>153</v>
      </c>
      <c r="D439" s="103" t="str">
        <f t="shared" si="17"/>
        <v>CFLscw-Dim(10w)</v>
      </c>
      <c r="E439" s="103" t="str">
        <f>IF(LEFT(D439,3)="Std","Base case cost for mix of 60% Incandescent and 40% CFL lamps for CFL TechID: "&amp;INDEX('Measure &amp; Standard CostIDs'!$C$5:$C$177,A439),"&lt;from TechID&gt;")</f>
        <v>&lt;from TechID&gt;</v>
      </c>
      <c r="F439" s="103" t="s">
        <v>860</v>
      </c>
      <c r="G439" s="103" t="s">
        <v>151</v>
      </c>
      <c r="H439" s="103" t="s">
        <v>861</v>
      </c>
      <c r="I439" s="103" t="s">
        <v>862</v>
      </c>
      <c r="J439" s="103" t="s">
        <v>863</v>
      </c>
      <c r="K439" s="103" t="s">
        <v>864</v>
      </c>
      <c r="L439" s="103" t="s">
        <v>153</v>
      </c>
      <c r="M439" s="103" t="s">
        <v>865</v>
      </c>
      <c r="N439" s="103" t="s">
        <v>866</v>
      </c>
      <c r="O439" s="103" t="str">
        <f t="shared" si="14"/>
        <v>CFLscw-Dim(10w)</v>
      </c>
      <c r="P439" s="103" t="s">
        <v>153</v>
      </c>
      <c r="Q439" s="103" t="s">
        <v>153</v>
      </c>
      <c r="R439" s="103" t="s">
        <v>153</v>
      </c>
      <c r="S439" s="103" t="str">
        <f>INDEX('Measure &amp; Standard CostIDs'!$AK$8:$AK$12,B439)</f>
        <v>Single-pack</v>
      </c>
      <c r="T439" s="103" t="s">
        <v>867</v>
      </c>
      <c r="U439" s="103"/>
      <c r="V439" s="103"/>
      <c r="W439" s="103">
        <f>ROUND(IF(LEFT(D439,3)="Std",VLOOKUP(D439,'Measure &amp; Standard CostIDs'!$S$5:$X$177,1+B439,FALSE),VLOOKUP(D439,'Measure &amp; Standard CostIDs'!$C$5:$H$177,1+B439,FALSE)),2)</f>
        <v>10.45</v>
      </c>
      <c r="X439" s="103"/>
      <c r="Y439" s="103"/>
      <c r="Z439" s="103" t="s">
        <v>868</v>
      </c>
      <c r="AA439" s="103" t="s">
        <v>874</v>
      </c>
      <c r="AB439" s="103" t="s">
        <v>153</v>
      </c>
      <c r="AC439" s="103">
        <v>0</v>
      </c>
      <c r="AD439" s="156">
        <v>42005</v>
      </c>
      <c r="AE439" s="103"/>
      <c r="AF439" s="103" t="s">
        <v>870</v>
      </c>
      <c r="AG439" s="103" t="s">
        <v>871</v>
      </c>
      <c r="AH439" s="103" t="s">
        <v>976</v>
      </c>
      <c r="AI439" s="103">
        <v>0</v>
      </c>
      <c r="AJ439" s="103"/>
      <c r="AK439" s="103"/>
      <c r="AL439" s="103"/>
      <c r="AM439" s="103"/>
      <c r="AN439" s="103"/>
      <c r="AO439" s="103" t="str">
        <f t="shared" si="15"/>
        <v>CFLscw-Dim(10w)Single-pack</v>
      </c>
    </row>
    <row r="440" spans="1:41">
      <c r="A440" s="177">
        <f>IFERROR(MATCH(D440,'Measure &amp; Standard CostIDs'!C$5:C$177,0),MATCH(D440,'Measure &amp; Standard CostIDs'!S$5:S$177,0))</f>
        <v>106</v>
      </c>
      <c r="B440" s="177">
        <f t="shared" si="16"/>
        <v>2</v>
      </c>
      <c r="C440" s="103" t="s">
        <v>153</v>
      </c>
      <c r="D440" s="103" t="str">
        <f t="shared" si="17"/>
        <v>CFLscw-Dim(11w)</v>
      </c>
      <c r="E440" s="103" t="str">
        <f>IF(LEFT(D440,3)="Std","Base case cost for mix of 60% Incandescent and 40% CFL lamps for CFL TechID: "&amp;INDEX('Measure &amp; Standard CostIDs'!$C$5:$C$177,A440),"&lt;from TechID&gt;")</f>
        <v>&lt;from TechID&gt;</v>
      </c>
      <c r="F440" s="103" t="s">
        <v>860</v>
      </c>
      <c r="G440" s="103" t="s">
        <v>151</v>
      </c>
      <c r="H440" s="103" t="s">
        <v>861</v>
      </c>
      <c r="I440" s="103" t="s">
        <v>862</v>
      </c>
      <c r="J440" s="103" t="s">
        <v>863</v>
      </c>
      <c r="K440" s="103" t="s">
        <v>864</v>
      </c>
      <c r="L440" s="103" t="s">
        <v>153</v>
      </c>
      <c r="M440" s="103" t="s">
        <v>865</v>
      </c>
      <c r="N440" s="103" t="s">
        <v>866</v>
      </c>
      <c r="O440" s="103" t="str">
        <f t="shared" si="14"/>
        <v>CFLscw-Dim(11w)</v>
      </c>
      <c r="P440" s="103" t="s">
        <v>153</v>
      </c>
      <c r="Q440" s="103" t="s">
        <v>153</v>
      </c>
      <c r="R440" s="103" t="s">
        <v>153</v>
      </c>
      <c r="S440" s="103" t="str">
        <f>INDEX('Measure &amp; Standard CostIDs'!$AK$8:$AK$12,B440)</f>
        <v>Single-pack</v>
      </c>
      <c r="T440" s="103" t="s">
        <v>867</v>
      </c>
      <c r="U440" s="103"/>
      <c r="V440" s="103"/>
      <c r="W440" s="103">
        <f>ROUND(IF(LEFT(D440,3)="Std",VLOOKUP(D440,'Measure &amp; Standard CostIDs'!$S$5:$X$177,1+B440,FALSE),VLOOKUP(D440,'Measure &amp; Standard CostIDs'!$C$5:$H$177,1+B440,FALSE)),2)</f>
        <v>10.51</v>
      </c>
      <c r="X440" s="103"/>
      <c r="Y440" s="103"/>
      <c r="Z440" s="103" t="s">
        <v>868</v>
      </c>
      <c r="AA440" s="103" t="s">
        <v>874</v>
      </c>
      <c r="AB440" s="103" t="s">
        <v>153</v>
      </c>
      <c r="AC440" s="103">
        <v>0</v>
      </c>
      <c r="AD440" s="156">
        <v>42005</v>
      </c>
      <c r="AE440" s="103"/>
      <c r="AF440" s="103" t="s">
        <v>870</v>
      </c>
      <c r="AG440" s="103" t="s">
        <v>871</v>
      </c>
      <c r="AH440" s="103" t="s">
        <v>976</v>
      </c>
      <c r="AI440" s="103">
        <v>0</v>
      </c>
      <c r="AJ440" s="103"/>
      <c r="AK440" s="103"/>
      <c r="AL440" s="103"/>
      <c r="AM440" s="103"/>
      <c r="AN440" s="103"/>
      <c r="AO440" s="103" t="str">
        <f t="shared" si="15"/>
        <v>CFLscw-Dim(11w)Single-pack</v>
      </c>
    </row>
    <row r="441" spans="1:41">
      <c r="A441" s="177">
        <f>IFERROR(MATCH(D441,'Measure &amp; Standard CostIDs'!C$5:C$177,0),MATCH(D441,'Measure &amp; Standard CostIDs'!S$5:S$177,0))</f>
        <v>107</v>
      </c>
      <c r="B441" s="177">
        <f t="shared" si="16"/>
        <v>2</v>
      </c>
      <c r="C441" s="103" t="s">
        <v>153</v>
      </c>
      <c r="D441" s="103" t="str">
        <f t="shared" si="17"/>
        <v>CFLscw-Dim(14w)</v>
      </c>
      <c r="E441" s="103" t="str">
        <f>IF(LEFT(D441,3)="Std","Base case cost for mix of 60% Incandescent and 40% CFL lamps for CFL TechID: "&amp;INDEX('Measure &amp; Standard CostIDs'!$C$5:$C$177,A441),"&lt;from TechID&gt;")</f>
        <v>&lt;from TechID&gt;</v>
      </c>
      <c r="F441" s="103" t="s">
        <v>860</v>
      </c>
      <c r="G441" s="103" t="s">
        <v>151</v>
      </c>
      <c r="H441" s="103" t="s">
        <v>861</v>
      </c>
      <c r="I441" s="103" t="s">
        <v>862</v>
      </c>
      <c r="J441" s="103" t="s">
        <v>863</v>
      </c>
      <c r="K441" s="103" t="s">
        <v>864</v>
      </c>
      <c r="L441" s="103" t="s">
        <v>153</v>
      </c>
      <c r="M441" s="103" t="s">
        <v>865</v>
      </c>
      <c r="N441" s="103" t="s">
        <v>866</v>
      </c>
      <c r="O441" s="103" t="str">
        <f t="shared" si="14"/>
        <v>CFLscw-Dim(14w)</v>
      </c>
      <c r="P441" s="103" t="s">
        <v>153</v>
      </c>
      <c r="Q441" s="103" t="s">
        <v>153</v>
      </c>
      <c r="R441" s="103" t="s">
        <v>153</v>
      </c>
      <c r="S441" s="103" t="str">
        <f>INDEX('Measure &amp; Standard CostIDs'!$AK$8:$AK$12,B441)</f>
        <v>Single-pack</v>
      </c>
      <c r="T441" s="103" t="s">
        <v>867</v>
      </c>
      <c r="U441" s="103"/>
      <c r="V441" s="103"/>
      <c r="W441" s="103">
        <f>ROUND(IF(LEFT(D441,3)="Std",VLOOKUP(D441,'Measure &amp; Standard CostIDs'!$S$5:$X$177,1+B441,FALSE),VLOOKUP(D441,'Measure &amp; Standard CostIDs'!$C$5:$H$177,1+B441,FALSE)),2)</f>
        <v>10.71</v>
      </c>
      <c r="X441" s="103"/>
      <c r="Y441" s="103"/>
      <c r="Z441" s="103" t="s">
        <v>868</v>
      </c>
      <c r="AA441" s="103" t="s">
        <v>874</v>
      </c>
      <c r="AB441" s="103" t="s">
        <v>153</v>
      </c>
      <c r="AC441" s="103">
        <v>0</v>
      </c>
      <c r="AD441" s="156">
        <v>42005</v>
      </c>
      <c r="AE441" s="103"/>
      <c r="AF441" s="103" t="s">
        <v>870</v>
      </c>
      <c r="AG441" s="103" t="s">
        <v>871</v>
      </c>
      <c r="AH441" s="103" t="s">
        <v>976</v>
      </c>
      <c r="AI441" s="103">
        <v>0</v>
      </c>
      <c r="AJ441" s="103"/>
      <c r="AK441" s="103"/>
      <c r="AL441" s="103"/>
      <c r="AM441" s="103"/>
      <c r="AN441" s="103"/>
      <c r="AO441" s="103" t="str">
        <f t="shared" si="15"/>
        <v>CFLscw-Dim(14w)Single-pack</v>
      </c>
    </row>
    <row r="442" spans="1:41">
      <c r="A442" s="177">
        <f>IFERROR(MATCH(D442,'Measure &amp; Standard CostIDs'!C$5:C$177,0),MATCH(D442,'Measure &amp; Standard CostIDs'!S$5:S$177,0))</f>
        <v>108</v>
      </c>
      <c r="B442" s="177">
        <f t="shared" si="16"/>
        <v>2</v>
      </c>
      <c r="C442" s="103" t="s">
        <v>153</v>
      </c>
      <c r="D442" s="103" t="str">
        <f t="shared" si="17"/>
        <v>CFLscw-Dim(15w)</v>
      </c>
      <c r="E442" s="103" t="str">
        <f>IF(LEFT(D442,3)="Std","Base case cost for mix of 60% Incandescent and 40% CFL lamps for CFL TechID: "&amp;INDEX('Measure &amp; Standard CostIDs'!$C$5:$C$177,A442),"&lt;from TechID&gt;")</f>
        <v>&lt;from TechID&gt;</v>
      </c>
      <c r="F442" s="103" t="s">
        <v>860</v>
      </c>
      <c r="G442" s="103" t="s">
        <v>151</v>
      </c>
      <c r="H442" s="103" t="s">
        <v>861</v>
      </c>
      <c r="I442" s="103" t="s">
        <v>862</v>
      </c>
      <c r="J442" s="103" t="s">
        <v>863</v>
      </c>
      <c r="K442" s="103" t="s">
        <v>864</v>
      </c>
      <c r="L442" s="103" t="s">
        <v>153</v>
      </c>
      <c r="M442" s="103" t="s">
        <v>865</v>
      </c>
      <c r="N442" s="103" t="s">
        <v>866</v>
      </c>
      <c r="O442" s="103" t="str">
        <f t="shared" si="14"/>
        <v>CFLscw-Dim(15w)</v>
      </c>
      <c r="P442" s="103" t="s">
        <v>153</v>
      </c>
      <c r="Q442" s="103" t="s">
        <v>153</v>
      </c>
      <c r="R442" s="103" t="s">
        <v>153</v>
      </c>
      <c r="S442" s="103" t="str">
        <f>INDEX('Measure &amp; Standard CostIDs'!$AK$8:$AK$12,B442)</f>
        <v>Single-pack</v>
      </c>
      <c r="T442" s="103" t="s">
        <v>867</v>
      </c>
      <c r="U442" s="103"/>
      <c r="V442" s="103"/>
      <c r="W442" s="103">
        <f>ROUND(IF(LEFT(D442,3)="Std",VLOOKUP(D442,'Measure &amp; Standard CostIDs'!$S$5:$X$177,1+B442,FALSE),VLOOKUP(D442,'Measure &amp; Standard CostIDs'!$C$5:$H$177,1+B442,FALSE)),2)</f>
        <v>10.78</v>
      </c>
      <c r="X442" s="103"/>
      <c r="Y442" s="103"/>
      <c r="Z442" s="103" t="s">
        <v>868</v>
      </c>
      <c r="AA442" s="103" t="s">
        <v>874</v>
      </c>
      <c r="AB442" s="103" t="s">
        <v>153</v>
      </c>
      <c r="AC442" s="103">
        <v>0</v>
      </c>
      <c r="AD442" s="156">
        <v>42005</v>
      </c>
      <c r="AE442" s="103"/>
      <c r="AF442" s="103" t="s">
        <v>870</v>
      </c>
      <c r="AG442" s="103" t="s">
        <v>871</v>
      </c>
      <c r="AH442" s="103" t="s">
        <v>976</v>
      </c>
      <c r="AI442" s="103">
        <v>0</v>
      </c>
      <c r="AJ442" s="103"/>
      <c r="AK442" s="103"/>
      <c r="AL442" s="103"/>
      <c r="AM442" s="103"/>
      <c r="AN442" s="103"/>
      <c r="AO442" s="103" t="str">
        <f t="shared" si="15"/>
        <v>CFLscw-Dim(15w)Single-pack</v>
      </c>
    </row>
    <row r="443" spans="1:41">
      <c r="A443" s="177">
        <f>IFERROR(MATCH(D443,'Measure &amp; Standard CostIDs'!C$5:C$177,0),MATCH(D443,'Measure &amp; Standard CostIDs'!S$5:S$177,0))</f>
        <v>109</v>
      </c>
      <c r="B443" s="177">
        <f t="shared" si="16"/>
        <v>2</v>
      </c>
      <c r="C443" s="103" t="s">
        <v>153</v>
      </c>
      <c r="D443" s="103" t="str">
        <f t="shared" si="17"/>
        <v>CFLscw-Dim(16w)</v>
      </c>
      <c r="E443" s="103" t="str">
        <f>IF(LEFT(D443,3)="Std","Base case cost for mix of 60% Incandescent and 40% CFL lamps for CFL TechID: "&amp;INDEX('Measure &amp; Standard CostIDs'!$C$5:$C$177,A443),"&lt;from TechID&gt;")</f>
        <v>&lt;from TechID&gt;</v>
      </c>
      <c r="F443" s="103" t="s">
        <v>860</v>
      </c>
      <c r="G443" s="103" t="s">
        <v>151</v>
      </c>
      <c r="H443" s="103" t="s">
        <v>861</v>
      </c>
      <c r="I443" s="103" t="s">
        <v>862</v>
      </c>
      <c r="J443" s="103" t="s">
        <v>863</v>
      </c>
      <c r="K443" s="103" t="s">
        <v>864</v>
      </c>
      <c r="L443" s="103" t="s">
        <v>153</v>
      </c>
      <c r="M443" s="103" t="s">
        <v>865</v>
      </c>
      <c r="N443" s="103" t="s">
        <v>866</v>
      </c>
      <c r="O443" s="103" t="str">
        <f t="shared" si="14"/>
        <v>CFLscw-Dim(16w)</v>
      </c>
      <c r="P443" s="103" t="s">
        <v>153</v>
      </c>
      <c r="Q443" s="103" t="s">
        <v>153</v>
      </c>
      <c r="R443" s="103" t="s">
        <v>153</v>
      </c>
      <c r="S443" s="103" t="str">
        <f>INDEX('Measure &amp; Standard CostIDs'!$AK$8:$AK$12,B443)</f>
        <v>Single-pack</v>
      </c>
      <c r="T443" s="103" t="s">
        <v>867</v>
      </c>
      <c r="U443" s="103"/>
      <c r="V443" s="103"/>
      <c r="W443" s="103">
        <f>ROUND(IF(LEFT(D443,3)="Std",VLOOKUP(D443,'Measure &amp; Standard CostIDs'!$S$5:$X$177,1+B443,FALSE),VLOOKUP(D443,'Measure &amp; Standard CostIDs'!$C$5:$H$177,1+B443,FALSE)),2)</f>
        <v>10.84</v>
      </c>
      <c r="X443" s="103"/>
      <c r="Y443" s="103"/>
      <c r="Z443" s="103" t="s">
        <v>868</v>
      </c>
      <c r="AA443" s="103" t="s">
        <v>874</v>
      </c>
      <c r="AB443" s="103" t="s">
        <v>153</v>
      </c>
      <c r="AC443" s="103">
        <v>0</v>
      </c>
      <c r="AD443" s="156">
        <v>42005</v>
      </c>
      <c r="AE443" s="103"/>
      <c r="AF443" s="103" t="s">
        <v>870</v>
      </c>
      <c r="AG443" s="103" t="s">
        <v>871</v>
      </c>
      <c r="AH443" s="103" t="s">
        <v>976</v>
      </c>
      <c r="AI443" s="103">
        <v>0</v>
      </c>
      <c r="AJ443" s="103"/>
      <c r="AK443" s="103"/>
      <c r="AL443" s="103"/>
      <c r="AM443" s="103"/>
      <c r="AN443" s="103"/>
      <c r="AO443" s="103" t="str">
        <f t="shared" si="15"/>
        <v>CFLscw-Dim(16w)Single-pack</v>
      </c>
    </row>
    <row r="444" spans="1:41">
      <c r="A444" s="177">
        <f>IFERROR(MATCH(D444,'Measure &amp; Standard CostIDs'!C$5:C$177,0),MATCH(D444,'Measure &amp; Standard CostIDs'!S$5:S$177,0))</f>
        <v>110</v>
      </c>
      <c r="B444" s="177">
        <f t="shared" si="16"/>
        <v>2</v>
      </c>
      <c r="C444" s="103" t="s">
        <v>153</v>
      </c>
      <c r="D444" s="103" t="str">
        <f t="shared" si="17"/>
        <v>CFLscw-Dim(18w)</v>
      </c>
      <c r="E444" s="103" t="str">
        <f>IF(LEFT(D444,3)="Std","Base case cost for mix of 60% Incandescent and 40% CFL lamps for CFL TechID: "&amp;INDEX('Measure &amp; Standard CostIDs'!$C$5:$C$177,A444),"&lt;from TechID&gt;")</f>
        <v>&lt;from TechID&gt;</v>
      </c>
      <c r="F444" s="103" t="s">
        <v>860</v>
      </c>
      <c r="G444" s="103" t="s">
        <v>151</v>
      </c>
      <c r="H444" s="103" t="s">
        <v>861</v>
      </c>
      <c r="I444" s="103" t="s">
        <v>862</v>
      </c>
      <c r="J444" s="103" t="s">
        <v>863</v>
      </c>
      <c r="K444" s="103" t="s">
        <v>864</v>
      </c>
      <c r="L444" s="103" t="s">
        <v>153</v>
      </c>
      <c r="M444" s="103" t="s">
        <v>865</v>
      </c>
      <c r="N444" s="103" t="s">
        <v>866</v>
      </c>
      <c r="O444" s="103" t="str">
        <f t="shared" si="14"/>
        <v>CFLscw-Dim(18w)</v>
      </c>
      <c r="P444" s="103" t="s">
        <v>153</v>
      </c>
      <c r="Q444" s="103" t="s">
        <v>153</v>
      </c>
      <c r="R444" s="103" t="s">
        <v>153</v>
      </c>
      <c r="S444" s="103" t="str">
        <f>INDEX('Measure &amp; Standard CostIDs'!$AK$8:$AK$12,B444)</f>
        <v>Single-pack</v>
      </c>
      <c r="T444" s="103" t="s">
        <v>867</v>
      </c>
      <c r="U444" s="103"/>
      <c r="V444" s="103"/>
      <c r="W444" s="103">
        <f>ROUND(IF(LEFT(D444,3)="Std",VLOOKUP(D444,'Measure &amp; Standard CostIDs'!$S$5:$X$177,1+B444,FALSE),VLOOKUP(D444,'Measure &amp; Standard CostIDs'!$C$5:$H$177,1+B444,FALSE)),2)</f>
        <v>10.98</v>
      </c>
      <c r="X444" s="103"/>
      <c r="Y444" s="103"/>
      <c r="Z444" s="103" t="s">
        <v>868</v>
      </c>
      <c r="AA444" s="103" t="s">
        <v>874</v>
      </c>
      <c r="AB444" s="103" t="s">
        <v>153</v>
      </c>
      <c r="AC444" s="103">
        <v>0</v>
      </c>
      <c r="AD444" s="156">
        <v>42005</v>
      </c>
      <c r="AE444" s="103"/>
      <c r="AF444" s="103" t="s">
        <v>870</v>
      </c>
      <c r="AG444" s="103" t="s">
        <v>871</v>
      </c>
      <c r="AH444" s="103" t="s">
        <v>976</v>
      </c>
      <c r="AI444" s="103">
        <v>0</v>
      </c>
      <c r="AJ444" s="103"/>
      <c r="AK444" s="103"/>
      <c r="AL444" s="103"/>
      <c r="AM444" s="103"/>
      <c r="AN444" s="103"/>
      <c r="AO444" s="103" t="str">
        <f t="shared" si="15"/>
        <v>CFLscw-Dim(18w)Single-pack</v>
      </c>
    </row>
    <row r="445" spans="1:41">
      <c r="A445" s="177">
        <f>IFERROR(MATCH(D445,'Measure &amp; Standard CostIDs'!C$5:C$177,0),MATCH(D445,'Measure &amp; Standard CostIDs'!S$5:S$177,0))</f>
        <v>111</v>
      </c>
      <c r="B445" s="177">
        <f t="shared" si="16"/>
        <v>2</v>
      </c>
      <c r="C445" s="103" t="s">
        <v>153</v>
      </c>
      <c r="D445" s="103" t="str">
        <f t="shared" si="17"/>
        <v>CFLscw-Dim(19w)</v>
      </c>
      <c r="E445" s="103" t="str">
        <f>IF(LEFT(D445,3)="Std","Base case cost for mix of 60% Incandescent and 40% CFL lamps for CFL TechID: "&amp;INDEX('Measure &amp; Standard CostIDs'!$C$5:$C$177,A445),"&lt;from TechID&gt;")</f>
        <v>&lt;from TechID&gt;</v>
      </c>
      <c r="F445" s="103" t="s">
        <v>860</v>
      </c>
      <c r="G445" s="103" t="s">
        <v>151</v>
      </c>
      <c r="H445" s="103" t="s">
        <v>861</v>
      </c>
      <c r="I445" s="103" t="s">
        <v>862</v>
      </c>
      <c r="J445" s="103" t="s">
        <v>863</v>
      </c>
      <c r="K445" s="103" t="s">
        <v>864</v>
      </c>
      <c r="L445" s="103" t="s">
        <v>153</v>
      </c>
      <c r="M445" s="103" t="s">
        <v>865</v>
      </c>
      <c r="N445" s="103" t="s">
        <v>866</v>
      </c>
      <c r="O445" s="103" t="str">
        <f t="shared" si="14"/>
        <v>CFLscw-Dim(19w)</v>
      </c>
      <c r="P445" s="103" t="s">
        <v>153</v>
      </c>
      <c r="Q445" s="103" t="s">
        <v>153</v>
      </c>
      <c r="R445" s="103" t="s">
        <v>153</v>
      </c>
      <c r="S445" s="103" t="str">
        <f>INDEX('Measure &amp; Standard CostIDs'!$AK$8:$AK$12,B445)</f>
        <v>Single-pack</v>
      </c>
      <c r="T445" s="103" t="s">
        <v>867</v>
      </c>
      <c r="U445" s="103"/>
      <c r="V445" s="103"/>
      <c r="W445" s="103">
        <f>ROUND(IF(LEFT(D445,3)="Std",VLOOKUP(D445,'Measure &amp; Standard CostIDs'!$S$5:$X$177,1+B445,FALSE),VLOOKUP(D445,'Measure &amp; Standard CostIDs'!$C$5:$H$177,1+B445,FALSE)),2)</f>
        <v>11.04</v>
      </c>
      <c r="X445" s="103"/>
      <c r="Y445" s="103"/>
      <c r="Z445" s="103" t="s">
        <v>868</v>
      </c>
      <c r="AA445" s="103" t="s">
        <v>874</v>
      </c>
      <c r="AB445" s="103" t="s">
        <v>153</v>
      </c>
      <c r="AC445" s="103">
        <v>0</v>
      </c>
      <c r="AD445" s="156">
        <v>42005</v>
      </c>
      <c r="AE445" s="103"/>
      <c r="AF445" s="103" t="s">
        <v>870</v>
      </c>
      <c r="AG445" s="103" t="s">
        <v>871</v>
      </c>
      <c r="AH445" s="103" t="s">
        <v>976</v>
      </c>
      <c r="AI445" s="103">
        <v>0</v>
      </c>
      <c r="AJ445" s="103"/>
      <c r="AK445" s="103"/>
      <c r="AL445" s="103"/>
      <c r="AM445" s="103"/>
      <c r="AN445" s="103"/>
      <c r="AO445" s="103" t="str">
        <f t="shared" si="15"/>
        <v>CFLscw-Dim(19w)Single-pack</v>
      </c>
    </row>
    <row r="446" spans="1:41">
      <c r="A446" s="177">
        <f>IFERROR(MATCH(D446,'Measure &amp; Standard CostIDs'!C$5:C$177,0),MATCH(D446,'Measure &amp; Standard CostIDs'!S$5:S$177,0))</f>
        <v>112</v>
      </c>
      <c r="B446" s="177">
        <f t="shared" si="16"/>
        <v>2</v>
      </c>
      <c r="C446" s="103" t="s">
        <v>153</v>
      </c>
      <c r="D446" s="103" t="str">
        <f t="shared" si="17"/>
        <v>CFLscw-Dim(20w)</v>
      </c>
      <c r="E446" s="103" t="str">
        <f>IF(LEFT(D446,3)="Std","Base case cost for mix of 60% Incandescent and 40% CFL lamps for CFL TechID: "&amp;INDEX('Measure &amp; Standard CostIDs'!$C$5:$C$177,A446),"&lt;from TechID&gt;")</f>
        <v>&lt;from TechID&gt;</v>
      </c>
      <c r="F446" s="103" t="s">
        <v>860</v>
      </c>
      <c r="G446" s="103" t="s">
        <v>151</v>
      </c>
      <c r="H446" s="103" t="s">
        <v>861</v>
      </c>
      <c r="I446" s="103" t="s">
        <v>862</v>
      </c>
      <c r="J446" s="103" t="s">
        <v>863</v>
      </c>
      <c r="K446" s="103" t="s">
        <v>864</v>
      </c>
      <c r="L446" s="103" t="s">
        <v>153</v>
      </c>
      <c r="M446" s="103" t="s">
        <v>865</v>
      </c>
      <c r="N446" s="103" t="s">
        <v>866</v>
      </c>
      <c r="O446" s="103" t="str">
        <f t="shared" si="14"/>
        <v>CFLscw-Dim(20w)</v>
      </c>
      <c r="P446" s="103" t="s">
        <v>153</v>
      </c>
      <c r="Q446" s="103" t="s">
        <v>153</v>
      </c>
      <c r="R446" s="103" t="s">
        <v>153</v>
      </c>
      <c r="S446" s="103" t="str">
        <f>INDEX('Measure &amp; Standard CostIDs'!$AK$8:$AK$12,B446)</f>
        <v>Single-pack</v>
      </c>
      <c r="T446" s="103" t="s">
        <v>867</v>
      </c>
      <c r="U446" s="103"/>
      <c r="V446" s="103"/>
      <c r="W446" s="103">
        <f>ROUND(IF(LEFT(D446,3)="Std",VLOOKUP(D446,'Measure &amp; Standard CostIDs'!$S$5:$X$177,1+B446,FALSE),VLOOKUP(D446,'Measure &amp; Standard CostIDs'!$C$5:$H$177,1+B446,FALSE)),2)</f>
        <v>11.11</v>
      </c>
      <c r="X446" s="103"/>
      <c r="Y446" s="103"/>
      <c r="Z446" s="103" t="s">
        <v>868</v>
      </c>
      <c r="AA446" s="103" t="s">
        <v>874</v>
      </c>
      <c r="AB446" s="103" t="s">
        <v>153</v>
      </c>
      <c r="AC446" s="103">
        <v>0</v>
      </c>
      <c r="AD446" s="156">
        <v>42005</v>
      </c>
      <c r="AE446" s="103"/>
      <c r="AF446" s="103" t="s">
        <v>870</v>
      </c>
      <c r="AG446" s="103" t="s">
        <v>871</v>
      </c>
      <c r="AH446" s="103" t="s">
        <v>976</v>
      </c>
      <c r="AI446" s="103">
        <v>0</v>
      </c>
      <c r="AJ446" s="103"/>
      <c r="AK446" s="103"/>
      <c r="AL446" s="103"/>
      <c r="AM446" s="103"/>
      <c r="AN446" s="103"/>
      <c r="AO446" s="103" t="str">
        <f t="shared" si="15"/>
        <v>CFLscw-Dim(20w)Single-pack</v>
      </c>
    </row>
    <row r="447" spans="1:41">
      <c r="A447" s="177">
        <f>IFERROR(MATCH(D447,'Measure &amp; Standard CostIDs'!C$5:C$177,0),MATCH(D447,'Measure &amp; Standard CostIDs'!S$5:S$177,0))</f>
        <v>113</v>
      </c>
      <c r="B447" s="177">
        <f t="shared" si="16"/>
        <v>2</v>
      </c>
      <c r="C447" s="103" t="s">
        <v>153</v>
      </c>
      <c r="D447" s="103" t="str">
        <f t="shared" si="17"/>
        <v>CFLscw-Dim(23w)</v>
      </c>
      <c r="E447" s="103" t="str">
        <f>IF(LEFT(D447,3)="Std","Base case cost for mix of 60% Incandescent and 40% CFL lamps for CFL TechID: "&amp;INDEX('Measure &amp; Standard CostIDs'!$C$5:$C$177,A447),"&lt;from TechID&gt;")</f>
        <v>&lt;from TechID&gt;</v>
      </c>
      <c r="F447" s="103" t="s">
        <v>860</v>
      </c>
      <c r="G447" s="103" t="s">
        <v>151</v>
      </c>
      <c r="H447" s="103" t="s">
        <v>861</v>
      </c>
      <c r="I447" s="103" t="s">
        <v>862</v>
      </c>
      <c r="J447" s="103" t="s">
        <v>863</v>
      </c>
      <c r="K447" s="103" t="s">
        <v>864</v>
      </c>
      <c r="L447" s="103" t="s">
        <v>153</v>
      </c>
      <c r="M447" s="103" t="s">
        <v>865</v>
      </c>
      <c r="N447" s="103" t="s">
        <v>866</v>
      </c>
      <c r="O447" s="103" t="str">
        <f t="shared" si="14"/>
        <v>CFLscw-Dim(23w)</v>
      </c>
      <c r="P447" s="103" t="s">
        <v>153</v>
      </c>
      <c r="Q447" s="103" t="s">
        <v>153</v>
      </c>
      <c r="R447" s="103" t="s">
        <v>153</v>
      </c>
      <c r="S447" s="103" t="str">
        <f>INDEX('Measure &amp; Standard CostIDs'!$AK$8:$AK$12,B447)</f>
        <v>Single-pack</v>
      </c>
      <c r="T447" s="103" t="s">
        <v>867</v>
      </c>
      <c r="U447" s="103"/>
      <c r="V447" s="103"/>
      <c r="W447" s="103">
        <f>ROUND(IF(LEFT(D447,3)="Std",VLOOKUP(D447,'Measure &amp; Standard CostIDs'!$S$5:$X$177,1+B447,FALSE),VLOOKUP(D447,'Measure &amp; Standard CostIDs'!$C$5:$H$177,1+B447,FALSE)),2)</f>
        <v>11.31</v>
      </c>
      <c r="X447" s="103"/>
      <c r="Y447" s="103"/>
      <c r="Z447" s="103" t="s">
        <v>868</v>
      </c>
      <c r="AA447" s="103" t="s">
        <v>874</v>
      </c>
      <c r="AB447" s="103" t="s">
        <v>153</v>
      </c>
      <c r="AC447" s="103">
        <v>0</v>
      </c>
      <c r="AD447" s="156">
        <v>42005</v>
      </c>
      <c r="AE447" s="103"/>
      <c r="AF447" s="103" t="s">
        <v>870</v>
      </c>
      <c r="AG447" s="103" t="s">
        <v>871</v>
      </c>
      <c r="AH447" s="103" t="s">
        <v>976</v>
      </c>
      <c r="AI447" s="103">
        <v>0</v>
      </c>
      <c r="AJ447" s="103"/>
      <c r="AK447" s="103"/>
      <c r="AL447" s="103"/>
      <c r="AM447" s="103"/>
      <c r="AN447" s="103"/>
      <c r="AO447" s="103" t="str">
        <f t="shared" si="15"/>
        <v>CFLscw-Dim(23w)Single-pack</v>
      </c>
    </row>
    <row r="448" spans="1:41">
      <c r="A448" s="177">
        <f>IFERROR(MATCH(D448,'Measure &amp; Standard CostIDs'!C$5:C$177,0),MATCH(D448,'Measure &amp; Standard CostIDs'!S$5:S$177,0))</f>
        <v>114</v>
      </c>
      <c r="B448" s="177">
        <f t="shared" si="16"/>
        <v>2</v>
      </c>
      <c r="C448" s="103" t="s">
        <v>153</v>
      </c>
      <c r="D448" s="103" t="str">
        <f t="shared" si="17"/>
        <v>CFLscw-Dim(25w)</v>
      </c>
      <c r="E448" s="103" t="str">
        <f>IF(LEFT(D448,3)="Std","Base case cost for mix of 60% Incandescent and 40% CFL lamps for CFL TechID: "&amp;INDEX('Measure &amp; Standard CostIDs'!$C$5:$C$177,A448),"&lt;from TechID&gt;")</f>
        <v>&lt;from TechID&gt;</v>
      </c>
      <c r="F448" s="103" t="s">
        <v>860</v>
      </c>
      <c r="G448" s="103" t="s">
        <v>151</v>
      </c>
      <c r="H448" s="103" t="s">
        <v>861</v>
      </c>
      <c r="I448" s="103" t="s">
        <v>862</v>
      </c>
      <c r="J448" s="103" t="s">
        <v>863</v>
      </c>
      <c r="K448" s="103" t="s">
        <v>864</v>
      </c>
      <c r="L448" s="103" t="s">
        <v>153</v>
      </c>
      <c r="M448" s="103" t="s">
        <v>865</v>
      </c>
      <c r="N448" s="103" t="s">
        <v>866</v>
      </c>
      <c r="O448" s="103" t="str">
        <f t="shared" si="14"/>
        <v>CFLscw-Dim(25w)</v>
      </c>
      <c r="P448" s="103" t="s">
        <v>153</v>
      </c>
      <c r="Q448" s="103" t="s">
        <v>153</v>
      </c>
      <c r="R448" s="103" t="s">
        <v>153</v>
      </c>
      <c r="S448" s="103" t="str">
        <f>INDEX('Measure &amp; Standard CostIDs'!$AK$8:$AK$12,B448)</f>
        <v>Single-pack</v>
      </c>
      <c r="T448" s="103" t="s">
        <v>867</v>
      </c>
      <c r="U448" s="103"/>
      <c r="V448" s="103"/>
      <c r="W448" s="103">
        <f>ROUND(IF(LEFT(D448,3)="Std",VLOOKUP(D448,'Measure &amp; Standard CostIDs'!$S$5:$X$177,1+B448,FALSE),VLOOKUP(D448,'Measure &amp; Standard CostIDs'!$C$5:$H$177,1+B448,FALSE)),2)</f>
        <v>11.44</v>
      </c>
      <c r="X448" s="103"/>
      <c r="Y448" s="103"/>
      <c r="Z448" s="103" t="s">
        <v>868</v>
      </c>
      <c r="AA448" s="103" t="s">
        <v>874</v>
      </c>
      <c r="AB448" s="103" t="s">
        <v>153</v>
      </c>
      <c r="AC448" s="103">
        <v>0</v>
      </c>
      <c r="AD448" s="156">
        <v>42005</v>
      </c>
      <c r="AE448" s="103"/>
      <c r="AF448" s="103" t="s">
        <v>870</v>
      </c>
      <c r="AG448" s="103" t="s">
        <v>871</v>
      </c>
      <c r="AH448" s="103" t="s">
        <v>976</v>
      </c>
      <c r="AI448" s="103">
        <v>0</v>
      </c>
      <c r="AJ448" s="103"/>
      <c r="AK448" s="103"/>
      <c r="AL448" s="103"/>
      <c r="AM448" s="103"/>
      <c r="AN448" s="103"/>
      <c r="AO448" s="103" t="str">
        <f t="shared" si="15"/>
        <v>CFLscw-Dim(25w)Single-pack</v>
      </c>
    </row>
    <row r="449" spans="1:41">
      <c r="A449" s="177">
        <f>IFERROR(MATCH(D449,'Measure &amp; Standard CostIDs'!C$5:C$177,0),MATCH(D449,'Measure &amp; Standard CostIDs'!S$5:S$177,0))</f>
        <v>115</v>
      </c>
      <c r="B449" s="177">
        <f t="shared" si="16"/>
        <v>2</v>
      </c>
      <c r="C449" s="103" t="s">
        <v>153</v>
      </c>
      <c r="D449" s="103" t="str">
        <f t="shared" si="17"/>
        <v>CFLscw-Dim(26w)</v>
      </c>
      <c r="E449" s="103" t="str">
        <f>IF(LEFT(D449,3)="Std","Base case cost for mix of 60% Incandescent and 40% CFL lamps for CFL TechID: "&amp;INDEX('Measure &amp; Standard CostIDs'!$C$5:$C$177,A449),"&lt;from TechID&gt;")</f>
        <v>&lt;from TechID&gt;</v>
      </c>
      <c r="F449" s="103" t="s">
        <v>860</v>
      </c>
      <c r="G449" s="103" t="s">
        <v>151</v>
      </c>
      <c r="H449" s="103" t="s">
        <v>861</v>
      </c>
      <c r="I449" s="103" t="s">
        <v>862</v>
      </c>
      <c r="J449" s="103" t="s">
        <v>863</v>
      </c>
      <c r="K449" s="103" t="s">
        <v>864</v>
      </c>
      <c r="L449" s="103" t="s">
        <v>153</v>
      </c>
      <c r="M449" s="103" t="s">
        <v>865</v>
      </c>
      <c r="N449" s="103" t="s">
        <v>866</v>
      </c>
      <c r="O449" s="103" t="str">
        <f t="shared" si="14"/>
        <v>CFLscw-Dim(26w)</v>
      </c>
      <c r="P449" s="103" t="s">
        <v>153</v>
      </c>
      <c r="Q449" s="103" t="s">
        <v>153</v>
      </c>
      <c r="R449" s="103" t="s">
        <v>153</v>
      </c>
      <c r="S449" s="103" t="str">
        <f>INDEX('Measure &amp; Standard CostIDs'!$AK$8:$AK$12,B449)</f>
        <v>Single-pack</v>
      </c>
      <c r="T449" s="103" t="s">
        <v>867</v>
      </c>
      <c r="U449" s="103"/>
      <c r="V449" s="103"/>
      <c r="W449" s="103">
        <f>ROUND(IF(LEFT(D449,3)="Std",VLOOKUP(D449,'Measure &amp; Standard CostIDs'!$S$5:$X$177,1+B449,FALSE),VLOOKUP(D449,'Measure &amp; Standard CostIDs'!$C$5:$H$177,1+B449,FALSE)),2)</f>
        <v>11.6</v>
      </c>
      <c r="X449" s="103"/>
      <c r="Y449" s="103"/>
      <c r="Z449" s="103" t="s">
        <v>868</v>
      </c>
      <c r="AA449" s="103" t="s">
        <v>874</v>
      </c>
      <c r="AB449" s="103" t="s">
        <v>153</v>
      </c>
      <c r="AC449" s="103">
        <v>0</v>
      </c>
      <c r="AD449" s="156">
        <v>42005</v>
      </c>
      <c r="AE449" s="103"/>
      <c r="AF449" s="103" t="s">
        <v>870</v>
      </c>
      <c r="AG449" s="103" t="s">
        <v>871</v>
      </c>
      <c r="AH449" s="103" t="s">
        <v>976</v>
      </c>
      <c r="AI449" s="103">
        <v>0</v>
      </c>
      <c r="AJ449" s="103"/>
      <c r="AK449" s="103"/>
      <c r="AL449" s="103"/>
      <c r="AM449" s="103"/>
      <c r="AN449" s="103"/>
      <c r="AO449" s="103" t="str">
        <f t="shared" si="15"/>
        <v>CFLscw-Dim(26w)Single-pack</v>
      </c>
    </row>
    <row r="450" spans="1:41">
      <c r="A450" s="177">
        <f>IFERROR(MATCH(D450,'Measure &amp; Standard CostIDs'!C$5:C$177,0),MATCH(D450,'Measure &amp; Standard CostIDs'!S$5:S$177,0))</f>
        <v>116</v>
      </c>
      <c r="B450" s="177">
        <f t="shared" si="16"/>
        <v>2</v>
      </c>
      <c r="C450" s="103" t="s">
        <v>153</v>
      </c>
      <c r="D450" s="103" t="str">
        <f t="shared" si="17"/>
        <v>CFLscw-Dim(28w)</v>
      </c>
      <c r="E450" s="103" t="str">
        <f>IF(LEFT(D450,3)="Std","Base case cost for mix of 60% Incandescent and 40% CFL lamps for CFL TechID: "&amp;INDEX('Measure &amp; Standard CostIDs'!$C$5:$C$177,A450),"&lt;from TechID&gt;")</f>
        <v>&lt;from TechID&gt;</v>
      </c>
      <c r="F450" s="103" t="s">
        <v>860</v>
      </c>
      <c r="G450" s="103" t="s">
        <v>151</v>
      </c>
      <c r="H450" s="103" t="s">
        <v>861</v>
      </c>
      <c r="I450" s="103" t="s">
        <v>862</v>
      </c>
      <c r="J450" s="103" t="s">
        <v>863</v>
      </c>
      <c r="K450" s="103" t="s">
        <v>864</v>
      </c>
      <c r="L450" s="103" t="s">
        <v>153</v>
      </c>
      <c r="M450" s="103" t="s">
        <v>865</v>
      </c>
      <c r="N450" s="103" t="s">
        <v>866</v>
      </c>
      <c r="O450" s="103" t="str">
        <f t="shared" si="14"/>
        <v>CFLscw-Dim(28w)</v>
      </c>
      <c r="P450" s="103" t="s">
        <v>153</v>
      </c>
      <c r="Q450" s="103" t="s">
        <v>153</v>
      </c>
      <c r="R450" s="103" t="s">
        <v>153</v>
      </c>
      <c r="S450" s="103" t="str">
        <f>INDEX('Measure &amp; Standard CostIDs'!$AK$8:$AK$12,B450)</f>
        <v>Single-pack</v>
      </c>
      <c r="T450" s="103" t="s">
        <v>867</v>
      </c>
      <c r="U450" s="103"/>
      <c r="V450" s="103"/>
      <c r="W450" s="103">
        <f>ROUND(IF(LEFT(D450,3)="Std",VLOOKUP(D450,'Measure &amp; Standard CostIDs'!$S$5:$X$177,1+B450,FALSE),VLOOKUP(D450,'Measure &amp; Standard CostIDs'!$C$5:$H$177,1+B450,FALSE)),2)</f>
        <v>11.92</v>
      </c>
      <c r="X450" s="103"/>
      <c r="Y450" s="103"/>
      <c r="Z450" s="103" t="s">
        <v>868</v>
      </c>
      <c r="AA450" s="103" t="s">
        <v>874</v>
      </c>
      <c r="AB450" s="103" t="s">
        <v>153</v>
      </c>
      <c r="AC450" s="103">
        <v>0</v>
      </c>
      <c r="AD450" s="156">
        <v>42005</v>
      </c>
      <c r="AE450" s="103"/>
      <c r="AF450" s="103" t="s">
        <v>870</v>
      </c>
      <c r="AG450" s="103" t="s">
        <v>871</v>
      </c>
      <c r="AH450" s="103" t="s">
        <v>976</v>
      </c>
      <c r="AI450" s="103">
        <v>0</v>
      </c>
      <c r="AJ450" s="103"/>
      <c r="AK450" s="103"/>
      <c r="AL450" s="103"/>
      <c r="AM450" s="103"/>
      <c r="AN450" s="103"/>
      <c r="AO450" s="103" t="str">
        <f t="shared" si="15"/>
        <v>CFLscw-Dim(28w)Single-pack</v>
      </c>
    </row>
    <row r="451" spans="1:41">
      <c r="A451" s="177">
        <f>IFERROR(MATCH(D451,'Measure &amp; Standard CostIDs'!C$5:C$177,0),MATCH(D451,'Measure &amp; Standard CostIDs'!S$5:S$177,0))</f>
        <v>117</v>
      </c>
      <c r="B451" s="177">
        <f t="shared" si="16"/>
        <v>2</v>
      </c>
      <c r="C451" s="103" t="s">
        <v>153</v>
      </c>
      <c r="D451" s="103" t="str">
        <f t="shared" si="17"/>
        <v>CFLscw-Dim(30w)</v>
      </c>
      <c r="E451" s="103" t="str">
        <f>IF(LEFT(D451,3)="Std","Base case cost for mix of 60% Incandescent and 40% CFL lamps for CFL TechID: "&amp;INDEX('Measure &amp; Standard CostIDs'!$C$5:$C$177,A451),"&lt;from TechID&gt;")</f>
        <v>&lt;from TechID&gt;</v>
      </c>
      <c r="F451" s="103" t="s">
        <v>860</v>
      </c>
      <c r="G451" s="103" t="s">
        <v>151</v>
      </c>
      <c r="H451" s="103" t="s">
        <v>861</v>
      </c>
      <c r="I451" s="103" t="s">
        <v>862</v>
      </c>
      <c r="J451" s="103" t="s">
        <v>863</v>
      </c>
      <c r="K451" s="103" t="s">
        <v>864</v>
      </c>
      <c r="L451" s="103" t="s">
        <v>153</v>
      </c>
      <c r="M451" s="103" t="s">
        <v>865</v>
      </c>
      <c r="N451" s="103" t="s">
        <v>866</v>
      </c>
      <c r="O451" s="103" t="str">
        <f t="shared" si="14"/>
        <v>CFLscw-Dim(30w)</v>
      </c>
      <c r="P451" s="103" t="s">
        <v>153</v>
      </c>
      <c r="Q451" s="103" t="s">
        <v>153</v>
      </c>
      <c r="R451" s="103" t="s">
        <v>153</v>
      </c>
      <c r="S451" s="103" t="str">
        <f>INDEX('Measure &amp; Standard CostIDs'!$AK$8:$AK$12,B451)</f>
        <v>Single-pack</v>
      </c>
      <c r="T451" s="103" t="s">
        <v>867</v>
      </c>
      <c r="U451" s="103"/>
      <c r="V451" s="103"/>
      <c r="W451" s="103">
        <f>ROUND(IF(LEFT(D451,3)="Std",VLOOKUP(D451,'Measure &amp; Standard CostIDs'!$S$5:$X$177,1+B451,FALSE),VLOOKUP(D451,'Measure &amp; Standard CostIDs'!$C$5:$H$177,1+B451,FALSE)),2)</f>
        <v>12.24</v>
      </c>
      <c r="X451" s="103"/>
      <c r="Y451" s="103"/>
      <c r="Z451" s="103" t="s">
        <v>868</v>
      </c>
      <c r="AA451" s="103" t="s">
        <v>874</v>
      </c>
      <c r="AB451" s="103" t="s">
        <v>153</v>
      </c>
      <c r="AC451" s="103">
        <v>0</v>
      </c>
      <c r="AD451" s="156">
        <v>42005</v>
      </c>
      <c r="AE451" s="103"/>
      <c r="AF451" s="103" t="s">
        <v>870</v>
      </c>
      <c r="AG451" s="103" t="s">
        <v>871</v>
      </c>
      <c r="AH451" s="103" t="s">
        <v>976</v>
      </c>
      <c r="AI451" s="103">
        <v>0</v>
      </c>
      <c r="AJ451" s="103"/>
      <c r="AK451" s="103"/>
      <c r="AL451" s="103"/>
      <c r="AM451" s="103"/>
      <c r="AN451" s="103"/>
      <c r="AO451" s="103" t="str">
        <f t="shared" si="15"/>
        <v>CFLscw-Dim(30w)Single-pack</v>
      </c>
    </row>
    <row r="452" spans="1:41">
      <c r="A452" s="177">
        <f>IFERROR(MATCH(D452,'Measure &amp; Standard CostIDs'!C$5:C$177,0),MATCH(D452,'Measure &amp; Standard CostIDs'!S$5:S$177,0))</f>
        <v>118</v>
      </c>
      <c r="B452" s="177">
        <f t="shared" si="16"/>
        <v>2</v>
      </c>
      <c r="C452" s="103" t="s">
        <v>153</v>
      </c>
      <c r="D452" s="103" t="str">
        <f t="shared" si="17"/>
        <v>CFLscw-Dim(33w)</v>
      </c>
      <c r="E452" s="103" t="str">
        <f>IF(LEFT(D452,3)="Std","Base case cost for mix of 60% Incandescent and 40% CFL lamps for CFL TechID: "&amp;INDEX('Measure &amp; Standard CostIDs'!$C$5:$C$177,A452),"&lt;from TechID&gt;")</f>
        <v>&lt;from TechID&gt;</v>
      </c>
      <c r="F452" s="103" t="s">
        <v>860</v>
      </c>
      <c r="G452" s="103" t="s">
        <v>151</v>
      </c>
      <c r="H452" s="103" t="s">
        <v>861</v>
      </c>
      <c r="I452" s="103" t="s">
        <v>862</v>
      </c>
      <c r="J452" s="103" t="s">
        <v>863</v>
      </c>
      <c r="K452" s="103" t="s">
        <v>864</v>
      </c>
      <c r="L452" s="103" t="s">
        <v>153</v>
      </c>
      <c r="M452" s="103" t="s">
        <v>865</v>
      </c>
      <c r="N452" s="103" t="s">
        <v>866</v>
      </c>
      <c r="O452" s="103" t="str">
        <f t="shared" si="14"/>
        <v>CFLscw-Dim(33w)</v>
      </c>
      <c r="P452" s="103" t="s">
        <v>153</v>
      </c>
      <c r="Q452" s="103" t="s">
        <v>153</v>
      </c>
      <c r="R452" s="103" t="s">
        <v>153</v>
      </c>
      <c r="S452" s="103" t="str">
        <f>INDEX('Measure &amp; Standard CostIDs'!$AK$8:$AK$12,B452)</f>
        <v>Single-pack</v>
      </c>
      <c r="T452" s="103" t="s">
        <v>867</v>
      </c>
      <c r="U452" s="103"/>
      <c r="V452" s="103"/>
      <c r="W452" s="103">
        <f>ROUND(IF(LEFT(D452,3)="Std",VLOOKUP(D452,'Measure &amp; Standard CostIDs'!$S$5:$X$177,1+B452,FALSE),VLOOKUP(D452,'Measure &amp; Standard CostIDs'!$C$5:$H$177,1+B452,FALSE)),2)</f>
        <v>12.72</v>
      </c>
      <c r="X452" s="103"/>
      <c r="Y452" s="103"/>
      <c r="Z452" s="103" t="s">
        <v>868</v>
      </c>
      <c r="AA452" s="103" t="s">
        <v>874</v>
      </c>
      <c r="AB452" s="103" t="s">
        <v>153</v>
      </c>
      <c r="AC452" s="103">
        <v>0</v>
      </c>
      <c r="AD452" s="156">
        <v>42005</v>
      </c>
      <c r="AE452" s="103"/>
      <c r="AF452" s="103" t="s">
        <v>870</v>
      </c>
      <c r="AG452" s="103" t="s">
        <v>871</v>
      </c>
      <c r="AH452" s="103" t="s">
        <v>976</v>
      </c>
      <c r="AI452" s="103">
        <v>0</v>
      </c>
      <c r="AJ452" s="103"/>
      <c r="AK452" s="103"/>
      <c r="AL452" s="103"/>
      <c r="AM452" s="103"/>
      <c r="AN452" s="103"/>
      <c r="AO452" s="103" t="str">
        <f t="shared" si="15"/>
        <v>CFLscw-Dim(33w)Single-pack</v>
      </c>
    </row>
    <row r="453" spans="1:41">
      <c r="A453" s="177">
        <f>IFERROR(MATCH(D453,'Measure &amp; Standard CostIDs'!C$5:C$177,0),MATCH(D453,'Measure &amp; Standard CostIDs'!S$5:S$177,0))</f>
        <v>119</v>
      </c>
      <c r="B453" s="177">
        <f t="shared" si="16"/>
        <v>2</v>
      </c>
      <c r="C453" s="103" t="s">
        <v>153</v>
      </c>
      <c r="D453" s="103" t="str">
        <f t="shared" si="17"/>
        <v>CFLscw-Dim(35w)</v>
      </c>
      <c r="E453" s="103" t="str">
        <f>IF(LEFT(D453,3)="Std","Base case cost for mix of 60% Incandescent and 40% CFL lamps for CFL TechID: "&amp;INDEX('Measure &amp; Standard CostIDs'!$C$5:$C$177,A453),"&lt;from TechID&gt;")</f>
        <v>&lt;from TechID&gt;</v>
      </c>
      <c r="F453" s="103" t="s">
        <v>860</v>
      </c>
      <c r="G453" s="103" t="s">
        <v>151</v>
      </c>
      <c r="H453" s="103" t="s">
        <v>861</v>
      </c>
      <c r="I453" s="103" t="s">
        <v>862</v>
      </c>
      <c r="J453" s="103" t="s">
        <v>863</v>
      </c>
      <c r="K453" s="103" t="s">
        <v>864</v>
      </c>
      <c r="L453" s="103" t="s">
        <v>153</v>
      </c>
      <c r="M453" s="103" t="s">
        <v>865</v>
      </c>
      <c r="N453" s="103" t="s">
        <v>866</v>
      </c>
      <c r="O453" s="103" t="str">
        <f t="shared" si="14"/>
        <v>CFLscw-Dim(35w)</v>
      </c>
      <c r="P453" s="103" t="s">
        <v>153</v>
      </c>
      <c r="Q453" s="103" t="s">
        <v>153</v>
      </c>
      <c r="R453" s="103" t="s">
        <v>153</v>
      </c>
      <c r="S453" s="103" t="str">
        <f>INDEX('Measure &amp; Standard CostIDs'!$AK$8:$AK$12,B453)</f>
        <v>Single-pack</v>
      </c>
      <c r="T453" s="103" t="s">
        <v>867</v>
      </c>
      <c r="U453" s="103"/>
      <c r="V453" s="103"/>
      <c r="W453" s="103">
        <f>ROUND(IF(LEFT(D453,3)="Std",VLOOKUP(D453,'Measure &amp; Standard CostIDs'!$S$5:$X$177,1+B453,FALSE),VLOOKUP(D453,'Measure &amp; Standard CostIDs'!$C$5:$H$177,1+B453,FALSE)),2)</f>
        <v>13.04</v>
      </c>
      <c r="X453" s="103"/>
      <c r="Y453" s="103"/>
      <c r="Z453" s="103" t="s">
        <v>868</v>
      </c>
      <c r="AA453" s="103" t="s">
        <v>874</v>
      </c>
      <c r="AB453" s="103" t="s">
        <v>153</v>
      </c>
      <c r="AC453" s="103">
        <v>0</v>
      </c>
      <c r="AD453" s="156">
        <v>42005</v>
      </c>
      <c r="AE453" s="103"/>
      <c r="AF453" s="103" t="s">
        <v>870</v>
      </c>
      <c r="AG453" s="103" t="s">
        <v>871</v>
      </c>
      <c r="AH453" s="103" t="s">
        <v>976</v>
      </c>
      <c r="AI453" s="103">
        <v>0</v>
      </c>
      <c r="AJ453" s="103"/>
      <c r="AK453" s="103"/>
      <c r="AL453" s="103"/>
      <c r="AM453" s="103"/>
      <c r="AN453" s="103"/>
      <c r="AO453" s="103" t="str">
        <f t="shared" si="15"/>
        <v>CFLscw-Dim(35w)Single-pack</v>
      </c>
    </row>
    <row r="454" spans="1:41">
      <c r="A454" s="177">
        <f>IFERROR(MATCH(D454,'Measure &amp; Standard CostIDs'!C$5:C$177,0),MATCH(D454,'Measure &amp; Standard CostIDs'!S$5:S$177,0))</f>
        <v>120</v>
      </c>
      <c r="B454" s="177">
        <f t="shared" si="16"/>
        <v>2</v>
      </c>
      <c r="C454" s="103" t="s">
        <v>153</v>
      </c>
      <c r="D454" s="103" t="str">
        <f t="shared" si="17"/>
        <v>CFLscw-Dim(38w)</v>
      </c>
      <c r="E454" s="103" t="str">
        <f>IF(LEFT(D454,3)="Std","Base case cost for mix of 60% Incandescent and 40% CFL lamps for CFL TechID: "&amp;INDEX('Measure &amp; Standard CostIDs'!$C$5:$C$177,A454),"&lt;from TechID&gt;")</f>
        <v>&lt;from TechID&gt;</v>
      </c>
      <c r="F454" s="103" t="s">
        <v>860</v>
      </c>
      <c r="G454" s="103" t="s">
        <v>151</v>
      </c>
      <c r="H454" s="103" t="s">
        <v>861</v>
      </c>
      <c r="I454" s="103" t="s">
        <v>862</v>
      </c>
      <c r="J454" s="103" t="s">
        <v>863</v>
      </c>
      <c r="K454" s="103" t="s">
        <v>864</v>
      </c>
      <c r="L454" s="103" t="s">
        <v>153</v>
      </c>
      <c r="M454" s="103" t="s">
        <v>865</v>
      </c>
      <c r="N454" s="103" t="s">
        <v>866</v>
      </c>
      <c r="O454" s="103" t="str">
        <f t="shared" ref="O454:O517" si="18">IF(LEFT(D454,3)="Std","",D454)</f>
        <v>CFLscw-Dim(38w)</v>
      </c>
      <c r="P454" s="103" t="s">
        <v>153</v>
      </c>
      <c r="Q454" s="103" t="s">
        <v>153</v>
      </c>
      <c r="R454" s="103" t="s">
        <v>153</v>
      </c>
      <c r="S454" s="103" t="str">
        <f>INDEX('Measure &amp; Standard CostIDs'!$AK$8:$AK$12,B454)</f>
        <v>Single-pack</v>
      </c>
      <c r="T454" s="103" t="s">
        <v>867</v>
      </c>
      <c r="U454" s="103"/>
      <c r="V454" s="103"/>
      <c r="W454" s="103">
        <f>ROUND(IF(LEFT(D454,3)="Std",VLOOKUP(D454,'Measure &amp; Standard CostIDs'!$S$5:$X$177,1+B454,FALSE),VLOOKUP(D454,'Measure &amp; Standard CostIDs'!$C$5:$H$177,1+B454,FALSE)),2)</f>
        <v>13.52</v>
      </c>
      <c r="X454" s="103"/>
      <c r="Y454" s="103"/>
      <c r="Z454" s="103" t="s">
        <v>868</v>
      </c>
      <c r="AA454" s="103" t="s">
        <v>874</v>
      </c>
      <c r="AB454" s="103" t="s">
        <v>153</v>
      </c>
      <c r="AC454" s="103">
        <v>0</v>
      </c>
      <c r="AD454" s="156">
        <v>42005</v>
      </c>
      <c r="AE454" s="103"/>
      <c r="AF454" s="103" t="s">
        <v>870</v>
      </c>
      <c r="AG454" s="103" t="s">
        <v>871</v>
      </c>
      <c r="AH454" s="103" t="s">
        <v>976</v>
      </c>
      <c r="AI454" s="103">
        <v>0</v>
      </c>
      <c r="AJ454" s="103"/>
      <c r="AK454" s="103"/>
      <c r="AL454" s="103"/>
      <c r="AM454" s="103"/>
      <c r="AN454" s="103"/>
      <c r="AO454" s="103" t="str">
        <f t="shared" ref="AO454:AO517" si="19">D454&amp;S454</f>
        <v>CFLscw-Dim(38w)Single-pack</v>
      </c>
    </row>
    <row r="455" spans="1:41">
      <c r="A455" s="177">
        <f>IFERROR(MATCH(D455,'Measure &amp; Standard CostIDs'!C$5:C$177,0),MATCH(D455,'Measure &amp; Standard CostIDs'!S$5:S$177,0))</f>
        <v>121</v>
      </c>
      <c r="B455" s="177">
        <f t="shared" si="16"/>
        <v>2</v>
      </c>
      <c r="C455" s="103" t="s">
        <v>153</v>
      </c>
      <c r="D455" s="103" t="str">
        <f t="shared" si="17"/>
        <v>CFLscw-Dim(40w)</v>
      </c>
      <c r="E455" s="103" t="str">
        <f>IF(LEFT(D455,3)="Std","Base case cost for mix of 60% Incandescent and 40% CFL lamps for CFL TechID: "&amp;INDEX('Measure &amp; Standard CostIDs'!$C$5:$C$177,A455),"&lt;from TechID&gt;")</f>
        <v>&lt;from TechID&gt;</v>
      </c>
      <c r="F455" s="103" t="s">
        <v>860</v>
      </c>
      <c r="G455" s="103" t="s">
        <v>151</v>
      </c>
      <c r="H455" s="103" t="s">
        <v>861</v>
      </c>
      <c r="I455" s="103" t="s">
        <v>862</v>
      </c>
      <c r="J455" s="103" t="s">
        <v>863</v>
      </c>
      <c r="K455" s="103" t="s">
        <v>864</v>
      </c>
      <c r="L455" s="103" t="s">
        <v>153</v>
      </c>
      <c r="M455" s="103" t="s">
        <v>865</v>
      </c>
      <c r="N455" s="103" t="s">
        <v>866</v>
      </c>
      <c r="O455" s="103" t="str">
        <f t="shared" si="18"/>
        <v>CFLscw-Dim(40w)</v>
      </c>
      <c r="P455" s="103" t="s">
        <v>153</v>
      </c>
      <c r="Q455" s="103" t="s">
        <v>153</v>
      </c>
      <c r="R455" s="103" t="s">
        <v>153</v>
      </c>
      <c r="S455" s="103" t="str">
        <f>INDEX('Measure &amp; Standard CostIDs'!$AK$8:$AK$12,B455)</f>
        <v>Single-pack</v>
      </c>
      <c r="T455" s="103" t="s">
        <v>867</v>
      </c>
      <c r="U455" s="103"/>
      <c r="V455" s="103"/>
      <c r="W455" s="103">
        <f>ROUND(IF(LEFT(D455,3)="Std",VLOOKUP(D455,'Measure &amp; Standard CostIDs'!$S$5:$X$177,1+B455,FALSE),VLOOKUP(D455,'Measure &amp; Standard CostIDs'!$C$5:$H$177,1+B455,FALSE)),2)</f>
        <v>13.84</v>
      </c>
      <c r="X455" s="103"/>
      <c r="Y455" s="103"/>
      <c r="Z455" s="103" t="s">
        <v>868</v>
      </c>
      <c r="AA455" s="103" t="s">
        <v>874</v>
      </c>
      <c r="AB455" s="103" t="s">
        <v>153</v>
      </c>
      <c r="AC455" s="103">
        <v>0</v>
      </c>
      <c r="AD455" s="156">
        <v>42005</v>
      </c>
      <c r="AE455" s="103"/>
      <c r="AF455" s="103" t="s">
        <v>870</v>
      </c>
      <c r="AG455" s="103" t="s">
        <v>871</v>
      </c>
      <c r="AH455" s="103" t="s">
        <v>976</v>
      </c>
      <c r="AI455" s="103">
        <v>0</v>
      </c>
      <c r="AJ455" s="103"/>
      <c r="AK455" s="103"/>
      <c r="AL455" s="103"/>
      <c r="AM455" s="103"/>
      <c r="AN455" s="103"/>
      <c r="AO455" s="103" t="str">
        <f t="shared" si="19"/>
        <v>CFLscw-Dim(40w)Single-pack</v>
      </c>
    </row>
    <row r="456" spans="1:41">
      <c r="A456" s="177">
        <f>IFERROR(MATCH(D456,'Measure &amp; Standard CostIDs'!C$5:C$177,0),MATCH(D456,'Measure &amp; Standard CostIDs'!S$5:S$177,0))</f>
        <v>122</v>
      </c>
      <c r="B456" s="177">
        <f t="shared" si="16"/>
        <v>2</v>
      </c>
      <c r="C456" s="103" t="s">
        <v>153</v>
      </c>
      <c r="D456" s="103" t="str">
        <f t="shared" si="17"/>
        <v>CFLscw-Dim(45w)</v>
      </c>
      <c r="E456" s="103" t="str">
        <f>IF(LEFT(D456,3)="Std","Base case cost for mix of 60% Incandescent and 40% CFL lamps for CFL TechID: "&amp;INDEX('Measure &amp; Standard CostIDs'!$C$5:$C$177,A456),"&lt;from TechID&gt;")</f>
        <v>&lt;from TechID&gt;</v>
      </c>
      <c r="F456" s="103" t="s">
        <v>860</v>
      </c>
      <c r="G456" s="103" t="s">
        <v>151</v>
      </c>
      <c r="H456" s="103" t="s">
        <v>861</v>
      </c>
      <c r="I456" s="103" t="s">
        <v>862</v>
      </c>
      <c r="J456" s="103" t="s">
        <v>863</v>
      </c>
      <c r="K456" s="103" t="s">
        <v>864</v>
      </c>
      <c r="L456" s="103" t="s">
        <v>153</v>
      </c>
      <c r="M456" s="103" t="s">
        <v>865</v>
      </c>
      <c r="N456" s="103" t="s">
        <v>866</v>
      </c>
      <c r="O456" s="103" t="str">
        <f t="shared" si="18"/>
        <v>CFLscw-Dim(45w)</v>
      </c>
      <c r="P456" s="103" t="s">
        <v>153</v>
      </c>
      <c r="Q456" s="103" t="s">
        <v>153</v>
      </c>
      <c r="R456" s="103" t="s">
        <v>153</v>
      </c>
      <c r="S456" s="103" t="str">
        <f>INDEX('Measure &amp; Standard CostIDs'!$AK$8:$AK$12,B456)</f>
        <v>Single-pack</v>
      </c>
      <c r="T456" s="103" t="s">
        <v>867</v>
      </c>
      <c r="U456" s="103"/>
      <c r="V456" s="103"/>
      <c r="W456" s="103">
        <f>ROUND(IF(LEFT(D456,3)="Std",VLOOKUP(D456,'Measure &amp; Standard CostIDs'!$S$5:$X$177,1+B456,FALSE),VLOOKUP(D456,'Measure &amp; Standard CostIDs'!$C$5:$H$177,1+B456,FALSE)),2)</f>
        <v>14.64</v>
      </c>
      <c r="X456" s="103"/>
      <c r="Y456" s="103"/>
      <c r="Z456" s="103" t="s">
        <v>868</v>
      </c>
      <c r="AA456" s="103" t="s">
        <v>874</v>
      </c>
      <c r="AB456" s="103" t="s">
        <v>153</v>
      </c>
      <c r="AC456" s="103">
        <v>0</v>
      </c>
      <c r="AD456" s="156">
        <v>42005</v>
      </c>
      <c r="AE456" s="103"/>
      <c r="AF456" s="103" t="s">
        <v>870</v>
      </c>
      <c r="AG456" s="103" t="s">
        <v>871</v>
      </c>
      <c r="AH456" s="103" t="s">
        <v>976</v>
      </c>
      <c r="AI456" s="103">
        <v>0</v>
      </c>
      <c r="AJ456" s="103"/>
      <c r="AK456" s="103"/>
      <c r="AL456" s="103"/>
      <c r="AM456" s="103"/>
      <c r="AN456" s="103"/>
      <c r="AO456" s="103" t="str">
        <f t="shared" si="19"/>
        <v>CFLscw-Dim(45w)Single-pack</v>
      </c>
    </row>
    <row r="457" spans="1:41">
      <c r="A457" s="177">
        <f>IFERROR(MATCH(D457,'Measure &amp; Standard CostIDs'!C$5:C$177,0),MATCH(D457,'Measure &amp; Standard CostIDs'!S$5:S$177,0))</f>
        <v>123</v>
      </c>
      <c r="B457" s="177">
        <f t="shared" si="16"/>
        <v>2</v>
      </c>
      <c r="C457" s="103" t="s">
        <v>153</v>
      </c>
      <c r="D457" s="103" t="str">
        <f t="shared" si="17"/>
        <v>CFLscw-Dim(47w)</v>
      </c>
      <c r="E457" s="103" t="str">
        <f>IF(LEFT(D457,3)="Std","Base case cost for mix of 60% Incandescent and 40% CFL lamps for CFL TechID: "&amp;INDEX('Measure &amp; Standard CostIDs'!$C$5:$C$177,A457),"&lt;from TechID&gt;")</f>
        <v>&lt;from TechID&gt;</v>
      </c>
      <c r="F457" s="103" t="s">
        <v>860</v>
      </c>
      <c r="G457" s="103" t="s">
        <v>151</v>
      </c>
      <c r="H457" s="103" t="s">
        <v>861</v>
      </c>
      <c r="I457" s="103" t="s">
        <v>862</v>
      </c>
      <c r="J457" s="103" t="s">
        <v>863</v>
      </c>
      <c r="K457" s="103" t="s">
        <v>864</v>
      </c>
      <c r="L457" s="103" t="s">
        <v>153</v>
      </c>
      <c r="M457" s="103" t="s">
        <v>865</v>
      </c>
      <c r="N457" s="103" t="s">
        <v>866</v>
      </c>
      <c r="O457" s="103" t="str">
        <f t="shared" si="18"/>
        <v>CFLscw-Dim(47w)</v>
      </c>
      <c r="P457" s="103" t="s">
        <v>153</v>
      </c>
      <c r="Q457" s="103" t="s">
        <v>153</v>
      </c>
      <c r="R457" s="103" t="s">
        <v>153</v>
      </c>
      <c r="S457" s="103" t="str">
        <f>INDEX('Measure &amp; Standard CostIDs'!$AK$8:$AK$12,B457)</f>
        <v>Single-pack</v>
      </c>
      <c r="T457" s="103" t="s">
        <v>867</v>
      </c>
      <c r="U457" s="103"/>
      <c r="V457" s="103"/>
      <c r="W457" s="103">
        <f>ROUND(IF(LEFT(D457,3)="Std",VLOOKUP(D457,'Measure &amp; Standard CostIDs'!$S$5:$X$177,1+B457,FALSE),VLOOKUP(D457,'Measure &amp; Standard CostIDs'!$C$5:$H$177,1+B457,FALSE)),2)</f>
        <v>14.96</v>
      </c>
      <c r="X457" s="103"/>
      <c r="Y457" s="103"/>
      <c r="Z457" s="103" t="s">
        <v>868</v>
      </c>
      <c r="AA457" s="103" t="s">
        <v>874</v>
      </c>
      <c r="AB457" s="103" t="s">
        <v>153</v>
      </c>
      <c r="AC457" s="103">
        <v>0</v>
      </c>
      <c r="AD457" s="156">
        <v>42005</v>
      </c>
      <c r="AE457" s="103"/>
      <c r="AF457" s="103" t="s">
        <v>870</v>
      </c>
      <c r="AG457" s="103" t="s">
        <v>871</v>
      </c>
      <c r="AH457" s="103" t="s">
        <v>976</v>
      </c>
      <c r="AI457" s="103">
        <v>0</v>
      </c>
      <c r="AJ457" s="103"/>
      <c r="AK457" s="103"/>
      <c r="AL457" s="103"/>
      <c r="AM457" s="103"/>
      <c r="AN457" s="103"/>
      <c r="AO457" s="103" t="str">
        <f t="shared" si="19"/>
        <v>CFLscw-Dim(47w)Single-pack</v>
      </c>
    </row>
    <row r="458" spans="1:41">
      <c r="A458" s="177">
        <f>IFERROR(MATCH(D458,'Measure &amp; Standard CostIDs'!C$5:C$177,0),MATCH(D458,'Measure &amp; Standard CostIDs'!S$5:S$177,0))</f>
        <v>124</v>
      </c>
      <c r="B458" s="177">
        <f t="shared" si="16"/>
        <v>2</v>
      </c>
      <c r="C458" s="103" t="s">
        <v>153</v>
      </c>
      <c r="D458" s="103" t="str">
        <f t="shared" si="17"/>
        <v>CFLscw-Dim(50w)</v>
      </c>
      <c r="E458" s="103" t="str">
        <f>IF(LEFT(D458,3)="Std","Base case cost for mix of 60% Incandescent and 40% CFL lamps for CFL TechID: "&amp;INDEX('Measure &amp; Standard CostIDs'!$C$5:$C$177,A458),"&lt;from TechID&gt;")</f>
        <v>&lt;from TechID&gt;</v>
      </c>
      <c r="F458" s="103" t="s">
        <v>860</v>
      </c>
      <c r="G458" s="103" t="s">
        <v>151</v>
      </c>
      <c r="H458" s="103" t="s">
        <v>861</v>
      </c>
      <c r="I458" s="103" t="s">
        <v>862</v>
      </c>
      <c r="J458" s="103" t="s">
        <v>863</v>
      </c>
      <c r="K458" s="103" t="s">
        <v>864</v>
      </c>
      <c r="L458" s="103" t="s">
        <v>153</v>
      </c>
      <c r="M458" s="103" t="s">
        <v>865</v>
      </c>
      <c r="N458" s="103" t="s">
        <v>866</v>
      </c>
      <c r="O458" s="103" t="str">
        <f t="shared" si="18"/>
        <v>CFLscw-Dim(50w)</v>
      </c>
      <c r="P458" s="103" t="s">
        <v>153</v>
      </c>
      <c r="Q458" s="103" t="s">
        <v>153</v>
      </c>
      <c r="R458" s="103" t="s">
        <v>153</v>
      </c>
      <c r="S458" s="103" t="str">
        <f>INDEX('Measure &amp; Standard CostIDs'!$AK$8:$AK$12,B458)</f>
        <v>Single-pack</v>
      </c>
      <c r="T458" s="103" t="s">
        <v>867</v>
      </c>
      <c r="U458" s="103"/>
      <c r="V458" s="103"/>
      <c r="W458" s="103">
        <f>ROUND(IF(LEFT(D458,3)="Std",VLOOKUP(D458,'Measure &amp; Standard CostIDs'!$S$5:$X$177,1+B458,FALSE),VLOOKUP(D458,'Measure &amp; Standard CostIDs'!$C$5:$H$177,1+B458,FALSE)),2)</f>
        <v>15.44</v>
      </c>
      <c r="X458" s="103"/>
      <c r="Y458" s="103"/>
      <c r="Z458" s="103" t="s">
        <v>868</v>
      </c>
      <c r="AA458" s="103" t="s">
        <v>874</v>
      </c>
      <c r="AB458" s="103" t="s">
        <v>153</v>
      </c>
      <c r="AC458" s="103">
        <v>0</v>
      </c>
      <c r="AD458" s="156">
        <v>42005</v>
      </c>
      <c r="AE458" s="103"/>
      <c r="AF458" s="103" t="s">
        <v>870</v>
      </c>
      <c r="AG458" s="103" t="s">
        <v>871</v>
      </c>
      <c r="AH458" s="103" t="s">
        <v>976</v>
      </c>
      <c r="AI458" s="103">
        <v>0</v>
      </c>
      <c r="AJ458" s="103"/>
      <c r="AK458" s="103"/>
      <c r="AL458" s="103"/>
      <c r="AM458" s="103"/>
      <c r="AN458" s="103"/>
      <c r="AO458" s="103" t="str">
        <f t="shared" si="19"/>
        <v>CFLscw-Dim(50w)Single-pack</v>
      </c>
    </row>
    <row r="459" spans="1:41">
      <c r="A459" s="177">
        <f>IFERROR(MATCH(D459,'Measure &amp; Standard CostIDs'!C$5:C$177,0),MATCH(D459,'Measure &amp; Standard CostIDs'!S$5:S$177,0))</f>
        <v>125</v>
      </c>
      <c r="B459" s="177">
        <f t="shared" si="16"/>
        <v>2</v>
      </c>
      <c r="C459" s="103" t="s">
        <v>153</v>
      </c>
      <c r="D459" s="103" t="str">
        <f t="shared" si="17"/>
        <v>CFLscw-Glb(10w)</v>
      </c>
      <c r="E459" s="103" t="str">
        <f>IF(LEFT(D459,3)="Std","Base case cost for mix of 60% Incandescent and 40% CFL lamps for CFL TechID: "&amp;INDEX('Measure &amp; Standard CostIDs'!$C$5:$C$177,A459),"&lt;from TechID&gt;")</f>
        <v>&lt;from TechID&gt;</v>
      </c>
      <c r="F459" s="103" t="s">
        <v>860</v>
      </c>
      <c r="G459" s="103" t="s">
        <v>151</v>
      </c>
      <c r="H459" s="103" t="s">
        <v>861</v>
      </c>
      <c r="I459" s="103" t="s">
        <v>862</v>
      </c>
      <c r="J459" s="103" t="s">
        <v>863</v>
      </c>
      <c r="K459" s="103" t="s">
        <v>864</v>
      </c>
      <c r="L459" s="103" t="s">
        <v>153</v>
      </c>
      <c r="M459" s="103" t="s">
        <v>865</v>
      </c>
      <c r="N459" s="103" t="s">
        <v>866</v>
      </c>
      <c r="O459" s="103" t="str">
        <f t="shared" si="18"/>
        <v>CFLscw-Glb(10w)</v>
      </c>
      <c r="P459" s="103" t="s">
        <v>153</v>
      </c>
      <c r="Q459" s="103" t="s">
        <v>153</v>
      </c>
      <c r="R459" s="103" t="s">
        <v>153</v>
      </c>
      <c r="S459" s="103" t="str">
        <f>INDEX('Measure &amp; Standard CostIDs'!$AK$8:$AK$12,B459)</f>
        <v>Single-pack</v>
      </c>
      <c r="T459" s="103" t="s">
        <v>867</v>
      </c>
      <c r="U459" s="103"/>
      <c r="V459" s="103"/>
      <c r="W459" s="103">
        <f>ROUND(IF(LEFT(D459,3)="Std",VLOOKUP(D459,'Measure &amp; Standard CostIDs'!$S$5:$X$177,1+B459,FALSE),VLOOKUP(D459,'Measure &amp; Standard CostIDs'!$C$5:$H$177,1+B459,FALSE)),2)</f>
        <v>7.66</v>
      </c>
      <c r="X459" s="103"/>
      <c r="Y459" s="103"/>
      <c r="Z459" s="103" t="s">
        <v>868</v>
      </c>
      <c r="AA459" s="103" t="s">
        <v>874</v>
      </c>
      <c r="AB459" s="103" t="s">
        <v>153</v>
      </c>
      <c r="AC459" s="103">
        <v>0</v>
      </c>
      <c r="AD459" s="156">
        <v>42005</v>
      </c>
      <c r="AE459" s="103"/>
      <c r="AF459" s="103" t="s">
        <v>870</v>
      </c>
      <c r="AG459" s="103" t="s">
        <v>871</v>
      </c>
      <c r="AH459" s="103" t="s">
        <v>976</v>
      </c>
      <c r="AI459" s="103">
        <v>0</v>
      </c>
      <c r="AJ459" s="103"/>
      <c r="AK459" s="103"/>
      <c r="AL459" s="103"/>
      <c r="AM459" s="103"/>
      <c r="AN459" s="103"/>
      <c r="AO459" s="103" t="str">
        <f t="shared" si="19"/>
        <v>CFLscw-Glb(10w)Single-pack</v>
      </c>
    </row>
    <row r="460" spans="1:41">
      <c r="A460" s="177">
        <f>IFERROR(MATCH(D460,'Measure &amp; Standard CostIDs'!C$5:C$177,0),MATCH(D460,'Measure &amp; Standard CostIDs'!S$5:S$177,0))</f>
        <v>126</v>
      </c>
      <c r="B460" s="177">
        <f t="shared" si="16"/>
        <v>2</v>
      </c>
      <c r="C460" s="103" t="s">
        <v>153</v>
      </c>
      <c r="D460" s="103" t="str">
        <f t="shared" si="17"/>
        <v>CFLscw-Glb(11w)</v>
      </c>
      <c r="E460" s="103" t="str">
        <f>IF(LEFT(D460,3)="Std","Base case cost for mix of 60% Incandescent and 40% CFL lamps for CFL TechID: "&amp;INDEX('Measure &amp; Standard CostIDs'!$C$5:$C$177,A460),"&lt;from TechID&gt;")</f>
        <v>&lt;from TechID&gt;</v>
      </c>
      <c r="F460" s="103" t="s">
        <v>860</v>
      </c>
      <c r="G460" s="103" t="s">
        <v>151</v>
      </c>
      <c r="H460" s="103" t="s">
        <v>861</v>
      </c>
      <c r="I460" s="103" t="s">
        <v>862</v>
      </c>
      <c r="J460" s="103" t="s">
        <v>863</v>
      </c>
      <c r="K460" s="103" t="s">
        <v>864</v>
      </c>
      <c r="L460" s="103" t="s">
        <v>153</v>
      </c>
      <c r="M460" s="103" t="s">
        <v>865</v>
      </c>
      <c r="N460" s="103" t="s">
        <v>866</v>
      </c>
      <c r="O460" s="103" t="str">
        <f t="shared" si="18"/>
        <v>CFLscw-Glb(11w)</v>
      </c>
      <c r="P460" s="103" t="s">
        <v>153</v>
      </c>
      <c r="Q460" s="103" t="s">
        <v>153</v>
      </c>
      <c r="R460" s="103" t="s">
        <v>153</v>
      </c>
      <c r="S460" s="103" t="str">
        <f>INDEX('Measure &amp; Standard CostIDs'!$AK$8:$AK$12,B460)</f>
        <v>Single-pack</v>
      </c>
      <c r="T460" s="103" t="s">
        <v>867</v>
      </c>
      <c r="U460" s="103"/>
      <c r="V460" s="103"/>
      <c r="W460" s="103">
        <f>ROUND(IF(LEFT(D460,3)="Std",VLOOKUP(D460,'Measure &amp; Standard CostIDs'!$S$5:$X$177,1+B460,FALSE),VLOOKUP(D460,'Measure &amp; Standard CostIDs'!$C$5:$H$177,1+B460,FALSE)),2)</f>
        <v>7.63</v>
      </c>
      <c r="X460" s="103"/>
      <c r="Y460" s="103"/>
      <c r="Z460" s="103" t="s">
        <v>868</v>
      </c>
      <c r="AA460" s="103" t="s">
        <v>874</v>
      </c>
      <c r="AB460" s="103" t="s">
        <v>153</v>
      </c>
      <c r="AC460" s="103">
        <v>0</v>
      </c>
      <c r="AD460" s="156">
        <v>42005</v>
      </c>
      <c r="AE460" s="103"/>
      <c r="AF460" s="103" t="s">
        <v>870</v>
      </c>
      <c r="AG460" s="103" t="s">
        <v>871</v>
      </c>
      <c r="AH460" s="103" t="s">
        <v>976</v>
      </c>
      <c r="AI460" s="103">
        <v>0</v>
      </c>
      <c r="AJ460" s="103"/>
      <c r="AK460" s="103"/>
      <c r="AL460" s="103"/>
      <c r="AM460" s="103"/>
      <c r="AN460" s="103"/>
      <c r="AO460" s="103" t="str">
        <f t="shared" si="19"/>
        <v>CFLscw-Glb(11w)Single-pack</v>
      </c>
    </row>
    <row r="461" spans="1:41">
      <c r="A461" s="177">
        <f>IFERROR(MATCH(D461,'Measure &amp; Standard CostIDs'!C$5:C$177,0),MATCH(D461,'Measure &amp; Standard CostIDs'!S$5:S$177,0))</f>
        <v>127</v>
      </c>
      <c r="B461" s="177">
        <f t="shared" si="16"/>
        <v>2</v>
      </c>
      <c r="C461" s="103" t="s">
        <v>153</v>
      </c>
      <c r="D461" s="103" t="str">
        <f t="shared" si="17"/>
        <v>CFLscw-Glb(12w)</v>
      </c>
      <c r="E461" s="103" t="str">
        <f>IF(LEFT(D461,3)="Std","Base case cost for mix of 60% Incandescent and 40% CFL lamps for CFL TechID: "&amp;INDEX('Measure &amp; Standard CostIDs'!$C$5:$C$177,A461),"&lt;from TechID&gt;")</f>
        <v>&lt;from TechID&gt;</v>
      </c>
      <c r="F461" s="103" t="s">
        <v>860</v>
      </c>
      <c r="G461" s="103" t="s">
        <v>151</v>
      </c>
      <c r="H461" s="103" t="s">
        <v>861</v>
      </c>
      <c r="I461" s="103" t="s">
        <v>862</v>
      </c>
      <c r="J461" s="103" t="s">
        <v>863</v>
      </c>
      <c r="K461" s="103" t="s">
        <v>864</v>
      </c>
      <c r="L461" s="103" t="s">
        <v>153</v>
      </c>
      <c r="M461" s="103" t="s">
        <v>865</v>
      </c>
      <c r="N461" s="103" t="s">
        <v>866</v>
      </c>
      <c r="O461" s="103" t="str">
        <f t="shared" si="18"/>
        <v>CFLscw-Glb(12w)</v>
      </c>
      <c r="P461" s="103" t="s">
        <v>153</v>
      </c>
      <c r="Q461" s="103" t="s">
        <v>153</v>
      </c>
      <c r="R461" s="103" t="s">
        <v>153</v>
      </c>
      <c r="S461" s="103" t="str">
        <f>INDEX('Measure &amp; Standard CostIDs'!$AK$8:$AK$12,B461)</f>
        <v>Single-pack</v>
      </c>
      <c r="T461" s="103" t="s">
        <v>867</v>
      </c>
      <c r="U461" s="103"/>
      <c r="V461" s="103"/>
      <c r="W461" s="103">
        <f>ROUND(IF(LEFT(D461,3)="Std",VLOOKUP(D461,'Measure &amp; Standard CostIDs'!$S$5:$X$177,1+B461,FALSE),VLOOKUP(D461,'Measure &amp; Standard CostIDs'!$C$5:$H$177,1+B461,FALSE)),2)</f>
        <v>7.6</v>
      </c>
      <c r="X461" s="103"/>
      <c r="Y461" s="103"/>
      <c r="Z461" s="103" t="s">
        <v>868</v>
      </c>
      <c r="AA461" s="103" t="s">
        <v>874</v>
      </c>
      <c r="AB461" s="103" t="s">
        <v>153</v>
      </c>
      <c r="AC461" s="103">
        <v>0</v>
      </c>
      <c r="AD461" s="156">
        <v>42005</v>
      </c>
      <c r="AE461" s="103"/>
      <c r="AF461" s="103" t="s">
        <v>870</v>
      </c>
      <c r="AG461" s="103" t="s">
        <v>871</v>
      </c>
      <c r="AH461" s="103" t="s">
        <v>976</v>
      </c>
      <c r="AI461" s="103">
        <v>0</v>
      </c>
      <c r="AJ461" s="103"/>
      <c r="AK461" s="103"/>
      <c r="AL461" s="103"/>
      <c r="AM461" s="103"/>
      <c r="AN461" s="103"/>
      <c r="AO461" s="103" t="str">
        <f t="shared" si="19"/>
        <v>CFLscw-Glb(12w)Single-pack</v>
      </c>
    </row>
    <row r="462" spans="1:41">
      <c r="A462" s="177">
        <f>IFERROR(MATCH(D462,'Measure &amp; Standard CostIDs'!C$5:C$177,0),MATCH(D462,'Measure &amp; Standard CostIDs'!S$5:S$177,0))</f>
        <v>128</v>
      </c>
      <c r="B462" s="177">
        <f t="shared" si="16"/>
        <v>2</v>
      </c>
      <c r="C462" s="103" t="s">
        <v>153</v>
      </c>
      <c r="D462" s="103" t="str">
        <f t="shared" si="17"/>
        <v>CFLscw-Glb(13w)</v>
      </c>
      <c r="E462" s="103" t="str">
        <f>IF(LEFT(D462,3)="Std","Base case cost for mix of 60% Incandescent and 40% CFL lamps for CFL TechID: "&amp;INDEX('Measure &amp; Standard CostIDs'!$C$5:$C$177,A462),"&lt;from TechID&gt;")</f>
        <v>&lt;from TechID&gt;</v>
      </c>
      <c r="F462" s="103" t="s">
        <v>860</v>
      </c>
      <c r="G462" s="103" t="s">
        <v>151</v>
      </c>
      <c r="H462" s="103" t="s">
        <v>861</v>
      </c>
      <c r="I462" s="103" t="s">
        <v>862</v>
      </c>
      <c r="J462" s="103" t="s">
        <v>863</v>
      </c>
      <c r="K462" s="103" t="s">
        <v>864</v>
      </c>
      <c r="L462" s="103" t="s">
        <v>153</v>
      </c>
      <c r="M462" s="103" t="s">
        <v>865</v>
      </c>
      <c r="N462" s="103" t="s">
        <v>866</v>
      </c>
      <c r="O462" s="103" t="str">
        <f t="shared" si="18"/>
        <v>CFLscw-Glb(13w)</v>
      </c>
      <c r="P462" s="103" t="s">
        <v>153</v>
      </c>
      <c r="Q462" s="103" t="s">
        <v>153</v>
      </c>
      <c r="R462" s="103" t="s">
        <v>153</v>
      </c>
      <c r="S462" s="103" t="str">
        <f>INDEX('Measure &amp; Standard CostIDs'!$AK$8:$AK$12,B462)</f>
        <v>Single-pack</v>
      </c>
      <c r="T462" s="103" t="s">
        <v>867</v>
      </c>
      <c r="U462" s="103"/>
      <c r="V462" s="103"/>
      <c r="W462" s="103">
        <f>ROUND(IF(LEFT(D462,3)="Std",VLOOKUP(D462,'Measure &amp; Standard CostIDs'!$S$5:$X$177,1+B462,FALSE),VLOOKUP(D462,'Measure &amp; Standard CostIDs'!$C$5:$H$177,1+B462,FALSE)),2)</f>
        <v>7.58</v>
      </c>
      <c r="X462" s="103"/>
      <c r="Y462" s="103"/>
      <c r="Z462" s="103" t="s">
        <v>868</v>
      </c>
      <c r="AA462" s="103" t="s">
        <v>874</v>
      </c>
      <c r="AB462" s="103" t="s">
        <v>153</v>
      </c>
      <c r="AC462" s="103">
        <v>0</v>
      </c>
      <c r="AD462" s="156">
        <v>42005</v>
      </c>
      <c r="AE462" s="103"/>
      <c r="AF462" s="103" t="s">
        <v>870</v>
      </c>
      <c r="AG462" s="103" t="s">
        <v>871</v>
      </c>
      <c r="AH462" s="103" t="s">
        <v>976</v>
      </c>
      <c r="AI462" s="103">
        <v>0</v>
      </c>
      <c r="AJ462" s="103"/>
      <c r="AK462" s="103"/>
      <c r="AL462" s="103"/>
      <c r="AM462" s="103"/>
      <c r="AN462" s="103"/>
      <c r="AO462" s="103" t="str">
        <f t="shared" si="19"/>
        <v>CFLscw-Glb(13w)Single-pack</v>
      </c>
    </row>
    <row r="463" spans="1:41">
      <c r="A463" s="177">
        <f>IFERROR(MATCH(D463,'Measure &amp; Standard CostIDs'!C$5:C$177,0),MATCH(D463,'Measure &amp; Standard CostIDs'!S$5:S$177,0))</f>
        <v>129</v>
      </c>
      <c r="B463" s="177">
        <f t="shared" si="16"/>
        <v>2</v>
      </c>
      <c r="C463" s="103" t="s">
        <v>153</v>
      </c>
      <c r="D463" s="103" t="str">
        <f t="shared" si="17"/>
        <v>CFLscw-Glb(14w)</v>
      </c>
      <c r="E463" s="103" t="str">
        <f>IF(LEFT(D463,3)="Std","Base case cost for mix of 60% Incandescent and 40% CFL lamps for CFL TechID: "&amp;INDEX('Measure &amp; Standard CostIDs'!$C$5:$C$177,A463),"&lt;from TechID&gt;")</f>
        <v>&lt;from TechID&gt;</v>
      </c>
      <c r="F463" s="103" t="s">
        <v>860</v>
      </c>
      <c r="G463" s="103" t="s">
        <v>151</v>
      </c>
      <c r="H463" s="103" t="s">
        <v>861</v>
      </c>
      <c r="I463" s="103" t="s">
        <v>862</v>
      </c>
      <c r="J463" s="103" t="s">
        <v>863</v>
      </c>
      <c r="K463" s="103" t="s">
        <v>864</v>
      </c>
      <c r="L463" s="103" t="s">
        <v>153</v>
      </c>
      <c r="M463" s="103" t="s">
        <v>865</v>
      </c>
      <c r="N463" s="103" t="s">
        <v>866</v>
      </c>
      <c r="O463" s="103" t="str">
        <f t="shared" si="18"/>
        <v>CFLscw-Glb(14w)</v>
      </c>
      <c r="P463" s="103" t="s">
        <v>153</v>
      </c>
      <c r="Q463" s="103" t="s">
        <v>153</v>
      </c>
      <c r="R463" s="103" t="s">
        <v>153</v>
      </c>
      <c r="S463" s="103" t="str">
        <f>INDEX('Measure &amp; Standard CostIDs'!$AK$8:$AK$12,B463)</f>
        <v>Single-pack</v>
      </c>
      <c r="T463" s="103" t="s">
        <v>867</v>
      </c>
      <c r="U463" s="103"/>
      <c r="V463" s="103"/>
      <c r="W463" s="103">
        <f>ROUND(IF(LEFT(D463,3)="Std",VLOOKUP(D463,'Measure &amp; Standard CostIDs'!$S$5:$X$177,1+B463,FALSE),VLOOKUP(D463,'Measure &amp; Standard CostIDs'!$C$5:$H$177,1+B463,FALSE)),2)</f>
        <v>7.55</v>
      </c>
      <c r="X463" s="103"/>
      <c r="Y463" s="103"/>
      <c r="Z463" s="103" t="s">
        <v>868</v>
      </c>
      <c r="AA463" s="103" t="s">
        <v>874</v>
      </c>
      <c r="AB463" s="103" t="s">
        <v>153</v>
      </c>
      <c r="AC463" s="103">
        <v>0</v>
      </c>
      <c r="AD463" s="156">
        <v>42005</v>
      </c>
      <c r="AE463" s="103"/>
      <c r="AF463" s="103" t="s">
        <v>870</v>
      </c>
      <c r="AG463" s="103" t="s">
        <v>871</v>
      </c>
      <c r="AH463" s="103" t="s">
        <v>976</v>
      </c>
      <c r="AI463" s="103">
        <v>0</v>
      </c>
      <c r="AJ463" s="103"/>
      <c r="AK463" s="103"/>
      <c r="AL463" s="103"/>
      <c r="AM463" s="103"/>
      <c r="AN463" s="103"/>
      <c r="AO463" s="103" t="str">
        <f t="shared" si="19"/>
        <v>CFLscw-Glb(14w)Single-pack</v>
      </c>
    </row>
    <row r="464" spans="1:41">
      <c r="A464" s="177">
        <f>IFERROR(MATCH(D464,'Measure &amp; Standard CostIDs'!C$5:C$177,0),MATCH(D464,'Measure &amp; Standard CostIDs'!S$5:S$177,0))</f>
        <v>130</v>
      </c>
      <c r="B464" s="177">
        <f t="shared" ref="B464:B527" si="20">+B134+1</f>
        <v>2</v>
      </c>
      <c r="C464" s="103" t="s">
        <v>153</v>
      </c>
      <c r="D464" s="103" t="str">
        <f t="shared" ref="D464:D527" si="21">+D134</f>
        <v>CFLscw-Glb(15w)</v>
      </c>
      <c r="E464" s="103" t="str">
        <f>IF(LEFT(D464,3)="Std","Base case cost for mix of 60% Incandescent and 40% CFL lamps for CFL TechID: "&amp;INDEX('Measure &amp; Standard CostIDs'!$C$5:$C$177,A464),"&lt;from TechID&gt;")</f>
        <v>&lt;from TechID&gt;</v>
      </c>
      <c r="F464" s="103" t="s">
        <v>860</v>
      </c>
      <c r="G464" s="103" t="s">
        <v>151</v>
      </c>
      <c r="H464" s="103" t="s">
        <v>861</v>
      </c>
      <c r="I464" s="103" t="s">
        <v>862</v>
      </c>
      <c r="J464" s="103" t="s">
        <v>863</v>
      </c>
      <c r="K464" s="103" t="s">
        <v>864</v>
      </c>
      <c r="L464" s="103" t="s">
        <v>153</v>
      </c>
      <c r="M464" s="103" t="s">
        <v>865</v>
      </c>
      <c r="N464" s="103" t="s">
        <v>866</v>
      </c>
      <c r="O464" s="103" t="str">
        <f t="shared" si="18"/>
        <v>CFLscw-Glb(15w)</v>
      </c>
      <c r="P464" s="103" t="s">
        <v>153</v>
      </c>
      <c r="Q464" s="103" t="s">
        <v>153</v>
      </c>
      <c r="R464" s="103" t="s">
        <v>153</v>
      </c>
      <c r="S464" s="103" t="str">
        <f>INDEX('Measure &amp; Standard CostIDs'!$AK$8:$AK$12,B464)</f>
        <v>Single-pack</v>
      </c>
      <c r="T464" s="103" t="s">
        <v>867</v>
      </c>
      <c r="U464" s="103"/>
      <c r="V464" s="103"/>
      <c r="W464" s="103">
        <f>ROUND(IF(LEFT(D464,3)="Std",VLOOKUP(D464,'Measure &amp; Standard CostIDs'!$S$5:$X$177,1+B464,FALSE),VLOOKUP(D464,'Measure &amp; Standard CostIDs'!$C$5:$H$177,1+B464,FALSE)),2)</f>
        <v>7.53</v>
      </c>
      <c r="X464" s="103"/>
      <c r="Y464" s="103"/>
      <c r="Z464" s="103" t="s">
        <v>868</v>
      </c>
      <c r="AA464" s="103" t="s">
        <v>874</v>
      </c>
      <c r="AB464" s="103" t="s">
        <v>153</v>
      </c>
      <c r="AC464" s="103">
        <v>0</v>
      </c>
      <c r="AD464" s="156">
        <v>42005</v>
      </c>
      <c r="AE464" s="103"/>
      <c r="AF464" s="103" t="s">
        <v>870</v>
      </c>
      <c r="AG464" s="103" t="s">
        <v>871</v>
      </c>
      <c r="AH464" s="103" t="s">
        <v>976</v>
      </c>
      <c r="AI464" s="103">
        <v>0</v>
      </c>
      <c r="AJ464" s="103"/>
      <c r="AK464" s="103"/>
      <c r="AL464" s="103"/>
      <c r="AM464" s="103"/>
      <c r="AN464" s="103"/>
      <c r="AO464" s="103" t="str">
        <f t="shared" si="19"/>
        <v>CFLscw-Glb(15w)Single-pack</v>
      </c>
    </row>
    <row r="465" spans="1:41">
      <c r="A465" s="177">
        <f>IFERROR(MATCH(D465,'Measure &amp; Standard CostIDs'!C$5:C$177,0),MATCH(D465,'Measure &amp; Standard CostIDs'!S$5:S$177,0))</f>
        <v>131</v>
      </c>
      <c r="B465" s="177">
        <f t="shared" si="20"/>
        <v>2</v>
      </c>
      <c r="C465" s="103" t="s">
        <v>153</v>
      </c>
      <c r="D465" s="103" t="str">
        <f t="shared" si="21"/>
        <v>CFLscw-Glb(16w)</v>
      </c>
      <c r="E465" s="103" t="str">
        <f>IF(LEFT(D465,3)="Std","Base case cost for mix of 60% Incandescent and 40% CFL lamps for CFL TechID: "&amp;INDEX('Measure &amp; Standard CostIDs'!$C$5:$C$177,A465),"&lt;from TechID&gt;")</f>
        <v>&lt;from TechID&gt;</v>
      </c>
      <c r="F465" s="103" t="s">
        <v>860</v>
      </c>
      <c r="G465" s="103" t="s">
        <v>151</v>
      </c>
      <c r="H465" s="103" t="s">
        <v>861</v>
      </c>
      <c r="I465" s="103" t="s">
        <v>862</v>
      </c>
      <c r="J465" s="103" t="s">
        <v>863</v>
      </c>
      <c r="K465" s="103" t="s">
        <v>864</v>
      </c>
      <c r="L465" s="103" t="s">
        <v>153</v>
      </c>
      <c r="M465" s="103" t="s">
        <v>865</v>
      </c>
      <c r="N465" s="103" t="s">
        <v>866</v>
      </c>
      <c r="O465" s="103" t="str">
        <f t="shared" si="18"/>
        <v>CFLscw-Glb(16w)</v>
      </c>
      <c r="P465" s="103" t="s">
        <v>153</v>
      </c>
      <c r="Q465" s="103" t="s">
        <v>153</v>
      </c>
      <c r="R465" s="103" t="s">
        <v>153</v>
      </c>
      <c r="S465" s="103" t="str">
        <f>INDEX('Measure &amp; Standard CostIDs'!$AK$8:$AK$12,B465)</f>
        <v>Single-pack</v>
      </c>
      <c r="T465" s="103" t="s">
        <v>867</v>
      </c>
      <c r="U465" s="103"/>
      <c r="V465" s="103"/>
      <c r="W465" s="103">
        <f>ROUND(IF(LEFT(D465,3)="Std",VLOOKUP(D465,'Measure &amp; Standard CostIDs'!$S$5:$X$177,1+B465,FALSE),VLOOKUP(D465,'Measure &amp; Standard CostIDs'!$C$5:$H$177,1+B465,FALSE)),2)</f>
        <v>7.5</v>
      </c>
      <c r="X465" s="103"/>
      <c r="Y465" s="103"/>
      <c r="Z465" s="103" t="s">
        <v>868</v>
      </c>
      <c r="AA465" s="103" t="s">
        <v>874</v>
      </c>
      <c r="AB465" s="103" t="s">
        <v>153</v>
      </c>
      <c r="AC465" s="103">
        <v>0</v>
      </c>
      <c r="AD465" s="156">
        <v>42005</v>
      </c>
      <c r="AE465" s="103"/>
      <c r="AF465" s="103" t="s">
        <v>870</v>
      </c>
      <c r="AG465" s="103" t="s">
        <v>871</v>
      </c>
      <c r="AH465" s="103" t="s">
        <v>976</v>
      </c>
      <c r="AI465" s="103">
        <v>0</v>
      </c>
      <c r="AJ465" s="103"/>
      <c r="AK465" s="103"/>
      <c r="AL465" s="103"/>
      <c r="AM465" s="103"/>
      <c r="AN465" s="103"/>
      <c r="AO465" s="103" t="str">
        <f t="shared" si="19"/>
        <v>CFLscw-Glb(16w)Single-pack</v>
      </c>
    </row>
    <row r="466" spans="1:41">
      <c r="A466" s="177">
        <f>IFERROR(MATCH(D466,'Measure &amp; Standard CostIDs'!C$5:C$177,0),MATCH(D466,'Measure &amp; Standard CostIDs'!S$5:S$177,0))</f>
        <v>132</v>
      </c>
      <c r="B466" s="177">
        <f t="shared" si="20"/>
        <v>2</v>
      </c>
      <c r="C466" s="103" t="s">
        <v>153</v>
      </c>
      <c r="D466" s="103" t="str">
        <f t="shared" si="21"/>
        <v>CFLscw-Glb(18w)</v>
      </c>
      <c r="E466" s="103" t="str">
        <f>IF(LEFT(D466,3)="Std","Base case cost for mix of 60% Incandescent and 40% CFL lamps for CFL TechID: "&amp;INDEX('Measure &amp; Standard CostIDs'!$C$5:$C$177,A466),"&lt;from TechID&gt;")</f>
        <v>&lt;from TechID&gt;</v>
      </c>
      <c r="F466" s="103" t="s">
        <v>860</v>
      </c>
      <c r="G466" s="103" t="s">
        <v>151</v>
      </c>
      <c r="H466" s="103" t="s">
        <v>861</v>
      </c>
      <c r="I466" s="103" t="s">
        <v>862</v>
      </c>
      <c r="J466" s="103" t="s">
        <v>863</v>
      </c>
      <c r="K466" s="103" t="s">
        <v>864</v>
      </c>
      <c r="L466" s="103" t="s">
        <v>153</v>
      </c>
      <c r="M466" s="103" t="s">
        <v>865</v>
      </c>
      <c r="N466" s="103" t="s">
        <v>866</v>
      </c>
      <c r="O466" s="103" t="str">
        <f t="shared" si="18"/>
        <v>CFLscw-Glb(18w)</v>
      </c>
      <c r="P466" s="103" t="s">
        <v>153</v>
      </c>
      <c r="Q466" s="103" t="s">
        <v>153</v>
      </c>
      <c r="R466" s="103" t="s">
        <v>153</v>
      </c>
      <c r="S466" s="103" t="str">
        <f>INDEX('Measure &amp; Standard CostIDs'!$AK$8:$AK$12,B466)</f>
        <v>Single-pack</v>
      </c>
      <c r="T466" s="103" t="s">
        <v>867</v>
      </c>
      <c r="U466" s="103"/>
      <c r="V466" s="103"/>
      <c r="W466" s="103">
        <f>ROUND(IF(LEFT(D466,3)="Std",VLOOKUP(D466,'Measure &amp; Standard CostIDs'!$S$5:$X$177,1+B466,FALSE),VLOOKUP(D466,'Measure &amp; Standard CostIDs'!$C$5:$H$177,1+B466,FALSE)),2)</f>
        <v>7.45</v>
      </c>
      <c r="X466" s="103"/>
      <c r="Y466" s="103"/>
      <c r="Z466" s="103" t="s">
        <v>868</v>
      </c>
      <c r="AA466" s="103" t="s">
        <v>874</v>
      </c>
      <c r="AB466" s="103" t="s">
        <v>153</v>
      </c>
      <c r="AC466" s="103">
        <v>0</v>
      </c>
      <c r="AD466" s="156">
        <v>42005</v>
      </c>
      <c r="AE466" s="103"/>
      <c r="AF466" s="103" t="s">
        <v>870</v>
      </c>
      <c r="AG466" s="103" t="s">
        <v>871</v>
      </c>
      <c r="AH466" s="103" t="s">
        <v>976</v>
      </c>
      <c r="AI466" s="103">
        <v>0</v>
      </c>
      <c r="AJ466" s="103"/>
      <c r="AK466" s="103"/>
      <c r="AL466" s="103"/>
      <c r="AM466" s="103"/>
      <c r="AN466" s="103"/>
      <c r="AO466" s="103" t="str">
        <f t="shared" si="19"/>
        <v>CFLscw-Glb(18w)Single-pack</v>
      </c>
    </row>
    <row r="467" spans="1:41">
      <c r="A467" s="177">
        <f>IFERROR(MATCH(D467,'Measure &amp; Standard CostIDs'!C$5:C$177,0),MATCH(D467,'Measure &amp; Standard CostIDs'!S$5:S$177,0))</f>
        <v>133</v>
      </c>
      <c r="B467" s="177">
        <f t="shared" si="20"/>
        <v>2</v>
      </c>
      <c r="C467" s="103" t="s">
        <v>153</v>
      </c>
      <c r="D467" s="103" t="str">
        <f t="shared" si="21"/>
        <v>CFLscw-Glb(19w)</v>
      </c>
      <c r="E467" s="103" t="str">
        <f>IF(LEFT(D467,3)="Std","Base case cost for mix of 60% Incandescent and 40% CFL lamps for CFL TechID: "&amp;INDEX('Measure &amp; Standard CostIDs'!$C$5:$C$177,A467),"&lt;from TechID&gt;")</f>
        <v>&lt;from TechID&gt;</v>
      </c>
      <c r="F467" s="103" t="s">
        <v>860</v>
      </c>
      <c r="G467" s="103" t="s">
        <v>151</v>
      </c>
      <c r="H467" s="103" t="s">
        <v>861</v>
      </c>
      <c r="I467" s="103" t="s">
        <v>862</v>
      </c>
      <c r="J467" s="103" t="s">
        <v>863</v>
      </c>
      <c r="K467" s="103" t="s">
        <v>864</v>
      </c>
      <c r="L467" s="103" t="s">
        <v>153</v>
      </c>
      <c r="M467" s="103" t="s">
        <v>865</v>
      </c>
      <c r="N467" s="103" t="s">
        <v>866</v>
      </c>
      <c r="O467" s="103" t="str">
        <f t="shared" si="18"/>
        <v>CFLscw-Glb(19w)</v>
      </c>
      <c r="P467" s="103" t="s">
        <v>153</v>
      </c>
      <c r="Q467" s="103" t="s">
        <v>153</v>
      </c>
      <c r="R467" s="103" t="s">
        <v>153</v>
      </c>
      <c r="S467" s="103" t="str">
        <f>INDEX('Measure &amp; Standard CostIDs'!$AK$8:$AK$12,B467)</f>
        <v>Single-pack</v>
      </c>
      <c r="T467" s="103" t="s">
        <v>867</v>
      </c>
      <c r="U467" s="103"/>
      <c r="V467" s="103"/>
      <c r="W467" s="103">
        <f>ROUND(IF(LEFT(D467,3)="Std",VLOOKUP(D467,'Measure &amp; Standard CostIDs'!$S$5:$X$177,1+B467,FALSE),VLOOKUP(D467,'Measure &amp; Standard CostIDs'!$C$5:$H$177,1+B467,FALSE)),2)</f>
        <v>7.42</v>
      </c>
      <c r="X467" s="103"/>
      <c r="Y467" s="103"/>
      <c r="Z467" s="103" t="s">
        <v>868</v>
      </c>
      <c r="AA467" s="103" t="s">
        <v>874</v>
      </c>
      <c r="AB467" s="103" t="s">
        <v>153</v>
      </c>
      <c r="AC467" s="103">
        <v>0</v>
      </c>
      <c r="AD467" s="156">
        <v>42005</v>
      </c>
      <c r="AE467" s="103"/>
      <c r="AF467" s="103" t="s">
        <v>870</v>
      </c>
      <c r="AG467" s="103" t="s">
        <v>871</v>
      </c>
      <c r="AH467" s="103" t="s">
        <v>976</v>
      </c>
      <c r="AI467" s="103">
        <v>0</v>
      </c>
      <c r="AJ467" s="103"/>
      <c r="AK467" s="103"/>
      <c r="AL467" s="103"/>
      <c r="AM467" s="103"/>
      <c r="AN467" s="103"/>
      <c r="AO467" s="103" t="str">
        <f t="shared" si="19"/>
        <v>CFLscw-Glb(19w)Single-pack</v>
      </c>
    </row>
    <row r="468" spans="1:41">
      <c r="A468" s="177">
        <f>IFERROR(MATCH(D468,'Measure &amp; Standard CostIDs'!C$5:C$177,0),MATCH(D468,'Measure &amp; Standard CostIDs'!S$5:S$177,0))</f>
        <v>134</v>
      </c>
      <c r="B468" s="177">
        <f t="shared" si="20"/>
        <v>2</v>
      </c>
      <c r="C468" s="103" t="s">
        <v>153</v>
      </c>
      <c r="D468" s="103" t="str">
        <f t="shared" si="21"/>
        <v>CFLscw-Glb(20w)</v>
      </c>
      <c r="E468" s="103" t="str">
        <f>IF(LEFT(D468,3)="Std","Base case cost for mix of 60% Incandescent and 40% CFL lamps for CFL TechID: "&amp;INDEX('Measure &amp; Standard CostIDs'!$C$5:$C$177,A468),"&lt;from TechID&gt;")</f>
        <v>&lt;from TechID&gt;</v>
      </c>
      <c r="F468" s="103" t="s">
        <v>860</v>
      </c>
      <c r="G468" s="103" t="s">
        <v>151</v>
      </c>
      <c r="H468" s="103" t="s">
        <v>861</v>
      </c>
      <c r="I468" s="103" t="s">
        <v>862</v>
      </c>
      <c r="J468" s="103" t="s">
        <v>863</v>
      </c>
      <c r="K468" s="103" t="s">
        <v>864</v>
      </c>
      <c r="L468" s="103" t="s">
        <v>153</v>
      </c>
      <c r="M468" s="103" t="s">
        <v>865</v>
      </c>
      <c r="N468" s="103" t="s">
        <v>866</v>
      </c>
      <c r="O468" s="103" t="str">
        <f t="shared" si="18"/>
        <v>CFLscw-Glb(20w)</v>
      </c>
      <c r="P468" s="103" t="s">
        <v>153</v>
      </c>
      <c r="Q468" s="103" t="s">
        <v>153</v>
      </c>
      <c r="R468" s="103" t="s">
        <v>153</v>
      </c>
      <c r="S468" s="103" t="str">
        <f>INDEX('Measure &amp; Standard CostIDs'!$AK$8:$AK$12,B468)</f>
        <v>Single-pack</v>
      </c>
      <c r="T468" s="103" t="s">
        <v>867</v>
      </c>
      <c r="U468" s="103"/>
      <c r="V468" s="103"/>
      <c r="W468" s="103">
        <f>ROUND(IF(LEFT(D468,3)="Std",VLOOKUP(D468,'Measure &amp; Standard CostIDs'!$S$5:$X$177,1+B468,FALSE),VLOOKUP(D468,'Measure &amp; Standard CostIDs'!$C$5:$H$177,1+B468,FALSE)),2)</f>
        <v>7.39</v>
      </c>
      <c r="X468" s="103"/>
      <c r="Y468" s="103"/>
      <c r="Z468" s="103" t="s">
        <v>868</v>
      </c>
      <c r="AA468" s="103" t="s">
        <v>874</v>
      </c>
      <c r="AB468" s="103" t="s">
        <v>153</v>
      </c>
      <c r="AC468" s="103">
        <v>0</v>
      </c>
      <c r="AD468" s="156">
        <v>42005</v>
      </c>
      <c r="AE468" s="103"/>
      <c r="AF468" s="103" t="s">
        <v>870</v>
      </c>
      <c r="AG468" s="103" t="s">
        <v>871</v>
      </c>
      <c r="AH468" s="103" t="s">
        <v>976</v>
      </c>
      <c r="AI468" s="103">
        <v>0</v>
      </c>
      <c r="AJ468" s="103"/>
      <c r="AK468" s="103"/>
      <c r="AL468" s="103"/>
      <c r="AM468" s="103"/>
      <c r="AN468" s="103"/>
      <c r="AO468" s="103" t="str">
        <f t="shared" si="19"/>
        <v>CFLscw-Glb(20w)Single-pack</v>
      </c>
    </row>
    <row r="469" spans="1:41">
      <c r="A469" s="177">
        <f>IFERROR(MATCH(D469,'Measure &amp; Standard CostIDs'!C$5:C$177,0),MATCH(D469,'Measure &amp; Standard CostIDs'!S$5:S$177,0))</f>
        <v>135</v>
      </c>
      <c r="B469" s="177">
        <f t="shared" si="20"/>
        <v>2</v>
      </c>
      <c r="C469" s="103" t="s">
        <v>153</v>
      </c>
      <c r="D469" s="103" t="str">
        <f t="shared" si="21"/>
        <v>CFLscw-Glb(22w)</v>
      </c>
      <c r="E469" s="103" t="str">
        <f>IF(LEFT(D469,3)="Std","Base case cost for mix of 60% Incandescent and 40% CFL lamps for CFL TechID: "&amp;INDEX('Measure &amp; Standard CostIDs'!$C$5:$C$177,A469),"&lt;from TechID&gt;")</f>
        <v>&lt;from TechID&gt;</v>
      </c>
      <c r="F469" s="103" t="s">
        <v>860</v>
      </c>
      <c r="G469" s="103" t="s">
        <v>151</v>
      </c>
      <c r="H469" s="103" t="s">
        <v>861</v>
      </c>
      <c r="I469" s="103" t="s">
        <v>862</v>
      </c>
      <c r="J469" s="103" t="s">
        <v>863</v>
      </c>
      <c r="K469" s="103" t="s">
        <v>864</v>
      </c>
      <c r="L469" s="103" t="s">
        <v>153</v>
      </c>
      <c r="M469" s="103" t="s">
        <v>865</v>
      </c>
      <c r="N469" s="103" t="s">
        <v>866</v>
      </c>
      <c r="O469" s="103" t="str">
        <f t="shared" si="18"/>
        <v>CFLscw-Glb(22w)</v>
      </c>
      <c r="P469" s="103" t="s">
        <v>153</v>
      </c>
      <c r="Q469" s="103" t="s">
        <v>153</v>
      </c>
      <c r="R469" s="103" t="s">
        <v>153</v>
      </c>
      <c r="S469" s="103" t="str">
        <f>INDEX('Measure &amp; Standard CostIDs'!$AK$8:$AK$12,B469)</f>
        <v>Single-pack</v>
      </c>
      <c r="T469" s="103" t="s">
        <v>867</v>
      </c>
      <c r="U469" s="103"/>
      <c r="V469" s="103"/>
      <c r="W469" s="103">
        <f>ROUND(IF(LEFT(D469,3)="Std",VLOOKUP(D469,'Measure &amp; Standard CostIDs'!$S$5:$X$177,1+B469,FALSE),VLOOKUP(D469,'Measure &amp; Standard CostIDs'!$C$5:$H$177,1+B469,FALSE)),2)</f>
        <v>7.34</v>
      </c>
      <c r="X469" s="103"/>
      <c r="Y469" s="103"/>
      <c r="Z469" s="103" t="s">
        <v>868</v>
      </c>
      <c r="AA469" s="103" t="s">
        <v>874</v>
      </c>
      <c r="AB469" s="103" t="s">
        <v>153</v>
      </c>
      <c r="AC469" s="103">
        <v>0</v>
      </c>
      <c r="AD469" s="156">
        <v>42005</v>
      </c>
      <c r="AE469" s="103"/>
      <c r="AF469" s="103" t="s">
        <v>870</v>
      </c>
      <c r="AG469" s="103" t="s">
        <v>871</v>
      </c>
      <c r="AH469" s="103" t="s">
        <v>976</v>
      </c>
      <c r="AI469" s="103">
        <v>0</v>
      </c>
      <c r="AJ469" s="103"/>
      <c r="AK469" s="103"/>
      <c r="AL469" s="103"/>
      <c r="AM469" s="103"/>
      <c r="AN469" s="103"/>
      <c r="AO469" s="103" t="str">
        <f t="shared" si="19"/>
        <v>CFLscw-Glb(22w)Single-pack</v>
      </c>
    </row>
    <row r="470" spans="1:41">
      <c r="A470" s="177">
        <f>IFERROR(MATCH(D470,'Measure &amp; Standard CostIDs'!C$5:C$177,0),MATCH(D470,'Measure &amp; Standard CostIDs'!S$5:S$177,0))</f>
        <v>136</v>
      </c>
      <c r="B470" s="177">
        <f t="shared" si="20"/>
        <v>2</v>
      </c>
      <c r="C470" s="103" t="s">
        <v>153</v>
      </c>
      <c r="D470" s="103" t="str">
        <f t="shared" si="21"/>
        <v>CFLscw-Glb(23w)</v>
      </c>
      <c r="E470" s="103" t="str">
        <f>IF(LEFT(D470,3)="Std","Base case cost for mix of 60% Incandescent and 40% CFL lamps for CFL TechID: "&amp;INDEX('Measure &amp; Standard CostIDs'!$C$5:$C$177,A470),"&lt;from TechID&gt;")</f>
        <v>&lt;from TechID&gt;</v>
      </c>
      <c r="F470" s="103" t="s">
        <v>860</v>
      </c>
      <c r="G470" s="103" t="s">
        <v>151</v>
      </c>
      <c r="H470" s="103" t="s">
        <v>861</v>
      </c>
      <c r="I470" s="103" t="s">
        <v>862</v>
      </c>
      <c r="J470" s="103" t="s">
        <v>863</v>
      </c>
      <c r="K470" s="103" t="s">
        <v>864</v>
      </c>
      <c r="L470" s="103" t="s">
        <v>153</v>
      </c>
      <c r="M470" s="103" t="s">
        <v>865</v>
      </c>
      <c r="N470" s="103" t="s">
        <v>866</v>
      </c>
      <c r="O470" s="103" t="str">
        <f t="shared" si="18"/>
        <v>CFLscw-Glb(23w)</v>
      </c>
      <c r="P470" s="103" t="s">
        <v>153</v>
      </c>
      <c r="Q470" s="103" t="s">
        <v>153</v>
      </c>
      <c r="R470" s="103" t="s">
        <v>153</v>
      </c>
      <c r="S470" s="103" t="str">
        <f>INDEX('Measure &amp; Standard CostIDs'!$AK$8:$AK$12,B470)</f>
        <v>Single-pack</v>
      </c>
      <c r="T470" s="103" t="s">
        <v>867</v>
      </c>
      <c r="U470" s="103"/>
      <c r="V470" s="103"/>
      <c r="W470" s="103">
        <f>ROUND(IF(LEFT(D470,3)="Std",VLOOKUP(D470,'Measure &amp; Standard CostIDs'!$S$5:$X$177,1+B470,FALSE),VLOOKUP(D470,'Measure &amp; Standard CostIDs'!$C$5:$H$177,1+B470,FALSE)),2)</f>
        <v>7.32</v>
      </c>
      <c r="X470" s="103"/>
      <c r="Y470" s="103"/>
      <c r="Z470" s="103" t="s">
        <v>868</v>
      </c>
      <c r="AA470" s="103" t="s">
        <v>874</v>
      </c>
      <c r="AB470" s="103" t="s">
        <v>153</v>
      </c>
      <c r="AC470" s="103">
        <v>0</v>
      </c>
      <c r="AD470" s="156">
        <v>42005</v>
      </c>
      <c r="AE470" s="103"/>
      <c r="AF470" s="103" t="s">
        <v>870</v>
      </c>
      <c r="AG470" s="103" t="s">
        <v>871</v>
      </c>
      <c r="AH470" s="103" t="s">
        <v>976</v>
      </c>
      <c r="AI470" s="103">
        <v>0</v>
      </c>
      <c r="AJ470" s="103"/>
      <c r="AK470" s="103"/>
      <c r="AL470" s="103"/>
      <c r="AM470" s="103"/>
      <c r="AN470" s="103"/>
      <c r="AO470" s="103" t="str">
        <f t="shared" si="19"/>
        <v>CFLscw-Glb(23w)Single-pack</v>
      </c>
    </row>
    <row r="471" spans="1:41">
      <c r="A471" s="177">
        <f>IFERROR(MATCH(D471,'Measure &amp; Standard CostIDs'!C$5:C$177,0),MATCH(D471,'Measure &amp; Standard CostIDs'!S$5:S$177,0))</f>
        <v>137</v>
      </c>
      <c r="B471" s="177">
        <f t="shared" si="20"/>
        <v>2</v>
      </c>
      <c r="C471" s="103" t="s">
        <v>153</v>
      </c>
      <c r="D471" s="103" t="str">
        <f t="shared" si="21"/>
        <v>CFLscw-Glb(9w)</v>
      </c>
      <c r="E471" s="103" t="str">
        <f>IF(LEFT(D471,3)="Std","Base case cost for mix of 60% Incandescent and 40% CFL lamps for CFL TechID: "&amp;INDEX('Measure &amp; Standard CostIDs'!$C$5:$C$177,A471),"&lt;from TechID&gt;")</f>
        <v>&lt;from TechID&gt;</v>
      </c>
      <c r="F471" s="103" t="s">
        <v>860</v>
      </c>
      <c r="G471" s="103" t="s">
        <v>151</v>
      </c>
      <c r="H471" s="103" t="s">
        <v>861</v>
      </c>
      <c r="I471" s="103" t="s">
        <v>862</v>
      </c>
      <c r="J471" s="103" t="s">
        <v>863</v>
      </c>
      <c r="K471" s="103" t="s">
        <v>864</v>
      </c>
      <c r="L471" s="103" t="s">
        <v>153</v>
      </c>
      <c r="M471" s="103" t="s">
        <v>865</v>
      </c>
      <c r="N471" s="103" t="s">
        <v>866</v>
      </c>
      <c r="O471" s="103" t="str">
        <f t="shared" si="18"/>
        <v>CFLscw-Glb(9w)</v>
      </c>
      <c r="P471" s="103" t="s">
        <v>153</v>
      </c>
      <c r="Q471" s="103" t="s">
        <v>153</v>
      </c>
      <c r="R471" s="103" t="s">
        <v>153</v>
      </c>
      <c r="S471" s="103" t="str">
        <f>INDEX('Measure &amp; Standard CostIDs'!$AK$8:$AK$12,B471)</f>
        <v>Single-pack</v>
      </c>
      <c r="T471" s="103" t="s">
        <v>867</v>
      </c>
      <c r="U471" s="103"/>
      <c r="V471" s="103"/>
      <c r="W471" s="103">
        <f>ROUND(IF(LEFT(D471,3)="Std",VLOOKUP(D471,'Measure &amp; Standard CostIDs'!$S$5:$X$177,1+B471,FALSE),VLOOKUP(D471,'Measure &amp; Standard CostIDs'!$C$5:$H$177,1+B471,FALSE)),2)</f>
        <v>7.68</v>
      </c>
      <c r="X471" s="103"/>
      <c r="Y471" s="103"/>
      <c r="Z471" s="103" t="s">
        <v>868</v>
      </c>
      <c r="AA471" s="103" t="s">
        <v>874</v>
      </c>
      <c r="AB471" s="103" t="s">
        <v>153</v>
      </c>
      <c r="AC471" s="103">
        <v>0</v>
      </c>
      <c r="AD471" s="156">
        <v>42005</v>
      </c>
      <c r="AE471" s="103"/>
      <c r="AF471" s="103" t="s">
        <v>870</v>
      </c>
      <c r="AG471" s="103" t="s">
        <v>871</v>
      </c>
      <c r="AH471" s="103" t="s">
        <v>976</v>
      </c>
      <c r="AI471" s="103">
        <v>0</v>
      </c>
      <c r="AJ471" s="103"/>
      <c r="AK471" s="103"/>
      <c r="AL471" s="103"/>
      <c r="AM471" s="103"/>
      <c r="AN471" s="103"/>
      <c r="AO471" s="103" t="str">
        <f t="shared" si="19"/>
        <v>CFLscw-Glb(9w)Single-pack</v>
      </c>
    </row>
    <row r="472" spans="1:41">
      <c r="A472" s="177">
        <f>IFERROR(MATCH(D472,'Measure &amp; Standard CostIDs'!C$5:C$177,0),MATCH(D472,'Measure &amp; Standard CostIDs'!S$5:S$177,0))</f>
        <v>138</v>
      </c>
      <c r="B472" s="177">
        <f t="shared" si="20"/>
        <v>2</v>
      </c>
      <c r="C472" s="103" t="s">
        <v>153</v>
      </c>
      <c r="D472" s="103" t="str">
        <f t="shared" si="21"/>
        <v>CFLscw-PAR38(23w)</v>
      </c>
      <c r="E472" s="103" t="str">
        <f>IF(LEFT(D472,3)="Std","Base case cost for mix of 60% Incandescent and 40% CFL lamps for CFL TechID: "&amp;INDEX('Measure &amp; Standard CostIDs'!$C$5:$C$177,A472),"&lt;from TechID&gt;")</f>
        <v>&lt;from TechID&gt;</v>
      </c>
      <c r="F472" s="103" t="s">
        <v>860</v>
      </c>
      <c r="G472" s="103" t="s">
        <v>151</v>
      </c>
      <c r="H472" s="103" t="s">
        <v>861</v>
      </c>
      <c r="I472" s="103" t="s">
        <v>862</v>
      </c>
      <c r="J472" s="103" t="s">
        <v>863</v>
      </c>
      <c r="K472" s="103" t="s">
        <v>864</v>
      </c>
      <c r="L472" s="103" t="s">
        <v>153</v>
      </c>
      <c r="M472" s="103" t="s">
        <v>865</v>
      </c>
      <c r="N472" s="103" t="s">
        <v>866</v>
      </c>
      <c r="O472" s="103" t="str">
        <f t="shared" si="18"/>
        <v>CFLscw-PAR38(23w)</v>
      </c>
      <c r="P472" s="103" t="s">
        <v>153</v>
      </c>
      <c r="Q472" s="103" t="s">
        <v>153</v>
      </c>
      <c r="R472" s="103" t="s">
        <v>153</v>
      </c>
      <c r="S472" s="103" t="str">
        <f>INDEX('Measure &amp; Standard CostIDs'!$AK$8:$AK$12,B472)</f>
        <v>Single-pack</v>
      </c>
      <c r="T472" s="103" t="s">
        <v>867</v>
      </c>
      <c r="U472" s="103"/>
      <c r="V472" s="103"/>
      <c r="W472" s="103">
        <f>ROUND(IF(LEFT(D472,3)="Std",VLOOKUP(D472,'Measure &amp; Standard CostIDs'!$S$5:$X$177,1+B472,FALSE),VLOOKUP(D472,'Measure &amp; Standard CostIDs'!$C$5:$H$177,1+B472,FALSE)),2)</f>
        <v>9.59</v>
      </c>
      <c r="X472" s="103"/>
      <c r="Y472" s="103"/>
      <c r="Z472" s="103" t="s">
        <v>868</v>
      </c>
      <c r="AA472" s="103" t="s">
        <v>874</v>
      </c>
      <c r="AB472" s="103" t="s">
        <v>153</v>
      </c>
      <c r="AC472" s="103">
        <v>0</v>
      </c>
      <c r="AD472" s="156">
        <v>42005</v>
      </c>
      <c r="AE472" s="103"/>
      <c r="AF472" s="103" t="s">
        <v>870</v>
      </c>
      <c r="AG472" s="103" t="s">
        <v>871</v>
      </c>
      <c r="AH472" s="103" t="s">
        <v>976</v>
      </c>
      <c r="AI472" s="103">
        <v>0</v>
      </c>
      <c r="AJ472" s="103"/>
      <c r="AK472" s="103"/>
      <c r="AL472" s="103"/>
      <c r="AM472" s="103"/>
      <c r="AN472" s="103"/>
      <c r="AO472" s="103" t="str">
        <f t="shared" si="19"/>
        <v>CFLscw-PAR38(23w)Single-pack</v>
      </c>
    </row>
    <row r="473" spans="1:41">
      <c r="A473" s="177">
        <f>IFERROR(MATCH(D473,'Measure &amp; Standard CostIDs'!C$5:C$177,0),MATCH(D473,'Measure &amp; Standard CostIDs'!S$5:S$177,0))</f>
        <v>139</v>
      </c>
      <c r="B473" s="177">
        <f t="shared" si="20"/>
        <v>2</v>
      </c>
      <c r="C473" s="103" t="s">
        <v>153</v>
      </c>
      <c r="D473" s="103" t="str">
        <f t="shared" si="21"/>
        <v>CFLscw-Refl(10w)</v>
      </c>
      <c r="E473" s="103" t="str">
        <f>IF(LEFT(D473,3)="Std","Base case cost for mix of 60% Incandescent and 40% CFL lamps for CFL TechID: "&amp;INDEX('Measure &amp; Standard CostIDs'!$C$5:$C$177,A473),"&lt;from TechID&gt;")</f>
        <v>&lt;from TechID&gt;</v>
      </c>
      <c r="F473" s="103" t="s">
        <v>860</v>
      </c>
      <c r="G473" s="103" t="s">
        <v>151</v>
      </c>
      <c r="H473" s="103" t="s">
        <v>861</v>
      </c>
      <c r="I473" s="103" t="s">
        <v>862</v>
      </c>
      <c r="J473" s="103" t="s">
        <v>863</v>
      </c>
      <c r="K473" s="103" t="s">
        <v>864</v>
      </c>
      <c r="L473" s="103" t="s">
        <v>153</v>
      </c>
      <c r="M473" s="103" t="s">
        <v>865</v>
      </c>
      <c r="N473" s="103" t="s">
        <v>866</v>
      </c>
      <c r="O473" s="103" t="str">
        <f t="shared" si="18"/>
        <v>CFLscw-Refl(10w)</v>
      </c>
      <c r="P473" s="103" t="s">
        <v>153</v>
      </c>
      <c r="Q473" s="103" t="s">
        <v>153</v>
      </c>
      <c r="R473" s="103" t="s">
        <v>153</v>
      </c>
      <c r="S473" s="103" t="str">
        <f>INDEX('Measure &amp; Standard CostIDs'!$AK$8:$AK$12,B473)</f>
        <v>Single-pack</v>
      </c>
      <c r="T473" s="103" t="s">
        <v>867</v>
      </c>
      <c r="U473" s="103"/>
      <c r="V473" s="103"/>
      <c r="W473" s="103">
        <f>ROUND(IF(LEFT(D473,3)="Std",VLOOKUP(D473,'Measure &amp; Standard CostIDs'!$S$5:$X$177,1+B473,FALSE),VLOOKUP(D473,'Measure &amp; Standard CostIDs'!$C$5:$H$177,1+B473,FALSE)),2)</f>
        <v>7.67</v>
      </c>
      <c r="X473" s="103"/>
      <c r="Y473" s="103"/>
      <c r="Z473" s="103" t="s">
        <v>868</v>
      </c>
      <c r="AA473" s="103" t="s">
        <v>874</v>
      </c>
      <c r="AB473" s="103" t="s">
        <v>153</v>
      </c>
      <c r="AC473" s="103">
        <v>0</v>
      </c>
      <c r="AD473" s="156">
        <v>42005</v>
      </c>
      <c r="AE473" s="103"/>
      <c r="AF473" s="103" t="s">
        <v>870</v>
      </c>
      <c r="AG473" s="103" t="s">
        <v>871</v>
      </c>
      <c r="AH473" s="103" t="s">
        <v>976</v>
      </c>
      <c r="AI473" s="103">
        <v>0</v>
      </c>
      <c r="AJ473" s="103"/>
      <c r="AK473" s="103"/>
      <c r="AL473" s="103"/>
      <c r="AM473" s="103"/>
      <c r="AN473" s="103"/>
      <c r="AO473" s="103" t="str">
        <f t="shared" si="19"/>
        <v>CFLscw-Refl(10w)Single-pack</v>
      </c>
    </row>
    <row r="474" spans="1:41">
      <c r="A474" s="177">
        <f>IFERROR(MATCH(D474,'Measure &amp; Standard CostIDs'!C$5:C$177,0),MATCH(D474,'Measure &amp; Standard CostIDs'!S$5:S$177,0))</f>
        <v>140</v>
      </c>
      <c r="B474" s="177">
        <f t="shared" si="20"/>
        <v>2</v>
      </c>
      <c r="C474" s="103" t="s">
        <v>153</v>
      </c>
      <c r="D474" s="103" t="str">
        <f t="shared" si="21"/>
        <v>CFLscw-Refl(11w)</v>
      </c>
      <c r="E474" s="103" t="str">
        <f>IF(LEFT(D474,3)="Std","Base case cost for mix of 60% Incandescent and 40% CFL lamps for CFL TechID: "&amp;INDEX('Measure &amp; Standard CostIDs'!$C$5:$C$177,A474),"&lt;from TechID&gt;")</f>
        <v>&lt;from TechID&gt;</v>
      </c>
      <c r="F474" s="103" t="s">
        <v>860</v>
      </c>
      <c r="G474" s="103" t="s">
        <v>151</v>
      </c>
      <c r="H474" s="103" t="s">
        <v>861</v>
      </c>
      <c r="I474" s="103" t="s">
        <v>862</v>
      </c>
      <c r="J474" s="103" t="s">
        <v>863</v>
      </c>
      <c r="K474" s="103" t="s">
        <v>864</v>
      </c>
      <c r="L474" s="103" t="s">
        <v>153</v>
      </c>
      <c r="M474" s="103" t="s">
        <v>865</v>
      </c>
      <c r="N474" s="103" t="s">
        <v>866</v>
      </c>
      <c r="O474" s="103" t="str">
        <f t="shared" si="18"/>
        <v>CFLscw-Refl(11w)</v>
      </c>
      <c r="P474" s="103" t="s">
        <v>153</v>
      </c>
      <c r="Q474" s="103" t="s">
        <v>153</v>
      </c>
      <c r="R474" s="103" t="s">
        <v>153</v>
      </c>
      <c r="S474" s="103" t="str">
        <f>INDEX('Measure &amp; Standard CostIDs'!$AK$8:$AK$12,B474)</f>
        <v>Single-pack</v>
      </c>
      <c r="T474" s="103" t="s">
        <v>867</v>
      </c>
      <c r="U474" s="103"/>
      <c r="V474" s="103"/>
      <c r="W474" s="103">
        <f>ROUND(IF(LEFT(D474,3)="Std",VLOOKUP(D474,'Measure &amp; Standard CostIDs'!$S$5:$X$177,1+B474,FALSE),VLOOKUP(D474,'Measure &amp; Standard CostIDs'!$C$5:$H$177,1+B474,FALSE)),2)</f>
        <v>7.82</v>
      </c>
      <c r="X474" s="103"/>
      <c r="Y474" s="103"/>
      <c r="Z474" s="103" t="s">
        <v>868</v>
      </c>
      <c r="AA474" s="103" t="s">
        <v>874</v>
      </c>
      <c r="AB474" s="103" t="s">
        <v>153</v>
      </c>
      <c r="AC474" s="103">
        <v>0</v>
      </c>
      <c r="AD474" s="156">
        <v>42005</v>
      </c>
      <c r="AE474" s="103"/>
      <c r="AF474" s="103" t="s">
        <v>870</v>
      </c>
      <c r="AG474" s="103" t="s">
        <v>871</v>
      </c>
      <c r="AH474" s="103" t="s">
        <v>976</v>
      </c>
      <c r="AI474" s="103">
        <v>0</v>
      </c>
      <c r="AJ474" s="103"/>
      <c r="AK474" s="103"/>
      <c r="AL474" s="103"/>
      <c r="AM474" s="103"/>
      <c r="AN474" s="103"/>
      <c r="AO474" s="103" t="str">
        <f t="shared" si="19"/>
        <v>CFLscw-Refl(11w)Single-pack</v>
      </c>
    </row>
    <row r="475" spans="1:41">
      <c r="A475" s="177">
        <f>IFERROR(MATCH(D475,'Measure &amp; Standard CostIDs'!C$5:C$177,0),MATCH(D475,'Measure &amp; Standard CostIDs'!S$5:S$177,0))</f>
        <v>141</v>
      </c>
      <c r="B475" s="177">
        <f t="shared" si="20"/>
        <v>2</v>
      </c>
      <c r="C475" s="103" t="s">
        <v>153</v>
      </c>
      <c r="D475" s="103" t="str">
        <f t="shared" si="21"/>
        <v>CFLscw-Refl(12w)</v>
      </c>
      <c r="E475" s="103" t="str">
        <f>IF(LEFT(D475,3)="Std","Base case cost for mix of 60% Incandescent and 40% CFL lamps for CFL TechID: "&amp;INDEX('Measure &amp; Standard CostIDs'!$C$5:$C$177,A475),"&lt;from TechID&gt;")</f>
        <v>&lt;from TechID&gt;</v>
      </c>
      <c r="F475" s="103" t="s">
        <v>860</v>
      </c>
      <c r="G475" s="103" t="s">
        <v>151</v>
      </c>
      <c r="H475" s="103" t="s">
        <v>861</v>
      </c>
      <c r="I475" s="103" t="s">
        <v>862</v>
      </c>
      <c r="J475" s="103" t="s">
        <v>863</v>
      </c>
      <c r="K475" s="103" t="s">
        <v>864</v>
      </c>
      <c r="L475" s="103" t="s">
        <v>153</v>
      </c>
      <c r="M475" s="103" t="s">
        <v>865</v>
      </c>
      <c r="N475" s="103" t="s">
        <v>866</v>
      </c>
      <c r="O475" s="103" t="str">
        <f t="shared" si="18"/>
        <v>CFLscw-Refl(12w)</v>
      </c>
      <c r="P475" s="103" t="s">
        <v>153</v>
      </c>
      <c r="Q475" s="103" t="s">
        <v>153</v>
      </c>
      <c r="R475" s="103" t="s">
        <v>153</v>
      </c>
      <c r="S475" s="103" t="str">
        <f>INDEX('Measure &amp; Standard CostIDs'!$AK$8:$AK$12,B475)</f>
        <v>Single-pack</v>
      </c>
      <c r="T475" s="103" t="s">
        <v>867</v>
      </c>
      <c r="U475" s="103"/>
      <c r="V475" s="103"/>
      <c r="W475" s="103">
        <f>ROUND(IF(LEFT(D475,3)="Std",VLOOKUP(D475,'Measure &amp; Standard CostIDs'!$S$5:$X$177,1+B475,FALSE),VLOOKUP(D475,'Measure &amp; Standard CostIDs'!$C$5:$H$177,1+B475,FALSE)),2)</f>
        <v>7.97</v>
      </c>
      <c r="X475" s="103"/>
      <c r="Y475" s="103"/>
      <c r="Z475" s="103" t="s">
        <v>868</v>
      </c>
      <c r="AA475" s="103" t="s">
        <v>874</v>
      </c>
      <c r="AB475" s="103" t="s">
        <v>153</v>
      </c>
      <c r="AC475" s="103">
        <v>0</v>
      </c>
      <c r="AD475" s="156">
        <v>42005</v>
      </c>
      <c r="AE475" s="103"/>
      <c r="AF475" s="103" t="s">
        <v>870</v>
      </c>
      <c r="AG475" s="103" t="s">
        <v>871</v>
      </c>
      <c r="AH475" s="103" t="s">
        <v>976</v>
      </c>
      <c r="AI475" s="103">
        <v>0</v>
      </c>
      <c r="AJ475" s="103"/>
      <c r="AK475" s="103"/>
      <c r="AL475" s="103"/>
      <c r="AM475" s="103"/>
      <c r="AN475" s="103"/>
      <c r="AO475" s="103" t="str">
        <f t="shared" si="19"/>
        <v>CFLscw-Refl(12w)Single-pack</v>
      </c>
    </row>
    <row r="476" spans="1:41">
      <c r="A476" s="177">
        <f>IFERROR(MATCH(D476,'Measure &amp; Standard CostIDs'!C$5:C$177,0),MATCH(D476,'Measure &amp; Standard CostIDs'!S$5:S$177,0))</f>
        <v>142</v>
      </c>
      <c r="B476" s="177">
        <f t="shared" si="20"/>
        <v>2</v>
      </c>
      <c r="C476" s="103" t="s">
        <v>153</v>
      </c>
      <c r="D476" s="103" t="str">
        <f t="shared" si="21"/>
        <v>CFLscw-Refl(13w)</v>
      </c>
      <c r="E476" s="103" t="str">
        <f>IF(LEFT(D476,3)="Std","Base case cost for mix of 60% Incandescent and 40% CFL lamps for CFL TechID: "&amp;INDEX('Measure &amp; Standard CostIDs'!$C$5:$C$177,A476),"&lt;from TechID&gt;")</f>
        <v>&lt;from TechID&gt;</v>
      </c>
      <c r="F476" s="103" t="s">
        <v>860</v>
      </c>
      <c r="G476" s="103" t="s">
        <v>151</v>
      </c>
      <c r="H476" s="103" t="s">
        <v>861</v>
      </c>
      <c r="I476" s="103" t="s">
        <v>862</v>
      </c>
      <c r="J476" s="103" t="s">
        <v>863</v>
      </c>
      <c r="K476" s="103" t="s">
        <v>864</v>
      </c>
      <c r="L476" s="103" t="s">
        <v>153</v>
      </c>
      <c r="M476" s="103" t="s">
        <v>865</v>
      </c>
      <c r="N476" s="103" t="s">
        <v>866</v>
      </c>
      <c r="O476" s="103" t="str">
        <f t="shared" si="18"/>
        <v>CFLscw-Refl(13w)</v>
      </c>
      <c r="P476" s="103" t="s">
        <v>153</v>
      </c>
      <c r="Q476" s="103" t="s">
        <v>153</v>
      </c>
      <c r="R476" s="103" t="s">
        <v>153</v>
      </c>
      <c r="S476" s="103" t="str">
        <f>INDEX('Measure &amp; Standard CostIDs'!$AK$8:$AK$12,B476)</f>
        <v>Single-pack</v>
      </c>
      <c r="T476" s="103" t="s">
        <v>867</v>
      </c>
      <c r="U476" s="103"/>
      <c r="V476" s="103"/>
      <c r="W476" s="103">
        <f>ROUND(IF(LEFT(D476,3)="Std",VLOOKUP(D476,'Measure &amp; Standard CostIDs'!$S$5:$X$177,1+B476,FALSE),VLOOKUP(D476,'Measure &amp; Standard CostIDs'!$C$5:$H$177,1+B476,FALSE)),2)</f>
        <v>8.1199999999999992</v>
      </c>
      <c r="X476" s="103"/>
      <c r="Y476" s="103"/>
      <c r="Z476" s="103" t="s">
        <v>868</v>
      </c>
      <c r="AA476" s="103" t="s">
        <v>874</v>
      </c>
      <c r="AB476" s="103" t="s">
        <v>153</v>
      </c>
      <c r="AC476" s="103">
        <v>0</v>
      </c>
      <c r="AD476" s="156">
        <v>42005</v>
      </c>
      <c r="AE476" s="103"/>
      <c r="AF476" s="103" t="s">
        <v>870</v>
      </c>
      <c r="AG476" s="103" t="s">
        <v>871</v>
      </c>
      <c r="AH476" s="103" t="s">
        <v>976</v>
      </c>
      <c r="AI476" s="103">
        <v>0</v>
      </c>
      <c r="AJ476" s="103"/>
      <c r="AK476" s="103"/>
      <c r="AL476" s="103"/>
      <c r="AM476" s="103"/>
      <c r="AN476" s="103"/>
      <c r="AO476" s="103" t="str">
        <f t="shared" si="19"/>
        <v>CFLscw-Refl(13w)Single-pack</v>
      </c>
    </row>
    <row r="477" spans="1:41">
      <c r="A477" s="177">
        <f>IFERROR(MATCH(D477,'Measure &amp; Standard CostIDs'!C$5:C$177,0),MATCH(D477,'Measure &amp; Standard CostIDs'!S$5:S$177,0))</f>
        <v>143</v>
      </c>
      <c r="B477" s="177">
        <f t="shared" si="20"/>
        <v>2</v>
      </c>
      <c r="C477" s="103" t="s">
        <v>153</v>
      </c>
      <c r="D477" s="103" t="str">
        <f t="shared" si="21"/>
        <v>CFLscw-Refl(14w)</v>
      </c>
      <c r="E477" s="103" t="str">
        <f>IF(LEFT(D477,3)="Std","Base case cost for mix of 60% Incandescent and 40% CFL lamps for CFL TechID: "&amp;INDEX('Measure &amp; Standard CostIDs'!$C$5:$C$177,A477),"&lt;from TechID&gt;")</f>
        <v>&lt;from TechID&gt;</v>
      </c>
      <c r="F477" s="103" t="s">
        <v>860</v>
      </c>
      <c r="G477" s="103" t="s">
        <v>151</v>
      </c>
      <c r="H477" s="103" t="s">
        <v>861</v>
      </c>
      <c r="I477" s="103" t="s">
        <v>862</v>
      </c>
      <c r="J477" s="103" t="s">
        <v>863</v>
      </c>
      <c r="K477" s="103" t="s">
        <v>864</v>
      </c>
      <c r="L477" s="103" t="s">
        <v>153</v>
      </c>
      <c r="M477" s="103" t="s">
        <v>865</v>
      </c>
      <c r="N477" s="103" t="s">
        <v>866</v>
      </c>
      <c r="O477" s="103" t="str">
        <f t="shared" si="18"/>
        <v>CFLscw-Refl(14w)</v>
      </c>
      <c r="P477" s="103" t="s">
        <v>153</v>
      </c>
      <c r="Q477" s="103" t="s">
        <v>153</v>
      </c>
      <c r="R477" s="103" t="s">
        <v>153</v>
      </c>
      <c r="S477" s="103" t="str">
        <f>INDEX('Measure &amp; Standard CostIDs'!$AK$8:$AK$12,B477)</f>
        <v>Single-pack</v>
      </c>
      <c r="T477" s="103" t="s">
        <v>867</v>
      </c>
      <c r="U477" s="103"/>
      <c r="V477" s="103"/>
      <c r="W477" s="103">
        <f>ROUND(IF(LEFT(D477,3)="Std",VLOOKUP(D477,'Measure &amp; Standard CostIDs'!$S$5:$X$177,1+B477,FALSE),VLOOKUP(D477,'Measure &amp; Standard CostIDs'!$C$5:$H$177,1+B477,FALSE)),2)</f>
        <v>8.26</v>
      </c>
      <c r="X477" s="103"/>
      <c r="Y477" s="103"/>
      <c r="Z477" s="103" t="s">
        <v>868</v>
      </c>
      <c r="AA477" s="103" t="s">
        <v>874</v>
      </c>
      <c r="AB477" s="103" t="s">
        <v>153</v>
      </c>
      <c r="AC477" s="103">
        <v>0</v>
      </c>
      <c r="AD477" s="156">
        <v>42005</v>
      </c>
      <c r="AE477" s="103"/>
      <c r="AF477" s="103" t="s">
        <v>870</v>
      </c>
      <c r="AG477" s="103" t="s">
        <v>871</v>
      </c>
      <c r="AH477" s="103" t="s">
        <v>976</v>
      </c>
      <c r="AI477" s="103">
        <v>0</v>
      </c>
      <c r="AJ477" s="103"/>
      <c r="AK477" s="103"/>
      <c r="AL477" s="103"/>
      <c r="AM477" s="103"/>
      <c r="AN477" s="103"/>
      <c r="AO477" s="103" t="str">
        <f t="shared" si="19"/>
        <v>CFLscw-Refl(14w)Single-pack</v>
      </c>
    </row>
    <row r="478" spans="1:41">
      <c r="A478" s="177">
        <f>IFERROR(MATCH(D478,'Measure &amp; Standard CostIDs'!C$5:C$177,0),MATCH(D478,'Measure &amp; Standard CostIDs'!S$5:S$177,0))</f>
        <v>144</v>
      </c>
      <c r="B478" s="177">
        <f t="shared" si="20"/>
        <v>2</v>
      </c>
      <c r="C478" s="103" t="s">
        <v>153</v>
      </c>
      <c r="D478" s="103" t="str">
        <f t="shared" si="21"/>
        <v>CFLscw-Refl(16w)</v>
      </c>
      <c r="E478" s="103" t="str">
        <f>IF(LEFT(D478,3)="Std","Base case cost for mix of 60% Incandescent and 40% CFL lamps for CFL TechID: "&amp;INDEX('Measure &amp; Standard CostIDs'!$C$5:$C$177,A478),"&lt;from TechID&gt;")</f>
        <v>&lt;from TechID&gt;</v>
      </c>
      <c r="F478" s="103" t="s">
        <v>860</v>
      </c>
      <c r="G478" s="103" t="s">
        <v>151</v>
      </c>
      <c r="H478" s="103" t="s">
        <v>861</v>
      </c>
      <c r="I478" s="103" t="s">
        <v>862</v>
      </c>
      <c r="J478" s="103" t="s">
        <v>863</v>
      </c>
      <c r="K478" s="103" t="s">
        <v>864</v>
      </c>
      <c r="L478" s="103" t="s">
        <v>153</v>
      </c>
      <c r="M478" s="103" t="s">
        <v>865</v>
      </c>
      <c r="N478" s="103" t="s">
        <v>866</v>
      </c>
      <c r="O478" s="103" t="str">
        <f t="shared" si="18"/>
        <v>CFLscw-Refl(16w)</v>
      </c>
      <c r="P478" s="103" t="s">
        <v>153</v>
      </c>
      <c r="Q478" s="103" t="s">
        <v>153</v>
      </c>
      <c r="R478" s="103" t="s">
        <v>153</v>
      </c>
      <c r="S478" s="103" t="str">
        <f>INDEX('Measure &amp; Standard CostIDs'!$AK$8:$AK$12,B478)</f>
        <v>Single-pack</v>
      </c>
      <c r="T478" s="103" t="s">
        <v>867</v>
      </c>
      <c r="U478" s="103"/>
      <c r="V478" s="103"/>
      <c r="W478" s="103">
        <f>ROUND(IF(LEFT(D478,3)="Std",VLOOKUP(D478,'Measure &amp; Standard CostIDs'!$S$5:$X$177,1+B478,FALSE),VLOOKUP(D478,'Measure &amp; Standard CostIDs'!$C$5:$H$177,1+B478,FALSE)),2)</f>
        <v>8.56</v>
      </c>
      <c r="X478" s="103"/>
      <c r="Y478" s="103"/>
      <c r="Z478" s="103" t="s">
        <v>868</v>
      </c>
      <c r="AA478" s="103" t="s">
        <v>874</v>
      </c>
      <c r="AB478" s="103" t="s">
        <v>153</v>
      </c>
      <c r="AC478" s="103">
        <v>0</v>
      </c>
      <c r="AD478" s="156">
        <v>42005</v>
      </c>
      <c r="AE478" s="103"/>
      <c r="AF478" s="103" t="s">
        <v>870</v>
      </c>
      <c r="AG478" s="103" t="s">
        <v>871</v>
      </c>
      <c r="AH478" s="103" t="s">
        <v>976</v>
      </c>
      <c r="AI478" s="103">
        <v>0</v>
      </c>
      <c r="AJ478" s="103"/>
      <c r="AK478" s="103"/>
      <c r="AL478" s="103"/>
      <c r="AM478" s="103"/>
      <c r="AN478" s="103"/>
      <c r="AO478" s="103" t="str">
        <f t="shared" si="19"/>
        <v>CFLscw-Refl(16w)Single-pack</v>
      </c>
    </row>
    <row r="479" spans="1:41">
      <c r="A479" s="177">
        <f>IFERROR(MATCH(D479,'Measure &amp; Standard CostIDs'!C$5:C$177,0),MATCH(D479,'Measure &amp; Standard CostIDs'!S$5:S$177,0))</f>
        <v>145</v>
      </c>
      <c r="B479" s="177">
        <f t="shared" si="20"/>
        <v>2</v>
      </c>
      <c r="C479" s="103" t="s">
        <v>153</v>
      </c>
      <c r="D479" s="103" t="str">
        <f t="shared" si="21"/>
        <v>CFLscw-Refl(17w)</v>
      </c>
      <c r="E479" s="103" t="str">
        <f>IF(LEFT(D479,3)="Std","Base case cost for mix of 60% Incandescent and 40% CFL lamps for CFL TechID: "&amp;INDEX('Measure &amp; Standard CostIDs'!$C$5:$C$177,A479),"&lt;from TechID&gt;")</f>
        <v>&lt;from TechID&gt;</v>
      </c>
      <c r="F479" s="103" t="s">
        <v>860</v>
      </c>
      <c r="G479" s="103" t="s">
        <v>151</v>
      </c>
      <c r="H479" s="103" t="s">
        <v>861</v>
      </c>
      <c r="I479" s="103" t="s">
        <v>862</v>
      </c>
      <c r="J479" s="103" t="s">
        <v>863</v>
      </c>
      <c r="K479" s="103" t="s">
        <v>864</v>
      </c>
      <c r="L479" s="103" t="s">
        <v>153</v>
      </c>
      <c r="M479" s="103" t="s">
        <v>865</v>
      </c>
      <c r="N479" s="103" t="s">
        <v>866</v>
      </c>
      <c r="O479" s="103" t="str">
        <f t="shared" si="18"/>
        <v>CFLscw-Refl(17w)</v>
      </c>
      <c r="P479" s="103" t="s">
        <v>153</v>
      </c>
      <c r="Q479" s="103" t="s">
        <v>153</v>
      </c>
      <c r="R479" s="103" t="s">
        <v>153</v>
      </c>
      <c r="S479" s="103" t="str">
        <f>INDEX('Measure &amp; Standard CostIDs'!$AK$8:$AK$12,B479)</f>
        <v>Single-pack</v>
      </c>
      <c r="T479" s="103" t="s">
        <v>867</v>
      </c>
      <c r="U479" s="103"/>
      <c r="V479" s="103"/>
      <c r="W479" s="103">
        <f>ROUND(IF(LEFT(D479,3)="Std",VLOOKUP(D479,'Measure &amp; Standard CostIDs'!$S$5:$X$177,1+B479,FALSE),VLOOKUP(D479,'Measure &amp; Standard CostIDs'!$C$5:$H$177,1+B479,FALSE)),2)</f>
        <v>8.7100000000000009</v>
      </c>
      <c r="X479" s="103"/>
      <c r="Y479" s="103"/>
      <c r="Z479" s="103" t="s">
        <v>868</v>
      </c>
      <c r="AA479" s="103" t="s">
        <v>874</v>
      </c>
      <c r="AB479" s="103" t="s">
        <v>153</v>
      </c>
      <c r="AC479" s="103">
        <v>0</v>
      </c>
      <c r="AD479" s="156">
        <v>42005</v>
      </c>
      <c r="AE479" s="103"/>
      <c r="AF479" s="103" t="s">
        <v>870</v>
      </c>
      <c r="AG479" s="103" t="s">
        <v>871</v>
      </c>
      <c r="AH479" s="103" t="s">
        <v>976</v>
      </c>
      <c r="AI479" s="103">
        <v>0</v>
      </c>
      <c r="AJ479" s="103"/>
      <c r="AK479" s="103"/>
      <c r="AL479" s="103"/>
      <c r="AM479" s="103"/>
      <c r="AN479" s="103"/>
      <c r="AO479" s="103" t="str">
        <f t="shared" si="19"/>
        <v>CFLscw-Refl(17w)Single-pack</v>
      </c>
    </row>
    <row r="480" spans="1:41">
      <c r="A480" s="177">
        <f>IFERROR(MATCH(D480,'Measure &amp; Standard CostIDs'!C$5:C$177,0),MATCH(D480,'Measure &amp; Standard CostIDs'!S$5:S$177,0))</f>
        <v>146</v>
      </c>
      <c r="B480" s="177">
        <f t="shared" si="20"/>
        <v>2</v>
      </c>
      <c r="C480" s="103" t="s">
        <v>153</v>
      </c>
      <c r="D480" s="103" t="str">
        <f t="shared" si="21"/>
        <v>CFLscw-Refl(18w)</v>
      </c>
      <c r="E480" s="103" t="str">
        <f>IF(LEFT(D480,3)="Std","Base case cost for mix of 60% Incandescent and 40% CFL lamps for CFL TechID: "&amp;INDEX('Measure &amp; Standard CostIDs'!$C$5:$C$177,A480),"&lt;from TechID&gt;")</f>
        <v>&lt;from TechID&gt;</v>
      </c>
      <c r="F480" s="103" t="s">
        <v>860</v>
      </c>
      <c r="G480" s="103" t="s">
        <v>151</v>
      </c>
      <c r="H480" s="103" t="s">
        <v>861</v>
      </c>
      <c r="I480" s="103" t="s">
        <v>862</v>
      </c>
      <c r="J480" s="103" t="s">
        <v>863</v>
      </c>
      <c r="K480" s="103" t="s">
        <v>864</v>
      </c>
      <c r="L480" s="103" t="s">
        <v>153</v>
      </c>
      <c r="M480" s="103" t="s">
        <v>865</v>
      </c>
      <c r="N480" s="103" t="s">
        <v>866</v>
      </c>
      <c r="O480" s="103" t="str">
        <f t="shared" si="18"/>
        <v>CFLscw-Refl(18w)</v>
      </c>
      <c r="P480" s="103" t="s">
        <v>153</v>
      </c>
      <c r="Q480" s="103" t="s">
        <v>153</v>
      </c>
      <c r="R480" s="103" t="s">
        <v>153</v>
      </c>
      <c r="S480" s="103" t="str">
        <f>INDEX('Measure &amp; Standard CostIDs'!$AK$8:$AK$12,B480)</f>
        <v>Single-pack</v>
      </c>
      <c r="T480" s="103" t="s">
        <v>867</v>
      </c>
      <c r="U480" s="103"/>
      <c r="V480" s="103"/>
      <c r="W480" s="103">
        <f>ROUND(IF(LEFT(D480,3)="Std",VLOOKUP(D480,'Measure &amp; Standard CostIDs'!$S$5:$X$177,1+B480,FALSE),VLOOKUP(D480,'Measure &amp; Standard CostIDs'!$C$5:$H$177,1+B480,FALSE)),2)</f>
        <v>8.85</v>
      </c>
      <c r="X480" s="103"/>
      <c r="Y480" s="103"/>
      <c r="Z480" s="103" t="s">
        <v>868</v>
      </c>
      <c r="AA480" s="103" t="s">
        <v>874</v>
      </c>
      <c r="AB480" s="103" t="s">
        <v>153</v>
      </c>
      <c r="AC480" s="103">
        <v>0</v>
      </c>
      <c r="AD480" s="156">
        <v>42005</v>
      </c>
      <c r="AE480" s="103"/>
      <c r="AF480" s="103" t="s">
        <v>870</v>
      </c>
      <c r="AG480" s="103" t="s">
        <v>871</v>
      </c>
      <c r="AH480" s="103" t="s">
        <v>976</v>
      </c>
      <c r="AI480" s="103">
        <v>0</v>
      </c>
      <c r="AJ480" s="103"/>
      <c r="AK480" s="103"/>
      <c r="AL480" s="103"/>
      <c r="AM480" s="103"/>
      <c r="AN480" s="103"/>
      <c r="AO480" s="103" t="str">
        <f t="shared" si="19"/>
        <v>CFLscw-Refl(18w)Single-pack</v>
      </c>
    </row>
    <row r="481" spans="1:41">
      <c r="A481" s="177">
        <f>IFERROR(MATCH(D481,'Measure &amp; Standard CostIDs'!C$5:C$177,0),MATCH(D481,'Measure &amp; Standard CostIDs'!S$5:S$177,0))</f>
        <v>147</v>
      </c>
      <c r="B481" s="177">
        <f t="shared" si="20"/>
        <v>2</v>
      </c>
      <c r="C481" s="103" t="s">
        <v>153</v>
      </c>
      <c r="D481" s="103" t="str">
        <f t="shared" si="21"/>
        <v>CFLscw-Refl(19w)</v>
      </c>
      <c r="E481" s="103" t="str">
        <f>IF(LEFT(D481,3)="Std","Base case cost for mix of 60% Incandescent and 40% CFL lamps for CFL TechID: "&amp;INDEX('Measure &amp; Standard CostIDs'!$C$5:$C$177,A481),"&lt;from TechID&gt;")</f>
        <v>&lt;from TechID&gt;</v>
      </c>
      <c r="F481" s="103" t="s">
        <v>860</v>
      </c>
      <c r="G481" s="103" t="s">
        <v>151</v>
      </c>
      <c r="H481" s="103" t="s">
        <v>861</v>
      </c>
      <c r="I481" s="103" t="s">
        <v>862</v>
      </c>
      <c r="J481" s="103" t="s">
        <v>863</v>
      </c>
      <c r="K481" s="103" t="s">
        <v>864</v>
      </c>
      <c r="L481" s="103" t="s">
        <v>153</v>
      </c>
      <c r="M481" s="103" t="s">
        <v>865</v>
      </c>
      <c r="N481" s="103" t="s">
        <v>866</v>
      </c>
      <c r="O481" s="103" t="str">
        <f t="shared" si="18"/>
        <v>CFLscw-Refl(19w)</v>
      </c>
      <c r="P481" s="103" t="s">
        <v>153</v>
      </c>
      <c r="Q481" s="103" t="s">
        <v>153</v>
      </c>
      <c r="R481" s="103" t="s">
        <v>153</v>
      </c>
      <c r="S481" s="103" t="str">
        <f>INDEX('Measure &amp; Standard CostIDs'!$AK$8:$AK$12,B481)</f>
        <v>Single-pack</v>
      </c>
      <c r="T481" s="103" t="s">
        <v>867</v>
      </c>
      <c r="U481" s="103"/>
      <c r="V481" s="103"/>
      <c r="W481" s="103">
        <f>ROUND(IF(LEFT(D481,3)="Std",VLOOKUP(D481,'Measure &amp; Standard CostIDs'!$S$5:$X$177,1+B481,FALSE),VLOOKUP(D481,'Measure &amp; Standard CostIDs'!$C$5:$H$177,1+B481,FALSE)),2)</f>
        <v>9</v>
      </c>
      <c r="X481" s="103"/>
      <c r="Y481" s="103"/>
      <c r="Z481" s="103" t="s">
        <v>868</v>
      </c>
      <c r="AA481" s="103" t="s">
        <v>874</v>
      </c>
      <c r="AB481" s="103" t="s">
        <v>153</v>
      </c>
      <c r="AC481" s="103">
        <v>0</v>
      </c>
      <c r="AD481" s="156">
        <v>42005</v>
      </c>
      <c r="AE481" s="103"/>
      <c r="AF481" s="103" t="s">
        <v>870</v>
      </c>
      <c r="AG481" s="103" t="s">
        <v>871</v>
      </c>
      <c r="AH481" s="103" t="s">
        <v>976</v>
      </c>
      <c r="AI481" s="103">
        <v>0</v>
      </c>
      <c r="AJ481" s="103"/>
      <c r="AK481" s="103"/>
      <c r="AL481" s="103"/>
      <c r="AM481" s="103"/>
      <c r="AN481" s="103"/>
      <c r="AO481" s="103" t="str">
        <f t="shared" si="19"/>
        <v>CFLscw-Refl(19w)Single-pack</v>
      </c>
    </row>
    <row r="482" spans="1:41">
      <c r="A482" s="177">
        <f>IFERROR(MATCH(D482,'Measure &amp; Standard CostIDs'!C$5:C$177,0),MATCH(D482,'Measure &amp; Standard CostIDs'!S$5:S$177,0))</f>
        <v>148</v>
      </c>
      <c r="B482" s="177">
        <f t="shared" si="20"/>
        <v>2</v>
      </c>
      <c r="C482" s="103" t="s">
        <v>153</v>
      </c>
      <c r="D482" s="103" t="str">
        <f t="shared" si="21"/>
        <v>CFLscw-Refl(20w)</v>
      </c>
      <c r="E482" s="103" t="str">
        <f>IF(LEFT(D482,3)="Std","Base case cost for mix of 60% Incandescent and 40% CFL lamps for CFL TechID: "&amp;INDEX('Measure &amp; Standard CostIDs'!$C$5:$C$177,A482),"&lt;from TechID&gt;")</f>
        <v>&lt;from TechID&gt;</v>
      </c>
      <c r="F482" s="103" t="s">
        <v>860</v>
      </c>
      <c r="G482" s="103" t="s">
        <v>151</v>
      </c>
      <c r="H482" s="103" t="s">
        <v>861</v>
      </c>
      <c r="I482" s="103" t="s">
        <v>862</v>
      </c>
      <c r="J482" s="103" t="s">
        <v>863</v>
      </c>
      <c r="K482" s="103" t="s">
        <v>864</v>
      </c>
      <c r="L482" s="103" t="s">
        <v>153</v>
      </c>
      <c r="M482" s="103" t="s">
        <v>865</v>
      </c>
      <c r="N482" s="103" t="s">
        <v>866</v>
      </c>
      <c r="O482" s="103" t="str">
        <f t="shared" si="18"/>
        <v>CFLscw-Refl(20w)</v>
      </c>
      <c r="P482" s="103" t="s">
        <v>153</v>
      </c>
      <c r="Q482" s="103" t="s">
        <v>153</v>
      </c>
      <c r="R482" s="103" t="s">
        <v>153</v>
      </c>
      <c r="S482" s="103" t="str">
        <f>INDEX('Measure &amp; Standard CostIDs'!$AK$8:$AK$12,B482)</f>
        <v>Single-pack</v>
      </c>
      <c r="T482" s="103" t="s">
        <v>867</v>
      </c>
      <c r="U482" s="103"/>
      <c r="V482" s="103"/>
      <c r="W482" s="103">
        <f>ROUND(IF(LEFT(D482,3)="Std",VLOOKUP(D482,'Measure &amp; Standard CostIDs'!$S$5:$X$177,1+B482,FALSE),VLOOKUP(D482,'Measure &amp; Standard CostIDs'!$C$5:$H$177,1+B482,FALSE)),2)</f>
        <v>9.15</v>
      </c>
      <c r="X482" s="103"/>
      <c r="Y482" s="103"/>
      <c r="Z482" s="103" t="s">
        <v>868</v>
      </c>
      <c r="AA482" s="103" t="s">
        <v>874</v>
      </c>
      <c r="AB482" s="103" t="s">
        <v>153</v>
      </c>
      <c r="AC482" s="103">
        <v>0</v>
      </c>
      <c r="AD482" s="156">
        <v>42005</v>
      </c>
      <c r="AE482" s="103"/>
      <c r="AF482" s="103" t="s">
        <v>870</v>
      </c>
      <c r="AG482" s="103" t="s">
        <v>871</v>
      </c>
      <c r="AH482" s="103" t="s">
        <v>976</v>
      </c>
      <c r="AI482" s="103">
        <v>0</v>
      </c>
      <c r="AJ482" s="103"/>
      <c r="AK482" s="103"/>
      <c r="AL482" s="103"/>
      <c r="AM482" s="103"/>
      <c r="AN482" s="103"/>
      <c r="AO482" s="103" t="str">
        <f t="shared" si="19"/>
        <v>CFLscw-Refl(20w)Single-pack</v>
      </c>
    </row>
    <row r="483" spans="1:41">
      <c r="A483" s="177">
        <f>IFERROR(MATCH(D483,'Measure &amp; Standard CostIDs'!C$5:C$177,0),MATCH(D483,'Measure &amp; Standard CostIDs'!S$5:S$177,0))</f>
        <v>149</v>
      </c>
      <c r="B483" s="177">
        <f t="shared" si="20"/>
        <v>2</v>
      </c>
      <c r="C483" s="103" t="s">
        <v>153</v>
      </c>
      <c r="D483" s="103" t="str">
        <f t="shared" si="21"/>
        <v>CFLscw-Refl(21w)</v>
      </c>
      <c r="E483" s="103" t="str">
        <f>IF(LEFT(D483,3)="Std","Base case cost for mix of 60% Incandescent and 40% CFL lamps for CFL TechID: "&amp;INDEX('Measure &amp; Standard CostIDs'!$C$5:$C$177,A483),"&lt;from TechID&gt;")</f>
        <v>&lt;from TechID&gt;</v>
      </c>
      <c r="F483" s="103" t="s">
        <v>860</v>
      </c>
      <c r="G483" s="103" t="s">
        <v>151</v>
      </c>
      <c r="H483" s="103" t="s">
        <v>861</v>
      </c>
      <c r="I483" s="103" t="s">
        <v>862</v>
      </c>
      <c r="J483" s="103" t="s">
        <v>863</v>
      </c>
      <c r="K483" s="103" t="s">
        <v>864</v>
      </c>
      <c r="L483" s="103" t="s">
        <v>153</v>
      </c>
      <c r="M483" s="103" t="s">
        <v>865</v>
      </c>
      <c r="N483" s="103" t="s">
        <v>866</v>
      </c>
      <c r="O483" s="103" t="str">
        <f t="shared" si="18"/>
        <v>CFLscw-Refl(21w)</v>
      </c>
      <c r="P483" s="103" t="s">
        <v>153</v>
      </c>
      <c r="Q483" s="103" t="s">
        <v>153</v>
      </c>
      <c r="R483" s="103" t="s">
        <v>153</v>
      </c>
      <c r="S483" s="103" t="str">
        <f>INDEX('Measure &amp; Standard CostIDs'!$AK$8:$AK$12,B483)</f>
        <v>Single-pack</v>
      </c>
      <c r="T483" s="103" t="s">
        <v>867</v>
      </c>
      <c r="U483" s="103"/>
      <c r="V483" s="103"/>
      <c r="W483" s="103">
        <f>ROUND(IF(LEFT(D483,3)="Std",VLOOKUP(D483,'Measure &amp; Standard CostIDs'!$S$5:$X$177,1+B483,FALSE),VLOOKUP(D483,'Measure &amp; Standard CostIDs'!$C$5:$H$177,1+B483,FALSE)),2)</f>
        <v>9.3000000000000007</v>
      </c>
      <c r="X483" s="103"/>
      <c r="Y483" s="103"/>
      <c r="Z483" s="103" t="s">
        <v>868</v>
      </c>
      <c r="AA483" s="103" t="s">
        <v>874</v>
      </c>
      <c r="AB483" s="103" t="s">
        <v>153</v>
      </c>
      <c r="AC483" s="103">
        <v>0</v>
      </c>
      <c r="AD483" s="156">
        <v>42005</v>
      </c>
      <c r="AE483" s="103"/>
      <c r="AF483" s="103" t="s">
        <v>870</v>
      </c>
      <c r="AG483" s="103" t="s">
        <v>871</v>
      </c>
      <c r="AH483" s="103" t="s">
        <v>976</v>
      </c>
      <c r="AI483" s="103">
        <v>0</v>
      </c>
      <c r="AJ483" s="103"/>
      <c r="AK483" s="103"/>
      <c r="AL483" s="103"/>
      <c r="AM483" s="103"/>
      <c r="AN483" s="103"/>
      <c r="AO483" s="103" t="str">
        <f t="shared" si="19"/>
        <v>CFLscw-Refl(21w)Single-pack</v>
      </c>
    </row>
    <row r="484" spans="1:41">
      <c r="A484" s="177">
        <f>IFERROR(MATCH(D484,'Measure &amp; Standard CostIDs'!C$5:C$177,0),MATCH(D484,'Measure &amp; Standard CostIDs'!S$5:S$177,0))</f>
        <v>150</v>
      </c>
      <c r="B484" s="177">
        <f t="shared" si="20"/>
        <v>2</v>
      </c>
      <c r="C484" s="103" t="s">
        <v>153</v>
      </c>
      <c r="D484" s="103" t="str">
        <f t="shared" si="21"/>
        <v>CFLscw-Refl(22w)</v>
      </c>
      <c r="E484" s="103" t="str">
        <f>IF(LEFT(D484,3)="Std","Base case cost for mix of 60% Incandescent and 40% CFL lamps for CFL TechID: "&amp;INDEX('Measure &amp; Standard CostIDs'!$C$5:$C$177,A484),"&lt;from TechID&gt;")</f>
        <v>&lt;from TechID&gt;</v>
      </c>
      <c r="F484" s="103" t="s">
        <v>860</v>
      </c>
      <c r="G484" s="103" t="s">
        <v>151</v>
      </c>
      <c r="H484" s="103" t="s">
        <v>861</v>
      </c>
      <c r="I484" s="103" t="s">
        <v>862</v>
      </c>
      <c r="J484" s="103" t="s">
        <v>863</v>
      </c>
      <c r="K484" s="103" t="s">
        <v>864</v>
      </c>
      <c r="L484" s="103" t="s">
        <v>153</v>
      </c>
      <c r="M484" s="103" t="s">
        <v>865</v>
      </c>
      <c r="N484" s="103" t="s">
        <v>866</v>
      </c>
      <c r="O484" s="103" t="str">
        <f t="shared" si="18"/>
        <v>CFLscw-Refl(22w)</v>
      </c>
      <c r="P484" s="103" t="s">
        <v>153</v>
      </c>
      <c r="Q484" s="103" t="s">
        <v>153</v>
      </c>
      <c r="R484" s="103" t="s">
        <v>153</v>
      </c>
      <c r="S484" s="103" t="str">
        <f>INDEX('Measure &amp; Standard CostIDs'!$AK$8:$AK$12,B484)</f>
        <v>Single-pack</v>
      </c>
      <c r="T484" s="103" t="s">
        <v>867</v>
      </c>
      <c r="U484" s="103"/>
      <c r="V484" s="103"/>
      <c r="W484" s="103">
        <f>ROUND(IF(LEFT(D484,3)="Std",VLOOKUP(D484,'Measure &amp; Standard CostIDs'!$S$5:$X$177,1+B484,FALSE),VLOOKUP(D484,'Measure &amp; Standard CostIDs'!$C$5:$H$177,1+B484,FALSE)),2)</f>
        <v>9.44</v>
      </c>
      <c r="X484" s="103"/>
      <c r="Y484" s="103"/>
      <c r="Z484" s="103" t="s">
        <v>868</v>
      </c>
      <c r="AA484" s="103" t="s">
        <v>874</v>
      </c>
      <c r="AB484" s="103" t="s">
        <v>153</v>
      </c>
      <c r="AC484" s="103">
        <v>0</v>
      </c>
      <c r="AD484" s="156">
        <v>42005</v>
      </c>
      <c r="AE484" s="103"/>
      <c r="AF484" s="103" t="s">
        <v>870</v>
      </c>
      <c r="AG484" s="103" t="s">
        <v>871</v>
      </c>
      <c r="AH484" s="103" t="s">
        <v>976</v>
      </c>
      <c r="AI484" s="103">
        <v>0</v>
      </c>
      <c r="AJ484" s="103"/>
      <c r="AK484" s="103"/>
      <c r="AL484" s="103"/>
      <c r="AM484" s="103"/>
      <c r="AN484" s="103"/>
      <c r="AO484" s="103" t="str">
        <f t="shared" si="19"/>
        <v>CFLscw-Refl(22w)Single-pack</v>
      </c>
    </row>
    <row r="485" spans="1:41">
      <c r="A485" s="177">
        <f>IFERROR(MATCH(D485,'Measure &amp; Standard CostIDs'!C$5:C$177,0),MATCH(D485,'Measure &amp; Standard CostIDs'!S$5:S$177,0))</f>
        <v>151</v>
      </c>
      <c r="B485" s="177">
        <f t="shared" si="20"/>
        <v>2</v>
      </c>
      <c r="C485" s="103" t="s">
        <v>153</v>
      </c>
      <c r="D485" s="103" t="str">
        <f t="shared" si="21"/>
        <v>CFLscw-Refl(24w)</v>
      </c>
      <c r="E485" s="103" t="str">
        <f>IF(LEFT(D485,3)="Std","Base case cost for mix of 60% Incandescent and 40% CFL lamps for CFL TechID: "&amp;INDEX('Measure &amp; Standard CostIDs'!$C$5:$C$177,A485),"&lt;from TechID&gt;")</f>
        <v>&lt;from TechID&gt;</v>
      </c>
      <c r="F485" s="103" t="s">
        <v>860</v>
      </c>
      <c r="G485" s="103" t="s">
        <v>151</v>
      </c>
      <c r="H485" s="103" t="s">
        <v>861</v>
      </c>
      <c r="I485" s="103" t="s">
        <v>862</v>
      </c>
      <c r="J485" s="103" t="s">
        <v>863</v>
      </c>
      <c r="K485" s="103" t="s">
        <v>864</v>
      </c>
      <c r="L485" s="103" t="s">
        <v>153</v>
      </c>
      <c r="M485" s="103" t="s">
        <v>865</v>
      </c>
      <c r="N485" s="103" t="s">
        <v>866</v>
      </c>
      <c r="O485" s="103" t="str">
        <f t="shared" si="18"/>
        <v>CFLscw-Refl(24w)</v>
      </c>
      <c r="P485" s="103" t="s">
        <v>153</v>
      </c>
      <c r="Q485" s="103" t="s">
        <v>153</v>
      </c>
      <c r="R485" s="103" t="s">
        <v>153</v>
      </c>
      <c r="S485" s="103" t="str">
        <f>INDEX('Measure &amp; Standard CostIDs'!$AK$8:$AK$12,B485)</f>
        <v>Single-pack</v>
      </c>
      <c r="T485" s="103" t="s">
        <v>867</v>
      </c>
      <c r="U485" s="103"/>
      <c r="V485" s="103"/>
      <c r="W485" s="103">
        <f>ROUND(IF(LEFT(D485,3)="Std",VLOOKUP(D485,'Measure &amp; Standard CostIDs'!$S$5:$X$177,1+B485,FALSE),VLOOKUP(D485,'Measure &amp; Standard CostIDs'!$C$5:$H$177,1+B485,FALSE)),2)</f>
        <v>9.74</v>
      </c>
      <c r="X485" s="103"/>
      <c r="Y485" s="103"/>
      <c r="Z485" s="103" t="s">
        <v>868</v>
      </c>
      <c r="AA485" s="103" t="s">
        <v>874</v>
      </c>
      <c r="AB485" s="103" t="s">
        <v>153</v>
      </c>
      <c r="AC485" s="103">
        <v>0</v>
      </c>
      <c r="AD485" s="156">
        <v>42005</v>
      </c>
      <c r="AE485" s="103"/>
      <c r="AF485" s="103" t="s">
        <v>870</v>
      </c>
      <c r="AG485" s="103" t="s">
        <v>871</v>
      </c>
      <c r="AH485" s="103" t="s">
        <v>976</v>
      </c>
      <c r="AI485" s="103">
        <v>0</v>
      </c>
      <c r="AJ485" s="103"/>
      <c r="AK485" s="103"/>
      <c r="AL485" s="103"/>
      <c r="AM485" s="103"/>
      <c r="AN485" s="103"/>
      <c r="AO485" s="103" t="str">
        <f t="shared" si="19"/>
        <v>CFLscw-Refl(24w)Single-pack</v>
      </c>
    </row>
    <row r="486" spans="1:41">
      <c r="A486" s="177">
        <f>IFERROR(MATCH(D486,'Measure &amp; Standard CostIDs'!C$5:C$177,0),MATCH(D486,'Measure &amp; Standard CostIDs'!S$5:S$177,0))</f>
        <v>152</v>
      </c>
      <c r="B486" s="177">
        <f t="shared" si="20"/>
        <v>2</v>
      </c>
      <c r="C486" s="103" t="s">
        <v>153</v>
      </c>
      <c r="D486" s="103" t="str">
        <f t="shared" si="21"/>
        <v>CFLscw-Refl(25w)</v>
      </c>
      <c r="E486" s="103" t="str">
        <f>IF(LEFT(D486,3)="Std","Base case cost for mix of 60% Incandescent and 40% CFL lamps for CFL TechID: "&amp;INDEX('Measure &amp; Standard CostIDs'!$C$5:$C$177,A486),"&lt;from TechID&gt;")</f>
        <v>&lt;from TechID&gt;</v>
      </c>
      <c r="F486" s="103" t="s">
        <v>860</v>
      </c>
      <c r="G486" s="103" t="s">
        <v>151</v>
      </c>
      <c r="H486" s="103" t="s">
        <v>861</v>
      </c>
      <c r="I486" s="103" t="s">
        <v>862</v>
      </c>
      <c r="J486" s="103" t="s">
        <v>863</v>
      </c>
      <c r="K486" s="103" t="s">
        <v>864</v>
      </c>
      <c r="L486" s="103" t="s">
        <v>153</v>
      </c>
      <c r="M486" s="103" t="s">
        <v>865</v>
      </c>
      <c r="N486" s="103" t="s">
        <v>866</v>
      </c>
      <c r="O486" s="103" t="str">
        <f t="shared" si="18"/>
        <v>CFLscw-Refl(25w)</v>
      </c>
      <c r="P486" s="103" t="s">
        <v>153</v>
      </c>
      <c r="Q486" s="103" t="s">
        <v>153</v>
      </c>
      <c r="R486" s="103" t="s">
        <v>153</v>
      </c>
      <c r="S486" s="103" t="str">
        <f>INDEX('Measure &amp; Standard CostIDs'!$AK$8:$AK$12,B486)</f>
        <v>Single-pack</v>
      </c>
      <c r="T486" s="103" t="s">
        <v>867</v>
      </c>
      <c r="U486" s="103"/>
      <c r="V486" s="103"/>
      <c r="W486" s="103">
        <f>ROUND(IF(LEFT(D486,3)="Std",VLOOKUP(D486,'Measure &amp; Standard CostIDs'!$S$5:$X$177,1+B486,FALSE),VLOOKUP(D486,'Measure &amp; Standard CostIDs'!$C$5:$H$177,1+B486,FALSE)),2)</f>
        <v>9.8800000000000008</v>
      </c>
      <c r="X486" s="103"/>
      <c r="Y486" s="103"/>
      <c r="Z486" s="103" t="s">
        <v>868</v>
      </c>
      <c r="AA486" s="103" t="s">
        <v>874</v>
      </c>
      <c r="AB486" s="103" t="s">
        <v>153</v>
      </c>
      <c r="AC486" s="103">
        <v>0</v>
      </c>
      <c r="AD486" s="156">
        <v>42005</v>
      </c>
      <c r="AE486" s="103"/>
      <c r="AF486" s="103" t="s">
        <v>870</v>
      </c>
      <c r="AG486" s="103" t="s">
        <v>871</v>
      </c>
      <c r="AH486" s="103" t="s">
        <v>976</v>
      </c>
      <c r="AI486" s="103">
        <v>0</v>
      </c>
      <c r="AJ486" s="103"/>
      <c r="AK486" s="103"/>
      <c r="AL486" s="103"/>
      <c r="AM486" s="103"/>
      <c r="AN486" s="103"/>
      <c r="AO486" s="103" t="str">
        <f t="shared" si="19"/>
        <v>CFLscw-Refl(25w)Single-pack</v>
      </c>
    </row>
    <row r="487" spans="1:41">
      <c r="A487" s="177">
        <f>IFERROR(MATCH(D487,'Measure &amp; Standard CostIDs'!C$5:C$177,0),MATCH(D487,'Measure &amp; Standard CostIDs'!S$5:S$177,0))</f>
        <v>153</v>
      </c>
      <c r="B487" s="177">
        <f t="shared" si="20"/>
        <v>2</v>
      </c>
      <c r="C487" s="103" t="s">
        <v>153</v>
      </c>
      <c r="D487" s="103" t="str">
        <f t="shared" si="21"/>
        <v>CFLscw-Refl(26w)</v>
      </c>
      <c r="E487" s="103" t="str">
        <f>IF(LEFT(D487,3)="Std","Base case cost for mix of 60% Incandescent and 40% CFL lamps for CFL TechID: "&amp;INDEX('Measure &amp; Standard CostIDs'!$C$5:$C$177,A487),"&lt;from TechID&gt;")</f>
        <v>&lt;from TechID&gt;</v>
      </c>
      <c r="F487" s="103" t="s">
        <v>860</v>
      </c>
      <c r="G487" s="103" t="s">
        <v>151</v>
      </c>
      <c r="H487" s="103" t="s">
        <v>861</v>
      </c>
      <c r="I487" s="103" t="s">
        <v>862</v>
      </c>
      <c r="J487" s="103" t="s">
        <v>863</v>
      </c>
      <c r="K487" s="103" t="s">
        <v>864</v>
      </c>
      <c r="L487" s="103" t="s">
        <v>153</v>
      </c>
      <c r="M487" s="103" t="s">
        <v>865</v>
      </c>
      <c r="N487" s="103" t="s">
        <v>866</v>
      </c>
      <c r="O487" s="103" t="str">
        <f t="shared" si="18"/>
        <v>CFLscw-Refl(26w)</v>
      </c>
      <c r="P487" s="103" t="s">
        <v>153</v>
      </c>
      <c r="Q487" s="103" t="s">
        <v>153</v>
      </c>
      <c r="R487" s="103" t="s">
        <v>153</v>
      </c>
      <c r="S487" s="103" t="str">
        <f>INDEX('Measure &amp; Standard CostIDs'!$AK$8:$AK$12,B487)</f>
        <v>Single-pack</v>
      </c>
      <c r="T487" s="103" t="s">
        <v>867</v>
      </c>
      <c r="U487" s="103"/>
      <c r="V487" s="103"/>
      <c r="W487" s="103">
        <f>ROUND(IF(LEFT(D487,3)="Std",VLOOKUP(D487,'Measure &amp; Standard CostIDs'!$S$5:$X$177,1+B487,FALSE),VLOOKUP(D487,'Measure &amp; Standard CostIDs'!$C$5:$H$177,1+B487,FALSE)),2)</f>
        <v>10.029999999999999</v>
      </c>
      <c r="X487" s="103"/>
      <c r="Y487" s="103"/>
      <c r="Z487" s="103" t="s">
        <v>868</v>
      </c>
      <c r="AA487" s="103" t="s">
        <v>874</v>
      </c>
      <c r="AB487" s="103" t="s">
        <v>153</v>
      </c>
      <c r="AC487" s="103">
        <v>0</v>
      </c>
      <c r="AD487" s="156">
        <v>42005</v>
      </c>
      <c r="AE487" s="103"/>
      <c r="AF487" s="103" t="s">
        <v>870</v>
      </c>
      <c r="AG487" s="103" t="s">
        <v>871</v>
      </c>
      <c r="AH487" s="103" t="s">
        <v>976</v>
      </c>
      <c r="AI487" s="103">
        <v>0</v>
      </c>
      <c r="AJ487" s="103"/>
      <c r="AK487" s="103"/>
      <c r="AL487" s="103"/>
      <c r="AM487" s="103"/>
      <c r="AN487" s="103"/>
      <c r="AO487" s="103" t="str">
        <f t="shared" si="19"/>
        <v>CFLscw-Refl(26w)Single-pack</v>
      </c>
    </row>
    <row r="488" spans="1:41">
      <c r="A488" s="177">
        <f>IFERROR(MATCH(D488,'Measure &amp; Standard CostIDs'!C$5:C$177,0),MATCH(D488,'Measure &amp; Standard CostIDs'!S$5:S$177,0))</f>
        <v>154</v>
      </c>
      <c r="B488" s="177">
        <f t="shared" si="20"/>
        <v>2</v>
      </c>
      <c r="C488" s="103" t="s">
        <v>153</v>
      </c>
      <c r="D488" s="103" t="str">
        <f t="shared" si="21"/>
        <v>CFLscw-Refl(5w)</v>
      </c>
      <c r="E488" s="103" t="str">
        <f>IF(LEFT(D488,3)="Std","Base case cost for mix of 60% Incandescent and 40% CFL lamps for CFL TechID: "&amp;INDEX('Measure &amp; Standard CostIDs'!$C$5:$C$177,A488),"&lt;from TechID&gt;")</f>
        <v>&lt;from TechID&gt;</v>
      </c>
      <c r="F488" s="103" t="s">
        <v>860</v>
      </c>
      <c r="G488" s="103" t="s">
        <v>151</v>
      </c>
      <c r="H488" s="103" t="s">
        <v>861</v>
      </c>
      <c r="I488" s="103" t="s">
        <v>862</v>
      </c>
      <c r="J488" s="103" t="s">
        <v>863</v>
      </c>
      <c r="K488" s="103" t="s">
        <v>864</v>
      </c>
      <c r="L488" s="103" t="s">
        <v>153</v>
      </c>
      <c r="M488" s="103" t="s">
        <v>865</v>
      </c>
      <c r="N488" s="103" t="s">
        <v>866</v>
      </c>
      <c r="O488" s="103" t="str">
        <f t="shared" si="18"/>
        <v>CFLscw-Refl(5w)</v>
      </c>
      <c r="P488" s="103" t="s">
        <v>153</v>
      </c>
      <c r="Q488" s="103" t="s">
        <v>153</v>
      </c>
      <c r="R488" s="103" t="s">
        <v>153</v>
      </c>
      <c r="S488" s="103" t="str">
        <f>INDEX('Measure &amp; Standard CostIDs'!$AK$8:$AK$12,B488)</f>
        <v>Single-pack</v>
      </c>
      <c r="T488" s="103" t="s">
        <v>867</v>
      </c>
      <c r="U488" s="103"/>
      <c r="V488" s="103"/>
      <c r="W488" s="103">
        <f>ROUND(IF(LEFT(D488,3)="Std",VLOOKUP(D488,'Measure &amp; Standard CostIDs'!$S$5:$X$177,1+B488,FALSE),VLOOKUP(D488,'Measure &amp; Standard CostIDs'!$C$5:$H$177,1+B488,FALSE)),2)</f>
        <v>6.94</v>
      </c>
      <c r="X488" s="103"/>
      <c r="Y488" s="103"/>
      <c r="Z488" s="103" t="s">
        <v>868</v>
      </c>
      <c r="AA488" s="103" t="s">
        <v>874</v>
      </c>
      <c r="AB488" s="103" t="s">
        <v>153</v>
      </c>
      <c r="AC488" s="103">
        <v>0</v>
      </c>
      <c r="AD488" s="156">
        <v>42005</v>
      </c>
      <c r="AE488" s="103"/>
      <c r="AF488" s="103" t="s">
        <v>870</v>
      </c>
      <c r="AG488" s="103" t="s">
        <v>871</v>
      </c>
      <c r="AH488" s="103" t="s">
        <v>976</v>
      </c>
      <c r="AI488" s="103">
        <v>0</v>
      </c>
      <c r="AJ488" s="103"/>
      <c r="AK488" s="103"/>
      <c r="AL488" s="103"/>
      <c r="AM488" s="103"/>
      <c r="AN488" s="103"/>
      <c r="AO488" s="103" t="str">
        <f t="shared" si="19"/>
        <v>CFLscw-Refl(5w)Single-pack</v>
      </c>
    </row>
    <row r="489" spans="1:41">
      <c r="A489" s="177">
        <f>IFERROR(MATCH(D489,'Measure &amp; Standard CostIDs'!C$5:C$177,0),MATCH(D489,'Measure &amp; Standard CostIDs'!S$5:S$177,0))</f>
        <v>155</v>
      </c>
      <c r="B489" s="177">
        <f t="shared" si="20"/>
        <v>2</v>
      </c>
      <c r="C489" s="103" t="s">
        <v>153</v>
      </c>
      <c r="D489" s="103" t="str">
        <f t="shared" si="21"/>
        <v>CFLscw-Refl(6w)</v>
      </c>
      <c r="E489" s="103" t="str">
        <f>IF(LEFT(D489,3)="Std","Base case cost for mix of 60% Incandescent and 40% CFL lamps for CFL TechID: "&amp;INDEX('Measure &amp; Standard CostIDs'!$C$5:$C$177,A489),"&lt;from TechID&gt;")</f>
        <v>&lt;from TechID&gt;</v>
      </c>
      <c r="F489" s="103" t="s">
        <v>860</v>
      </c>
      <c r="G489" s="103" t="s">
        <v>151</v>
      </c>
      <c r="H489" s="103" t="s">
        <v>861</v>
      </c>
      <c r="I489" s="103" t="s">
        <v>862</v>
      </c>
      <c r="J489" s="103" t="s">
        <v>863</v>
      </c>
      <c r="K489" s="103" t="s">
        <v>864</v>
      </c>
      <c r="L489" s="103" t="s">
        <v>153</v>
      </c>
      <c r="M489" s="103" t="s">
        <v>865</v>
      </c>
      <c r="N489" s="103" t="s">
        <v>866</v>
      </c>
      <c r="O489" s="103" t="str">
        <f t="shared" si="18"/>
        <v>CFLscw-Refl(6w)</v>
      </c>
      <c r="P489" s="103" t="s">
        <v>153</v>
      </c>
      <c r="Q489" s="103" t="s">
        <v>153</v>
      </c>
      <c r="R489" s="103" t="s">
        <v>153</v>
      </c>
      <c r="S489" s="103" t="str">
        <f>INDEX('Measure &amp; Standard CostIDs'!$AK$8:$AK$12,B489)</f>
        <v>Single-pack</v>
      </c>
      <c r="T489" s="103" t="s">
        <v>867</v>
      </c>
      <c r="U489" s="103"/>
      <c r="V489" s="103"/>
      <c r="W489" s="103">
        <f>ROUND(IF(LEFT(D489,3)="Std",VLOOKUP(D489,'Measure &amp; Standard CostIDs'!$S$5:$X$177,1+B489,FALSE),VLOOKUP(D489,'Measure &amp; Standard CostIDs'!$C$5:$H$177,1+B489,FALSE)),2)</f>
        <v>7.09</v>
      </c>
      <c r="X489" s="103"/>
      <c r="Y489" s="103"/>
      <c r="Z489" s="103" t="s">
        <v>868</v>
      </c>
      <c r="AA489" s="103" t="s">
        <v>874</v>
      </c>
      <c r="AB489" s="103" t="s">
        <v>153</v>
      </c>
      <c r="AC489" s="103">
        <v>0</v>
      </c>
      <c r="AD489" s="156">
        <v>42005</v>
      </c>
      <c r="AE489" s="103"/>
      <c r="AF489" s="103" t="s">
        <v>870</v>
      </c>
      <c r="AG489" s="103" t="s">
        <v>871</v>
      </c>
      <c r="AH489" s="103" t="s">
        <v>976</v>
      </c>
      <c r="AI489" s="103">
        <v>0</v>
      </c>
      <c r="AJ489" s="103"/>
      <c r="AK489" s="103"/>
      <c r="AL489" s="103"/>
      <c r="AM489" s="103"/>
      <c r="AN489" s="103"/>
      <c r="AO489" s="103" t="str">
        <f t="shared" si="19"/>
        <v>CFLscw-Refl(6w)Single-pack</v>
      </c>
    </row>
    <row r="490" spans="1:41">
      <c r="A490" s="177">
        <f>IFERROR(MATCH(D490,'Measure &amp; Standard CostIDs'!C$5:C$177,0),MATCH(D490,'Measure &amp; Standard CostIDs'!S$5:S$177,0))</f>
        <v>156</v>
      </c>
      <c r="B490" s="177">
        <f t="shared" si="20"/>
        <v>2</v>
      </c>
      <c r="C490" s="103" t="s">
        <v>153</v>
      </c>
      <c r="D490" s="103" t="str">
        <f t="shared" si="21"/>
        <v>CFLscw-Refl(7w)</v>
      </c>
      <c r="E490" s="103" t="str">
        <f>IF(LEFT(D490,3)="Std","Base case cost for mix of 60% Incandescent and 40% CFL lamps for CFL TechID: "&amp;INDEX('Measure &amp; Standard CostIDs'!$C$5:$C$177,A490),"&lt;from TechID&gt;")</f>
        <v>&lt;from TechID&gt;</v>
      </c>
      <c r="F490" s="103" t="s">
        <v>860</v>
      </c>
      <c r="G490" s="103" t="s">
        <v>151</v>
      </c>
      <c r="H490" s="103" t="s">
        <v>861</v>
      </c>
      <c r="I490" s="103" t="s">
        <v>862</v>
      </c>
      <c r="J490" s="103" t="s">
        <v>863</v>
      </c>
      <c r="K490" s="103" t="s">
        <v>864</v>
      </c>
      <c r="L490" s="103" t="s">
        <v>153</v>
      </c>
      <c r="M490" s="103" t="s">
        <v>865</v>
      </c>
      <c r="N490" s="103" t="s">
        <v>866</v>
      </c>
      <c r="O490" s="103" t="str">
        <f t="shared" si="18"/>
        <v>CFLscw-Refl(7w)</v>
      </c>
      <c r="P490" s="103" t="s">
        <v>153</v>
      </c>
      <c r="Q490" s="103" t="s">
        <v>153</v>
      </c>
      <c r="R490" s="103" t="s">
        <v>153</v>
      </c>
      <c r="S490" s="103" t="str">
        <f>INDEX('Measure &amp; Standard CostIDs'!$AK$8:$AK$12,B490)</f>
        <v>Single-pack</v>
      </c>
      <c r="T490" s="103" t="s">
        <v>867</v>
      </c>
      <c r="U490" s="103"/>
      <c r="V490" s="103"/>
      <c r="W490" s="103">
        <f>ROUND(IF(LEFT(D490,3)="Std",VLOOKUP(D490,'Measure &amp; Standard CostIDs'!$S$5:$X$177,1+B490,FALSE),VLOOKUP(D490,'Measure &amp; Standard CostIDs'!$C$5:$H$177,1+B490,FALSE)),2)</f>
        <v>7.23</v>
      </c>
      <c r="X490" s="103"/>
      <c r="Y490" s="103"/>
      <c r="Z490" s="103" t="s">
        <v>868</v>
      </c>
      <c r="AA490" s="103" t="s">
        <v>874</v>
      </c>
      <c r="AB490" s="103" t="s">
        <v>153</v>
      </c>
      <c r="AC490" s="103">
        <v>0</v>
      </c>
      <c r="AD490" s="156">
        <v>42005</v>
      </c>
      <c r="AE490" s="103"/>
      <c r="AF490" s="103" t="s">
        <v>870</v>
      </c>
      <c r="AG490" s="103" t="s">
        <v>871</v>
      </c>
      <c r="AH490" s="103" t="s">
        <v>976</v>
      </c>
      <c r="AI490" s="103">
        <v>0</v>
      </c>
      <c r="AJ490" s="103"/>
      <c r="AK490" s="103"/>
      <c r="AL490" s="103"/>
      <c r="AM490" s="103"/>
      <c r="AN490" s="103"/>
      <c r="AO490" s="103" t="str">
        <f t="shared" si="19"/>
        <v>CFLscw-Refl(7w)Single-pack</v>
      </c>
    </row>
    <row r="491" spans="1:41">
      <c r="A491" s="177">
        <f>IFERROR(MATCH(D491,'Measure &amp; Standard CostIDs'!C$5:C$177,0),MATCH(D491,'Measure &amp; Standard CostIDs'!S$5:S$177,0))</f>
        <v>157</v>
      </c>
      <c r="B491" s="177">
        <f t="shared" si="20"/>
        <v>2</v>
      </c>
      <c r="C491" s="103" t="s">
        <v>153</v>
      </c>
      <c r="D491" s="103" t="str">
        <f t="shared" si="21"/>
        <v>CFLscw-Refl(8w)</v>
      </c>
      <c r="E491" s="103" t="str">
        <f>IF(LEFT(D491,3)="Std","Base case cost for mix of 60% Incandescent and 40% CFL lamps for CFL TechID: "&amp;INDEX('Measure &amp; Standard CostIDs'!$C$5:$C$177,A491),"&lt;from TechID&gt;")</f>
        <v>&lt;from TechID&gt;</v>
      </c>
      <c r="F491" s="103" t="s">
        <v>860</v>
      </c>
      <c r="G491" s="103" t="s">
        <v>151</v>
      </c>
      <c r="H491" s="103" t="s">
        <v>861</v>
      </c>
      <c r="I491" s="103" t="s">
        <v>862</v>
      </c>
      <c r="J491" s="103" t="s">
        <v>863</v>
      </c>
      <c r="K491" s="103" t="s">
        <v>864</v>
      </c>
      <c r="L491" s="103" t="s">
        <v>153</v>
      </c>
      <c r="M491" s="103" t="s">
        <v>865</v>
      </c>
      <c r="N491" s="103" t="s">
        <v>866</v>
      </c>
      <c r="O491" s="103" t="str">
        <f t="shared" si="18"/>
        <v>CFLscw-Refl(8w)</v>
      </c>
      <c r="P491" s="103" t="s">
        <v>153</v>
      </c>
      <c r="Q491" s="103" t="s">
        <v>153</v>
      </c>
      <c r="R491" s="103" t="s">
        <v>153</v>
      </c>
      <c r="S491" s="103" t="str">
        <f>INDEX('Measure &amp; Standard CostIDs'!$AK$8:$AK$12,B491)</f>
        <v>Single-pack</v>
      </c>
      <c r="T491" s="103" t="s">
        <v>867</v>
      </c>
      <c r="U491" s="103"/>
      <c r="V491" s="103"/>
      <c r="W491" s="103">
        <f>ROUND(IF(LEFT(D491,3)="Std",VLOOKUP(D491,'Measure &amp; Standard CostIDs'!$S$5:$X$177,1+B491,FALSE),VLOOKUP(D491,'Measure &amp; Standard CostIDs'!$C$5:$H$177,1+B491,FALSE)),2)</f>
        <v>7.38</v>
      </c>
      <c r="X491" s="103"/>
      <c r="Y491" s="103"/>
      <c r="Z491" s="103" t="s">
        <v>868</v>
      </c>
      <c r="AA491" s="103" t="s">
        <v>874</v>
      </c>
      <c r="AB491" s="103" t="s">
        <v>153</v>
      </c>
      <c r="AC491" s="103">
        <v>0</v>
      </c>
      <c r="AD491" s="156">
        <v>42005</v>
      </c>
      <c r="AE491" s="103"/>
      <c r="AF491" s="103" t="s">
        <v>870</v>
      </c>
      <c r="AG491" s="103" t="s">
        <v>871</v>
      </c>
      <c r="AH491" s="103" t="s">
        <v>976</v>
      </c>
      <c r="AI491" s="103">
        <v>0</v>
      </c>
      <c r="AJ491" s="103"/>
      <c r="AK491" s="103"/>
      <c r="AL491" s="103"/>
      <c r="AM491" s="103"/>
      <c r="AN491" s="103"/>
      <c r="AO491" s="103" t="str">
        <f t="shared" si="19"/>
        <v>CFLscw-Refl(8w)Single-pack</v>
      </c>
    </row>
    <row r="492" spans="1:41">
      <c r="A492" s="177">
        <f>IFERROR(MATCH(D492,'Measure &amp; Standard CostIDs'!C$5:C$177,0),MATCH(D492,'Measure &amp; Standard CostIDs'!S$5:S$177,0))</f>
        <v>158</v>
      </c>
      <c r="B492" s="177">
        <f t="shared" si="20"/>
        <v>2</v>
      </c>
      <c r="C492" s="103" t="s">
        <v>153</v>
      </c>
      <c r="D492" s="103" t="str">
        <f t="shared" si="21"/>
        <v>CFLscw-Refl(9w)</v>
      </c>
      <c r="E492" s="103" t="str">
        <f>IF(LEFT(D492,3)="Std","Base case cost for mix of 60% Incandescent and 40% CFL lamps for CFL TechID: "&amp;INDEX('Measure &amp; Standard CostIDs'!$C$5:$C$177,A492),"&lt;from TechID&gt;")</f>
        <v>&lt;from TechID&gt;</v>
      </c>
      <c r="F492" s="103" t="s">
        <v>860</v>
      </c>
      <c r="G492" s="103" t="s">
        <v>151</v>
      </c>
      <c r="H492" s="103" t="s">
        <v>861</v>
      </c>
      <c r="I492" s="103" t="s">
        <v>862</v>
      </c>
      <c r="J492" s="103" t="s">
        <v>863</v>
      </c>
      <c r="K492" s="103" t="s">
        <v>864</v>
      </c>
      <c r="L492" s="103" t="s">
        <v>153</v>
      </c>
      <c r="M492" s="103" t="s">
        <v>865</v>
      </c>
      <c r="N492" s="103" t="s">
        <v>866</v>
      </c>
      <c r="O492" s="103" t="str">
        <f t="shared" si="18"/>
        <v>CFLscw-Refl(9w)</v>
      </c>
      <c r="P492" s="103" t="s">
        <v>153</v>
      </c>
      <c r="Q492" s="103" t="s">
        <v>153</v>
      </c>
      <c r="R492" s="103" t="s">
        <v>153</v>
      </c>
      <c r="S492" s="103" t="str">
        <f>INDEX('Measure &amp; Standard CostIDs'!$AK$8:$AK$12,B492)</f>
        <v>Single-pack</v>
      </c>
      <c r="T492" s="103" t="s">
        <v>867</v>
      </c>
      <c r="U492" s="103"/>
      <c r="V492" s="103"/>
      <c r="W492" s="103">
        <f>ROUND(IF(LEFT(D492,3)="Std",VLOOKUP(D492,'Measure &amp; Standard CostIDs'!$S$5:$X$177,1+B492,FALSE),VLOOKUP(D492,'Measure &amp; Standard CostIDs'!$C$5:$H$177,1+B492,FALSE)),2)</f>
        <v>7.53</v>
      </c>
      <c r="X492" s="103"/>
      <c r="Y492" s="103"/>
      <c r="Z492" s="103" t="s">
        <v>868</v>
      </c>
      <c r="AA492" s="103" t="s">
        <v>874</v>
      </c>
      <c r="AB492" s="103" t="s">
        <v>153</v>
      </c>
      <c r="AC492" s="103">
        <v>0</v>
      </c>
      <c r="AD492" s="156">
        <v>42005</v>
      </c>
      <c r="AE492" s="103"/>
      <c r="AF492" s="103" t="s">
        <v>870</v>
      </c>
      <c r="AG492" s="103" t="s">
        <v>871</v>
      </c>
      <c r="AH492" s="103" t="s">
        <v>976</v>
      </c>
      <c r="AI492" s="103">
        <v>0</v>
      </c>
      <c r="AJ492" s="103"/>
      <c r="AK492" s="103"/>
      <c r="AL492" s="103"/>
      <c r="AM492" s="103"/>
      <c r="AN492" s="103"/>
      <c r="AO492" s="103" t="str">
        <f t="shared" si="19"/>
        <v>CFLscw-Refl(9w)Single-pack</v>
      </c>
    </row>
    <row r="493" spans="1:41">
      <c r="A493" s="177">
        <f>IFERROR(MATCH(D493,'Measure &amp; Standard CostIDs'!C$5:C$177,0),MATCH(D493,'Measure &amp; Standard CostIDs'!S$5:S$177,0))</f>
        <v>159</v>
      </c>
      <c r="B493" s="177">
        <f t="shared" si="20"/>
        <v>2</v>
      </c>
      <c r="C493" s="103" t="s">
        <v>153</v>
      </c>
      <c r="D493" s="103" t="str">
        <f t="shared" si="21"/>
        <v>CFLscw-Refl-1(15w)</v>
      </c>
      <c r="E493" s="103" t="str">
        <f>IF(LEFT(D493,3)="Std","Base case cost for mix of 60% Incandescent and 40% CFL lamps for CFL TechID: "&amp;INDEX('Measure &amp; Standard CostIDs'!$C$5:$C$177,A493),"&lt;from TechID&gt;")</f>
        <v>&lt;from TechID&gt;</v>
      </c>
      <c r="F493" s="103" t="s">
        <v>860</v>
      </c>
      <c r="G493" s="103" t="s">
        <v>151</v>
      </c>
      <c r="H493" s="103" t="s">
        <v>861</v>
      </c>
      <c r="I493" s="103" t="s">
        <v>862</v>
      </c>
      <c r="J493" s="103" t="s">
        <v>863</v>
      </c>
      <c r="K493" s="103" t="s">
        <v>864</v>
      </c>
      <c r="L493" s="103" t="s">
        <v>153</v>
      </c>
      <c r="M493" s="103" t="s">
        <v>865</v>
      </c>
      <c r="N493" s="103" t="s">
        <v>866</v>
      </c>
      <c r="O493" s="103" t="str">
        <f t="shared" si="18"/>
        <v>CFLscw-Refl-1(15w)</v>
      </c>
      <c r="P493" s="103" t="s">
        <v>153</v>
      </c>
      <c r="Q493" s="103" t="s">
        <v>153</v>
      </c>
      <c r="R493" s="103" t="s">
        <v>153</v>
      </c>
      <c r="S493" s="103" t="str">
        <f>INDEX('Measure &amp; Standard CostIDs'!$AK$8:$AK$12,B493)</f>
        <v>Single-pack</v>
      </c>
      <c r="T493" s="103" t="s">
        <v>867</v>
      </c>
      <c r="U493" s="103"/>
      <c r="V493" s="103"/>
      <c r="W493" s="103">
        <f>ROUND(IF(LEFT(D493,3)="Std",VLOOKUP(D493,'Measure &amp; Standard CostIDs'!$S$5:$X$177,1+B493,FALSE),VLOOKUP(D493,'Measure &amp; Standard CostIDs'!$C$5:$H$177,1+B493,FALSE)),2)</f>
        <v>8.41</v>
      </c>
      <c r="X493" s="103"/>
      <c r="Y493" s="103"/>
      <c r="Z493" s="103" t="s">
        <v>868</v>
      </c>
      <c r="AA493" s="103" t="s">
        <v>874</v>
      </c>
      <c r="AB493" s="103" t="s">
        <v>153</v>
      </c>
      <c r="AC493" s="103">
        <v>0</v>
      </c>
      <c r="AD493" s="156">
        <v>42005</v>
      </c>
      <c r="AE493" s="103"/>
      <c r="AF493" s="103" t="s">
        <v>870</v>
      </c>
      <c r="AG493" s="103" t="s">
        <v>871</v>
      </c>
      <c r="AH493" s="103" t="s">
        <v>976</v>
      </c>
      <c r="AI493" s="103">
        <v>0</v>
      </c>
      <c r="AJ493" s="103"/>
      <c r="AK493" s="103"/>
      <c r="AL493" s="103"/>
      <c r="AM493" s="103"/>
      <c r="AN493" s="103"/>
      <c r="AO493" s="103" t="str">
        <f t="shared" si="19"/>
        <v>CFLscw-Refl-1(15w)Single-pack</v>
      </c>
    </row>
    <row r="494" spans="1:41">
      <c r="A494" s="177">
        <f>IFERROR(MATCH(D494,'Measure &amp; Standard CostIDs'!C$5:C$177,0),MATCH(D494,'Measure &amp; Standard CostIDs'!S$5:S$177,0))</f>
        <v>160</v>
      </c>
      <c r="B494" s="177">
        <f t="shared" si="20"/>
        <v>2</v>
      </c>
      <c r="C494" s="103" t="s">
        <v>153</v>
      </c>
      <c r="D494" s="103" t="str">
        <f t="shared" si="21"/>
        <v>CFLscw-Refl-1(23w)</v>
      </c>
      <c r="E494" s="103" t="str">
        <f>IF(LEFT(D494,3)="Std","Base case cost for mix of 60% Incandescent and 40% CFL lamps for CFL TechID: "&amp;INDEX('Measure &amp; Standard CostIDs'!$C$5:$C$177,A494),"&lt;from TechID&gt;")</f>
        <v>&lt;from TechID&gt;</v>
      </c>
      <c r="F494" s="103" t="s">
        <v>860</v>
      </c>
      <c r="G494" s="103" t="s">
        <v>151</v>
      </c>
      <c r="H494" s="103" t="s">
        <v>861</v>
      </c>
      <c r="I494" s="103" t="s">
        <v>862</v>
      </c>
      <c r="J494" s="103" t="s">
        <v>863</v>
      </c>
      <c r="K494" s="103" t="s">
        <v>864</v>
      </c>
      <c r="L494" s="103" t="s">
        <v>153</v>
      </c>
      <c r="M494" s="103" t="s">
        <v>865</v>
      </c>
      <c r="N494" s="103" t="s">
        <v>866</v>
      </c>
      <c r="O494" s="103" t="str">
        <f t="shared" si="18"/>
        <v>CFLscw-Refl-1(23w)</v>
      </c>
      <c r="P494" s="103" t="s">
        <v>153</v>
      </c>
      <c r="Q494" s="103" t="s">
        <v>153</v>
      </c>
      <c r="R494" s="103" t="s">
        <v>153</v>
      </c>
      <c r="S494" s="103" t="str">
        <f>INDEX('Measure &amp; Standard CostIDs'!$AK$8:$AK$12,B494)</f>
        <v>Single-pack</v>
      </c>
      <c r="T494" s="103" t="s">
        <v>867</v>
      </c>
      <c r="U494" s="103"/>
      <c r="V494" s="103"/>
      <c r="W494" s="103">
        <f>ROUND(IF(LEFT(D494,3)="Std",VLOOKUP(D494,'Measure &amp; Standard CostIDs'!$S$5:$X$177,1+B494,FALSE),VLOOKUP(D494,'Measure &amp; Standard CostIDs'!$C$5:$H$177,1+B494,FALSE)),2)</f>
        <v>9.59</v>
      </c>
      <c r="X494" s="103"/>
      <c r="Y494" s="103"/>
      <c r="Z494" s="103" t="s">
        <v>868</v>
      </c>
      <c r="AA494" s="103" t="s">
        <v>874</v>
      </c>
      <c r="AB494" s="103" t="s">
        <v>153</v>
      </c>
      <c r="AC494" s="103">
        <v>0</v>
      </c>
      <c r="AD494" s="156">
        <v>42005</v>
      </c>
      <c r="AE494" s="103"/>
      <c r="AF494" s="103" t="s">
        <v>870</v>
      </c>
      <c r="AG494" s="103" t="s">
        <v>871</v>
      </c>
      <c r="AH494" s="103" t="s">
        <v>976</v>
      </c>
      <c r="AI494" s="103">
        <v>0</v>
      </c>
      <c r="AJ494" s="103"/>
      <c r="AK494" s="103"/>
      <c r="AL494" s="103"/>
      <c r="AM494" s="103"/>
      <c r="AN494" s="103"/>
      <c r="AO494" s="103" t="str">
        <f t="shared" si="19"/>
        <v>CFLscw-Refl-1(23w)Single-pack</v>
      </c>
    </row>
    <row r="495" spans="1:41">
      <c r="A495" s="177">
        <f>IFERROR(MATCH(D495,'Measure &amp; Standard CostIDs'!C$5:C$177,0),MATCH(D495,'Measure &amp; Standard CostIDs'!S$5:S$177,0))</f>
        <v>161</v>
      </c>
      <c r="B495" s="177">
        <f t="shared" si="20"/>
        <v>2</v>
      </c>
      <c r="C495" s="103" t="s">
        <v>153</v>
      </c>
      <c r="D495" s="103" t="str">
        <f t="shared" si="21"/>
        <v>CFLscw-Refl-2(15w)</v>
      </c>
      <c r="E495" s="103" t="str">
        <f>IF(LEFT(D495,3)="Std","Base case cost for mix of 60% Incandescent and 40% CFL lamps for CFL TechID: "&amp;INDEX('Measure &amp; Standard CostIDs'!$C$5:$C$177,A495),"&lt;from TechID&gt;")</f>
        <v>&lt;from TechID&gt;</v>
      </c>
      <c r="F495" s="103" t="s">
        <v>860</v>
      </c>
      <c r="G495" s="103" t="s">
        <v>151</v>
      </c>
      <c r="H495" s="103" t="s">
        <v>861</v>
      </c>
      <c r="I495" s="103" t="s">
        <v>862</v>
      </c>
      <c r="J495" s="103" t="s">
        <v>863</v>
      </c>
      <c r="K495" s="103" t="s">
        <v>864</v>
      </c>
      <c r="L495" s="103" t="s">
        <v>153</v>
      </c>
      <c r="M495" s="103" t="s">
        <v>865</v>
      </c>
      <c r="N495" s="103" t="s">
        <v>866</v>
      </c>
      <c r="O495" s="103" t="str">
        <f t="shared" si="18"/>
        <v>CFLscw-Refl-2(15w)</v>
      </c>
      <c r="P495" s="103" t="s">
        <v>153</v>
      </c>
      <c r="Q495" s="103" t="s">
        <v>153</v>
      </c>
      <c r="R495" s="103" t="s">
        <v>153</v>
      </c>
      <c r="S495" s="103" t="str">
        <f>INDEX('Measure &amp; Standard CostIDs'!$AK$8:$AK$12,B495)</f>
        <v>Single-pack</v>
      </c>
      <c r="T495" s="103" t="s">
        <v>867</v>
      </c>
      <c r="U495" s="103"/>
      <c r="V495" s="103"/>
      <c r="W495" s="103">
        <f>ROUND(IF(LEFT(D495,3)="Std",VLOOKUP(D495,'Measure &amp; Standard CostIDs'!$S$5:$X$177,1+B495,FALSE),VLOOKUP(D495,'Measure &amp; Standard CostIDs'!$C$5:$H$177,1+B495,FALSE)),2)</f>
        <v>8.41</v>
      </c>
      <c r="X495" s="103"/>
      <c r="Y495" s="103"/>
      <c r="Z495" s="103" t="s">
        <v>868</v>
      </c>
      <c r="AA495" s="103" t="s">
        <v>874</v>
      </c>
      <c r="AB495" s="103" t="s">
        <v>153</v>
      </c>
      <c r="AC495" s="103">
        <v>0</v>
      </c>
      <c r="AD495" s="156">
        <v>42005</v>
      </c>
      <c r="AE495" s="103"/>
      <c r="AF495" s="103" t="s">
        <v>870</v>
      </c>
      <c r="AG495" s="103" t="s">
        <v>871</v>
      </c>
      <c r="AH495" s="103" t="s">
        <v>976</v>
      </c>
      <c r="AI495" s="103">
        <v>0</v>
      </c>
      <c r="AJ495" s="103"/>
      <c r="AK495" s="103"/>
      <c r="AL495" s="103"/>
      <c r="AM495" s="103"/>
      <c r="AN495" s="103"/>
      <c r="AO495" s="103" t="str">
        <f t="shared" si="19"/>
        <v>CFLscw-Refl-2(15w)Single-pack</v>
      </c>
    </row>
    <row r="496" spans="1:41">
      <c r="A496" s="177">
        <f>IFERROR(MATCH(D496,'Measure &amp; Standard CostIDs'!C$5:C$177,0),MATCH(D496,'Measure &amp; Standard CostIDs'!S$5:S$177,0))</f>
        <v>162</v>
      </c>
      <c r="B496" s="177">
        <f t="shared" si="20"/>
        <v>2</v>
      </c>
      <c r="C496" s="103" t="s">
        <v>153</v>
      </c>
      <c r="D496" s="103" t="str">
        <f t="shared" si="21"/>
        <v>CFLscw-Refl-2(23w)</v>
      </c>
      <c r="E496" s="103" t="str">
        <f>IF(LEFT(D496,3)="Std","Base case cost for mix of 60% Incandescent and 40% CFL lamps for CFL TechID: "&amp;INDEX('Measure &amp; Standard CostIDs'!$C$5:$C$177,A496),"&lt;from TechID&gt;")</f>
        <v>&lt;from TechID&gt;</v>
      </c>
      <c r="F496" s="103" t="s">
        <v>860</v>
      </c>
      <c r="G496" s="103" t="s">
        <v>151</v>
      </c>
      <c r="H496" s="103" t="s">
        <v>861</v>
      </c>
      <c r="I496" s="103" t="s">
        <v>862</v>
      </c>
      <c r="J496" s="103" t="s">
        <v>863</v>
      </c>
      <c r="K496" s="103" t="s">
        <v>864</v>
      </c>
      <c r="L496" s="103" t="s">
        <v>153</v>
      </c>
      <c r="M496" s="103" t="s">
        <v>865</v>
      </c>
      <c r="N496" s="103" t="s">
        <v>866</v>
      </c>
      <c r="O496" s="103" t="str">
        <f t="shared" si="18"/>
        <v>CFLscw-Refl-2(23w)</v>
      </c>
      <c r="P496" s="103" t="s">
        <v>153</v>
      </c>
      <c r="Q496" s="103" t="s">
        <v>153</v>
      </c>
      <c r="R496" s="103" t="s">
        <v>153</v>
      </c>
      <c r="S496" s="103" t="str">
        <f>INDEX('Measure &amp; Standard CostIDs'!$AK$8:$AK$12,B496)</f>
        <v>Single-pack</v>
      </c>
      <c r="T496" s="103" t="s">
        <v>867</v>
      </c>
      <c r="U496" s="103"/>
      <c r="V496" s="103"/>
      <c r="W496" s="103">
        <f>ROUND(IF(LEFT(D496,3)="Std",VLOOKUP(D496,'Measure &amp; Standard CostIDs'!$S$5:$X$177,1+B496,FALSE),VLOOKUP(D496,'Measure &amp; Standard CostIDs'!$C$5:$H$177,1+B496,FALSE)),2)</f>
        <v>9.59</v>
      </c>
      <c r="X496" s="103"/>
      <c r="Y496" s="103"/>
      <c r="Z496" s="103" t="s">
        <v>868</v>
      </c>
      <c r="AA496" s="103" t="s">
        <v>874</v>
      </c>
      <c r="AB496" s="103" t="s">
        <v>153</v>
      </c>
      <c r="AC496" s="103">
        <v>0</v>
      </c>
      <c r="AD496" s="156">
        <v>42005</v>
      </c>
      <c r="AE496" s="103"/>
      <c r="AF496" s="103" t="s">
        <v>870</v>
      </c>
      <c r="AG496" s="103" t="s">
        <v>871</v>
      </c>
      <c r="AH496" s="103" t="s">
        <v>976</v>
      </c>
      <c r="AI496" s="103">
        <v>0</v>
      </c>
      <c r="AJ496" s="103"/>
      <c r="AK496" s="103"/>
      <c r="AL496" s="103"/>
      <c r="AM496" s="103"/>
      <c r="AN496" s="103"/>
      <c r="AO496" s="103" t="str">
        <f t="shared" si="19"/>
        <v>CFLscw-Refl-2(23w)Single-pack</v>
      </c>
    </row>
    <row r="497" spans="1:41">
      <c r="A497" s="177">
        <f>IFERROR(MATCH(D497,'Measure &amp; Standard CostIDs'!C$5:C$177,0),MATCH(D497,'Measure &amp; Standard CostIDs'!S$5:S$177,0))</f>
        <v>163</v>
      </c>
      <c r="B497" s="177">
        <f t="shared" si="20"/>
        <v>2</v>
      </c>
      <c r="C497" s="103" t="s">
        <v>153</v>
      </c>
      <c r="D497" s="103" t="str">
        <f t="shared" si="21"/>
        <v>CFLscw-Refl-Dim(15w)</v>
      </c>
      <c r="E497" s="103" t="str">
        <f>IF(LEFT(D497,3)="Std","Base case cost for mix of 60% Incandescent and 40% CFL lamps for CFL TechID: "&amp;INDEX('Measure &amp; Standard CostIDs'!$C$5:$C$177,A497),"&lt;from TechID&gt;")</f>
        <v>&lt;from TechID&gt;</v>
      </c>
      <c r="F497" s="103" t="s">
        <v>860</v>
      </c>
      <c r="G497" s="103" t="s">
        <v>151</v>
      </c>
      <c r="H497" s="103" t="s">
        <v>861</v>
      </c>
      <c r="I497" s="103" t="s">
        <v>862</v>
      </c>
      <c r="J497" s="103" t="s">
        <v>863</v>
      </c>
      <c r="K497" s="103" t="s">
        <v>864</v>
      </c>
      <c r="L497" s="103" t="s">
        <v>153</v>
      </c>
      <c r="M497" s="103" t="s">
        <v>865</v>
      </c>
      <c r="N497" s="103" t="s">
        <v>866</v>
      </c>
      <c r="O497" s="103" t="str">
        <f t="shared" si="18"/>
        <v>CFLscw-Refl-Dim(15w)</v>
      </c>
      <c r="P497" s="103" t="s">
        <v>153</v>
      </c>
      <c r="Q497" s="103" t="s">
        <v>153</v>
      </c>
      <c r="R497" s="103" t="s">
        <v>153</v>
      </c>
      <c r="S497" s="103" t="str">
        <f>INDEX('Measure &amp; Standard CostIDs'!$AK$8:$AK$12,B497)</f>
        <v>Single-pack</v>
      </c>
      <c r="T497" s="103" t="s">
        <v>867</v>
      </c>
      <c r="U497" s="103"/>
      <c r="V497" s="103"/>
      <c r="W497" s="103">
        <f>ROUND(IF(LEFT(D497,3)="Std",VLOOKUP(D497,'Measure &amp; Standard CostIDs'!$S$5:$X$177,1+B497,FALSE),VLOOKUP(D497,'Measure &amp; Standard CostIDs'!$C$5:$H$177,1+B497,FALSE)),2)</f>
        <v>12.46</v>
      </c>
      <c r="X497" s="103"/>
      <c r="Y497" s="103"/>
      <c r="Z497" s="103" t="s">
        <v>868</v>
      </c>
      <c r="AA497" s="103" t="s">
        <v>874</v>
      </c>
      <c r="AB497" s="103" t="s">
        <v>153</v>
      </c>
      <c r="AC497" s="103">
        <v>0</v>
      </c>
      <c r="AD497" s="156">
        <v>42005</v>
      </c>
      <c r="AE497" s="103"/>
      <c r="AF497" s="103" t="s">
        <v>870</v>
      </c>
      <c r="AG497" s="103" t="s">
        <v>871</v>
      </c>
      <c r="AH497" s="103" t="s">
        <v>976</v>
      </c>
      <c r="AI497" s="103">
        <v>0</v>
      </c>
      <c r="AJ497" s="103"/>
      <c r="AK497" s="103"/>
      <c r="AL497" s="103"/>
      <c r="AM497" s="103"/>
      <c r="AN497" s="103"/>
      <c r="AO497" s="103" t="str">
        <f t="shared" si="19"/>
        <v>CFLscw-Refl-Dim(15w)Single-pack</v>
      </c>
    </row>
    <row r="498" spans="1:41">
      <c r="A498" s="177">
        <f>IFERROR(MATCH(D498,'Measure &amp; Standard CostIDs'!C$5:C$177,0),MATCH(D498,'Measure &amp; Standard CostIDs'!S$5:S$177,0))</f>
        <v>164</v>
      </c>
      <c r="B498" s="177">
        <f t="shared" si="20"/>
        <v>2</v>
      </c>
      <c r="C498" s="103" t="s">
        <v>153</v>
      </c>
      <c r="D498" s="103" t="str">
        <f t="shared" si="21"/>
        <v>CFLscw-Refl-Dim(16w)</v>
      </c>
      <c r="E498" s="103" t="str">
        <f>IF(LEFT(D498,3)="Std","Base case cost for mix of 60% Incandescent and 40% CFL lamps for CFL TechID: "&amp;INDEX('Measure &amp; Standard CostIDs'!$C$5:$C$177,A498),"&lt;from TechID&gt;")</f>
        <v>&lt;from TechID&gt;</v>
      </c>
      <c r="F498" s="103" t="s">
        <v>860</v>
      </c>
      <c r="G498" s="103" t="s">
        <v>151</v>
      </c>
      <c r="H498" s="103" t="s">
        <v>861</v>
      </c>
      <c r="I498" s="103" t="s">
        <v>862</v>
      </c>
      <c r="J498" s="103" t="s">
        <v>863</v>
      </c>
      <c r="K498" s="103" t="s">
        <v>864</v>
      </c>
      <c r="L498" s="103" t="s">
        <v>153</v>
      </c>
      <c r="M498" s="103" t="s">
        <v>865</v>
      </c>
      <c r="N498" s="103" t="s">
        <v>866</v>
      </c>
      <c r="O498" s="103" t="str">
        <f t="shared" si="18"/>
        <v>CFLscw-Refl-Dim(16w)</v>
      </c>
      <c r="P498" s="103" t="s">
        <v>153</v>
      </c>
      <c r="Q498" s="103" t="s">
        <v>153</v>
      </c>
      <c r="R498" s="103" t="s">
        <v>153</v>
      </c>
      <c r="S498" s="103" t="str">
        <f>INDEX('Measure &amp; Standard CostIDs'!$AK$8:$AK$12,B498)</f>
        <v>Single-pack</v>
      </c>
      <c r="T498" s="103" t="s">
        <v>867</v>
      </c>
      <c r="U498" s="103"/>
      <c r="V498" s="103"/>
      <c r="W498" s="103">
        <f>ROUND(IF(LEFT(D498,3)="Std",VLOOKUP(D498,'Measure &amp; Standard CostIDs'!$S$5:$X$177,1+B498,FALSE),VLOOKUP(D498,'Measure &amp; Standard CostIDs'!$C$5:$H$177,1+B498,FALSE)),2)</f>
        <v>12.6</v>
      </c>
      <c r="X498" s="103"/>
      <c r="Y498" s="103"/>
      <c r="Z498" s="103" t="s">
        <v>868</v>
      </c>
      <c r="AA498" s="103" t="s">
        <v>874</v>
      </c>
      <c r="AB498" s="103" t="s">
        <v>153</v>
      </c>
      <c r="AC498" s="103">
        <v>0</v>
      </c>
      <c r="AD498" s="156">
        <v>42005</v>
      </c>
      <c r="AE498" s="103"/>
      <c r="AF498" s="103" t="s">
        <v>870</v>
      </c>
      <c r="AG498" s="103" t="s">
        <v>871</v>
      </c>
      <c r="AH498" s="103" t="s">
        <v>976</v>
      </c>
      <c r="AI498" s="103">
        <v>0</v>
      </c>
      <c r="AJ498" s="103"/>
      <c r="AK498" s="103"/>
      <c r="AL498" s="103"/>
      <c r="AM498" s="103"/>
      <c r="AN498" s="103"/>
      <c r="AO498" s="103" t="str">
        <f t="shared" si="19"/>
        <v>CFLscw-Refl-Dim(16w)Single-pack</v>
      </c>
    </row>
    <row r="499" spans="1:41">
      <c r="A499" s="177">
        <f>IFERROR(MATCH(D499,'Measure &amp; Standard CostIDs'!C$5:C$177,0),MATCH(D499,'Measure &amp; Standard CostIDs'!S$5:S$177,0))</f>
        <v>165</v>
      </c>
      <c r="B499" s="177">
        <f t="shared" si="20"/>
        <v>2</v>
      </c>
      <c r="C499" s="103" t="s">
        <v>153</v>
      </c>
      <c r="D499" s="103" t="str">
        <f t="shared" si="21"/>
        <v>CFLscw-Refl-Dim(20w)</v>
      </c>
      <c r="E499" s="103" t="str">
        <f>IF(LEFT(D499,3)="Std","Base case cost for mix of 60% Incandescent and 40% CFL lamps for CFL TechID: "&amp;INDEX('Measure &amp; Standard CostIDs'!$C$5:$C$177,A499),"&lt;from TechID&gt;")</f>
        <v>&lt;from TechID&gt;</v>
      </c>
      <c r="F499" s="103" t="s">
        <v>860</v>
      </c>
      <c r="G499" s="103" t="s">
        <v>151</v>
      </c>
      <c r="H499" s="103" t="s">
        <v>861</v>
      </c>
      <c r="I499" s="103" t="s">
        <v>862</v>
      </c>
      <c r="J499" s="103" t="s">
        <v>863</v>
      </c>
      <c r="K499" s="103" t="s">
        <v>864</v>
      </c>
      <c r="L499" s="103" t="s">
        <v>153</v>
      </c>
      <c r="M499" s="103" t="s">
        <v>865</v>
      </c>
      <c r="N499" s="103" t="s">
        <v>866</v>
      </c>
      <c r="O499" s="103" t="str">
        <f t="shared" si="18"/>
        <v>CFLscw-Refl-Dim(20w)</v>
      </c>
      <c r="P499" s="103" t="s">
        <v>153</v>
      </c>
      <c r="Q499" s="103" t="s">
        <v>153</v>
      </c>
      <c r="R499" s="103" t="s">
        <v>153</v>
      </c>
      <c r="S499" s="103" t="str">
        <f>INDEX('Measure &amp; Standard CostIDs'!$AK$8:$AK$12,B499)</f>
        <v>Single-pack</v>
      </c>
      <c r="T499" s="103" t="s">
        <v>867</v>
      </c>
      <c r="U499" s="103"/>
      <c r="V499" s="103"/>
      <c r="W499" s="103">
        <f>ROUND(IF(LEFT(D499,3)="Std",VLOOKUP(D499,'Measure &amp; Standard CostIDs'!$S$5:$X$177,1+B499,FALSE),VLOOKUP(D499,'Measure &amp; Standard CostIDs'!$C$5:$H$177,1+B499,FALSE)),2)</f>
        <v>13.19</v>
      </c>
      <c r="X499" s="103"/>
      <c r="Y499" s="103"/>
      <c r="Z499" s="103" t="s">
        <v>868</v>
      </c>
      <c r="AA499" s="103" t="s">
        <v>874</v>
      </c>
      <c r="AB499" s="103" t="s">
        <v>153</v>
      </c>
      <c r="AC499" s="103">
        <v>0</v>
      </c>
      <c r="AD499" s="156">
        <v>42005</v>
      </c>
      <c r="AE499" s="103"/>
      <c r="AF499" s="103" t="s">
        <v>870</v>
      </c>
      <c r="AG499" s="103" t="s">
        <v>871</v>
      </c>
      <c r="AH499" s="103" t="s">
        <v>976</v>
      </c>
      <c r="AI499" s="103">
        <v>0</v>
      </c>
      <c r="AJ499" s="103"/>
      <c r="AK499" s="103"/>
      <c r="AL499" s="103"/>
      <c r="AM499" s="103"/>
      <c r="AN499" s="103"/>
      <c r="AO499" s="103" t="str">
        <f t="shared" si="19"/>
        <v>CFLscw-Refl-Dim(20w)Single-pack</v>
      </c>
    </row>
    <row r="500" spans="1:41">
      <c r="A500" s="177">
        <f>IFERROR(MATCH(D500,'Measure &amp; Standard CostIDs'!C$5:C$177,0),MATCH(D500,'Measure &amp; Standard CostIDs'!S$5:S$177,0))</f>
        <v>166</v>
      </c>
      <c r="B500" s="177">
        <f t="shared" si="20"/>
        <v>2</v>
      </c>
      <c r="C500" s="103" t="s">
        <v>153</v>
      </c>
      <c r="D500" s="103" t="str">
        <f t="shared" si="21"/>
        <v>CFLscw-Refl-Dim(26w)</v>
      </c>
      <c r="E500" s="103" t="str">
        <f>IF(LEFT(D500,3)="Std","Base case cost for mix of 60% Incandescent and 40% CFL lamps for CFL TechID: "&amp;INDEX('Measure &amp; Standard CostIDs'!$C$5:$C$177,A500),"&lt;from TechID&gt;")</f>
        <v>&lt;from TechID&gt;</v>
      </c>
      <c r="F500" s="103" t="s">
        <v>860</v>
      </c>
      <c r="G500" s="103" t="s">
        <v>151</v>
      </c>
      <c r="H500" s="103" t="s">
        <v>861</v>
      </c>
      <c r="I500" s="103" t="s">
        <v>862</v>
      </c>
      <c r="J500" s="103" t="s">
        <v>863</v>
      </c>
      <c r="K500" s="103" t="s">
        <v>864</v>
      </c>
      <c r="L500" s="103" t="s">
        <v>153</v>
      </c>
      <c r="M500" s="103" t="s">
        <v>865</v>
      </c>
      <c r="N500" s="103" t="s">
        <v>866</v>
      </c>
      <c r="O500" s="103" t="str">
        <f t="shared" si="18"/>
        <v>CFLscw-Refl-Dim(26w)</v>
      </c>
      <c r="P500" s="103" t="s">
        <v>153</v>
      </c>
      <c r="Q500" s="103" t="s">
        <v>153</v>
      </c>
      <c r="R500" s="103" t="s">
        <v>153</v>
      </c>
      <c r="S500" s="103" t="str">
        <f>INDEX('Measure &amp; Standard CostIDs'!$AK$8:$AK$12,B500)</f>
        <v>Single-pack</v>
      </c>
      <c r="T500" s="103" t="s">
        <v>867</v>
      </c>
      <c r="U500" s="103"/>
      <c r="V500" s="103"/>
      <c r="W500" s="103">
        <f>ROUND(IF(LEFT(D500,3)="Std",VLOOKUP(D500,'Measure &amp; Standard CostIDs'!$S$5:$X$177,1+B500,FALSE),VLOOKUP(D500,'Measure &amp; Standard CostIDs'!$C$5:$H$177,1+B500,FALSE)),2)</f>
        <v>14.08</v>
      </c>
      <c r="X500" s="103"/>
      <c r="Y500" s="103"/>
      <c r="Z500" s="103" t="s">
        <v>868</v>
      </c>
      <c r="AA500" s="103" t="s">
        <v>874</v>
      </c>
      <c r="AB500" s="103" t="s">
        <v>153</v>
      </c>
      <c r="AC500" s="103">
        <v>0</v>
      </c>
      <c r="AD500" s="156">
        <v>42005</v>
      </c>
      <c r="AE500" s="103"/>
      <c r="AF500" s="103" t="s">
        <v>870</v>
      </c>
      <c r="AG500" s="103" t="s">
        <v>871</v>
      </c>
      <c r="AH500" s="103" t="s">
        <v>976</v>
      </c>
      <c r="AI500" s="103">
        <v>0</v>
      </c>
      <c r="AJ500" s="103"/>
      <c r="AK500" s="103"/>
      <c r="AL500" s="103"/>
      <c r="AM500" s="103"/>
      <c r="AN500" s="103"/>
      <c r="AO500" s="103" t="str">
        <f t="shared" si="19"/>
        <v>CFLscw-Refl-Dim(26w)Single-pack</v>
      </c>
    </row>
    <row r="501" spans="1:41">
      <c r="A501" s="177">
        <f>IFERROR(MATCH(D501,'Measure &amp; Standard CostIDs'!C$5:C$177,0),MATCH(D501,'Measure &amp; Standard CostIDs'!S$5:S$177,0))</f>
        <v>167</v>
      </c>
      <c r="B501" s="177">
        <f t="shared" si="20"/>
        <v>2</v>
      </c>
      <c r="C501" s="103" t="s">
        <v>153</v>
      </c>
      <c r="D501" s="103" t="str">
        <f t="shared" si="21"/>
        <v>CFLscw-Refl-Ext(13w)</v>
      </c>
      <c r="E501" s="103" t="str">
        <f>IF(LEFT(D501,3)="Std","Base case cost for mix of 60% Incandescent and 40% CFL lamps for CFL TechID: "&amp;INDEX('Measure &amp; Standard CostIDs'!$C$5:$C$177,A501),"&lt;from TechID&gt;")</f>
        <v>&lt;from TechID&gt;</v>
      </c>
      <c r="F501" s="103" t="s">
        <v>860</v>
      </c>
      <c r="G501" s="103" t="s">
        <v>151</v>
      </c>
      <c r="H501" s="103" t="s">
        <v>861</v>
      </c>
      <c r="I501" s="103" t="s">
        <v>862</v>
      </c>
      <c r="J501" s="103" t="s">
        <v>863</v>
      </c>
      <c r="K501" s="103" t="s">
        <v>864</v>
      </c>
      <c r="L501" s="103" t="s">
        <v>153</v>
      </c>
      <c r="M501" s="103" t="s">
        <v>865</v>
      </c>
      <c r="N501" s="103" t="s">
        <v>866</v>
      </c>
      <c r="O501" s="103" t="str">
        <f t="shared" si="18"/>
        <v>CFLscw-Refl-Ext(13w)</v>
      </c>
      <c r="P501" s="103" t="s">
        <v>153</v>
      </c>
      <c r="Q501" s="103" t="s">
        <v>153</v>
      </c>
      <c r="R501" s="103" t="s">
        <v>153</v>
      </c>
      <c r="S501" s="103" t="str">
        <f>INDEX('Measure &amp; Standard CostIDs'!$AK$8:$AK$12,B501)</f>
        <v>Single-pack</v>
      </c>
      <c r="T501" s="103" t="s">
        <v>867</v>
      </c>
      <c r="U501" s="103"/>
      <c r="V501" s="103"/>
      <c r="W501" s="103">
        <f>ROUND(IF(LEFT(D501,3)="Std",VLOOKUP(D501,'Measure &amp; Standard CostIDs'!$S$5:$X$177,1+B501,FALSE),VLOOKUP(D501,'Measure &amp; Standard CostIDs'!$C$5:$H$177,1+B501,FALSE)),2)</f>
        <v>8.1199999999999992</v>
      </c>
      <c r="X501" s="103"/>
      <c r="Y501" s="103"/>
      <c r="Z501" s="103" t="s">
        <v>868</v>
      </c>
      <c r="AA501" s="103" t="s">
        <v>874</v>
      </c>
      <c r="AB501" s="103" t="s">
        <v>153</v>
      </c>
      <c r="AC501" s="103">
        <v>0</v>
      </c>
      <c r="AD501" s="156">
        <v>42005</v>
      </c>
      <c r="AE501" s="103"/>
      <c r="AF501" s="103" t="s">
        <v>870</v>
      </c>
      <c r="AG501" s="103" t="s">
        <v>871</v>
      </c>
      <c r="AH501" s="103" t="s">
        <v>976</v>
      </c>
      <c r="AI501" s="103">
        <v>0</v>
      </c>
      <c r="AJ501" s="103"/>
      <c r="AK501" s="103"/>
      <c r="AL501" s="103"/>
      <c r="AM501" s="103"/>
      <c r="AN501" s="103"/>
      <c r="AO501" s="103" t="str">
        <f t="shared" si="19"/>
        <v>CFLscw-Refl-Ext(13w)Single-pack</v>
      </c>
    </row>
    <row r="502" spans="1:41">
      <c r="A502" s="177">
        <f>IFERROR(MATCH(D502,'Measure &amp; Standard CostIDs'!C$5:C$177,0),MATCH(D502,'Measure &amp; Standard CostIDs'!S$5:S$177,0))</f>
        <v>168</v>
      </c>
      <c r="B502" s="177">
        <f t="shared" si="20"/>
        <v>2</v>
      </c>
      <c r="C502" s="103" t="s">
        <v>153</v>
      </c>
      <c r="D502" s="103" t="str">
        <f t="shared" si="21"/>
        <v>CFLscw-Refl-Ext(14w)</v>
      </c>
      <c r="E502" s="103" t="str">
        <f>IF(LEFT(D502,3)="Std","Base case cost for mix of 60% Incandescent and 40% CFL lamps for CFL TechID: "&amp;INDEX('Measure &amp; Standard CostIDs'!$C$5:$C$177,A502),"&lt;from TechID&gt;")</f>
        <v>&lt;from TechID&gt;</v>
      </c>
      <c r="F502" s="103" t="s">
        <v>860</v>
      </c>
      <c r="G502" s="103" t="s">
        <v>151</v>
      </c>
      <c r="H502" s="103" t="s">
        <v>861</v>
      </c>
      <c r="I502" s="103" t="s">
        <v>862</v>
      </c>
      <c r="J502" s="103" t="s">
        <v>863</v>
      </c>
      <c r="K502" s="103" t="s">
        <v>864</v>
      </c>
      <c r="L502" s="103" t="s">
        <v>153</v>
      </c>
      <c r="M502" s="103" t="s">
        <v>865</v>
      </c>
      <c r="N502" s="103" t="s">
        <v>866</v>
      </c>
      <c r="O502" s="103" t="str">
        <f t="shared" si="18"/>
        <v>CFLscw-Refl-Ext(14w)</v>
      </c>
      <c r="P502" s="103" t="s">
        <v>153</v>
      </c>
      <c r="Q502" s="103" t="s">
        <v>153</v>
      </c>
      <c r="R502" s="103" t="s">
        <v>153</v>
      </c>
      <c r="S502" s="103" t="str">
        <f>INDEX('Measure &amp; Standard CostIDs'!$AK$8:$AK$12,B502)</f>
        <v>Single-pack</v>
      </c>
      <c r="T502" s="103" t="s">
        <v>867</v>
      </c>
      <c r="U502" s="103"/>
      <c r="V502" s="103"/>
      <c r="W502" s="103">
        <f>ROUND(IF(LEFT(D502,3)="Std",VLOOKUP(D502,'Measure &amp; Standard CostIDs'!$S$5:$X$177,1+B502,FALSE),VLOOKUP(D502,'Measure &amp; Standard CostIDs'!$C$5:$H$177,1+B502,FALSE)),2)</f>
        <v>8.26</v>
      </c>
      <c r="X502" s="103"/>
      <c r="Y502" s="103"/>
      <c r="Z502" s="103" t="s">
        <v>868</v>
      </c>
      <c r="AA502" s="103" t="s">
        <v>874</v>
      </c>
      <c r="AB502" s="103" t="s">
        <v>153</v>
      </c>
      <c r="AC502" s="103">
        <v>0</v>
      </c>
      <c r="AD502" s="156">
        <v>42005</v>
      </c>
      <c r="AE502" s="103"/>
      <c r="AF502" s="103" t="s">
        <v>870</v>
      </c>
      <c r="AG502" s="103" t="s">
        <v>871</v>
      </c>
      <c r="AH502" s="103" t="s">
        <v>976</v>
      </c>
      <c r="AI502" s="103">
        <v>0</v>
      </c>
      <c r="AJ502" s="103"/>
      <c r="AK502" s="103"/>
      <c r="AL502" s="103"/>
      <c r="AM502" s="103"/>
      <c r="AN502" s="103"/>
      <c r="AO502" s="103" t="str">
        <f t="shared" si="19"/>
        <v>CFLscw-Refl-Ext(14w)Single-pack</v>
      </c>
    </row>
    <row r="503" spans="1:41">
      <c r="A503" s="177">
        <f>IFERROR(MATCH(D503,'Measure &amp; Standard CostIDs'!C$5:C$177,0),MATCH(D503,'Measure &amp; Standard CostIDs'!S$5:S$177,0))</f>
        <v>169</v>
      </c>
      <c r="B503" s="177">
        <f t="shared" si="20"/>
        <v>2</v>
      </c>
      <c r="C503" s="103" t="s">
        <v>153</v>
      </c>
      <c r="D503" s="103" t="str">
        <f t="shared" si="21"/>
        <v>CFLscw-Refl-Ext(15w)</v>
      </c>
      <c r="E503" s="103" t="str">
        <f>IF(LEFT(D503,3)="Std","Base case cost for mix of 60% Incandescent and 40% CFL lamps for CFL TechID: "&amp;INDEX('Measure &amp; Standard CostIDs'!$C$5:$C$177,A503),"&lt;from TechID&gt;")</f>
        <v>&lt;from TechID&gt;</v>
      </c>
      <c r="F503" s="103" t="s">
        <v>860</v>
      </c>
      <c r="G503" s="103" t="s">
        <v>151</v>
      </c>
      <c r="H503" s="103" t="s">
        <v>861</v>
      </c>
      <c r="I503" s="103" t="s">
        <v>862</v>
      </c>
      <c r="J503" s="103" t="s">
        <v>863</v>
      </c>
      <c r="K503" s="103" t="s">
        <v>864</v>
      </c>
      <c r="L503" s="103" t="s">
        <v>153</v>
      </c>
      <c r="M503" s="103" t="s">
        <v>865</v>
      </c>
      <c r="N503" s="103" t="s">
        <v>866</v>
      </c>
      <c r="O503" s="103" t="str">
        <f t="shared" si="18"/>
        <v>CFLscw-Refl-Ext(15w)</v>
      </c>
      <c r="P503" s="103" t="s">
        <v>153</v>
      </c>
      <c r="Q503" s="103" t="s">
        <v>153</v>
      </c>
      <c r="R503" s="103" t="s">
        <v>153</v>
      </c>
      <c r="S503" s="103" t="str">
        <f>INDEX('Measure &amp; Standard CostIDs'!$AK$8:$AK$12,B503)</f>
        <v>Single-pack</v>
      </c>
      <c r="T503" s="103" t="s">
        <v>867</v>
      </c>
      <c r="U503" s="103"/>
      <c r="V503" s="103"/>
      <c r="W503" s="103">
        <f>ROUND(IF(LEFT(D503,3)="Std",VLOOKUP(D503,'Measure &amp; Standard CostIDs'!$S$5:$X$177,1+B503,FALSE),VLOOKUP(D503,'Measure &amp; Standard CostIDs'!$C$5:$H$177,1+B503,FALSE)),2)</f>
        <v>8.41</v>
      </c>
      <c r="X503" s="103"/>
      <c r="Y503" s="103"/>
      <c r="Z503" s="103" t="s">
        <v>868</v>
      </c>
      <c r="AA503" s="103" t="s">
        <v>874</v>
      </c>
      <c r="AB503" s="103" t="s">
        <v>153</v>
      </c>
      <c r="AC503" s="103">
        <v>0</v>
      </c>
      <c r="AD503" s="156">
        <v>42005</v>
      </c>
      <c r="AE503" s="103"/>
      <c r="AF503" s="103" t="s">
        <v>870</v>
      </c>
      <c r="AG503" s="103" t="s">
        <v>871</v>
      </c>
      <c r="AH503" s="103" t="s">
        <v>976</v>
      </c>
      <c r="AI503" s="103">
        <v>0</v>
      </c>
      <c r="AJ503" s="103"/>
      <c r="AK503" s="103"/>
      <c r="AL503" s="103"/>
      <c r="AM503" s="103"/>
      <c r="AN503" s="103"/>
      <c r="AO503" s="103" t="str">
        <f t="shared" si="19"/>
        <v>CFLscw-Refl-Ext(15w)Single-pack</v>
      </c>
    </row>
    <row r="504" spans="1:41">
      <c r="A504" s="177">
        <f>IFERROR(MATCH(D504,'Measure &amp; Standard CostIDs'!C$5:C$177,0),MATCH(D504,'Measure &amp; Standard CostIDs'!S$5:S$177,0))</f>
        <v>170</v>
      </c>
      <c r="B504" s="177">
        <f t="shared" si="20"/>
        <v>2</v>
      </c>
      <c r="C504" s="103" t="s">
        <v>153</v>
      </c>
      <c r="D504" s="103" t="str">
        <f t="shared" si="21"/>
        <v>CFLscw-Refl-Ext(16w)</v>
      </c>
      <c r="E504" s="103" t="str">
        <f>IF(LEFT(D504,3)="Std","Base case cost for mix of 60% Incandescent and 40% CFL lamps for CFL TechID: "&amp;INDEX('Measure &amp; Standard CostIDs'!$C$5:$C$177,A504),"&lt;from TechID&gt;")</f>
        <v>&lt;from TechID&gt;</v>
      </c>
      <c r="F504" s="103" t="s">
        <v>860</v>
      </c>
      <c r="G504" s="103" t="s">
        <v>151</v>
      </c>
      <c r="H504" s="103" t="s">
        <v>861</v>
      </c>
      <c r="I504" s="103" t="s">
        <v>862</v>
      </c>
      <c r="J504" s="103" t="s">
        <v>863</v>
      </c>
      <c r="K504" s="103" t="s">
        <v>864</v>
      </c>
      <c r="L504" s="103" t="s">
        <v>153</v>
      </c>
      <c r="M504" s="103" t="s">
        <v>865</v>
      </c>
      <c r="N504" s="103" t="s">
        <v>866</v>
      </c>
      <c r="O504" s="103" t="str">
        <f t="shared" si="18"/>
        <v>CFLscw-Refl-Ext(16w)</v>
      </c>
      <c r="P504" s="103" t="s">
        <v>153</v>
      </c>
      <c r="Q504" s="103" t="s">
        <v>153</v>
      </c>
      <c r="R504" s="103" t="s">
        <v>153</v>
      </c>
      <c r="S504" s="103" t="str">
        <f>INDEX('Measure &amp; Standard CostIDs'!$AK$8:$AK$12,B504)</f>
        <v>Single-pack</v>
      </c>
      <c r="T504" s="103" t="s">
        <v>867</v>
      </c>
      <c r="U504" s="103"/>
      <c r="V504" s="103"/>
      <c r="W504" s="103">
        <f>ROUND(IF(LEFT(D504,3)="Std",VLOOKUP(D504,'Measure &amp; Standard CostIDs'!$S$5:$X$177,1+B504,FALSE),VLOOKUP(D504,'Measure &amp; Standard CostIDs'!$C$5:$H$177,1+B504,FALSE)),2)</f>
        <v>8.56</v>
      </c>
      <c r="X504" s="103"/>
      <c r="Y504" s="103"/>
      <c r="Z504" s="103" t="s">
        <v>868</v>
      </c>
      <c r="AA504" s="103" t="s">
        <v>874</v>
      </c>
      <c r="AB504" s="103" t="s">
        <v>153</v>
      </c>
      <c r="AC504" s="103">
        <v>0</v>
      </c>
      <c r="AD504" s="156">
        <v>42005</v>
      </c>
      <c r="AE504" s="103"/>
      <c r="AF504" s="103" t="s">
        <v>870</v>
      </c>
      <c r="AG504" s="103" t="s">
        <v>871</v>
      </c>
      <c r="AH504" s="103" t="s">
        <v>976</v>
      </c>
      <c r="AI504" s="103">
        <v>0</v>
      </c>
      <c r="AJ504" s="103"/>
      <c r="AK504" s="103"/>
      <c r="AL504" s="103"/>
      <c r="AM504" s="103"/>
      <c r="AN504" s="103"/>
      <c r="AO504" s="103" t="str">
        <f t="shared" si="19"/>
        <v>CFLscw-Refl-Ext(16w)Single-pack</v>
      </c>
    </row>
    <row r="505" spans="1:41">
      <c r="A505" s="177">
        <f>IFERROR(MATCH(D505,'Measure &amp; Standard CostIDs'!C$5:C$177,0),MATCH(D505,'Measure &amp; Standard CostIDs'!S$5:S$177,0))</f>
        <v>171</v>
      </c>
      <c r="B505" s="177">
        <f t="shared" si="20"/>
        <v>2</v>
      </c>
      <c r="C505" s="103" t="s">
        <v>153</v>
      </c>
      <c r="D505" s="103" t="str">
        <f t="shared" si="21"/>
        <v>CFLscw-Refl-Ext(18w)</v>
      </c>
      <c r="E505" s="103" t="str">
        <f>IF(LEFT(D505,3)="Std","Base case cost for mix of 60% Incandescent and 40% CFL lamps for CFL TechID: "&amp;INDEX('Measure &amp; Standard CostIDs'!$C$5:$C$177,A505),"&lt;from TechID&gt;")</f>
        <v>&lt;from TechID&gt;</v>
      </c>
      <c r="F505" s="103" t="s">
        <v>860</v>
      </c>
      <c r="G505" s="103" t="s">
        <v>151</v>
      </c>
      <c r="H505" s="103" t="s">
        <v>861</v>
      </c>
      <c r="I505" s="103" t="s">
        <v>862</v>
      </c>
      <c r="J505" s="103" t="s">
        <v>863</v>
      </c>
      <c r="K505" s="103" t="s">
        <v>864</v>
      </c>
      <c r="L505" s="103" t="s">
        <v>153</v>
      </c>
      <c r="M505" s="103" t="s">
        <v>865</v>
      </c>
      <c r="N505" s="103" t="s">
        <v>866</v>
      </c>
      <c r="O505" s="103" t="str">
        <f t="shared" si="18"/>
        <v>CFLscw-Refl-Ext(18w)</v>
      </c>
      <c r="P505" s="103" t="s">
        <v>153</v>
      </c>
      <c r="Q505" s="103" t="s">
        <v>153</v>
      </c>
      <c r="R505" s="103" t="s">
        <v>153</v>
      </c>
      <c r="S505" s="103" t="str">
        <f>INDEX('Measure &amp; Standard CostIDs'!$AK$8:$AK$12,B505)</f>
        <v>Single-pack</v>
      </c>
      <c r="T505" s="103" t="s">
        <v>867</v>
      </c>
      <c r="U505" s="103"/>
      <c r="V505" s="103"/>
      <c r="W505" s="103">
        <f>ROUND(IF(LEFT(D505,3)="Std",VLOOKUP(D505,'Measure &amp; Standard CostIDs'!$S$5:$X$177,1+B505,FALSE),VLOOKUP(D505,'Measure &amp; Standard CostIDs'!$C$5:$H$177,1+B505,FALSE)),2)</f>
        <v>8.85</v>
      </c>
      <c r="X505" s="103"/>
      <c r="Y505" s="103"/>
      <c r="Z505" s="103" t="s">
        <v>868</v>
      </c>
      <c r="AA505" s="103" t="s">
        <v>874</v>
      </c>
      <c r="AB505" s="103" t="s">
        <v>153</v>
      </c>
      <c r="AC505" s="103">
        <v>0</v>
      </c>
      <c r="AD505" s="156">
        <v>42005</v>
      </c>
      <c r="AE505" s="103"/>
      <c r="AF505" s="103" t="s">
        <v>870</v>
      </c>
      <c r="AG505" s="103" t="s">
        <v>871</v>
      </c>
      <c r="AH505" s="103" t="s">
        <v>976</v>
      </c>
      <c r="AI505" s="103">
        <v>0</v>
      </c>
      <c r="AJ505" s="103"/>
      <c r="AK505" s="103"/>
      <c r="AL505" s="103"/>
      <c r="AM505" s="103"/>
      <c r="AN505" s="103"/>
      <c r="AO505" s="103" t="str">
        <f t="shared" si="19"/>
        <v>CFLscw-Refl-Ext(18w)Single-pack</v>
      </c>
    </row>
    <row r="506" spans="1:41">
      <c r="A506" s="177">
        <f>IFERROR(MATCH(D506,'Measure &amp; Standard CostIDs'!C$5:C$177,0),MATCH(D506,'Measure &amp; Standard CostIDs'!S$5:S$177,0))</f>
        <v>172</v>
      </c>
      <c r="B506" s="177">
        <f t="shared" si="20"/>
        <v>2</v>
      </c>
      <c r="C506" s="103" t="s">
        <v>153</v>
      </c>
      <c r="D506" s="103" t="str">
        <f t="shared" si="21"/>
        <v>CFLscw-Refl-Ext(20w)</v>
      </c>
      <c r="E506" s="103" t="str">
        <f>IF(LEFT(D506,3)="Std","Base case cost for mix of 60% Incandescent and 40% CFL lamps for CFL TechID: "&amp;INDEX('Measure &amp; Standard CostIDs'!$C$5:$C$177,A506),"&lt;from TechID&gt;")</f>
        <v>&lt;from TechID&gt;</v>
      </c>
      <c r="F506" s="103" t="s">
        <v>860</v>
      </c>
      <c r="G506" s="103" t="s">
        <v>151</v>
      </c>
      <c r="H506" s="103" t="s">
        <v>861</v>
      </c>
      <c r="I506" s="103" t="s">
        <v>862</v>
      </c>
      <c r="J506" s="103" t="s">
        <v>863</v>
      </c>
      <c r="K506" s="103" t="s">
        <v>864</v>
      </c>
      <c r="L506" s="103" t="s">
        <v>153</v>
      </c>
      <c r="M506" s="103" t="s">
        <v>865</v>
      </c>
      <c r="N506" s="103" t="s">
        <v>866</v>
      </c>
      <c r="O506" s="103" t="str">
        <f t="shared" si="18"/>
        <v>CFLscw-Refl-Ext(20w)</v>
      </c>
      <c r="P506" s="103" t="s">
        <v>153</v>
      </c>
      <c r="Q506" s="103" t="s">
        <v>153</v>
      </c>
      <c r="R506" s="103" t="s">
        <v>153</v>
      </c>
      <c r="S506" s="103" t="str">
        <f>INDEX('Measure &amp; Standard CostIDs'!$AK$8:$AK$12,B506)</f>
        <v>Single-pack</v>
      </c>
      <c r="T506" s="103" t="s">
        <v>867</v>
      </c>
      <c r="U506" s="103"/>
      <c r="V506" s="103"/>
      <c r="W506" s="103">
        <f>ROUND(IF(LEFT(D506,3)="Std",VLOOKUP(D506,'Measure &amp; Standard CostIDs'!$S$5:$X$177,1+B506,FALSE),VLOOKUP(D506,'Measure &amp; Standard CostIDs'!$C$5:$H$177,1+B506,FALSE)),2)</f>
        <v>9.15</v>
      </c>
      <c r="X506" s="103"/>
      <c r="Y506" s="103"/>
      <c r="Z506" s="103" t="s">
        <v>868</v>
      </c>
      <c r="AA506" s="103" t="s">
        <v>874</v>
      </c>
      <c r="AB506" s="103" t="s">
        <v>153</v>
      </c>
      <c r="AC506" s="103">
        <v>0</v>
      </c>
      <c r="AD506" s="156">
        <v>42005</v>
      </c>
      <c r="AE506" s="103"/>
      <c r="AF506" s="103" t="s">
        <v>870</v>
      </c>
      <c r="AG506" s="103" t="s">
        <v>871</v>
      </c>
      <c r="AH506" s="103" t="s">
        <v>976</v>
      </c>
      <c r="AI506" s="103">
        <v>0</v>
      </c>
      <c r="AJ506" s="103"/>
      <c r="AK506" s="103"/>
      <c r="AL506" s="103"/>
      <c r="AM506" s="103"/>
      <c r="AN506" s="103"/>
      <c r="AO506" s="103" t="str">
        <f t="shared" si="19"/>
        <v>CFLscw-Refl-Ext(20w)Single-pack</v>
      </c>
    </row>
    <row r="507" spans="1:41">
      <c r="A507" s="177">
        <f>IFERROR(MATCH(D507,'Measure &amp; Standard CostIDs'!C$5:C$177,0),MATCH(D507,'Measure &amp; Standard CostIDs'!S$5:S$177,0))</f>
        <v>173</v>
      </c>
      <c r="B507" s="177">
        <f t="shared" si="20"/>
        <v>2</v>
      </c>
      <c r="C507" s="103" t="s">
        <v>153</v>
      </c>
      <c r="D507" s="103" t="str">
        <f t="shared" si="21"/>
        <v>CFLscw-Refl-Ext(23w)</v>
      </c>
      <c r="E507" s="103" t="str">
        <f>IF(LEFT(D507,3)="Std","Base case cost for mix of 60% Incandescent and 40% CFL lamps for CFL TechID: "&amp;INDEX('Measure &amp; Standard CostIDs'!$C$5:$C$177,A507),"&lt;from TechID&gt;")</f>
        <v>&lt;from TechID&gt;</v>
      </c>
      <c r="F507" s="103" t="s">
        <v>860</v>
      </c>
      <c r="G507" s="103" t="s">
        <v>151</v>
      </c>
      <c r="H507" s="103" t="s">
        <v>861</v>
      </c>
      <c r="I507" s="103" t="s">
        <v>862</v>
      </c>
      <c r="J507" s="103" t="s">
        <v>863</v>
      </c>
      <c r="K507" s="103" t="s">
        <v>864</v>
      </c>
      <c r="L507" s="103" t="s">
        <v>153</v>
      </c>
      <c r="M507" s="103" t="s">
        <v>865</v>
      </c>
      <c r="N507" s="103" t="s">
        <v>866</v>
      </c>
      <c r="O507" s="103" t="str">
        <f t="shared" si="18"/>
        <v>CFLscw-Refl-Ext(23w)</v>
      </c>
      <c r="P507" s="103" t="s">
        <v>153</v>
      </c>
      <c r="Q507" s="103" t="s">
        <v>153</v>
      </c>
      <c r="R507" s="103" t="s">
        <v>153</v>
      </c>
      <c r="S507" s="103" t="str">
        <f>INDEX('Measure &amp; Standard CostIDs'!$AK$8:$AK$12,B507)</f>
        <v>Single-pack</v>
      </c>
      <c r="T507" s="103" t="s">
        <v>867</v>
      </c>
      <c r="U507" s="103"/>
      <c r="V507" s="103"/>
      <c r="W507" s="103">
        <f>ROUND(IF(LEFT(D507,3)="Std",VLOOKUP(D507,'Measure &amp; Standard CostIDs'!$S$5:$X$177,1+B507,FALSE),VLOOKUP(D507,'Measure &amp; Standard CostIDs'!$C$5:$H$177,1+B507,FALSE)),2)</f>
        <v>9.59</v>
      </c>
      <c r="X507" s="103"/>
      <c r="Y507" s="103"/>
      <c r="Z507" s="103" t="s">
        <v>868</v>
      </c>
      <c r="AA507" s="103" t="s">
        <v>874</v>
      </c>
      <c r="AB507" s="103" t="s">
        <v>153</v>
      </c>
      <c r="AC507" s="103">
        <v>0</v>
      </c>
      <c r="AD507" s="156">
        <v>42005</v>
      </c>
      <c r="AE507" s="103"/>
      <c r="AF507" s="103" t="s">
        <v>870</v>
      </c>
      <c r="AG507" s="103" t="s">
        <v>871</v>
      </c>
      <c r="AH507" s="103" t="s">
        <v>976</v>
      </c>
      <c r="AI507" s="103">
        <v>0</v>
      </c>
      <c r="AJ507" s="103"/>
      <c r="AK507" s="103"/>
      <c r="AL507" s="103"/>
      <c r="AM507" s="103"/>
      <c r="AN507" s="103"/>
      <c r="AO507" s="103" t="str">
        <f t="shared" si="19"/>
        <v>CFLscw-Refl-Ext(23w)Single-pack</v>
      </c>
    </row>
    <row r="508" spans="1:41">
      <c r="A508" s="177">
        <f>IFERROR(MATCH(D508,'Measure &amp; Standard CostIDs'!C$5:C$177,0),MATCH(D508,'Measure &amp; Standard CostIDs'!S$5:S$177,0))</f>
        <v>1</v>
      </c>
      <c r="B508" s="177">
        <f t="shared" si="20"/>
        <v>2</v>
      </c>
      <c r="C508" s="103" t="s">
        <v>153</v>
      </c>
      <c r="D508" s="103" t="str">
        <f t="shared" si="21"/>
        <v>Std_CFLscw(10w)_60pInc-r0248</v>
      </c>
      <c r="E508" s="103" t="str">
        <f>IF(LEFT(D508,3)="Std","Base case cost for mix of 60% Incandescent and 40% CFL lamps for CFL TechID: "&amp;INDEX('Measure &amp; Standard CostIDs'!$C$5:$C$177,A508),"&lt;from TechID&gt;")</f>
        <v>Base case cost for mix of 60% Incandescent and 40% CFL lamps for CFL TechID: CFLscw(10w)</v>
      </c>
      <c r="F508" s="103" t="s">
        <v>860</v>
      </c>
      <c r="G508" s="103" t="s">
        <v>151</v>
      </c>
      <c r="H508" s="103" t="s">
        <v>861</v>
      </c>
      <c r="I508" s="103" t="s">
        <v>862</v>
      </c>
      <c r="J508" s="103" t="s">
        <v>863</v>
      </c>
      <c r="K508" s="103" t="s">
        <v>864</v>
      </c>
      <c r="L508" s="103" t="s">
        <v>153</v>
      </c>
      <c r="M508" s="103" t="s">
        <v>865</v>
      </c>
      <c r="N508" s="103" t="s">
        <v>866</v>
      </c>
      <c r="O508" s="103" t="str">
        <f t="shared" si="18"/>
        <v/>
      </c>
      <c r="P508" s="103" t="s">
        <v>153</v>
      </c>
      <c r="Q508" s="103" t="s">
        <v>153</v>
      </c>
      <c r="R508" s="103" t="s">
        <v>153</v>
      </c>
      <c r="S508" s="103" t="str">
        <f>INDEX('Measure &amp; Standard CostIDs'!$AK$8:$AK$12,B508)</f>
        <v>Single-pack</v>
      </c>
      <c r="T508" s="103" t="s">
        <v>867</v>
      </c>
      <c r="U508" s="103"/>
      <c r="V508" s="103"/>
      <c r="W508" s="103">
        <f>ROUND(IF(LEFT(D508,3)="Std",VLOOKUP(D508,'Measure &amp; Standard CostIDs'!$S$5:$X$177,1+B508,FALSE),VLOOKUP(D508,'Measure &amp; Standard CostIDs'!$C$5:$H$177,1+B508,FALSE)),2)</f>
        <v>3.9</v>
      </c>
      <c r="X508" s="103"/>
      <c r="Y508" s="103"/>
      <c r="Z508" s="103" t="s">
        <v>868</v>
      </c>
      <c r="AA508" s="103" t="s">
        <v>874</v>
      </c>
      <c r="AB508" s="103" t="s">
        <v>153</v>
      </c>
      <c r="AC508" s="103">
        <v>0</v>
      </c>
      <c r="AD508" s="156">
        <v>42005</v>
      </c>
      <c r="AE508" s="103"/>
      <c r="AF508" s="103" t="s">
        <v>870</v>
      </c>
      <c r="AG508" s="103" t="s">
        <v>871</v>
      </c>
      <c r="AH508" s="103" t="s">
        <v>976</v>
      </c>
      <c r="AI508" s="103">
        <v>0</v>
      </c>
      <c r="AJ508" s="103"/>
      <c r="AK508" s="103"/>
      <c r="AL508" s="103"/>
      <c r="AM508" s="103"/>
      <c r="AN508" s="103"/>
      <c r="AO508" s="103" t="str">
        <f t="shared" si="19"/>
        <v>Std_CFLscw(10w)_60pInc-r0248Single-pack</v>
      </c>
    </row>
    <row r="509" spans="1:41">
      <c r="A509" s="177">
        <f>IFERROR(MATCH(D509,'Measure &amp; Standard CostIDs'!C$5:C$177,0),MATCH(D509,'Measure &amp; Standard CostIDs'!S$5:S$177,0))</f>
        <v>2</v>
      </c>
      <c r="B509" s="177">
        <f t="shared" si="20"/>
        <v>2</v>
      </c>
      <c r="C509" s="103" t="s">
        <v>153</v>
      </c>
      <c r="D509" s="103" t="str">
        <f t="shared" si="21"/>
        <v>Std_CFLscw(11w)_60pInc-r0248</v>
      </c>
      <c r="E509" s="103" t="str">
        <f>IF(LEFT(D509,3)="Std","Base case cost for mix of 60% Incandescent and 40% CFL lamps for CFL TechID: "&amp;INDEX('Measure &amp; Standard CostIDs'!$C$5:$C$177,A509),"&lt;from TechID&gt;")</f>
        <v>Base case cost for mix of 60% Incandescent and 40% CFL lamps for CFL TechID: CFLscw(11w)</v>
      </c>
      <c r="F509" s="103" t="s">
        <v>860</v>
      </c>
      <c r="G509" s="103" t="s">
        <v>151</v>
      </c>
      <c r="H509" s="103" t="s">
        <v>861</v>
      </c>
      <c r="I509" s="103" t="s">
        <v>862</v>
      </c>
      <c r="J509" s="103" t="s">
        <v>863</v>
      </c>
      <c r="K509" s="103" t="s">
        <v>864</v>
      </c>
      <c r="L509" s="103" t="s">
        <v>153</v>
      </c>
      <c r="M509" s="103" t="s">
        <v>865</v>
      </c>
      <c r="N509" s="103" t="s">
        <v>866</v>
      </c>
      <c r="O509" s="103" t="str">
        <f t="shared" si="18"/>
        <v/>
      </c>
      <c r="P509" s="103" t="s">
        <v>153</v>
      </c>
      <c r="Q509" s="103" t="s">
        <v>153</v>
      </c>
      <c r="R509" s="103" t="s">
        <v>153</v>
      </c>
      <c r="S509" s="103" t="str">
        <f>INDEX('Measure &amp; Standard CostIDs'!$AK$8:$AK$12,B509)</f>
        <v>Single-pack</v>
      </c>
      <c r="T509" s="103" t="s">
        <v>867</v>
      </c>
      <c r="U509" s="103"/>
      <c r="V509" s="103"/>
      <c r="W509" s="103">
        <f>ROUND(IF(LEFT(D509,3)="Std",VLOOKUP(D509,'Measure &amp; Standard CostIDs'!$S$5:$X$177,1+B509,FALSE),VLOOKUP(D509,'Measure &amp; Standard CostIDs'!$C$5:$H$177,1+B509,FALSE)),2)</f>
        <v>3.95</v>
      </c>
      <c r="X509" s="103"/>
      <c r="Y509" s="103"/>
      <c r="Z509" s="103" t="s">
        <v>868</v>
      </c>
      <c r="AA509" s="103" t="s">
        <v>874</v>
      </c>
      <c r="AB509" s="103" t="s">
        <v>153</v>
      </c>
      <c r="AC509" s="103">
        <v>0</v>
      </c>
      <c r="AD509" s="156">
        <v>42005</v>
      </c>
      <c r="AE509" s="103"/>
      <c r="AF509" s="103" t="s">
        <v>870</v>
      </c>
      <c r="AG509" s="103" t="s">
        <v>871</v>
      </c>
      <c r="AH509" s="103" t="s">
        <v>976</v>
      </c>
      <c r="AI509" s="103">
        <v>0</v>
      </c>
      <c r="AJ509" s="103"/>
      <c r="AK509" s="103"/>
      <c r="AL509" s="103"/>
      <c r="AM509" s="103"/>
      <c r="AN509" s="103"/>
      <c r="AO509" s="103" t="str">
        <f t="shared" si="19"/>
        <v>Std_CFLscw(11w)_60pInc-r0248Single-pack</v>
      </c>
    </row>
    <row r="510" spans="1:41">
      <c r="A510" s="177">
        <f>IFERROR(MATCH(D510,'Measure &amp; Standard CostIDs'!C$5:C$177,0),MATCH(D510,'Measure &amp; Standard CostIDs'!S$5:S$177,0))</f>
        <v>4</v>
      </c>
      <c r="B510" s="177">
        <f t="shared" si="20"/>
        <v>2</v>
      </c>
      <c r="C510" s="103" t="s">
        <v>153</v>
      </c>
      <c r="D510" s="103" t="str">
        <f t="shared" si="21"/>
        <v>Std_CFLscw(12w)_60pInc-r0248</v>
      </c>
      <c r="E510" s="103" t="str">
        <f>IF(LEFT(D510,3)="Std","Base case cost for mix of 60% Incandescent and 40% CFL lamps for CFL TechID: "&amp;INDEX('Measure &amp; Standard CostIDs'!$C$5:$C$177,A510),"&lt;from TechID&gt;")</f>
        <v>Base case cost for mix of 60% Incandescent and 40% CFL lamps for CFL TechID: CFLscw(12w)</v>
      </c>
      <c r="F510" s="103" t="s">
        <v>860</v>
      </c>
      <c r="G510" s="103" t="s">
        <v>151</v>
      </c>
      <c r="H510" s="103" t="s">
        <v>861</v>
      </c>
      <c r="I510" s="103" t="s">
        <v>862</v>
      </c>
      <c r="J510" s="103" t="s">
        <v>863</v>
      </c>
      <c r="K510" s="103" t="s">
        <v>864</v>
      </c>
      <c r="L510" s="103" t="s">
        <v>153</v>
      </c>
      <c r="M510" s="103" t="s">
        <v>865</v>
      </c>
      <c r="N510" s="103" t="s">
        <v>866</v>
      </c>
      <c r="O510" s="103" t="str">
        <f t="shared" si="18"/>
        <v/>
      </c>
      <c r="P510" s="103" t="s">
        <v>153</v>
      </c>
      <c r="Q510" s="103" t="s">
        <v>153</v>
      </c>
      <c r="R510" s="103" t="s">
        <v>153</v>
      </c>
      <c r="S510" s="103" t="str">
        <f>INDEX('Measure &amp; Standard CostIDs'!$AK$8:$AK$12,B510)</f>
        <v>Single-pack</v>
      </c>
      <c r="T510" s="103" t="s">
        <v>867</v>
      </c>
      <c r="U510" s="103"/>
      <c r="V510" s="103"/>
      <c r="W510" s="103">
        <f>ROUND(IF(LEFT(D510,3)="Std",VLOOKUP(D510,'Measure &amp; Standard CostIDs'!$S$5:$X$177,1+B510,FALSE),VLOOKUP(D510,'Measure &amp; Standard CostIDs'!$C$5:$H$177,1+B510,FALSE)),2)</f>
        <v>4</v>
      </c>
      <c r="X510" s="103"/>
      <c r="Y510" s="103"/>
      <c r="Z510" s="103" t="s">
        <v>868</v>
      </c>
      <c r="AA510" s="103" t="s">
        <v>874</v>
      </c>
      <c r="AB510" s="103" t="s">
        <v>153</v>
      </c>
      <c r="AC510" s="103">
        <v>0</v>
      </c>
      <c r="AD510" s="156">
        <v>42005</v>
      </c>
      <c r="AE510" s="103"/>
      <c r="AF510" s="103" t="s">
        <v>870</v>
      </c>
      <c r="AG510" s="103" t="s">
        <v>871</v>
      </c>
      <c r="AH510" s="103" t="s">
        <v>976</v>
      </c>
      <c r="AI510" s="103">
        <v>0</v>
      </c>
      <c r="AJ510" s="103"/>
      <c r="AK510" s="103"/>
      <c r="AL510" s="103"/>
      <c r="AM510" s="103"/>
      <c r="AN510" s="103"/>
      <c r="AO510" s="103" t="str">
        <f t="shared" si="19"/>
        <v>Std_CFLscw(12w)_60pInc-r0248Single-pack</v>
      </c>
    </row>
    <row r="511" spans="1:41">
      <c r="A511" s="177">
        <f>IFERROR(MATCH(D511,'Measure &amp; Standard CostIDs'!C$5:C$177,0),MATCH(D511,'Measure &amp; Standard CostIDs'!S$5:S$177,0))</f>
        <v>5</v>
      </c>
      <c r="B511" s="177">
        <f t="shared" si="20"/>
        <v>2</v>
      </c>
      <c r="C511" s="103" t="s">
        <v>153</v>
      </c>
      <c r="D511" s="103" t="str">
        <f t="shared" si="21"/>
        <v>Std_CFLscw(13w)_60pInc-r0248</v>
      </c>
      <c r="E511" s="103" t="str">
        <f>IF(LEFT(D511,3)="Std","Base case cost for mix of 60% Incandescent and 40% CFL lamps for CFL TechID: "&amp;INDEX('Measure &amp; Standard CostIDs'!$C$5:$C$177,A511),"&lt;from TechID&gt;")</f>
        <v>Base case cost for mix of 60% Incandescent and 40% CFL lamps for CFL TechID: CFLscw(13w)</v>
      </c>
      <c r="F511" s="103" t="s">
        <v>860</v>
      </c>
      <c r="G511" s="103" t="s">
        <v>151</v>
      </c>
      <c r="H511" s="103" t="s">
        <v>861</v>
      </c>
      <c r="I511" s="103" t="s">
        <v>862</v>
      </c>
      <c r="J511" s="103" t="s">
        <v>863</v>
      </c>
      <c r="K511" s="103" t="s">
        <v>864</v>
      </c>
      <c r="L511" s="103" t="s">
        <v>153</v>
      </c>
      <c r="M511" s="103" t="s">
        <v>865</v>
      </c>
      <c r="N511" s="103" t="s">
        <v>866</v>
      </c>
      <c r="O511" s="103" t="str">
        <f t="shared" si="18"/>
        <v/>
      </c>
      <c r="P511" s="103" t="s">
        <v>153</v>
      </c>
      <c r="Q511" s="103" t="s">
        <v>153</v>
      </c>
      <c r="R511" s="103" t="s">
        <v>153</v>
      </c>
      <c r="S511" s="103" t="str">
        <f>INDEX('Measure &amp; Standard CostIDs'!$AK$8:$AK$12,B511)</f>
        <v>Single-pack</v>
      </c>
      <c r="T511" s="103" t="s">
        <v>867</v>
      </c>
      <c r="U511" s="103"/>
      <c r="V511" s="103"/>
      <c r="W511" s="103">
        <f>ROUND(IF(LEFT(D511,3)="Std",VLOOKUP(D511,'Measure &amp; Standard CostIDs'!$S$5:$X$177,1+B511,FALSE),VLOOKUP(D511,'Measure &amp; Standard CostIDs'!$C$5:$H$177,1+B511,FALSE)),2)</f>
        <v>4.04</v>
      </c>
      <c r="X511" s="103"/>
      <c r="Y511" s="103"/>
      <c r="Z511" s="103" t="s">
        <v>868</v>
      </c>
      <c r="AA511" s="103" t="s">
        <v>874</v>
      </c>
      <c r="AB511" s="103" t="s">
        <v>153</v>
      </c>
      <c r="AC511" s="103">
        <v>0</v>
      </c>
      <c r="AD511" s="156">
        <v>42005</v>
      </c>
      <c r="AE511" s="103"/>
      <c r="AF511" s="103" t="s">
        <v>870</v>
      </c>
      <c r="AG511" s="103" t="s">
        <v>871</v>
      </c>
      <c r="AH511" s="103" t="s">
        <v>976</v>
      </c>
      <c r="AI511" s="103">
        <v>0</v>
      </c>
      <c r="AJ511" s="103"/>
      <c r="AK511" s="103"/>
      <c r="AL511" s="103"/>
      <c r="AM511" s="103"/>
      <c r="AN511" s="103"/>
      <c r="AO511" s="103" t="str">
        <f t="shared" si="19"/>
        <v>Std_CFLscw(13w)_60pInc-r0248Single-pack</v>
      </c>
    </row>
    <row r="512" spans="1:41">
      <c r="A512" s="177">
        <f>IFERROR(MATCH(D512,'Measure &amp; Standard CostIDs'!C$5:C$177,0),MATCH(D512,'Measure &amp; Standard CostIDs'!S$5:S$177,0))</f>
        <v>6</v>
      </c>
      <c r="B512" s="177">
        <f t="shared" si="20"/>
        <v>2</v>
      </c>
      <c r="C512" s="103" t="s">
        <v>153</v>
      </c>
      <c r="D512" s="103" t="str">
        <f t="shared" si="21"/>
        <v>Std_CFLscw(14w)_60pInc-r0248</v>
      </c>
      <c r="E512" s="103" t="str">
        <f>IF(LEFT(D512,3)="Std","Base case cost for mix of 60% Incandescent and 40% CFL lamps for CFL TechID: "&amp;INDEX('Measure &amp; Standard CostIDs'!$C$5:$C$177,A512),"&lt;from TechID&gt;")</f>
        <v>Base case cost for mix of 60% Incandescent and 40% CFL lamps for CFL TechID: CFLscw(14w)</v>
      </c>
      <c r="F512" s="103" t="s">
        <v>860</v>
      </c>
      <c r="G512" s="103" t="s">
        <v>151</v>
      </c>
      <c r="H512" s="103" t="s">
        <v>861</v>
      </c>
      <c r="I512" s="103" t="s">
        <v>862</v>
      </c>
      <c r="J512" s="103" t="s">
        <v>863</v>
      </c>
      <c r="K512" s="103" t="s">
        <v>864</v>
      </c>
      <c r="L512" s="103" t="s">
        <v>153</v>
      </c>
      <c r="M512" s="103" t="s">
        <v>865</v>
      </c>
      <c r="N512" s="103" t="s">
        <v>866</v>
      </c>
      <c r="O512" s="103" t="str">
        <f t="shared" si="18"/>
        <v/>
      </c>
      <c r="P512" s="103" t="s">
        <v>153</v>
      </c>
      <c r="Q512" s="103" t="s">
        <v>153</v>
      </c>
      <c r="R512" s="103" t="s">
        <v>153</v>
      </c>
      <c r="S512" s="103" t="str">
        <f>INDEX('Measure &amp; Standard CostIDs'!$AK$8:$AK$12,B512)</f>
        <v>Single-pack</v>
      </c>
      <c r="T512" s="103" t="s">
        <v>867</v>
      </c>
      <c r="U512" s="103"/>
      <c r="V512" s="103"/>
      <c r="W512" s="103">
        <f>ROUND(IF(LEFT(D512,3)="Std",VLOOKUP(D512,'Measure &amp; Standard CostIDs'!$S$5:$X$177,1+B512,FALSE),VLOOKUP(D512,'Measure &amp; Standard CostIDs'!$C$5:$H$177,1+B512,FALSE)),2)</f>
        <v>4.09</v>
      </c>
      <c r="X512" s="103"/>
      <c r="Y512" s="103"/>
      <c r="Z512" s="103" t="s">
        <v>868</v>
      </c>
      <c r="AA512" s="103" t="s">
        <v>874</v>
      </c>
      <c r="AB512" s="103" t="s">
        <v>153</v>
      </c>
      <c r="AC512" s="103">
        <v>0</v>
      </c>
      <c r="AD512" s="156">
        <v>42005</v>
      </c>
      <c r="AE512" s="103"/>
      <c r="AF512" s="103" t="s">
        <v>870</v>
      </c>
      <c r="AG512" s="103" t="s">
        <v>871</v>
      </c>
      <c r="AH512" s="103" t="s">
        <v>976</v>
      </c>
      <c r="AI512" s="103">
        <v>0</v>
      </c>
      <c r="AJ512" s="103"/>
      <c r="AK512" s="103"/>
      <c r="AL512" s="103"/>
      <c r="AM512" s="103"/>
      <c r="AN512" s="103"/>
      <c r="AO512" s="103" t="str">
        <f t="shared" si="19"/>
        <v>Std_CFLscw(14w)_60pInc-r0248Single-pack</v>
      </c>
    </row>
    <row r="513" spans="1:41">
      <c r="A513" s="177">
        <f>IFERROR(MATCH(D513,'Measure &amp; Standard CostIDs'!C$5:C$177,0),MATCH(D513,'Measure &amp; Standard CostIDs'!S$5:S$177,0))</f>
        <v>7</v>
      </c>
      <c r="B513" s="177">
        <f t="shared" si="20"/>
        <v>2</v>
      </c>
      <c r="C513" s="103" t="s">
        <v>153</v>
      </c>
      <c r="D513" s="103" t="str">
        <f t="shared" si="21"/>
        <v>Std_CFLscw(15w)_60pInc-r0248</v>
      </c>
      <c r="E513" s="103" t="str">
        <f>IF(LEFT(D513,3)="Std","Base case cost for mix of 60% Incandescent and 40% CFL lamps for CFL TechID: "&amp;INDEX('Measure &amp; Standard CostIDs'!$C$5:$C$177,A513),"&lt;from TechID&gt;")</f>
        <v>Base case cost for mix of 60% Incandescent and 40% CFL lamps for CFL TechID: CFLscw(15w)</v>
      </c>
      <c r="F513" s="103" t="s">
        <v>860</v>
      </c>
      <c r="G513" s="103" t="s">
        <v>151</v>
      </c>
      <c r="H513" s="103" t="s">
        <v>861</v>
      </c>
      <c r="I513" s="103" t="s">
        <v>862</v>
      </c>
      <c r="J513" s="103" t="s">
        <v>863</v>
      </c>
      <c r="K513" s="103" t="s">
        <v>864</v>
      </c>
      <c r="L513" s="103" t="s">
        <v>153</v>
      </c>
      <c r="M513" s="103" t="s">
        <v>865</v>
      </c>
      <c r="N513" s="103" t="s">
        <v>866</v>
      </c>
      <c r="O513" s="103" t="str">
        <f t="shared" si="18"/>
        <v/>
      </c>
      <c r="P513" s="103" t="s">
        <v>153</v>
      </c>
      <c r="Q513" s="103" t="s">
        <v>153</v>
      </c>
      <c r="R513" s="103" t="s">
        <v>153</v>
      </c>
      <c r="S513" s="103" t="str">
        <f>INDEX('Measure &amp; Standard CostIDs'!$AK$8:$AK$12,B513)</f>
        <v>Single-pack</v>
      </c>
      <c r="T513" s="103" t="s">
        <v>867</v>
      </c>
      <c r="U513" s="103"/>
      <c r="V513" s="103"/>
      <c r="W513" s="103">
        <f>ROUND(IF(LEFT(D513,3)="Std",VLOOKUP(D513,'Measure &amp; Standard CostIDs'!$S$5:$X$177,1+B513,FALSE),VLOOKUP(D513,'Measure &amp; Standard CostIDs'!$C$5:$H$177,1+B513,FALSE)),2)</f>
        <v>4.13</v>
      </c>
      <c r="X513" s="103"/>
      <c r="Y513" s="103"/>
      <c r="Z513" s="103" t="s">
        <v>868</v>
      </c>
      <c r="AA513" s="103" t="s">
        <v>874</v>
      </c>
      <c r="AB513" s="103" t="s">
        <v>153</v>
      </c>
      <c r="AC513" s="103">
        <v>0</v>
      </c>
      <c r="AD513" s="156">
        <v>42005</v>
      </c>
      <c r="AE513" s="103"/>
      <c r="AF513" s="103" t="s">
        <v>870</v>
      </c>
      <c r="AG513" s="103" t="s">
        <v>871</v>
      </c>
      <c r="AH513" s="103" t="s">
        <v>976</v>
      </c>
      <c r="AI513" s="103">
        <v>0</v>
      </c>
      <c r="AJ513" s="103"/>
      <c r="AK513" s="103"/>
      <c r="AL513" s="103"/>
      <c r="AM513" s="103"/>
      <c r="AN513" s="103"/>
      <c r="AO513" s="103" t="str">
        <f t="shared" si="19"/>
        <v>Std_CFLscw(15w)_60pInc-r0248Single-pack</v>
      </c>
    </row>
    <row r="514" spans="1:41">
      <c r="A514" s="177">
        <f>IFERROR(MATCH(D514,'Measure &amp; Standard CostIDs'!C$5:C$177,0),MATCH(D514,'Measure &amp; Standard CostIDs'!S$5:S$177,0))</f>
        <v>8</v>
      </c>
      <c r="B514" s="177">
        <f t="shared" si="20"/>
        <v>2</v>
      </c>
      <c r="C514" s="103" t="s">
        <v>153</v>
      </c>
      <c r="D514" s="103" t="str">
        <f t="shared" si="21"/>
        <v>Std_CFLscw(16w)_60pInc-r0248</v>
      </c>
      <c r="E514" s="103" t="str">
        <f>IF(LEFT(D514,3)="Std","Base case cost for mix of 60% Incandescent and 40% CFL lamps for CFL TechID: "&amp;INDEX('Measure &amp; Standard CostIDs'!$C$5:$C$177,A514),"&lt;from TechID&gt;")</f>
        <v>Base case cost for mix of 60% Incandescent and 40% CFL lamps for CFL TechID: CFLscw(16w)</v>
      </c>
      <c r="F514" s="103" t="s">
        <v>860</v>
      </c>
      <c r="G514" s="103" t="s">
        <v>151</v>
      </c>
      <c r="H514" s="103" t="s">
        <v>861</v>
      </c>
      <c r="I514" s="103" t="s">
        <v>862</v>
      </c>
      <c r="J514" s="103" t="s">
        <v>863</v>
      </c>
      <c r="K514" s="103" t="s">
        <v>864</v>
      </c>
      <c r="L514" s="103" t="s">
        <v>153</v>
      </c>
      <c r="M514" s="103" t="s">
        <v>865</v>
      </c>
      <c r="N514" s="103" t="s">
        <v>866</v>
      </c>
      <c r="O514" s="103" t="str">
        <f t="shared" si="18"/>
        <v/>
      </c>
      <c r="P514" s="103" t="s">
        <v>153</v>
      </c>
      <c r="Q514" s="103" t="s">
        <v>153</v>
      </c>
      <c r="R514" s="103" t="s">
        <v>153</v>
      </c>
      <c r="S514" s="103" t="str">
        <f>INDEX('Measure &amp; Standard CostIDs'!$AK$8:$AK$12,B514)</f>
        <v>Single-pack</v>
      </c>
      <c r="T514" s="103" t="s">
        <v>867</v>
      </c>
      <c r="U514" s="103"/>
      <c r="V514" s="103"/>
      <c r="W514" s="103">
        <f>ROUND(IF(LEFT(D514,3)="Std",VLOOKUP(D514,'Measure &amp; Standard CostIDs'!$S$5:$X$177,1+B514,FALSE),VLOOKUP(D514,'Measure &amp; Standard CostIDs'!$C$5:$H$177,1+B514,FALSE)),2)</f>
        <v>4.18</v>
      </c>
      <c r="X514" s="103"/>
      <c r="Y514" s="103"/>
      <c r="Z514" s="103" t="s">
        <v>868</v>
      </c>
      <c r="AA514" s="103" t="s">
        <v>874</v>
      </c>
      <c r="AB514" s="103" t="s">
        <v>153</v>
      </c>
      <c r="AC514" s="103">
        <v>0</v>
      </c>
      <c r="AD514" s="156">
        <v>42005</v>
      </c>
      <c r="AE514" s="103"/>
      <c r="AF514" s="103" t="s">
        <v>870</v>
      </c>
      <c r="AG514" s="103" t="s">
        <v>871</v>
      </c>
      <c r="AH514" s="103" t="s">
        <v>976</v>
      </c>
      <c r="AI514" s="103">
        <v>0</v>
      </c>
      <c r="AJ514" s="103"/>
      <c r="AK514" s="103"/>
      <c r="AL514" s="103"/>
      <c r="AM514" s="103"/>
      <c r="AN514" s="103"/>
      <c r="AO514" s="103" t="str">
        <f t="shared" si="19"/>
        <v>Std_CFLscw(16w)_60pInc-r0248Single-pack</v>
      </c>
    </row>
    <row r="515" spans="1:41">
      <c r="A515" s="177">
        <f>IFERROR(MATCH(D515,'Measure &amp; Standard CostIDs'!C$5:C$177,0),MATCH(D515,'Measure &amp; Standard CostIDs'!S$5:S$177,0))</f>
        <v>9</v>
      </c>
      <c r="B515" s="177">
        <f t="shared" si="20"/>
        <v>2</v>
      </c>
      <c r="C515" s="103" t="s">
        <v>153</v>
      </c>
      <c r="D515" s="103" t="str">
        <f t="shared" si="21"/>
        <v>Std_CFLscw(17w)_60pInc-r0248</v>
      </c>
      <c r="E515" s="103" t="str">
        <f>IF(LEFT(D515,3)="Std","Base case cost for mix of 60% Incandescent and 40% CFL lamps for CFL TechID: "&amp;INDEX('Measure &amp; Standard CostIDs'!$C$5:$C$177,A515),"&lt;from TechID&gt;")</f>
        <v>Base case cost for mix of 60% Incandescent and 40% CFL lamps for CFL TechID: CFLscw(17w)</v>
      </c>
      <c r="F515" s="103" t="s">
        <v>860</v>
      </c>
      <c r="G515" s="103" t="s">
        <v>151</v>
      </c>
      <c r="H515" s="103" t="s">
        <v>861</v>
      </c>
      <c r="I515" s="103" t="s">
        <v>862</v>
      </c>
      <c r="J515" s="103" t="s">
        <v>863</v>
      </c>
      <c r="K515" s="103" t="s">
        <v>864</v>
      </c>
      <c r="L515" s="103" t="s">
        <v>153</v>
      </c>
      <c r="M515" s="103" t="s">
        <v>865</v>
      </c>
      <c r="N515" s="103" t="s">
        <v>866</v>
      </c>
      <c r="O515" s="103" t="str">
        <f t="shared" si="18"/>
        <v/>
      </c>
      <c r="P515" s="103" t="s">
        <v>153</v>
      </c>
      <c r="Q515" s="103" t="s">
        <v>153</v>
      </c>
      <c r="R515" s="103" t="s">
        <v>153</v>
      </c>
      <c r="S515" s="103" t="str">
        <f>INDEX('Measure &amp; Standard CostIDs'!$AK$8:$AK$12,B515)</f>
        <v>Single-pack</v>
      </c>
      <c r="T515" s="103" t="s">
        <v>867</v>
      </c>
      <c r="U515" s="103"/>
      <c r="V515" s="103"/>
      <c r="W515" s="103">
        <f>ROUND(IF(LEFT(D515,3)="Std",VLOOKUP(D515,'Measure &amp; Standard CostIDs'!$S$5:$X$177,1+B515,FALSE),VLOOKUP(D515,'Measure &amp; Standard CostIDs'!$C$5:$H$177,1+B515,FALSE)),2)</f>
        <v>4.22</v>
      </c>
      <c r="X515" s="103"/>
      <c r="Y515" s="103"/>
      <c r="Z515" s="103" t="s">
        <v>868</v>
      </c>
      <c r="AA515" s="103" t="s">
        <v>874</v>
      </c>
      <c r="AB515" s="103" t="s">
        <v>153</v>
      </c>
      <c r="AC515" s="103">
        <v>0</v>
      </c>
      <c r="AD515" s="156">
        <v>42005</v>
      </c>
      <c r="AE515" s="103"/>
      <c r="AF515" s="103" t="s">
        <v>870</v>
      </c>
      <c r="AG515" s="103" t="s">
        <v>871</v>
      </c>
      <c r="AH515" s="103" t="s">
        <v>976</v>
      </c>
      <c r="AI515" s="103">
        <v>0</v>
      </c>
      <c r="AJ515" s="103"/>
      <c r="AK515" s="103"/>
      <c r="AL515" s="103"/>
      <c r="AM515" s="103"/>
      <c r="AN515" s="103"/>
      <c r="AO515" s="103" t="str">
        <f t="shared" si="19"/>
        <v>Std_CFLscw(17w)_60pInc-r0248Single-pack</v>
      </c>
    </row>
    <row r="516" spans="1:41">
      <c r="A516" s="177">
        <f>IFERROR(MATCH(D516,'Measure &amp; Standard CostIDs'!C$5:C$177,0),MATCH(D516,'Measure &amp; Standard CostIDs'!S$5:S$177,0))</f>
        <v>10</v>
      </c>
      <c r="B516" s="177">
        <f t="shared" si="20"/>
        <v>2</v>
      </c>
      <c r="C516" s="103" t="s">
        <v>153</v>
      </c>
      <c r="D516" s="103" t="str">
        <f t="shared" si="21"/>
        <v>Std_CFLscw(18w)_60pInc-r0248</v>
      </c>
      <c r="E516" s="103" t="str">
        <f>IF(LEFT(D516,3)="Std","Base case cost for mix of 60% Incandescent and 40% CFL lamps for CFL TechID: "&amp;INDEX('Measure &amp; Standard CostIDs'!$C$5:$C$177,A516),"&lt;from TechID&gt;")</f>
        <v>Base case cost for mix of 60% Incandescent and 40% CFL lamps for CFL TechID: CFLscw(18w)</v>
      </c>
      <c r="F516" s="103" t="s">
        <v>860</v>
      </c>
      <c r="G516" s="103" t="s">
        <v>151</v>
      </c>
      <c r="H516" s="103" t="s">
        <v>861</v>
      </c>
      <c r="I516" s="103" t="s">
        <v>862</v>
      </c>
      <c r="J516" s="103" t="s">
        <v>863</v>
      </c>
      <c r="K516" s="103" t="s">
        <v>864</v>
      </c>
      <c r="L516" s="103" t="s">
        <v>153</v>
      </c>
      <c r="M516" s="103" t="s">
        <v>865</v>
      </c>
      <c r="N516" s="103" t="s">
        <v>866</v>
      </c>
      <c r="O516" s="103" t="str">
        <f t="shared" si="18"/>
        <v/>
      </c>
      <c r="P516" s="103" t="s">
        <v>153</v>
      </c>
      <c r="Q516" s="103" t="s">
        <v>153</v>
      </c>
      <c r="R516" s="103" t="s">
        <v>153</v>
      </c>
      <c r="S516" s="103" t="str">
        <f>INDEX('Measure &amp; Standard CostIDs'!$AK$8:$AK$12,B516)</f>
        <v>Single-pack</v>
      </c>
      <c r="T516" s="103" t="s">
        <v>867</v>
      </c>
      <c r="U516" s="103"/>
      <c r="V516" s="103"/>
      <c r="W516" s="103">
        <f>ROUND(IF(LEFT(D516,3)="Std",VLOOKUP(D516,'Measure &amp; Standard CostIDs'!$S$5:$X$177,1+B516,FALSE),VLOOKUP(D516,'Measure &amp; Standard CostIDs'!$C$5:$H$177,1+B516,FALSE)),2)</f>
        <v>4.2699999999999996</v>
      </c>
      <c r="X516" s="103"/>
      <c r="Y516" s="103"/>
      <c r="Z516" s="103" t="s">
        <v>868</v>
      </c>
      <c r="AA516" s="103" t="s">
        <v>874</v>
      </c>
      <c r="AB516" s="103" t="s">
        <v>153</v>
      </c>
      <c r="AC516" s="103">
        <v>0</v>
      </c>
      <c r="AD516" s="156">
        <v>42005</v>
      </c>
      <c r="AE516" s="103"/>
      <c r="AF516" s="103" t="s">
        <v>870</v>
      </c>
      <c r="AG516" s="103" t="s">
        <v>871</v>
      </c>
      <c r="AH516" s="103" t="s">
        <v>976</v>
      </c>
      <c r="AI516" s="103">
        <v>0</v>
      </c>
      <c r="AJ516" s="103"/>
      <c r="AK516" s="103"/>
      <c r="AL516" s="103"/>
      <c r="AM516" s="103"/>
      <c r="AN516" s="103"/>
      <c r="AO516" s="103" t="str">
        <f t="shared" si="19"/>
        <v>Std_CFLscw(18w)_60pInc-r0248Single-pack</v>
      </c>
    </row>
    <row r="517" spans="1:41">
      <c r="A517" s="177">
        <f>IFERROR(MATCH(D517,'Measure &amp; Standard CostIDs'!C$5:C$177,0),MATCH(D517,'Measure &amp; Standard CostIDs'!S$5:S$177,0))</f>
        <v>11</v>
      </c>
      <c r="B517" s="177">
        <f t="shared" si="20"/>
        <v>2</v>
      </c>
      <c r="C517" s="103" t="s">
        <v>153</v>
      </c>
      <c r="D517" s="103" t="str">
        <f t="shared" si="21"/>
        <v>Std_CFLscw(19w)_60pInc-r0248</v>
      </c>
      <c r="E517" s="103" t="str">
        <f>IF(LEFT(D517,3)="Std","Base case cost for mix of 60% Incandescent and 40% CFL lamps for CFL TechID: "&amp;INDEX('Measure &amp; Standard CostIDs'!$C$5:$C$177,A517),"&lt;from TechID&gt;")</f>
        <v>Base case cost for mix of 60% Incandescent and 40% CFL lamps for CFL TechID: CFLscw(19w)</v>
      </c>
      <c r="F517" s="103" t="s">
        <v>860</v>
      </c>
      <c r="G517" s="103" t="s">
        <v>151</v>
      </c>
      <c r="H517" s="103" t="s">
        <v>861</v>
      </c>
      <c r="I517" s="103" t="s">
        <v>862</v>
      </c>
      <c r="J517" s="103" t="s">
        <v>863</v>
      </c>
      <c r="K517" s="103" t="s">
        <v>864</v>
      </c>
      <c r="L517" s="103" t="s">
        <v>153</v>
      </c>
      <c r="M517" s="103" t="s">
        <v>865</v>
      </c>
      <c r="N517" s="103" t="s">
        <v>866</v>
      </c>
      <c r="O517" s="103" t="str">
        <f t="shared" si="18"/>
        <v/>
      </c>
      <c r="P517" s="103" t="s">
        <v>153</v>
      </c>
      <c r="Q517" s="103" t="s">
        <v>153</v>
      </c>
      <c r="R517" s="103" t="s">
        <v>153</v>
      </c>
      <c r="S517" s="103" t="str">
        <f>INDEX('Measure &amp; Standard CostIDs'!$AK$8:$AK$12,B517)</f>
        <v>Single-pack</v>
      </c>
      <c r="T517" s="103" t="s">
        <v>867</v>
      </c>
      <c r="U517" s="103"/>
      <c r="V517" s="103"/>
      <c r="W517" s="103">
        <f>ROUND(IF(LEFT(D517,3)="Std",VLOOKUP(D517,'Measure &amp; Standard CostIDs'!$S$5:$X$177,1+B517,FALSE),VLOOKUP(D517,'Measure &amp; Standard CostIDs'!$C$5:$H$177,1+B517,FALSE)),2)</f>
        <v>4.3099999999999996</v>
      </c>
      <c r="X517" s="103"/>
      <c r="Y517" s="103"/>
      <c r="Z517" s="103" t="s">
        <v>868</v>
      </c>
      <c r="AA517" s="103" t="s">
        <v>874</v>
      </c>
      <c r="AB517" s="103" t="s">
        <v>153</v>
      </c>
      <c r="AC517" s="103">
        <v>0</v>
      </c>
      <c r="AD517" s="156">
        <v>42005</v>
      </c>
      <c r="AE517" s="103"/>
      <c r="AF517" s="103" t="s">
        <v>870</v>
      </c>
      <c r="AG517" s="103" t="s">
        <v>871</v>
      </c>
      <c r="AH517" s="103" t="s">
        <v>976</v>
      </c>
      <c r="AI517" s="103">
        <v>0</v>
      </c>
      <c r="AJ517" s="103"/>
      <c r="AK517" s="103"/>
      <c r="AL517" s="103"/>
      <c r="AM517" s="103"/>
      <c r="AN517" s="103"/>
      <c r="AO517" s="103" t="str">
        <f t="shared" si="19"/>
        <v>Std_CFLscw(19w)_60pInc-r0248Single-pack</v>
      </c>
    </row>
    <row r="518" spans="1:41">
      <c r="A518" s="177">
        <f>IFERROR(MATCH(D518,'Measure &amp; Standard CostIDs'!C$5:C$177,0),MATCH(D518,'Measure &amp; Standard CostIDs'!S$5:S$177,0))</f>
        <v>12</v>
      </c>
      <c r="B518" s="177">
        <f t="shared" si="20"/>
        <v>2</v>
      </c>
      <c r="C518" s="103" t="s">
        <v>153</v>
      </c>
      <c r="D518" s="103" t="str">
        <f t="shared" si="21"/>
        <v>Std_CFLscw(20w)_60pInc-r0248</v>
      </c>
      <c r="E518" s="103" t="str">
        <f>IF(LEFT(D518,3)="Std","Base case cost for mix of 60% Incandescent and 40% CFL lamps for CFL TechID: "&amp;INDEX('Measure &amp; Standard CostIDs'!$C$5:$C$177,A518),"&lt;from TechID&gt;")</f>
        <v>Base case cost for mix of 60% Incandescent and 40% CFL lamps for CFL TechID: CFLscw(20w)</v>
      </c>
      <c r="F518" s="103" t="s">
        <v>860</v>
      </c>
      <c r="G518" s="103" t="s">
        <v>151</v>
      </c>
      <c r="H518" s="103" t="s">
        <v>861</v>
      </c>
      <c r="I518" s="103" t="s">
        <v>862</v>
      </c>
      <c r="J518" s="103" t="s">
        <v>863</v>
      </c>
      <c r="K518" s="103" t="s">
        <v>864</v>
      </c>
      <c r="L518" s="103" t="s">
        <v>153</v>
      </c>
      <c r="M518" s="103" t="s">
        <v>865</v>
      </c>
      <c r="N518" s="103" t="s">
        <v>866</v>
      </c>
      <c r="O518" s="103" t="str">
        <f t="shared" ref="O518:O581" si="22">IF(LEFT(D518,3)="Std","",D518)</f>
        <v/>
      </c>
      <c r="P518" s="103" t="s">
        <v>153</v>
      </c>
      <c r="Q518" s="103" t="s">
        <v>153</v>
      </c>
      <c r="R518" s="103" t="s">
        <v>153</v>
      </c>
      <c r="S518" s="103" t="str">
        <f>INDEX('Measure &amp; Standard CostIDs'!$AK$8:$AK$12,B518)</f>
        <v>Single-pack</v>
      </c>
      <c r="T518" s="103" t="s">
        <v>867</v>
      </c>
      <c r="U518" s="103"/>
      <c r="V518" s="103"/>
      <c r="W518" s="103">
        <f>ROUND(IF(LEFT(D518,3)="Std",VLOOKUP(D518,'Measure &amp; Standard CostIDs'!$S$5:$X$177,1+B518,FALSE),VLOOKUP(D518,'Measure &amp; Standard CostIDs'!$C$5:$H$177,1+B518,FALSE)),2)</f>
        <v>4.3600000000000003</v>
      </c>
      <c r="X518" s="103"/>
      <c r="Y518" s="103"/>
      <c r="Z518" s="103" t="s">
        <v>868</v>
      </c>
      <c r="AA518" s="103" t="s">
        <v>874</v>
      </c>
      <c r="AB518" s="103" t="s">
        <v>153</v>
      </c>
      <c r="AC518" s="103">
        <v>0</v>
      </c>
      <c r="AD518" s="156">
        <v>42005</v>
      </c>
      <c r="AE518" s="103"/>
      <c r="AF518" s="103" t="s">
        <v>870</v>
      </c>
      <c r="AG518" s="103" t="s">
        <v>871</v>
      </c>
      <c r="AH518" s="103" t="s">
        <v>976</v>
      </c>
      <c r="AI518" s="103">
        <v>0</v>
      </c>
      <c r="AJ518" s="103"/>
      <c r="AK518" s="103"/>
      <c r="AL518" s="103"/>
      <c r="AM518" s="103"/>
      <c r="AN518" s="103"/>
      <c r="AO518" s="103" t="str">
        <f t="shared" ref="AO518:AO581" si="23">D518&amp;S518</f>
        <v>Std_CFLscw(20w)_60pInc-r0248Single-pack</v>
      </c>
    </row>
    <row r="519" spans="1:41">
      <c r="A519" s="177">
        <f>IFERROR(MATCH(D519,'Measure &amp; Standard CostIDs'!C$5:C$177,0),MATCH(D519,'Measure &amp; Standard CostIDs'!S$5:S$177,0))</f>
        <v>13</v>
      </c>
      <c r="B519" s="177">
        <f t="shared" si="20"/>
        <v>2</v>
      </c>
      <c r="C519" s="103" t="s">
        <v>153</v>
      </c>
      <c r="D519" s="103" t="str">
        <f t="shared" si="21"/>
        <v>Std_CFLscw(21w)_60pInc-r0248</v>
      </c>
      <c r="E519" s="103" t="str">
        <f>IF(LEFT(D519,3)="Std","Base case cost for mix of 60% Incandescent and 40% CFL lamps for CFL TechID: "&amp;INDEX('Measure &amp; Standard CostIDs'!$C$5:$C$177,A519),"&lt;from TechID&gt;")</f>
        <v>Base case cost for mix of 60% Incandescent and 40% CFL lamps for CFL TechID: CFLscw(21w)</v>
      </c>
      <c r="F519" s="103" t="s">
        <v>860</v>
      </c>
      <c r="G519" s="103" t="s">
        <v>151</v>
      </c>
      <c r="H519" s="103" t="s">
        <v>861</v>
      </c>
      <c r="I519" s="103" t="s">
        <v>862</v>
      </c>
      <c r="J519" s="103" t="s">
        <v>863</v>
      </c>
      <c r="K519" s="103" t="s">
        <v>864</v>
      </c>
      <c r="L519" s="103" t="s">
        <v>153</v>
      </c>
      <c r="M519" s="103" t="s">
        <v>865</v>
      </c>
      <c r="N519" s="103" t="s">
        <v>866</v>
      </c>
      <c r="O519" s="103" t="str">
        <f t="shared" si="22"/>
        <v/>
      </c>
      <c r="P519" s="103" t="s">
        <v>153</v>
      </c>
      <c r="Q519" s="103" t="s">
        <v>153</v>
      </c>
      <c r="R519" s="103" t="s">
        <v>153</v>
      </c>
      <c r="S519" s="103" t="str">
        <f>INDEX('Measure &amp; Standard CostIDs'!$AK$8:$AK$12,B519)</f>
        <v>Single-pack</v>
      </c>
      <c r="T519" s="103" t="s">
        <v>867</v>
      </c>
      <c r="U519" s="103"/>
      <c r="V519" s="103"/>
      <c r="W519" s="103">
        <f>ROUND(IF(LEFT(D519,3)="Std",VLOOKUP(D519,'Measure &amp; Standard CostIDs'!$S$5:$X$177,1+B519,FALSE),VLOOKUP(D519,'Measure &amp; Standard CostIDs'!$C$5:$H$177,1+B519,FALSE)),2)</f>
        <v>4.41</v>
      </c>
      <c r="X519" s="103"/>
      <c r="Y519" s="103"/>
      <c r="Z519" s="103" t="s">
        <v>868</v>
      </c>
      <c r="AA519" s="103" t="s">
        <v>874</v>
      </c>
      <c r="AB519" s="103" t="s">
        <v>153</v>
      </c>
      <c r="AC519" s="103">
        <v>0</v>
      </c>
      <c r="AD519" s="156">
        <v>42005</v>
      </c>
      <c r="AE519" s="103"/>
      <c r="AF519" s="103" t="s">
        <v>870</v>
      </c>
      <c r="AG519" s="103" t="s">
        <v>871</v>
      </c>
      <c r="AH519" s="103" t="s">
        <v>976</v>
      </c>
      <c r="AI519" s="103">
        <v>0</v>
      </c>
      <c r="AJ519" s="103"/>
      <c r="AK519" s="103"/>
      <c r="AL519" s="103"/>
      <c r="AM519" s="103"/>
      <c r="AN519" s="103"/>
      <c r="AO519" s="103" t="str">
        <f t="shared" si="23"/>
        <v>Std_CFLscw(21w)_60pInc-r0248Single-pack</v>
      </c>
    </row>
    <row r="520" spans="1:41">
      <c r="A520" s="177">
        <f>IFERROR(MATCH(D520,'Measure &amp; Standard CostIDs'!C$5:C$177,0),MATCH(D520,'Measure &amp; Standard CostIDs'!S$5:S$177,0))</f>
        <v>14</v>
      </c>
      <c r="B520" s="177">
        <f t="shared" si="20"/>
        <v>2</v>
      </c>
      <c r="C520" s="103" t="s">
        <v>153</v>
      </c>
      <c r="D520" s="103" t="str">
        <f t="shared" si="21"/>
        <v>Std_CFLscw(22w)_60pInc-r0248</v>
      </c>
      <c r="E520" s="103" t="str">
        <f>IF(LEFT(D520,3)="Std","Base case cost for mix of 60% Incandescent and 40% CFL lamps for CFL TechID: "&amp;INDEX('Measure &amp; Standard CostIDs'!$C$5:$C$177,A520),"&lt;from TechID&gt;")</f>
        <v>Base case cost for mix of 60% Incandescent and 40% CFL lamps for CFL TechID: CFLscw(22w)</v>
      </c>
      <c r="F520" s="103" t="s">
        <v>860</v>
      </c>
      <c r="G520" s="103" t="s">
        <v>151</v>
      </c>
      <c r="H520" s="103" t="s">
        <v>861</v>
      </c>
      <c r="I520" s="103" t="s">
        <v>862</v>
      </c>
      <c r="J520" s="103" t="s">
        <v>863</v>
      </c>
      <c r="K520" s="103" t="s">
        <v>864</v>
      </c>
      <c r="L520" s="103" t="s">
        <v>153</v>
      </c>
      <c r="M520" s="103" t="s">
        <v>865</v>
      </c>
      <c r="N520" s="103" t="s">
        <v>866</v>
      </c>
      <c r="O520" s="103" t="str">
        <f t="shared" si="22"/>
        <v/>
      </c>
      <c r="P520" s="103" t="s">
        <v>153</v>
      </c>
      <c r="Q520" s="103" t="s">
        <v>153</v>
      </c>
      <c r="R520" s="103" t="s">
        <v>153</v>
      </c>
      <c r="S520" s="103" t="str">
        <f>INDEX('Measure &amp; Standard CostIDs'!$AK$8:$AK$12,B520)</f>
        <v>Single-pack</v>
      </c>
      <c r="T520" s="103" t="s">
        <v>867</v>
      </c>
      <c r="U520" s="103"/>
      <c r="V520" s="103"/>
      <c r="W520" s="103">
        <f>ROUND(IF(LEFT(D520,3)="Std",VLOOKUP(D520,'Measure &amp; Standard CostIDs'!$S$5:$X$177,1+B520,FALSE),VLOOKUP(D520,'Measure &amp; Standard CostIDs'!$C$5:$H$177,1+B520,FALSE)),2)</f>
        <v>4.4400000000000004</v>
      </c>
      <c r="X520" s="103"/>
      <c r="Y520" s="103"/>
      <c r="Z520" s="103" t="s">
        <v>868</v>
      </c>
      <c r="AA520" s="103" t="s">
        <v>874</v>
      </c>
      <c r="AB520" s="103" t="s">
        <v>153</v>
      </c>
      <c r="AC520" s="103">
        <v>0</v>
      </c>
      <c r="AD520" s="156">
        <v>42005</v>
      </c>
      <c r="AE520" s="103"/>
      <c r="AF520" s="103" t="s">
        <v>870</v>
      </c>
      <c r="AG520" s="103" t="s">
        <v>871</v>
      </c>
      <c r="AH520" s="103" t="s">
        <v>976</v>
      </c>
      <c r="AI520" s="103">
        <v>0</v>
      </c>
      <c r="AJ520" s="103"/>
      <c r="AK520" s="103"/>
      <c r="AL520" s="103"/>
      <c r="AM520" s="103"/>
      <c r="AN520" s="103"/>
      <c r="AO520" s="103" t="str">
        <f t="shared" si="23"/>
        <v>Std_CFLscw(22w)_60pInc-r0248Single-pack</v>
      </c>
    </row>
    <row r="521" spans="1:41">
      <c r="A521" s="177">
        <f>IFERROR(MATCH(D521,'Measure &amp; Standard CostIDs'!C$5:C$177,0),MATCH(D521,'Measure &amp; Standard CostIDs'!S$5:S$177,0))</f>
        <v>15</v>
      </c>
      <c r="B521" s="177">
        <f t="shared" si="20"/>
        <v>2</v>
      </c>
      <c r="C521" s="103" t="s">
        <v>153</v>
      </c>
      <c r="D521" s="103" t="str">
        <f t="shared" si="21"/>
        <v>Std_CFLscw(23w)_60pInc-r0248</v>
      </c>
      <c r="E521" s="103" t="str">
        <f>IF(LEFT(D521,3)="Std","Base case cost for mix of 60% Incandescent and 40% CFL lamps for CFL TechID: "&amp;INDEX('Measure &amp; Standard CostIDs'!$C$5:$C$177,A521),"&lt;from TechID&gt;")</f>
        <v>Base case cost for mix of 60% Incandescent and 40% CFL lamps for CFL TechID: CFLscw(23w)</v>
      </c>
      <c r="F521" s="103" t="s">
        <v>860</v>
      </c>
      <c r="G521" s="103" t="s">
        <v>151</v>
      </c>
      <c r="H521" s="103" t="s">
        <v>861</v>
      </c>
      <c r="I521" s="103" t="s">
        <v>862</v>
      </c>
      <c r="J521" s="103" t="s">
        <v>863</v>
      </c>
      <c r="K521" s="103" t="s">
        <v>864</v>
      </c>
      <c r="L521" s="103" t="s">
        <v>153</v>
      </c>
      <c r="M521" s="103" t="s">
        <v>865</v>
      </c>
      <c r="N521" s="103" t="s">
        <v>866</v>
      </c>
      <c r="O521" s="103" t="str">
        <f t="shared" si="22"/>
        <v/>
      </c>
      <c r="P521" s="103" t="s">
        <v>153</v>
      </c>
      <c r="Q521" s="103" t="s">
        <v>153</v>
      </c>
      <c r="R521" s="103" t="s">
        <v>153</v>
      </c>
      <c r="S521" s="103" t="str">
        <f>INDEX('Measure &amp; Standard CostIDs'!$AK$8:$AK$12,B521)</f>
        <v>Single-pack</v>
      </c>
      <c r="T521" s="103" t="s">
        <v>867</v>
      </c>
      <c r="U521" s="103"/>
      <c r="V521" s="103"/>
      <c r="W521" s="103">
        <f>ROUND(IF(LEFT(D521,3)="Std",VLOOKUP(D521,'Measure &amp; Standard CostIDs'!$S$5:$X$177,1+B521,FALSE),VLOOKUP(D521,'Measure &amp; Standard CostIDs'!$C$5:$H$177,1+B521,FALSE)),2)</f>
        <v>4.47</v>
      </c>
      <c r="X521" s="103"/>
      <c r="Y521" s="103"/>
      <c r="Z521" s="103" t="s">
        <v>868</v>
      </c>
      <c r="AA521" s="103" t="s">
        <v>874</v>
      </c>
      <c r="AB521" s="103" t="s">
        <v>153</v>
      </c>
      <c r="AC521" s="103">
        <v>0</v>
      </c>
      <c r="AD521" s="156">
        <v>42005</v>
      </c>
      <c r="AE521" s="103"/>
      <c r="AF521" s="103" t="s">
        <v>870</v>
      </c>
      <c r="AG521" s="103" t="s">
        <v>871</v>
      </c>
      <c r="AH521" s="103" t="s">
        <v>976</v>
      </c>
      <c r="AI521" s="103">
        <v>0</v>
      </c>
      <c r="AJ521" s="103"/>
      <c r="AK521" s="103"/>
      <c r="AL521" s="103"/>
      <c r="AM521" s="103"/>
      <c r="AN521" s="103"/>
      <c r="AO521" s="103" t="str">
        <f t="shared" si="23"/>
        <v>Std_CFLscw(23w)_60pInc-r0248Single-pack</v>
      </c>
    </row>
    <row r="522" spans="1:41">
      <c r="A522" s="177">
        <f>IFERROR(MATCH(D522,'Measure &amp; Standard CostIDs'!C$5:C$177,0),MATCH(D522,'Measure &amp; Standard CostIDs'!S$5:S$177,0))</f>
        <v>16</v>
      </c>
      <c r="B522" s="177">
        <f t="shared" si="20"/>
        <v>2</v>
      </c>
      <c r="C522" s="103" t="s">
        <v>153</v>
      </c>
      <c r="D522" s="103" t="str">
        <f t="shared" si="21"/>
        <v>Std_CFLscw(24w)_60pInc-r0248</v>
      </c>
      <c r="E522" s="103" t="str">
        <f>IF(LEFT(D522,3)="Std","Base case cost for mix of 60% Incandescent and 40% CFL lamps for CFL TechID: "&amp;INDEX('Measure &amp; Standard CostIDs'!$C$5:$C$177,A522),"&lt;from TechID&gt;")</f>
        <v>Base case cost for mix of 60% Incandescent and 40% CFL lamps for CFL TechID: CFLscw(24w)</v>
      </c>
      <c r="F522" s="103" t="s">
        <v>860</v>
      </c>
      <c r="G522" s="103" t="s">
        <v>151</v>
      </c>
      <c r="H522" s="103" t="s">
        <v>861</v>
      </c>
      <c r="I522" s="103" t="s">
        <v>862</v>
      </c>
      <c r="J522" s="103" t="s">
        <v>863</v>
      </c>
      <c r="K522" s="103" t="s">
        <v>864</v>
      </c>
      <c r="L522" s="103" t="s">
        <v>153</v>
      </c>
      <c r="M522" s="103" t="s">
        <v>865</v>
      </c>
      <c r="N522" s="103" t="s">
        <v>866</v>
      </c>
      <c r="O522" s="103" t="str">
        <f t="shared" si="22"/>
        <v/>
      </c>
      <c r="P522" s="103" t="s">
        <v>153</v>
      </c>
      <c r="Q522" s="103" t="s">
        <v>153</v>
      </c>
      <c r="R522" s="103" t="s">
        <v>153</v>
      </c>
      <c r="S522" s="103" t="str">
        <f>INDEX('Measure &amp; Standard CostIDs'!$AK$8:$AK$12,B522)</f>
        <v>Single-pack</v>
      </c>
      <c r="T522" s="103" t="s">
        <v>867</v>
      </c>
      <c r="U522" s="103"/>
      <c r="V522" s="103"/>
      <c r="W522" s="103">
        <f>ROUND(IF(LEFT(D522,3)="Std",VLOOKUP(D522,'Measure &amp; Standard CostIDs'!$S$5:$X$177,1+B522,FALSE),VLOOKUP(D522,'Measure &amp; Standard CostIDs'!$C$5:$H$177,1+B522,FALSE)),2)</f>
        <v>4.5</v>
      </c>
      <c r="X522" s="103"/>
      <c r="Y522" s="103"/>
      <c r="Z522" s="103" t="s">
        <v>868</v>
      </c>
      <c r="AA522" s="103" t="s">
        <v>874</v>
      </c>
      <c r="AB522" s="103" t="s">
        <v>153</v>
      </c>
      <c r="AC522" s="103">
        <v>0</v>
      </c>
      <c r="AD522" s="156">
        <v>42005</v>
      </c>
      <c r="AE522" s="103"/>
      <c r="AF522" s="103" t="s">
        <v>870</v>
      </c>
      <c r="AG522" s="103" t="s">
        <v>871</v>
      </c>
      <c r="AH522" s="103" t="s">
        <v>976</v>
      </c>
      <c r="AI522" s="103">
        <v>0</v>
      </c>
      <c r="AJ522" s="103"/>
      <c r="AK522" s="103"/>
      <c r="AL522" s="103"/>
      <c r="AM522" s="103"/>
      <c r="AN522" s="103"/>
      <c r="AO522" s="103" t="str">
        <f t="shared" si="23"/>
        <v>Std_CFLscw(24w)_60pInc-r0248Single-pack</v>
      </c>
    </row>
    <row r="523" spans="1:41">
      <c r="A523" s="177">
        <f>IFERROR(MATCH(D523,'Measure &amp; Standard CostIDs'!C$5:C$177,0),MATCH(D523,'Measure &amp; Standard CostIDs'!S$5:S$177,0))</f>
        <v>17</v>
      </c>
      <c r="B523" s="177">
        <f t="shared" si="20"/>
        <v>2</v>
      </c>
      <c r="C523" s="103" t="s">
        <v>153</v>
      </c>
      <c r="D523" s="103" t="str">
        <f t="shared" si="21"/>
        <v>Std_CFLscw(25w)_60pInc-r0248</v>
      </c>
      <c r="E523" s="103" t="str">
        <f>IF(LEFT(D523,3)="Std","Base case cost for mix of 60% Incandescent and 40% CFL lamps for CFL TechID: "&amp;INDEX('Measure &amp; Standard CostIDs'!$C$5:$C$177,A523),"&lt;from TechID&gt;")</f>
        <v>Base case cost for mix of 60% Incandescent and 40% CFL lamps for CFL TechID: CFLscw(25w)</v>
      </c>
      <c r="F523" s="103" t="s">
        <v>860</v>
      </c>
      <c r="G523" s="103" t="s">
        <v>151</v>
      </c>
      <c r="H523" s="103" t="s">
        <v>861</v>
      </c>
      <c r="I523" s="103" t="s">
        <v>862</v>
      </c>
      <c r="J523" s="103" t="s">
        <v>863</v>
      </c>
      <c r="K523" s="103" t="s">
        <v>864</v>
      </c>
      <c r="L523" s="103" t="s">
        <v>153</v>
      </c>
      <c r="M523" s="103" t="s">
        <v>865</v>
      </c>
      <c r="N523" s="103" t="s">
        <v>866</v>
      </c>
      <c r="O523" s="103" t="str">
        <f t="shared" si="22"/>
        <v/>
      </c>
      <c r="P523" s="103" t="s">
        <v>153</v>
      </c>
      <c r="Q523" s="103" t="s">
        <v>153</v>
      </c>
      <c r="R523" s="103" t="s">
        <v>153</v>
      </c>
      <c r="S523" s="103" t="str">
        <f>INDEX('Measure &amp; Standard CostIDs'!$AK$8:$AK$12,B523)</f>
        <v>Single-pack</v>
      </c>
      <c r="T523" s="103" t="s">
        <v>867</v>
      </c>
      <c r="U523" s="103"/>
      <c r="V523" s="103"/>
      <c r="W523" s="103">
        <f>ROUND(IF(LEFT(D523,3)="Std",VLOOKUP(D523,'Measure &amp; Standard CostIDs'!$S$5:$X$177,1+B523,FALSE),VLOOKUP(D523,'Measure &amp; Standard CostIDs'!$C$5:$H$177,1+B523,FALSE)),2)</f>
        <v>4.53</v>
      </c>
      <c r="X523" s="103"/>
      <c r="Y523" s="103"/>
      <c r="Z523" s="103" t="s">
        <v>868</v>
      </c>
      <c r="AA523" s="103" t="s">
        <v>874</v>
      </c>
      <c r="AB523" s="103" t="s">
        <v>153</v>
      </c>
      <c r="AC523" s="103">
        <v>0</v>
      </c>
      <c r="AD523" s="156">
        <v>42005</v>
      </c>
      <c r="AE523" s="103"/>
      <c r="AF523" s="103" t="s">
        <v>870</v>
      </c>
      <c r="AG523" s="103" t="s">
        <v>871</v>
      </c>
      <c r="AH523" s="103" t="s">
        <v>976</v>
      </c>
      <c r="AI523" s="103">
        <v>0</v>
      </c>
      <c r="AJ523" s="103"/>
      <c r="AK523" s="103"/>
      <c r="AL523" s="103"/>
      <c r="AM523" s="103"/>
      <c r="AN523" s="103"/>
      <c r="AO523" s="103" t="str">
        <f t="shared" si="23"/>
        <v>Std_CFLscw(25w)_60pInc-r0248Single-pack</v>
      </c>
    </row>
    <row r="524" spans="1:41">
      <c r="A524" s="177">
        <f>IFERROR(MATCH(D524,'Measure &amp; Standard CostIDs'!C$5:C$177,0),MATCH(D524,'Measure &amp; Standard CostIDs'!S$5:S$177,0))</f>
        <v>18</v>
      </c>
      <c r="B524" s="177">
        <f t="shared" si="20"/>
        <v>2</v>
      </c>
      <c r="C524" s="103" t="s">
        <v>153</v>
      </c>
      <c r="D524" s="103" t="str">
        <f t="shared" si="21"/>
        <v>Std_CFLscw(26w)_60pInc-r0248</v>
      </c>
      <c r="E524" s="103" t="str">
        <f>IF(LEFT(D524,3)="Std","Base case cost for mix of 60% Incandescent and 40% CFL lamps for CFL TechID: "&amp;INDEX('Measure &amp; Standard CostIDs'!$C$5:$C$177,A524),"&lt;from TechID&gt;")</f>
        <v>Base case cost for mix of 60% Incandescent and 40% CFL lamps for CFL TechID: CFLscw(26w)</v>
      </c>
      <c r="F524" s="103" t="s">
        <v>860</v>
      </c>
      <c r="G524" s="103" t="s">
        <v>151</v>
      </c>
      <c r="H524" s="103" t="s">
        <v>861</v>
      </c>
      <c r="I524" s="103" t="s">
        <v>862</v>
      </c>
      <c r="J524" s="103" t="s">
        <v>863</v>
      </c>
      <c r="K524" s="103" t="s">
        <v>864</v>
      </c>
      <c r="L524" s="103" t="s">
        <v>153</v>
      </c>
      <c r="M524" s="103" t="s">
        <v>865</v>
      </c>
      <c r="N524" s="103" t="s">
        <v>866</v>
      </c>
      <c r="O524" s="103" t="str">
        <f t="shared" si="22"/>
        <v/>
      </c>
      <c r="P524" s="103" t="s">
        <v>153</v>
      </c>
      <c r="Q524" s="103" t="s">
        <v>153</v>
      </c>
      <c r="R524" s="103" t="s">
        <v>153</v>
      </c>
      <c r="S524" s="103" t="str">
        <f>INDEX('Measure &amp; Standard CostIDs'!$AK$8:$AK$12,B524)</f>
        <v>Single-pack</v>
      </c>
      <c r="T524" s="103" t="s">
        <v>867</v>
      </c>
      <c r="U524" s="103"/>
      <c r="V524" s="103"/>
      <c r="W524" s="103">
        <f>ROUND(IF(LEFT(D524,3)="Std",VLOOKUP(D524,'Measure &amp; Standard CostIDs'!$S$5:$X$177,1+B524,FALSE),VLOOKUP(D524,'Measure &amp; Standard CostIDs'!$C$5:$H$177,1+B524,FALSE)),2)</f>
        <v>4.59</v>
      </c>
      <c r="X524" s="103"/>
      <c r="Y524" s="103"/>
      <c r="Z524" s="103" t="s">
        <v>868</v>
      </c>
      <c r="AA524" s="103" t="s">
        <v>874</v>
      </c>
      <c r="AB524" s="103" t="s">
        <v>153</v>
      </c>
      <c r="AC524" s="103">
        <v>0</v>
      </c>
      <c r="AD524" s="156">
        <v>42005</v>
      </c>
      <c r="AE524" s="103"/>
      <c r="AF524" s="103" t="s">
        <v>870</v>
      </c>
      <c r="AG524" s="103" t="s">
        <v>871</v>
      </c>
      <c r="AH524" s="103" t="s">
        <v>976</v>
      </c>
      <c r="AI524" s="103">
        <v>0</v>
      </c>
      <c r="AJ524" s="103"/>
      <c r="AK524" s="103"/>
      <c r="AL524" s="103"/>
      <c r="AM524" s="103"/>
      <c r="AN524" s="103"/>
      <c r="AO524" s="103" t="str">
        <f t="shared" si="23"/>
        <v>Std_CFLscw(26w)_60pInc-r0248Single-pack</v>
      </c>
    </row>
    <row r="525" spans="1:41">
      <c r="A525" s="177">
        <f>IFERROR(MATCH(D525,'Measure &amp; Standard CostIDs'!C$5:C$177,0),MATCH(D525,'Measure &amp; Standard CostIDs'!S$5:S$177,0))</f>
        <v>19</v>
      </c>
      <c r="B525" s="177">
        <f t="shared" si="20"/>
        <v>2</v>
      </c>
      <c r="C525" s="103" t="s">
        <v>153</v>
      </c>
      <c r="D525" s="103" t="str">
        <f t="shared" si="21"/>
        <v>Std_CFLscw(27w)_60pInc-r0248</v>
      </c>
      <c r="E525" s="103" t="str">
        <f>IF(LEFT(D525,3)="Std","Base case cost for mix of 60% Incandescent and 40% CFL lamps for CFL TechID: "&amp;INDEX('Measure &amp; Standard CostIDs'!$C$5:$C$177,A525),"&lt;from TechID&gt;")</f>
        <v>Base case cost for mix of 60% Incandescent and 40% CFL lamps for CFL TechID: CFLscw(27w)</v>
      </c>
      <c r="F525" s="103" t="s">
        <v>860</v>
      </c>
      <c r="G525" s="103" t="s">
        <v>151</v>
      </c>
      <c r="H525" s="103" t="s">
        <v>861</v>
      </c>
      <c r="I525" s="103" t="s">
        <v>862</v>
      </c>
      <c r="J525" s="103" t="s">
        <v>863</v>
      </c>
      <c r="K525" s="103" t="s">
        <v>864</v>
      </c>
      <c r="L525" s="103" t="s">
        <v>153</v>
      </c>
      <c r="M525" s="103" t="s">
        <v>865</v>
      </c>
      <c r="N525" s="103" t="s">
        <v>866</v>
      </c>
      <c r="O525" s="103" t="str">
        <f t="shared" si="22"/>
        <v/>
      </c>
      <c r="P525" s="103" t="s">
        <v>153</v>
      </c>
      <c r="Q525" s="103" t="s">
        <v>153</v>
      </c>
      <c r="R525" s="103" t="s">
        <v>153</v>
      </c>
      <c r="S525" s="103" t="str">
        <f>INDEX('Measure &amp; Standard CostIDs'!$AK$8:$AK$12,B525)</f>
        <v>Single-pack</v>
      </c>
      <c r="T525" s="103" t="s">
        <v>867</v>
      </c>
      <c r="U525" s="103"/>
      <c r="V525" s="103"/>
      <c r="W525" s="103">
        <f>ROUND(IF(LEFT(D525,3)="Std",VLOOKUP(D525,'Measure &amp; Standard CostIDs'!$S$5:$X$177,1+B525,FALSE),VLOOKUP(D525,'Measure &amp; Standard CostIDs'!$C$5:$H$177,1+B525,FALSE)),2)</f>
        <v>4.66</v>
      </c>
      <c r="X525" s="103"/>
      <c r="Y525" s="103"/>
      <c r="Z525" s="103" t="s">
        <v>868</v>
      </c>
      <c r="AA525" s="103" t="s">
        <v>874</v>
      </c>
      <c r="AB525" s="103" t="s">
        <v>153</v>
      </c>
      <c r="AC525" s="103">
        <v>0</v>
      </c>
      <c r="AD525" s="156">
        <v>42005</v>
      </c>
      <c r="AE525" s="103"/>
      <c r="AF525" s="103" t="s">
        <v>870</v>
      </c>
      <c r="AG525" s="103" t="s">
        <v>871</v>
      </c>
      <c r="AH525" s="103" t="s">
        <v>976</v>
      </c>
      <c r="AI525" s="103">
        <v>0</v>
      </c>
      <c r="AJ525" s="103"/>
      <c r="AK525" s="103"/>
      <c r="AL525" s="103"/>
      <c r="AM525" s="103"/>
      <c r="AN525" s="103"/>
      <c r="AO525" s="103" t="str">
        <f t="shared" si="23"/>
        <v>Std_CFLscw(27w)_60pInc-r0248Single-pack</v>
      </c>
    </row>
    <row r="526" spans="1:41">
      <c r="A526" s="177">
        <f>IFERROR(MATCH(D526,'Measure &amp; Standard CostIDs'!C$5:C$177,0),MATCH(D526,'Measure &amp; Standard CostIDs'!S$5:S$177,0))</f>
        <v>20</v>
      </c>
      <c r="B526" s="177">
        <f t="shared" si="20"/>
        <v>2</v>
      </c>
      <c r="C526" s="103" t="s">
        <v>153</v>
      </c>
      <c r="D526" s="103" t="str">
        <f t="shared" si="21"/>
        <v>Std_CFLscw(28w)_60pInc-r0248</v>
      </c>
      <c r="E526" s="103" t="str">
        <f>IF(LEFT(D526,3)="Std","Base case cost for mix of 60% Incandescent and 40% CFL lamps for CFL TechID: "&amp;INDEX('Measure &amp; Standard CostIDs'!$C$5:$C$177,A526),"&lt;from TechID&gt;")</f>
        <v>Base case cost for mix of 60% Incandescent and 40% CFL lamps for CFL TechID: CFLscw(28w)</v>
      </c>
      <c r="F526" s="103" t="s">
        <v>860</v>
      </c>
      <c r="G526" s="103" t="s">
        <v>151</v>
      </c>
      <c r="H526" s="103" t="s">
        <v>861</v>
      </c>
      <c r="I526" s="103" t="s">
        <v>862</v>
      </c>
      <c r="J526" s="103" t="s">
        <v>863</v>
      </c>
      <c r="K526" s="103" t="s">
        <v>864</v>
      </c>
      <c r="L526" s="103" t="s">
        <v>153</v>
      </c>
      <c r="M526" s="103" t="s">
        <v>865</v>
      </c>
      <c r="N526" s="103" t="s">
        <v>866</v>
      </c>
      <c r="O526" s="103" t="str">
        <f t="shared" si="22"/>
        <v/>
      </c>
      <c r="P526" s="103" t="s">
        <v>153</v>
      </c>
      <c r="Q526" s="103" t="s">
        <v>153</v>
      </c>
      <c r="R526" s="103" t="s">
        <v>153</v>
      </c>
      <c r="S526" s="103" t="str">
        <f>INDEX('Measure &amp; Standard CostIDs'!$AK$8:$AK$12,B526)</f>
        <v>Single-pack</v>
      </c>
      <c r="T526" s="103" t="s">
        <v>867</v>
      </c>
      <c r="U526" s="103"/>
      <c r="V526" s="103"/>
      <c r="W526" s="103">
        <f>ROUND(IF(LEFT(D526,3)="Std",VLOOKUP(D526,'Measure &amp; Standard CostIDs'!$S$5:$X$177,1+B526,FALSE),VLOOKUP(D526,'Measure &amp; Standard CostIDs'!$C$5:$H$177,1+B526,FALSE)),2)</f>
        <v>4.72</v>
      </c>
      <c r="X526" s="103"/>
      <c r="Y526" s="103"/>
      <c r="Z526" s="103" t="s">
        <v>868</v>
      </c>
      <c r="AA526" s="103" t="s">
        <v>874</v>
      </c>
      <c r="AB526" s="103" t="s">
        <v>153</v>
      </c>
      <c r="AC526" s="103">
        <v>0</v>
      </c>
      <c r="AD526" s="156">
        <v>42005</v>
      </c>
      <c r="AE526" s="103"/>
      <c r="AF526" s="103" t="s">
        <v>870</v>
      </c>
      <c r="AG526" s="103" t="s">
        <v>871</v>
      </c>
      <c r="AH526" s="103" t="s">
        <v>976</v>
      </c>
      <c r="AI526" s="103">
        <v>0</v>
      </c>
      <c r="AJ526" s="103"/>
      <c r="AK526" s="103"/>
      <c r="AL526" s="103"/>
      <c r="AM526" s="103"/>
      <c r="AN526" s="103"/>
      <c r="AO526" s="103" t="str">
        <f t="shared" si="23"/>
        <v>Std_CFLscw(28w)_60pInc-r0248Single-pack</v>
      </c>
    </row>
    <row r="527" spans="1:41">
      <c r="A527" s="177">
        <f>IFERROR(MATCH(D527,'Measure &amp; Standard CostIDs'!C$5:C$177,0),MATCH(D527,'Measure &amp; Standard CostIDs'!S$5:S$177,0))</f>
        <v>21</v>
      </c>
      <c r="B527" s="177">
        <f t="shared" si="20"/>
        <v>2</v>
      </c>
      <c r="C527" s="103" t="s">
        <v>153</v>
      </c>
      <c r="D527" s="103" t="str">
        <f t="shared" si="21"/>
        <v>Std_CFLscw(29w)_60pInc-r0248</v>
      </c>
      <c r="E527" s="103" t="str">
        <f>IF(LEFT(D527,3)="Std","Base case cost for mix of 60% Incandescent and 40% CFL lamps for CFL TechID: "&amp;INDEX('Measure &amp; Standard CostIDs'!$C$5:$C$177,A527),"&lt;from TechID&gt;")</f>
        <v>Base case cost for mix of 60% Incandescent and 40% CFL lamps for CFL TechID: CFLscw(29w)</v>
      </c>
      <c r="F527" s="103" t="s">
        <v>860</v>
      </c>
      <c r="G527" s="103" t="s">
        <v>151</v>
      </c>
      <c r="H527" s="103" t="s">
        <v>861</v>
      </c>
      <c r="I527" s="103" t="s">
        <v>862</v>
      </c>
      <c r="J527" s="103" t="s">
        <v>863</v>
      </c>
      <c r="K527" s="103" t="s">
        <v>864</v>
      </c>
      <c r="L527" s="103" t="s">
        <v>153</v>
      </c>
      <c r="M527" s="103" t="s">
        <v>865</v>
      </c>
      <c r="N527" s="103" t="s">
        <v>866</v>
      </c>
      <c r="O527" s="103" t="str">
        <f t="shared" si="22"/>
        <v/>
      </c>
      <c r="P527" s="103" t="s">
        <v>153</v>
      </c>
      <c r="Q527" s="103" t="s">
        <v>153</v>
      </c>
      <c r="R527" s="103" t="s">
        <v>153</v>
      </c>
      <c r="S527" s="103" t="str">
        <f>INDEX('Measure &amp; Standard CostIDs'!$AK$8:$AK$12,B527)</f>
        <v>Single-pack</v>
      </c>
      <c r="T527" s="103" t="s">
        <v>867</v>
      </c>
      <c r="U527" s="103"/>
      <c r="V527" s="103"/>
      <c r="W527" s="103">
        <f>ROUND(IF(LEFT(D527,3)="Std",VLOOKUP(D527,'Measure &amp; Standard CostIDs'!$S$5:$X$177,1+B527,FALSE),VLOOKUP(D527,'Measure &amp; Standard CostIDs'!$C$5:$H$177,1+B527,FALSE)),2)</f>
        <v>4.79</v>
      </c>
      <c r="X527" s="103"/>
      <c r="Y527" s="103"/>
      <c r="Z527" s="103" t="s">
        <v>868</v>
      </c>
      <c r="AA527" s="103" t="s">
        <v>874</v>
      </c>
      <c r="AB527" s="103" t="s">
        <v>153</v>
      </c>
      <c r="AC527" s="103">
        <v>0</v>
      </c>
      <c r="AD527" s="156">
        <v>42005</v>
      </c>
      <c r="AE527" s="103"/>
      <c r="AF527" s="103" t="s">
        <v>870</v>
      </c>
      <c r="AG527" s="103" t="s">
        <v>871</v>
      </c>
      <c r="AH527" s="103" t="s">
        <v>976</v>
      </c>
      <c r="AI527" s="103">
        <v>0</v>
      </c>
      <c r="AJ527" s="103"/>
      <c r="AK527" s="103"/>
      <c r="AL527" s="103"/>
      <c r="AM527" s="103"/>
      <c r="AN527" s="103"/>
      <c r="AO527" s="103" t="str">
        <f t="shared" si="23"/>
        <v>Std_CFLscw(29w)_60pInc-r0248Single-pack</v>
      </c>
    </row>
    <row r="528" spans="1:41">
      <c r="A528" s="177">
        <f>IFERROR(MATCH(D528,'Measure &amp; Standard CostIDs'!C$5:C$177,0),MATCH(D528,'Measure &amp; Standard CostIDs'!S$5:S$177,0))</f>
        <v>22</v>
      </c>
      <c r="B528" s="177">
        <f t="shared" ref="B528:B591" si="24">+B198+1</f>
        <v>2</v>
      </c>
      <c r="C528" s="103" t="s">
        <v>153</v>
      </c>
      <c r="D528" s="103" t="str">
        <f t="shared" ref="D528:D591" si="25">+D198</f>
        <v>Std_CFLscw(30w)_60pInc-r0248</v>
      </c>
      <c r="E528" s="103" t="str">
        <f>IF(LEFT(D528,3)="Std","Base case cost for mix of 60% Incandescent and 40% CFL lamps for CFL TechID: "&amp;INDEX('Measure &amp; Standard CostIDs'!$C$5:$C$177,A528),"&lt;from TechID&gt;")</f>
        <v>Base case cost for mix of 60% Incandescent and 40% CFL lamps for CFL TechID: CFLscw(30w)</v>
      </c>
      <c r="F528" s="103" t="s">
        <v>860</v>
      </c>
      <c r="G528" s="103" t="s">
        <v>151</v>
      </c>
      <c r="H528" s="103" t="s">
        <v>861</v>
      </c>
      <c r="I528" s="103" t="s">
        <v>862</v>
      </c>
      <c r="J528" s="103" t="s">
        <v>863</v>
      </c>
      <c r="K528" s="103" t="s">
        <v>864</v>
      </c>
      <c r="L528" s="103" t="s">
        <v>153</v>
      </c>
      <c r="M528" s="103" t="s">
        <v>865</v>
      </c>
      <c r="N528" s="103" t="s">
        <v>866</v>
      </c>
      <c r="O528" s="103" t="str">
        <f t="shared" si="22"/>
        <v/>
      </c>
      <c r="P528" s="103" t="s">
        <v>153</v>
      </c>
      <c r="Q528" s="103" t="s">
        <v>153</v>
      </c>
      <c r="R528" s="103" t="s">
        <v>153</v>
      </c>
      <c r="S528" s="103" t="str">
        <f>INDEX('Measure &amp; Standard CostIDs'!$AK$8:$AK$12,B528)</f>
        <v>Single-pack</v>
      </c>
      <c r="T528" s="103" t="s">
        <v>867</v>
      </c>
      <c r="U528" s="103"/>
      <c r="V528" s="103"/>
      <c r="W528" s="103">
        <f>ROUND(IF(LEFT(D528,3)="Std",VLOOKUP(D528,'Measure &amp; Standard CostIDs'!$S$5:$X$177,1+B528,FALSE),VLOOKUP(D528,'Measure &amp; Standard CostIDs'!$C$5:$H$177,1+B528,FALSE)),2)</f>
        <v>4.8499999999999996</v>
      </c>
      <c r="X528" s="103"/>
      <c r="Y528" s="103"/>
      <c r="Z528" s="103" t="s">
        <v>868</v>
      </c>
      <c r="AA528" s="103" t="s">
        <v>874</v>
      </c>
      <c r="AB528" s="103" t="s">
        <v>153</v>
      </c>
      <c r="AC528" s="103">
        <v>0</v>
      </c>
      <c r="AD528" s="156">
        <v>42005</v>
      </c>
      <c r="AE528" s="103"/>
      <c r="AF528" s="103" t="s">
        <v>870</v>
      </c>
      <c r="AG528" s="103" t="s">
        <v>871</v>
      </c>
      <c r="AH528" s="103" t="s">
        <v>976</v>
      </c>
      <c r="AI528" s="103">
        <v>0</v>
      </c>
      <c r="AJ528" s="103"/>
      <c r="AK528" s="103"/>
      <c r="AL528" s="103"/>
      <c r="AM528" s="103"/>
      <c r="AN528" s="103"/>
      <c r="AO528" s="103" t="str">
        <f t="shared" si="23"/>
        <v>Std_CFLscw(30w)_60pInc-r0248Single-pack</v>
      </c>
    </row>
    <row r="529" spans="1:41">
      <c r="A529" s="177">
        <f>IFERROR(MATCH(D529,'Measure &amp; Standard CostIDs'!C$5:C$177,0),MATCH(D529,'Measure &amp; Standard CostIDs'!S$5:S$177,0))</f>
        <v>23</v>
      </c>
      <c r="B529" s="177">
        <f t="shared" si="24"/>
        <v>2</v>
      </c>
      <c r="C529" s="103" t="s">
        <v>153</v>
      </c>
      <c r="D529" s="103" t="str">
        <f t="shared" si="25"/>
        <v>Std_CFLscw(31w)_60pInc-r0248</v>
      </c>
      <c r="E529" s="103" t="str">
        <f>IF(LEFT(D529,3)="Std","Base case cost for mix of 60% Incandescent and 40% CFL lamps for CFL TechID: "&amp;INDEX('Measure &amp; Standard CostIDs'!$C$5:$C$177,A529),"&lt;from TechID&gt;")</f>
        <v>Base case cost for mix of 60% Incandescent and 40% CFL lamps for CFL TechID: CFLscw(31w)</v>
      </c>
      <c r="F529" s="103" t="s">
        <v>860</v>
      </c>
      <c r="G529" s="103" t="s">
        <v>151</v>
      </c>
      <c r="H529" s="103" t="s">
        <v>861</v>
      </c>
      <c r="I529" s="103" t="s">
        <v>862</v>
      </c>
      <c r="J529" s="103" t="s">
        <v>863</v>
      </c>
      <c r="K529" s="103" t="s">
        <v>864</v>
      </c>
      <c r="L529" s="103" t="s">
        <v>153</v>
      </c>
      <c r="M529" s="103" t="s">
        <v>865</v>
      </c>
      <c r="N529" s="103" t="s">
        <v>866</v>
      </c>
      <c r="O529" s="103" t="str">
        <f t="shared" si="22"/>
        <v/>
      </c>
      <c r="P529" s="103" t="s">
        <v>153</v>
      </c>
      <c r="Q529" s="103" t="s">
        <v>153</v>
      </c>
      <c r="R529" s="103" t="s">
        <v>153</v>
      </c>
      <c r="S529" s="103" t="str">
        <f>INDEX('Measure &amp; Standard CostIDs'!$AK$8:$AK$12,B529)</f>
        <v>Single-pack</v>
      </c>
      <c r="T529" s="103" t="s">
        <v>867</v>
      </c>
      <c r="U529" s="103"/>
      <c r="V529" s="103"/>
      <c r="W529" s="103">
        <f>ROUND(IF(LEFT(D529,3)="Std",VLOOKUP(D529,'Measure &amp; Standard CostIDs'!$S$5:$X$177,1+B529,FALSE),VLOOKUP(D529,'Measure &amp; Standard CostIDs'!$C$5:$H$177,1+B529,FALSE)),2)</f>
        <v>4.91</v>
      </c>
      <c r="X529" s="103"/>
      <c r="Y529" s="103"/>
      <c r="Z529" s="103" t="s">
        <v>868</v>
      </c>
      <c r="AA529" s="103" t="s">
        <v>874</v>
      </c>
      <c r="AB529" s="103" t="s">
        <v>153</v>
      </c>
      <c r="AC529" s="103">
        <v>0</v>
      </c>
      <c r="AD529" s="156">
        <v>42005</v>
      </c>
      <c r="AE529" s="103"/>
      <c r="AF529" s="103" t="s">
        <v>870</v>
      </c>
      <c r="AG529" s="103" t="s">
        <v>871</v>
      </c>
      <c r="AH529" s="103" t="s">
        <v>976</v>
      </c>
      <c r="AI529" s="103">
        <v>0</v>
      </c>
      <c r="AJ529" s="103"/>
      <c r="AK529" s="103"/>
      <c r="AL529" s="103"/>
      <c r="AM529" s="103"/>
      <c r="AN529" s="103"/>
      <c r="AO529" s="103" t="str">
        <f t="shared" si="23"/>
        <v>Std_CFLscw(31w)_60pInc-r0248Single-pack</v>
      </c>
    </row>
    <row r="530" spans="1:41">
      <c r="A530" s="177">
        <f>IFERROR(MATCH(D530,'Measure &amp; Standard CostIDs'!C$5:C$177,0),MATCH(D530,'Measure &amp; Standard CostIDs'!S$5:S$177,0))</f>
        <v>24</v>
      </c>
      <c r="B530" s="177">
        <f t="shared" si="24"/>
        <v>2</v>
      </c>
      <c r="C530" s="103" t="s">
        <v>153</v>
      </c>
      <c r="D530" s="103" t="str">
        <f t="shared" si="25"/>
        <v>Std_CFLscw(32w)_60pInc-r0248</v>
      </c>
      <c r="E530" s="103" t="str">
        <f>IF(LEFT(D530,3)="Std","Base case cost for mix of 60% Incandescent and 40% CFL lamps for CFL TechID: "&amp;INDEX('Measure &amp; Standard CostIDs'!$C$5:$C$177,A530),"&lt;from TechID&gt;")</f>
        <v>Base case cost for mix of 60% Incandescent and 40% CFL lamps for CFL TechID: CFLscw(32w)</v>
      </c>
      <c r="F530" s="103" t="s">
        <v>860</v>
      </c>
      <c r="G530" s="103" t="s">
        <v>151</v>
      </c>
      <c r="H530" s="103" t="s">
        <v>861</v>
      </c>
      <c r="I530" s="103" t="s">
        <v>862</v>
      </c>
      <c r="J530" s="103" t="s">
        <v>863</v>
      </c>
      <c r="K530" s="103" t="s">
        <v>864</v>
      </c>
      <c r="L530" s="103" t="s">
        <v>153</v>
      </c>
      <c r="M530" s="103" t="s">
        <v>865</v>
      </c>
      <c r="N530" s="103" t="s">
        <v>866</v>
      </c>
      <c r="O530" s="103" t="str">
        <f t="shared" si="22"/>
        <v/>
      </c>
      <c r="P530" s="103" t="s">
        <v>153</v>
      </c>
      <c r="Q530" s="103" t="s">
        <v>153</v>
      </c>
      <c r="R530" s="103" t="s">
        <v>153</v>
      </c>
      <c r="S530" s="103" t="str">
        <f>INDEX('Measure &amp; Standard CostIDs'!$AK$8:$AK$12,B530)</f>
        <v>Single-pack</v>
      </c>
      <c r="T530" s="103" t="s">
        <v>867</v>
      </c>
      <c r="U530" s="103"/>
      <c r="V530" s="103"/>
      <c r="W530" s="103">
        <f>ROUND(IF(LEFT(D530,3)="Std",VLOOKUP(D530,'Measure &amp; Standard CostIDs'!$S$5:$X$177,1+B530,FALSE),VLOOKUP(D530,'Measure &amp; Standard CostIDs'!$C$5:$H$177,1+B530,FALSE)),2)</f>
        <v>4.9800000000000004</v>
      </c>
      <c r="X530" s="103"/>
      <c r="Y530" s="103"/>
      <c r="Z530" s="103" t="s">
        <v>868</v>
      </c>
      <c r="AA530" s="103" t="s">
        <v>874</v>
      </c>
      <c r="AB530" s="103" t="s">
        <v>153</v>
      </c>
      <c r="AC530" s="103">
        <v>0</v>
      </c>
      <c r="AD530" s="156">
        <v>42005</v>
      </c>
      <c r="AE530" s="103"/>
      <c r="AF530" s="103" t="s">
        <v>870</v>
      </c>
      <c r="AG530" s="103" t="s">
        <v>871</v>
      </c>
      <c r="AH530" s="103" t="s">
        <v>976</v>
      </c>
      <c r="AI530" s="103">
        <v>0</v>
      </c>
      <c r="AJ530" s="103"/>
      <c r="AK530" s="103"/>
      <c r="AL530" s="103"/>
      <c r="AM530" s="103"/>
      <c r="AN530" s="103"/>
      <c r="AO530" s="103" t="str">
        <f t="shared" si="23"/>
        <v>Std_CFLscw(32w)_60pInc-r0248Single-pack</v>
      </c>
    </row>
    <row r="531" spans="1:41">
      <c r="A531" s="177">
        <f>IFERROR(MATCH(D531,'Measure &amp; Standard CostIDs'!C$5:C$177,0),MATCH(D531,'Measure &amp; Standard CostIDs'!S$5:S$177,0))</f>
        <v>25</v>
      </c>
      <c r="B531" s="177">
        <f t="shared" si="24"/>
        <v>2</v>
      </c>
      <c r="C531" s="103" t="s">
        <v>153</v>
      </c>
      <c r="D531" s="103" t="str">
        <f t="shared" si="25"/>
        <v>Std_CFLscw(33w)_60pInc-r0248</v>
      </c>
      <c r="E531" s="103" t="str">
        <f>IF(LEFT(D531,3)="Std","Base case cost for mix of 60% Incandescent and 40% CFL lamps for CFL TechID: "&amp;INDEX('Measure &amp; Standard CostIDs'!$C$5:$C$177,A531),"&lt;from TechID&gt;")</f>
        <v>Base case cost for mix of 60% Incandescent and 40% CFL lamps for CFL TechID: CFLscw(33w)</v>
      </c>
      <c r="F531" s="103" t="s">
        <v>860</v>
      </c>
      <c r="G531" s="103" t="s">
        <v>151</v>
      </c>
      <c r="H531" s="103" t="s">
        <v>861</v>
      </c>
      <c r="I531" s="103" t="s">
        <v>862</v>
      </c>
      <c r="J531" s="103" t="s">
        <v>863</v>
      </c>
      <c r="K531" s="103" t="s">
        <v>864</v>
      </c>
      <c r="L531" s="103" t="s">
        <v>153</v>
      </c>
      <c r="M531" s="103" t="s">
        <v>865</v>
      </c>
      <c r="N531" s="103" t="s">
        <v>866</v>
      </c>
      <c r="O531" s="103" t="str">
        <f t="shared" si="22"/>
        <v/>
      </c>
      <c r="P531" s="103" t="s">
        <v>153</v>
      </c>
      <c r="Q531" s="103" t="s">
        <v>153</v>
      </c>
      <c r="R531" s="103" t="s">
        <v>153</v>
      </c>
      <c r="S531" s="103" t="str">
        <f>INDEX('Measure &amp; Standard CostIDs'!$AK$8:$AK$12,B531)</f>
        <v>Single-pack</v>
      </c>
      <c r="T531" s="103" t="s">
        <v>867</v>
      </c>
      <c r="U531" s="103"/>
      <c r="V531" s="103"/>
      <c r="W531" s="103">
        <f>ROUND(IF(LEFT(D531,3)="Std",VLOOKUP(D531,'Measure &amp; Standard CostIDs'!$S$5:$X$177,1+B531,FALSE),VLOOKUP(D531,'Measure &amp; Standard CostIDs'!$C$5:$H$177,1+B531,FALSE)),2)</f>
        <v>5.04</v>
      </c>
      <c r="X531" s="103"/>
      <c r="Y531" s="103"/>
      <c r="Z531" s="103" t="s">
        <v>868</v>
      </c>
      <c r="AA531" s="103" t="s">
        <v>874</v>
      </c>
      <c r="AB531" s="103" t="s">
        <v>153</v>
      </c>
      <c r="AC531" s="103">
        <v>0</v>
      </c>
      <c r="AD531" s="156">
        <v>42005</v>
      </c>
      <c r="AE531" s="103"/>
      <c r="AF531" s="103" t="s">
        <v>870</v>
      </c>
      <c r="AG531" s="103" t="s">
        <v>871</v>
      </c>
      <c r="AH531" s="103" t="s">
        <v>976</v>
      </c>
      <c r="AI531" s="103">
        <v>0</v>
      </c>
      <c r="AJ531" s="103"/>
      <c r="AK531" s="103"/>
      <c r="AL531" s="103"/>
      <c r="AM531" s="103"/>
      <c r="AN531" s="103"/>
      <c r="AO531" s="103" t="str">
        <f t="shared" si="23"/>
        <v>Std_CFLscw(33w)_60pInc-r0248Single-pack</v>
      </c>
    </row>
    <row r="532" spans="1:41">
      <c r="A532" s="177">
        <f>IFERROR(MATCH(D532,'Measure &amp; Standard CostIDs'!C$5:C$177,0),MATCH(D532,'Measure &amp; Standard CostIDs'!S$5:S$177,0))</f>
        <v>26</v>
      </c>
      <c r="B532" s="177">
        <f t="shared" si="24"/>
        <v>2</v>
      </c>
      <c r="C532" s="103" t="s">
        <v>153</v>
      </c>
      <c r="D532" s="103" t="str">
        <f t="shared" si="25"/>
        <v>Std_CFLscw(36w)_60pInc-r0248</v>
      </c>
      <c r="E532" s="103" t="str">
        <f>IF(LEFT(D532,3)="Std","Base case cost for mix of 60% Incandescent and 40% CFL lamps for CFL TechID: "&amp;INDEX('Measure &amp; Standard CostIDs'!$C$5:$C$177,A532),"&lt;from TechID&gt;")</f>
        <v>Base case cost for mix of 60% Incandescent and 40% CFL lamps for CFL TechID: CFLscw(36w)</v>
      </c>
      <c r="F532" s="103" t="s">
        <v>860</v>
      </c>
      <c r="G532" s="103" t="s">
        <v>151</v>
      </c>
      <c r="H532" s="103" t="s">
        <v>861</v>
      </c>
      <c r="I532" s="103" t="s">
        <v>862</v>
      </c>
      <c r="J532" s="103" t="s">
        <v>863</v>
      </c>
      <c r="K532" s="103" t="s">
        <v>864</v>
      </c>
      <c r="L532" s="103" t="s">
        <v>153</v>
      </c>
      <c r="M532" s="103" t="s">
        <v>865</v>
      </c>
      <c r="N532" s="103" t="s">
        <v>866</v>
      </c>
      <c r="O532" s="103" t="str">
        <f t="shared" si="22"/>
        <v/>
      </c>
      <c r="P532" s="103" t="s">
        <v>153</v>
      </c>
      <c r="Q532" s="103" t="s">
        <v>153</v>
      </c>
      <c r="R532" s="103" t="s">
        <v>153</v>
      </c>
      <c r="S532" s="103" t="str">
        <f>INDEX('Measure &amp; Standard CostIDs'!$AK$8:$AK$12,B532)</f>
        <v>Single-pack</v>
      </c>
      <c r="T532" s="103" t="s">
        <v>867</v>
      </c>
      <c r="U532" s="103"/>
      <c r="V532" s="103"/>
      <c r="W532" s="103">
        <f>ROUND(IF(LEFT(D532,3)="Std",VLOOKUP(D532,'Measure &amp; Standard CostIDs'!$S$5:$X$177,1+B532,FALSE),VLOOKUP(D532,'Measure &amp; Standard CostIDs'!$C$5:$H$177,1+B532,FALSE)),2)</f>
        <v>5.24</v>
      </c>
      <c r="X532" s="103"/>
      <c r="Y532" s="103"/>
      <c r="Z532" s="103" t="s">
        <v>868</v>
      </c>
      <c r="AA532" s="103" t="s">
        <v>874</v>
      </c>
      <c r="AB532" s="103" t="s">
        <v>153</v>
      </c>
      <c r="AC532" s="103">
        <v>0</v>
      </c>
      <c r="AD532" s="156">
        <v>42005</v>
      </c>
      <c r="AE532" s="103"/>
      <c r="AF532" s="103" t="s">
        <v>870</v>
      </c>
      <c r="AG532" s="103" t="s">
        <v>871</v>
      </c>
      <c r="AH532" s="103" t="s">
        <v>976</v>
      </c>
      <c r="AI532" s="103">
        <v>0</v>
      </c>
      <c r="AJ532" s="103"/>
      <c r="AK532" s="103"/>
      <c r="AL532" s="103"/>
      <c r="AM532" s="103"/>
      <c r="AN532" s="103"/>
      <c r="AO532" s="103" t="str">
        <f t="shared" si="23"/>
        <v>Std_CFLscw(36w)_60pInc-r0248Single-pack</v>
      </c>
    </row>
    <row r="533" spans="1:41">
      <c r="A533" s="177">
        <f>IFERROR(MATCH(D533,'Measure &amp; Standard CostIDs'!C$5:C$177,0),MATCH(D533,'Measure &amp; Standard CostIDs'!S$5:S$177,0))</f>
        <v>27</v>
      </c>
      <c r="B533" s="177">
        <f t="shared" si="24"/>
        <v>2</v>
      </c>
      <c r="C533" s="103" t="s">
        <v>153</v>
      </c>
      <c r="D533" s="103" t="str">
        <f t="shared" si="25"/>
        <v>Std_CFLscw(38w)_60pInc-r0248</v>
      </c>
      <c r="E533" s="103" t="str">
        <f>IF(LEFT(D533,3)="Std","Base case cost for mix of 60% Incandescent and 40% CFL lamps for CFL TechID: "&amp;INDEX('Measure &amp; Standard CostIDs'!$C$5:$C$177,A533),"&lt;from TechID&gt;")</f>
        <v>Base case cost for mix of 60% Incandescent and 40% CFL lamps for CFL TechID: CFLscw(38w)</v>
      </c>
      <c r="F533" s="103" t="s">
        <v>860</v>
      </c>
      <c r="G533" s="103" t="s">
        <v>151</v>
      </c>
      <c r="H533" s="103" t="s">
        <v>861</v>
      </c>
      <c r="I533" s="103" t="s">
        <v>862</v>
      </c>
      <c r="J533" s="103" t="s">
        <v>863</v>
      </c>
      <c r="K533" s="103" t="s">
        <v>864</v>
      </c>
      <c r="L533" s="103" t="s">
        <v>153</v>
      </c>
      <c r="M533" s="103" t="s">
        <v>865</v>
      </c>
      <c r="N533" s="103" t="s">
        <v>866</v>
      </c>
      <c r="O533" s="103" t="str">
        <f t="shared" si="22"/>
        <v/>
      </c>
      <c r="P533" s="103" t="s">
        <v>153</v>
      </c>
      <c r="Q533" s="103" t="s">
        <v>153</v>
      </c>
      <c r="R533" s="103" t="s">
        <v>153</v>
      </c>
      <c r="S533" s="103" t="str">
        <f>INDEX('Measure &amp; Standard CostIDs'!$AK$8:$AK$12,B533)</f>
        <v>Single-pack</v>
      </c>
      <c r="T533" s="103" t="s">
        <v>867</v>
      </c>
      <c r="U533" s="103"/>
      <c r="V533" s="103"/>
      <c r="W533" s="103">
        <f>ROUND(IF(LEFT(D533,3)="Std",VLOOKUP(D533,'Measure &amp; Standard CostIDs'!$S$5:$X$177,1+B533,FALSE),VLOOKUP(D533,'Measure &amp; Standard CostIDs'!$C$5:$H$177,1+B533,FALSE)),2)</f>
        <v>5.37</v>
      </c>
      <c r="X533" s="103"/>
      <c r="Y533" s="103"/>
      <c r="Z533" s="103" t="s">
        <v>868</v>
      </c>
      <c r="AA533" s="103" t="s">
        <v>874</v>
      </c>
      <c r="AB533" s="103" t="s">
        <v>153</v>
      </c>
      <c r="AC533" s="103">
        <v>0</v>
      </c>
      <c r="AD533" s="156">
        <v>42005</v>
      </c>
      <c r="AE533" s="103"/>
      <c r="AF533" s="103" t="s">
        <v>870</v>
      </c>
      <c r="AG533" s="103" t="s">
        <v>871</v>
      </c>
      <c r="AH533" s="103" t="s">
        <v>976</v>
      </c>
      <c r="AI533" s="103">
        <v>0</v>
      </c>
      <c r="AJ533" s="103"/>
      <c r="AK533" s="103"/>
      <c r="AL533" s="103"/>
      <c r="AM533" s="103"/>
      <c r="AN533" s="103"/>
      <c r="AO533" s="103" t="str">
        <f t="shared" si="23"/>
        <v>Std_CFLscw(38w)_60pInc-r0248Single-pack</v>
      </c>
    </row>
    <row r="534" spans="1:41">
      <c r="A534" s="177">
        <f>IFERROR(MATCH(D534,'Measure &amp; Standard CostIDs'!C$5:C$177,0),MATCH(D534,'Measure &amp; Standard CostIDs'!S$5:S$177,0))</f>
        <v>28</v>
      </c>
      <c r="B534" s="177">
        <f t="shared" si="24"/>
        <v>2</v>
      </c>
      <c r="C534" s="103" t="s">
        <v>153</v>
      </c>
      <c r="D534" s="103" t="str">
        <f t="shared" si="25"/>
        <v>Std_CFLscw(39w)_60pInc-r0248</v>
      </c>
      <c r="E534" s="103" t="str">
        <f>IF(LEFT(D534,3)="Std","Base case cost for mix of 60% Incandescent and 40% CFL lamps for CFL TechID: "&amp;INDEX('Measure &amp; Standard CostIDs'!$C$5:$C$177,A534),"&lt;from TechID&gt;")</f>
        <v>Base case cost for mix of 60% Incandescent and 40% CFL lamps for CFL TechID: CFLscw(39w)</v>
      </c>
      <c r="F534" s="103" t="s">
        <v>860</v>
      </c>
      <c r="G534" s="103" t="s">
        <v>151</v>
      </c>
      <c r="H534" s="103" t="s">
        <v>861</v>
      </c>
      <c r="I534" s="103" t="s">
        <v>862</v>
      </c>
      <c r="J534" s="103" t="s">
        <v>863</v>
      </c>
      <c r="K534" s="103" t="s">
        <v>864</v>
      </c>
      <c r="L534" s="103" t="s">
        <v>153</v>
      </c>
      <c r="M534" s="103" t="s">
        <v>865</v>
      </c>
      <c r="N534" s="103" t="s">
        <v>866</v>
      </c>
      <c r="O534" s="103" t="str">
        <f t="shared" si="22"/>
        <v/>
      </c>
      <c r="P534" s="103" t="s">
        <v>153</v>
      </c>
      <c r="Q534" s="103" t="s">
        <v>153</v>
      </c>
      <c r="R534" s="103" t="s">
        <v>153</v>
      </c>
      <c r="S534" s="103" t="str">
        <f>INDEX('Measure &amp; Standard CostIDs'!$AK$8:$AK$12,B534)</f>
        <v>Single-pack</v>
      </c>
      <c r="T534" s="103" t="s">
        <v>867</v>
      </c>
      <c r="U534" s="103"/>
      <c r="V534" s="103"/>
      <c r="W534" s="103">
        <f>ROUND(IF(LEFT(D534,3)="Std",VLOOKUP(D534,'Measure &amp; Standard CostIDs'!$S$5:$X$177,1+B534,FALSE),VLOOKUP(D534,'Measure &amp; Standard CostIDs'!$C$5:$H$177,1+B534,FALSE)),2)</f>
        <v>5.43</v>
      </c>
      <c r="X534" s="103"/>
      <c r="Y534" s="103"/>
      <c r="Z534" s="103" t="s">
        <v>868</v>
      </c>
      <c r="AA534" s="103" t="s">
        <v>874</v>
      </c>
      <c r="AB534" s="103" t="s">
        <v>153</v>
      </c>
      <c r="AC534" s="103">
        <v>0</v>
      </c>
      <c r="AD534" s="156">
        <v>42005</v>
      </c>
      <c r="AE534" s="103"/>
      <c r="AF534" s="103" t="s">
        <v>870</v>
      </c>
      <c r="AG534" s="103" t="s">
        <v>871</v>
      </c>
      <c r="AH534" s="103" t="s">
        <v>976</v>
      </c>
      <c r="AI534" s="103">
        <v>0</v>
      </c>
      <c r="AJ534" s="103"/>
      <c r="AK534" s="103"/>
      <c r="AL534" s="103"/>
      <c r="AM534" s="103"/>
      <c r="AN534" s="103"/>
      <c r="AO534" s="103" t="str">
        <f t="shared" si="23"/>
        <v>Std_CFLscw(39w)_60pInc-r0248Single-pack</v>
      </c>
    </row>
    <row r="535" spans="1:41">
      <c r="A535" s="177">
        <f>IFERROR(MATCH(D535,'Measure &amp; Standard CostIDs'!C$5:C$177,0),MATCH(D535,'Measure &amp; Standard CostIDs'!S$5:S$177,0))</f>
        <v>29</v>
      </c>
      <c r="B535" s="177">
        <f t="shared" si="24"/>
        <v>2</v>
      </c>
      <c r="C535" s="103" t="s">
        <v>153</v>
      </c>
      <c r="D535" s="103" t="str">
        <f t="shared" si="25"/>
        <v>Std_CFLscw(3w)_60pInc-r0248</v>
      </c>
      <c r="E535" s="103" t="str">
        <f>IF(LEFT(D535,3)="Std","Base case cost for mix of 60% Incandescent and 40% CFL lamps for CFL TechID: "&amp;INDEX('Measure &amp; Standard CostIDs'!$C$5:$C$177,A535),"&lt;from TechID&gt;")</f>
        <v>Base case cost for mix of 60% Incandescent and 40% CFL lamps for CFL TechID: CFLscw(3w)</v>
      </c>
      <c r="F535" s="103" t="s">
        <v>860</v>
      </c>
      <c r="G535" s="103" t="s">
        <v>151</v>
      </c>
      <c r="H535" s="103" t="s">
        <v>861</v>
      </c>
      <c r="I535" s="103" t="s">
        <v>862</v>
      </c>
      <c r="J535" s="103" t="s">
        <v>863</v>
      </c>
      <c r="K535" s="103" t="s">
        <v>864</v>
      </c>
      <c r="L535" s="103" t="s">
        <v>153</v>
      </c>
      <c r="M535" s="103" t="s">
        <v>865</v>
      </c>
      <c r="N535" s="103" t="s">
        <v>866</v>
      </c>
      <c r="O535" s="103" t="str">
        <f t="shared" si="22"/>
        <v/>
      </c>
      <c r="P535" s="103" t="s">
        <v>153</v>
      </c>
      <c r="Q535" s="103" t="s">
        <v>153</v>
      </c>
      <c r="R535" s="103" t="s">
        <v>153</v>
      </c>
      <c r="S535" s="103" t="str">
        <f>INDEX('Measure &amp; Standard CostIDs'!$AK$8:$AK$12,B535)</f>
        <v>Single-pack</v>
      </c>
      <c r="T535" s="103" t="s">
        <v>867</v>
      </c>
      <c r="U535" s="103"/>
      <c r="V535" s="103"/>
      <c r="W535" s="103">
        <f>ROUND(IF(LEFT(D535,3)="Std",VLOOKUP(D535,'Measure &amp; Standard CostIDs'!$S$5:$X$177,1+B535,FALSE),VLOOKUP(D535,'Measure &amp; Standard CostIDs'!$C$5:$H$177,1+B535,FALSE)),2)</f>
        <v>3.69</v>
      </c>
      <c r="X535" s="103"/>
      <c r="Y535" s="103"/>
      <c r="Z535" s="103" t="s">
        <v>868</v>
      </c>
      <c r="AA535" s="103" t="s">
        <v>874</v>
      </c>
      <c r="AB535" s="103" t="s">
        <v>153</v>
      </c>
      <c r="AC535" s="103">
        <v>0</v>
      </c>
      <c r="AD535" s="156">
        <v>42005</v>
      </c>
      <c r="AE535" s="103"/>
      <c r="AF535" s="103" t="s">
        <v>870</v>
      </c>
      <c r="AG535" s="103" t="s">
        <v>871</v>
      </c>
      <c r="AH535" s="103" t="s">
        <v>976</v>
      </c>
      <c r="AI535" s="103">
        <v>0</v>
      </c>
      <c r="AJ535" s="103"/>
      <c r="AK535" s="103"/>
      <c r="AL535" s="103"/>
      <c r="AM535" s="103"/>
      <c r="AN535" s="103"/>
      <c r="AO535" s="103" t="str">
        <f t="shared" si="23"/>
        <v>Std_CFLscw(3w)_60pInc-r0248Single-pack</v>
      </c>
    </row>
    <row r="536" spans="1:41">
      <c r="A536" s="177">
        <f>IFERROR(MATCH(D536,'Measure &amp; Standard CostIDs'!C$5:C$177,0),MATCH(D536,'Measure &amp; Standard CostIDs'!S$5:S$177,0))</f>
        <v>30</v>
      </c>
      <c r="B536" s="177">
        <f t="shared" si="24"/>
        <v>2</v>
      </c>
      <c r="C536" s="103" t="s">
        <v>153</v>
      </c>
      <c r="D536" s="103" t="str">
        <f t="shared" si="25"/>
        <v>Std_CFLscw(40w)_60pInc-r0248</v>
      </c>
      <c r="E536" s="103" t="str">
        <f>IF(LEFT(D536,3)="Std","Base case cost for mix of 60% Incandescent and 40% CFL lamps for CFL TechID: "&amp;INDEX('Measure &amp; Standard CostIDs'!$C$5:$C$177,A536),"&lt;from TechID&gt;")</f>
        <v>Base case cost for mix of 60% Incandescent and 40% CFL lamps for CFL TechID: CFLscw(40w)</v>
      </c>
      <c r="F536" s="103" t="s">
        <v>860</v>
      </c>
      <c r="G536" s="103" t="s">
        <v>151</v>
      </c>
      <c r="H536" s="103" t="s">
        <v>861</v>
      </c>
      <c r="I536" s="103" t="s">
        <v>862</v>
      </c>
      <c r="J536" s="103" t="s">
        <v>863</v>
      </c>
      <c r="K536" s="103" t="s">
        <v>864</v>
      </c>
      <c r="L536" s="103" t="s">
        <v>153</v>
      </c>
      <c r="M536" s="103" t="s">
        <v>865</v>
      </c>
      <c r="N536" s="103" t="s">
        <v>866</v>
      </c>
      <c r="O536" s="103" t="str">
        <f t="shared" si="22"/>
        <v/>
      </c>
      <c r="P536" s="103" t="s">
        <v>153</v>
      </c>
      <c r="Q536" s="103" t="s">
        <v>153</v>
      </c>
      <c r="R536" s="103" t="s">
        <v>153</v>
      </c>
      <c r="S536" s="103" t="str">
        <f>INDEX('Measure &amp; Standard CostIDs'!$AK$8:$AK$12,B536)</f>
        <v>Single-pack</v>
      </c>
      <c r="T536" s="103" t="s">
        <v>867</v>
      </c>
      <c r="U536" s="103"/>
      <c r="V536" s="103"/>
      <c r="W536" s="103">
        <f>ROUND(IF(LEFT(D536,3)="Std",VLOOKUP(D536,'Measure &amp; Standard CostIDs'!$S$5:$X$177,1+B536,FALSE),VLOOKUP(D536,'Measure &amp; Standard CostIDs'!$C$5:$H$177,1+B536,FALSE)),2)</f>
        <v>5.5</v>
      </c>
      <c r="X536" s="103"/>
      <c r="Y536" s="103"/>
      <c r="Z536" s="103" t="s">
        <v>868</v>
      </c>
      <c r="AA536" s="103" t="s">
        <v>874</v>
      </c>
      <c r="AB536" s="103" t="s">
        <v>153</v>
      </c>
      <c r="AC536" s="103">
        <v>0</v>
      </c>
      <c r="AD536" s="156">
        <v>42005</v>
      </c>
      <c r="AE536" s="103"/>
      <c r="AF536" s="103" t="s">
        <v>870</v>
      </c>
      <c r="AG536" s="103" t="s">
        <v>871</v>
      </c>
      <c r="AH536" s="103" t="s">
        <v>976</v>
      </c>
      <c r="AI536" s="103">
        <v>0</v>
      </c>
      <c r="AJ536" s="103"/>
      <c r="AK536" s="103"/>
      <c r="AL536" s="103"/>
      <c r="AM536" s="103"/>
      <c r="AN536" s="103"/>
      <c r="AO536" s="103" t="str">
        <f t="shared" si="23"/>
        <v>Std_CFLscw(40w)_60pInc-r0248Single-pack</v>
      </c>
    </row>
    <row r="537" spans="1:41">
      <c r="A537" s="177">
        <f>IFERROR(MATCH(D537,'Measure &amp; Standard CostIDs'!C$5:C$177,0),MATCH(D537,'Measure &amp; Standard CostIDs'!S$5:S$177,0))</f>
        <v>31</v>
      </c>
      <c r="B537" s="177">
        <f t="shared" si="24"/>
        <v>2</v>
      </c>
      <c r="C537" s="103" t="s">
        <v>153</v>
      </c>
      <c r="D537" s="103" t="str">
        <f t="shared" si="25"/>
        <v>Std_CFLscw(42w)_60pInc-r0248</v>
      </c>
      <c r="E537" s="103" t="str">
        <f>IF(LEFT(D537,3)="Std","Base case cost for mix of 60% Incandescent and 40% CFL lamps for CFL TechID: "&amp;INDEX('Measure &amp; Standard CostIDs'!$C$5:$C$177,A537),"&lt;from TechID&gt;")</f>
        <v>Base case cost for mix of 60% Incandescent and 40% CFL lamps for CFL TechID: CFLscw(42w)</v>
      </c>
      <c r="F537" s="103" t="s">
        <v>860</v>
      </c>
      <c r="G537" s="103" t="s">
        <v>151</v>
      </c>
      <c r="H537" s="103" t="s">
        <v>861</v>
      </c>
      <c r="I537" s="103" t="s">
        <v>862</v>
      </c>
      <c r="J537" s="103" t="s">
        <v>863</v>
      </c>
      <c r="K537" s="103" t="s">
        <v>864</v>
      </c>
      <c r="L537" s="103" t="s">
        <v>153</v>
      </c>
      <c r="M537" s="103" t="s">
        <v>865</v>
      </c>
      <c r="N537" s="103" t="s">
        <v>866</v>
      </c>
      <c r="O537" s="103" t="str">
        <f t="shared" si="22"/>
        <v/>
      </c>
      <c r="P537" s="103" t="s">
        <v>153</v>
      </c>
      <c r="Q537" s="103" t="s">
        <v>153</v>
      </c>
      <c r="R537" s="103" t="s">
        <v>153</v>
      </c>
      <c r="S537" s="103" t="str">
        <f>INDEX('Measure &amp; Standard CostIDs'!$AK$8:$AK$12,B537)</f>
        <v>Single-pack</v>
      </c>
      <c r="T537" s="103" t="s">
        <v>867</v>
      </c>
      <c r="U537" s="103"/>
      <c r="V537" s="103"/>
      <c r="W537" s="103">
        <f>ROUND(IF(LEFT(D537,3)="Std",VLOOKUP(D537,'Measure &amp; Standard CostIDs'!$S$5:$X$177,1+B537,FALSE),VLOOKUP(D537,'Measure &amp; Standard CostIDs'!$C$5:$H$177,1+B537,FALSE)),2)</f>
        <v>5.63</v>
      </c>
      <c r="X537" s="103"/>
      <c r="Y537" s="103"/>
      <c r="Z537" s="103" t="s">
        <v>868</v>
      </c>
      <c r="AA537" s="103" t="s">
        <v>874</v>
      </c>
      <c r="AB537" s="103" t="s">
        <v>153</v>
      </c>
      <c r="AC537" s="103">
        <v>0</v>
      </c>
      <c r="AD537" s="156">
        <v>42005</v>
      </c>
      <c r="AE537" s="103"/>
      <c r="AF537" s="103" t="s">
        <v>870</v>
      </c>
      <c r="AG537" s="103" t="s">
        <v>871</v>
      </c>
      <c r="AH537" s="103" t="s">
        <v>976</v>
      </c>
      <c r="AI537" s="103">
        <v>0</v>
      </c>
      <c r="AJ537" s="103"/>
      <c r="AK537" s="103"/>
      <c r="AL537" s="103"/>
      <c r="AM537" s="103"/>
      <c r="AN537" s="103"/>
      <c r="AO537" s="103" t="str">
        <f t="shared" si="23"/>
        <v>Std_CFLscw(42w)_60pInc-r0248Single-pack</v>
      </c>
    </row>
    <row r="538" spans="1:41">
      <c r="A538" s="177">
        <f>IFERROR(MATCH(D538,'Measure &amp; Standard CostIDs'!C$5:C$177,0),MATCH(D538,'Measure &amp; Standard CostIDs'!S$5:S$177,0))</f>
        <v>35</v>
      </c>
      <c r="B538" s="177">
        <f t="shared" si="24"/>
        <v>2</v>
      </c>
      <c r="C538" s="103" t="s">
        <v>153</v>
      </c>
      <c r="D538" s="103" t="str">
        <f t="shared" si="25"/>
        <v>Std_CFLscw(4w)_60pInc-r0248</v>
      </c>
      <c r="E538" s="103" t="str">
        <f>IF(LEFT(D538,3)="Std","Base case cost for mix of 60% Incandescent and 40% CFL lamps for CFL TechID: "&amp;INDEX('Measure &amp; Standard CostIDs'!$C$5:$C$177,A538),"&lt;from TechID&gt;")</f>
        <v>Base case cost for mix of 60% Incandescent and 40% CFL lamps for CFL TechID: CFLscw(4w)</v>
      </c>
      <c r="F538" s="103" t="s">
        <v>860</v>
      </c>
      <c r="G538" s="103" t="s">
        <v>151</v>
      </c>
      <c r="H538" s="103" t="s">
        <v>861</v>
      </c>
      <c r="I538" s="103" t="s">
        <v>862</v>
      </c>
      <c r="J538" s="103" t="s">
        <v>863</v>
      </c>
      <c r="K538" s="103" t="s">
        <v>864</v>
      </c>
      <c r="L538" s="103" t="s">
        <v>153</v>
      </c>
      <c r="M538" s="103" t="s">
        <v>865</v>
      </c>
      <c r="N538" s="103" t="s">
        <v>866</v>
      </c>
      <c r="O538" s="103" t="str">
        <f t="shared" si="22"/>
        <v/>
      </c>
      <c r="P538" s="103" t="s">
        <v>153</v>
      </c>
      <c r="Q538" s="103" t="s">
        <v>153</v>
      </c>
      <c r="R538" s="103" t="s">
        <v>153</v>
      </c>
      <c r="S538" s="103" t="str">
        <f>INDEX('Measure &amp; Standard CostIDs'!$AK$8:$AK$12,B538)</f>
        <v>Single-pack</v>
      </c>
      <c r="T538" s="103" t="s">
        <v>867</v>
      </c>
      <c r="U538" s="103"/>
      <c r="V538" s="103"/>
      <c r="W538" s="103">
        <f>ROUND(IF(LEFT(D538,3)="Std",VLOOKUP(D538,'Measure &amp; Standard CostIDs'!$S$5:$X$177,1+B538,FALSE),VLOOKUP(D538,'Measure &amp; Standard CostIDs'!$C$5:$H$177,1+B538,FALSE)),2)</f>
        <v>3.72</v>
      </c>
      <c r="X538" s="103"/>
      <c r="Y538" s="103"/>
      <c r="Z538" s="103" t="s">
        <v>868</v>
      </c>
      <c r="AA538" s="103" t="s">
        <v>874</v>
      </c>
      <c r="AB538" s="103" t="s">
        <v>153</v>
      </c>
      <c r="AC538" s="103">
        <v>0</v>
      </c>
      <c r="AD538" s="156">
        <v>42005</v>
      </c>
      <c r="AE538" s="103"/>
      <c r="AF538" s="103" t="s">
        <v>870</v>
      </c>
      <c r="AG538" s="103" t="s">
        <v>871</v>
      </c>
      <c r="AH538" s="103" t="s">
        <v>976</v>
      </c>
      <c r="AI538" s="103">
        <v>0</v>
      </c>
      <c r="AJ538" s="103"/>
      <c r="AK538" s="103"/>
      <c r="AL538" s="103"/>
      <c r="AM538" s="103"/>
      <c r="AN538" s="103"/>
      <c r="AO538" s="103" t="str">
        <f t="shared" si="23"/>
        <v>Std_CFLscw(4w)_60pInc-r0248Single-pack</v>
      </c>
    </row>
    <row r="539" spans="1:41">
      <c r="A539" s="177">
        <f>IFERROR(MATCH(D539,'Measure &amp; Standard CostIDs'!C$5:C$177,0),MATCH(D539,'Measure &amp; Standard CostIDs'!S$5:S$177,0))</f>
        <v>39</v>
      </c>
      <c r="B539" s="177">
        <f t="shared" si="24"/>
        <v>2</v>
      </c>
      <c r="C539" s="103" t="s">
        <v>153</v>
      </c>
      <c r="D539" s="103" t="str">
        <f t="shared" si="25"/>
        <v>Std_CFLscw(5w)_60pInc-r0248</v>
      </c>
      <c r="E539" s="103" t="str">
        <f>IF(LEFT(D539,3)="Std","Base case cost for mix of 60% Incandescent and 40% CFL lamps for CFL TechID: "&amp;INDEX('Measure &amp; Standard CostIDs'!$C$5:$C$177,A539),"&lt;from TechID&gt;")</f>
        <v>Base case cost for mix of 60% Incandescent and 40% CFL lamps for CFL TechID: CFLscw(5w)</v>
      </c>
      <c r="F539" s="103" t="s">
        <v>860</v>
      </c>
      <c r="G539" s="103" t="s">
        <v>151</v>
      </c>
      <c r="H539" s="103" t="s">
        <v>861</v>
      </c>
      <c r="I539" s="103" t="s">
        <v>862</v>
      </c>
      <c r="J539" s="103" t="s">
        <v>863</v>
      </c>
      <c r="K539" s="103" t="s">
        <v>864</v>
      </c>
      <c r="L539" s="103" t="s">
        <v>153</v>
      </c>
      <c r="M539" s="103" t="s">
        <v>865</v>
      </c>
      <c r="N539" s="103" t="s">
        <v>866</v>
      </c>
      <c r="O539" s="103" t="str">
        <f t="shared" si="22"/>
        <v/>
      </c>
      <c r="P539" s="103" t="s">
        <v>153</v>
      </c>
      <c r="Q539" s="103" t="s">
        <v>153</v>
      </c>
      <c r="R539" s="103" t="s">
        <v>153</v>
      </c>
      <c r="S539" s="103" t="str">
        <f>INDEX('Measure &amp; Standard CostIDs'!$AK$8:$AK$12,B539)</f>
        <v>Single-pack</v>
      </c>
      <c r="T539" s="103" t="s">
        <v>867</v>
      </c>
      <c r="U539" s="103"/>
      <c r="V539" s="103"/>
      <c r="W539" s="103">
        <f>ROUND(IF(LEFT(D539,3)="Std",VLOOKUP(D539,'Measure &amp; Standard CostIDs'!$S$5:$X$177,1+B539,FALSE),VLOOKUP(D539,'Measure &amp; Standard CostIDs'!$C$5:$H$177,1+B539,FALSE)),2)</f>
        <v>3.74</v>
      </c>
      <c r="X539" s="103"/>
      <c r="Y539" s="103"/>
      <c r="Z539" s="103" t="s">
        <v>868</v>
      </c>
      <c r="AA539" s="103" t="s">
        <v>874</v>
      </c>
      <c r="AB539" s="103" t="s">
        <v>153</v>
      </c>
      <c r="AC539" s="103">
        <v>0</v>
      </c>
      <c r="AD539" s="156">
        <v>42005</v>
      </c>
      <c r="AE539" s="103"/>
      <c r="AF539" s="103" t="s">
        <v>870</v>
      </c>
      <c r="AG539" s="103" t="s">
        <v>871</v>
      </c>
      <c r="AH539" s="103" t="s">
        <v>976</v>
      </c>
      <c r="AI539" s="103">
        <v>0</v>
      </c>
      <c r="AJ539" s="103"/>
      <c r="AK539" s="103"/>
      <c r="AL539" s="103"/>
      <c r="AM539" s="103"/>
      <c r="AN539" s="103"/>
      <c r="AO539" s="103" t="str">
        <f t="shared" si="23"/>
        <v>Std_CFLscw(5w)_60pInc-r0248Single-pack</v>
      </c>
    </row>
    <row r="540" spans="1:41">
      <c r="A540" s="177">
        <f>IFERROR(MATCH(D540,'Measure &amp; Standard CostIDs'!C$5:C$177,0),MATCH(D540,'Measure &amp; Standard CostIDs'!S$5:S$177,0))</f>
        <v>42</v>
      </c>
      <c r="B540" s="177">
        <f t="shared" si="24"/>
        <v>2</v>
      </c>
      <c r="C540" s="103" t="s">
        <v>153</v>
      </c>
      <c r="D540" s="103" t="str">
        <f t="shared" si="25"/>
        <v>Std_CFLscw(6w)_60pInc-r0248</v>
      </c>
      <c r="E540" s="103" t="str">
        <f>IF(LEFT(D540,3)="Std","Base case cost for mix of 60% Incandescent and 40% CFL lamps for CFL TechID: "&amp;INDEX('Measure &amp; Standard CostIDs'!$C$5:$C$177,A540),"&lt;from TechID&gt;")</f>
        <v>Base case cost for mix of 60% Incandescent and 40% CFL lamps for CFL TechID: CFLscw(6w)</v>
      </c>
      <c r="F540" s="103" t="s">
        <v>860</v>
      </c>
      <c r="G540" s="103" t="s">
        <v>151</v>
      </c>
      <c r="H540" s="103" t="s">
        <v>861</v>
      </c>
      <c r="I540" s="103" t="s">
        <v>862</v>
      </c>
      <c r="J540" s="103" t="s">
        <v>863</v>
      </c>
      <c r="K540" s="103" t="s">
        <v>864</v>
      </c>
      <c r="L540" s="103" t="s">
        <v>153</v>
      </c>
      <c r="M540" s="103" t="s">
        <v>865</v>
      </c>
      <c r="N540" s="103" t="s">
        <v>866</v>
      </c>
      <c r="O540" s="103" t="str">
        <f t="shared" si="22"/>
        <v/>
      </c>
      <c r="P540" s="103" t="s">
        <v>153</v>
      </c>
      <c r="Q540" s="103" t="s">
        <v>153</v>
      </c>
      <c r="R540" s="103" t="s">
        <v>153</v>
      </c>
      <c r="S540" s="103" t="str">
        <f>INDEX('Measure &amp; Standard CostIDs'!$AK$8:$AK$12,B540)</f>
        <v>Single-pack</v>
      </c>
      <c r="T540" s="103" t="s">
        <v>867</v>
      </c>
      <c r="U540" s="103"/>
      <c r="V540" s="103"/>
      <c r="W540" s="103">
        <f>ROUND(IF(LEFT(D540,3)="Std",VLOOKUP(D540,'Measure &amp; Standard CostIDs'!$S$5:$X$177,1+B540,FALSE),VLOOKUP(D540,'Measure &amp; Standard CostIDs'!$C$5:$H$177,1+B540,FALSE)),2)</f>
        <v>3.77</v>
      </c>
      <c r="X540" s="103"/>
      <c r="Y540" s="103"/>
      <c r="Z540" s="103" t="s">
        <v>868</v>
      </c>
      <c r="AA540" s="103" t="s">
        <v>874</v>
      </c>
      <c r="AB540" s="103" t="s">
        <v>153</v>
      </c>
      <c r="AC540" s="103">
        <v>0</v>
      </c>
      <c r="AD540" s="156">
        <v>42005</v>
      </c>
      <c r="AE540" s="103"/>
      <c r="AF540" s="103" t="s">
        <v>870</v>
      </c>
      <c r="AG540" s="103" t="s">
        <v>871</v>
      </c>
      <c r="AH540" s="103" t="s">
        <v>976</v>
      </c>
      <c r="AI540" s="103">
        <v>0</v>
      </c>
      <c r="AJ540" s="103"/>
      <c r="AK540" s="103"/>
      <c r="AL540" s="103"/>
      <c r="AM540" s="103"/>
      <c r="AN540" s="103"/>
      <c r="AO540" s="103" t="str">
        <f t="shared" si="23"/>
        <v>Std_CFLscw(6w)_60pInc-r0248Single-pack</v>
      </c>
    </row>
    <row r="541" spans="1:41">
      <c r="A541" s="177">
        <f>IFERROR(MATCH(D541,'Measure &amp; Standard CostIDs'!C$5:C$177,0),MATCH(D541,'Measure &amp; Standard CostIDs'!S$5:S$177,0))</f>
        <v>43</v>
      </c>
      <c r="B541" s="177">
        <f t="shared" si="24"/>
        <v>2</v>
      </c>
      <c r="C541" s="103" t="s">
        <v>153</v>
      </c>
      <c r="D541" s="103" t="str">
        <f t="shared" si="25"/>
        <v>Std_CFLscw(7w)_60pInc-r0248</v>
      </c>
      <c r="E541" s="103" t="str">
        <f>IF(LEFT(D541,3)="Std","Base case cost for mix of 60% Incandescent and 40% CFL lamps for CFL TechID: "&amp;INDEX('Measure &amp; Standard CostIDs'!$C$5:$C$177,A541),"&lt;from TechID&gt;")</f>
        <v>Base case cost for mix of 60% Incandescent and 40% CFL lamps for CFL TechID: CFLscw(7w)</v>
      </c>
      <c r="F541" s="103" t="s">
        <v>860</v>
      </c>
      <c r="G541" s="103" t="s">
        <v>151</v>
      </c>
      <c r="H541" s="103" t="s">
        <v>861</v>
      </c>
      <c r="I541" s="103" t="s">
        <v>862</v>
      </c>
      <c r="J541" s="103" t="s">
        <v>863</v>
      </c>
      <c r="K541" s="103" t="s">
        <v>864</v>
      </c>
      <c r="L541" s="103" t="s">
        <v>153</v>
      </c>
      <c r="M541" s="103" t="s">
        <v>865</v>
      </c>
      <c r="N541" s="103" t="s">
        <v>866</v>
      </c>
      <c r="O541" s="103" t="str">
        <f t="shared" si="22"/>
        <v/>
      </c>
      <c r="P541" s="103" t="s">
        <v>153</v>
      </c>
      <c r="Q541" s="103" t="s">
        <v>153</v>
      </c>
      <c r="R541" s="103" t="s">
        <v>153</v>
      </c>
      <c r="S541" s="103" t="str">
        <f>INDEX('Measure &amp; Standard CostIDs'!$AK$8:$AK$12,B541)</f>
        <v>Single-pack</v>
      </c>
      <c r="T541" s="103" t="s">
        <v>867</v>
      </c>
      <c r="U541" s="103"/>
      <c r="V541" s="103"/>
      <c r="W541" s="103">
        <f>ROUND(IF(LEFT(D541,3)="Std",VLOOKUP(D541,'Measure &amp; Standard CostIDs'!$S$5:$X$177,1+B541,FALSE),VLOOKUP(D541,'Measure &amp; Standard CostIDs'!$C$5:$H$177,1+B541,FALSE)),2)</f>
        <v>3.8</v>
      </c>
      <c r="X541" s="103"/>
      <c r="Y541" s="103"/>
      <c r="Z541" s="103" t="s">
        <v>868</v>
      </c>
      <c r="AA541" s="103" t="s">
        <v>874</v>
      </c>
      <c r="AB541" s="103" t="s">
        <v>153</v>
      </c>
      <c r="AC541" s="103">
        <v>0</v>
      </c>
      <c r="AD541" s="156">
        <v>42005</v>
      </c>
      <c r="AE541" s="103"/>
      <c r="AF541" s="103" t="s">
        <v>870</v>
      </c>
      <c r="AG541" s="103" t="s">
        <v>871</v>
      </c>
      <c r="AH541" s="103" t="s">
        <v>976</v>
      </c>
      <c r="AI541" s="103">
        <v>0</v>
      </c>
      <c r="AJ541" s="103"/>
      <c r="AK541" s="103"/>
      <c r="AL541" s="103"/>
      <c r="AM541" s="103"/>
      <c r="AN541" s="103"/>
      <c r="AO541" s="103" t="str">
        <f t="shared" si="23"/>
        <v>Std_CFLscw(7w)_60pInc-r0248Single-pack</v>
      </c>
    </row>
    <row r="542" spans="1:41">
      <c r="A542" s="177">
        <f>IFERROR(MATCH(D542,'Measure &amp; Standard CostIDs'!C$5:C$177,0),MATCH(D542,'Measure &amp; Standard CostIDs'!S$5:S$177,0))</f>
        <v>46</v>
      </c>
      <c r="B542" s="177">
        <f t="shared" si="24"/>
        <v>2</v>
      </c>
      <c r="C542" s="103" t="s">
        <v>153</v>
      </c>
      <c r="D542" s="103" t="str">
        <f t="shared" si="25"/>
        <v>Std_CFLscw(8w)_60pInc-r0248</v>
      </c>
      <c r="E542" s="103" t="str">
        <f>IF(LEFT(D542,3)="Std","Base case cost for mix of 60% Incandescent and 40% CFL lamps for CFL TechID: "&amp;INDEX('Measure &amp; Standard CostIDs'!$C$5:$C$177,A542),"&lt;from TechID&gt;")</f>
        <v>Base case cost for mix of 60% Incandescent and 40% CFL lamps for CFL TechID: CFLscw(8w)</v>
      </c>
      <c r="F542" s="103" t="s">
        <v>860</v>
      </c>
      <c r="G542" s="103" t="s">
        <v>151</v>
      </c>
      <c r="H542" s="103" t="s">
        <v>861</v>
      </c>
      <c r="I542" s="103" t="s">
        <v>862</v>
      </c>
      <c r="J542" s="103" t="s">
        <v>863</v>
      </c>
      <c r="K542" s="103" t="s">
        <v>864</v>
      </c>
      <c r="L542" s="103" t="s">
        <v>153</v>
      </c>
      <c r="M542" s="103" t="s">
        <v>865</v>
      </c>
      <c r="N542" s="103" t="s">
        <v>866</v>
      </c>
      <c r="O542" s="103" t="str">
        <f t="shared" si="22"/>
        <v/>
      </c>
      <c r="P542" s="103" t="s">
        <v>153</v>
      </c>
      <c r="Q542" s="103" t="s">
        <v>153</v>
      </c>
      <c r="R542" s="103" t="s">
        <v>153</v>
      </c>
      <c r="S542" s="103" t="str">
        <f>INDEX('Measure &amp; Standard CostIDs'!$AK$8:$AK$12,B542)</f>
        <v>Single-pack</v>
      </c>
      <c r="T542" s="103" t="s">
        <v>867</v>
      </c>
      <c r="U542" s="103"/>
      <c r="V542" s="103"/>
      <c r="W542" s="103">
        <f>ROUND(IF(LEFT(D542,3)="Std",VLOOKUP(D542,'Measure &amp; Standard CostIDs'!$S$5:$X$177,1+B542,FALSE),VLOOKUP(D542,'Measure &amp; Standard CostIDs'!$C$5:$H$177,1+B542,FALSE)),2)</f>
        <v>3.82</v>
      </c>
      <c r="X542" s="103"/>
      <c r="Y542" s="103"/>
      <c r="Z542" s="103" t="s">
        <v>868</v>
      </c>
      <c r="AA542" s="103" t="s">
        <v>874</v>
      </c>
      <c r="AB542" s="103" t="s">
        <v>153</v>
      </c>
      <c r="AC542" s="103">
        <v>0</v>
      </c>
      <c r="AD542" s="156">
        <v>42005</v>
      </c>
      <c r="AE542" s="103"/>
      <c r="AF542" s="103" t="s">
        <v>870</v>
      </c>
      <c r="AG542" s="103" t="s">
        <v>871</v>
      </c>
      <c r="AH542" s="103" t="s">
        <v>976</v>
      </c>
      <c r="AI542" s="103">
        <v>0</v>
      </c>
      <c r="AJ542" s="103"/>
      <c r="AK542" s="103"/>
      <c r="AL542" s="103"/>
      <c r="AM542" s="103"/>
      <c r="AN542" s="103"/>
      <c r="AO542" s="103" t="str">
        <f t="shared" si="23"/>
        <v>Std_CFLscw(8w)_60pInc-r0248Single-pack</v>
      </c>
    </row>
    <row r="543" spans="1:41">
      <c r="A543" s="177">
        <f>IFERROR(MATCH(D543,'Measure &amp; Standard CostIDs'!C$5:C$177,0),MATCH(D543,'Measure &amp; Standard CostIDs'!S$5:S$177,0))</f>
        <v>47</v>
      </c>
      <c r="B543" s="177">
        <f t="shared" si="24"/>
        <v>2</v>
      </c>
      <c r="C543" s="103" t="s">
        <v>153</v>
      </c>
      <c r="D543" s="103" t="str">
        <f t="shared" si="25"/>
        <v>Std_CFLscw(9w)_60pInc-r0248</v>
      </c>
      <c r="E543" s="103" t="str">
        <f>IF(LEFT(D543,3)="Std","Base case cost for mix of 60% Incandescent and 40% CFL lamps for CFL TechID: "&amp;INDEX('Measure &amp; Standard CostIDs'!$C$5:$C$177,A543),"&lt;from TechID&gt;")</f>
        <v>Base case cost for mix of 60% Incandescent and 40% CFL lamps for CFL TechID: CFLscw(9w)</v>
      </c>
      <c r="F543" s="103" t="s">
        <v>860</v>
      </c>
      <c r="G543" s="103" t="s">
        <v>151</v>
      </c>
      <c r="H543" s="103" t="s">
        <v>861</v>
      </c>
      <c r="I543" s="103" t="s">
        <v>862</v>
      </c>
      <c r="J543" s="103" t="s">
        <v>863</v>
      </c>
      <c r="K543" s="103" t="s">
        <v>864</v>
      </c>
      <c r="L543" s="103" t="s">
        <v>153</v>
      </c>
      <c r="M543" s="103" t="s">
        <v>865</v>
      </c>
      <c r="N543" s="103" t="s">
        <v>866</v>
      </c>
      <c r="O543" s="103" t="str">
        <f t="shared" si="22"/>
        <v/>
      </c>
      <c r="P543" s="103" t="s">
        <v>153</v>
      </c>
      <c r="Q543" s="103" t="s">
        <v>153</v>
      </c>
      <c r="R543" s="103" t="s">
        <v>153</v>
      </c>
      <c r="S543" s="103" t="str">
        <f>INDEX('Measure &amp; Standard CostIDs'!$AK$8:$AK$12,B543)</f>
        <v>Single-pack</v>
      </c>
      <c r="T543" s="103" t="s">
        <v>867</v>
      </c>
      <c r="U543" s="103"/>
      <c r="V543" s="103"/>
      <c r="W543" s="103">
        <f>ROUND(IF(LEFT(D543,3)="Std",VLOOKUP(D543,'Measure &amp; Standard CostIDs'!$S$5:$X$177,1+B543,FALSE),VLOOKUP(D543,'Measure &amp; Standard CostIDs'!$C$5:$H$177,1+B543,FALSE)),2)</f>
        <v>3.85</v>
      </c>
      <c r="X543" s="103"/>
      <c r="Y543" s="103"/>
      <c r="Z543" s="103" t="s">
        <v>868</v>
      </c>
      <c r="AA543" s="103" t="s">
        <v>874</v>
      </c>
      <c r="AB543" s="103" t="s">
        <v>153</v>
      </c>
      <c r="AC543" s="103">
        <v>0</v>
      </c>
      <c r="AD543" s="156">
        <v>42005</v>
      </c>
      <c r="AE543" s="103"/>
      <c r="AF543" s="103" t="s">
        <v>870</v>
      </c>
      <c r="AG543" s="103" t="s">
        <v>871</v>
      </c>
      <c r="AH543" s="103" t="s">
        <v>976</v>
      </c>
      <c r="AI543" s="103">
        <v>0</v>
      </c>
      <c r="AJ543" s="103"/>
      <c r="AK543" s="103"/>
      <c r="AL543" s="103"/>
      <c r="AM543" s="103"/>
      <c r="AN543" s="103"/>
      <c r="AO543" s="103" t="str">
        <f t="shared" si="23"/>
        <v>Std_CFLscw(9w)_60pInc-r0248Single-pack</v>
      </c>
    </row>
    <row r="544" spans="1:41">
      <c r="A544" s="177">
        <f>IFERROR(MATCH(D544,'Measure &amp; Standard CostIDs'!C$5:C$177,0),MATCH(D544,'Measure &amp; Standard CostIDs'!S$5:S$177,0))</f>
        <v>48</v>
      </c>
      <c r="B544" s="177">
        <f t="shared" si="24"/>
        <v>2</v>
      </c>
      <c r="C544" s="103" t="s">
        <v>153</v>
      </c>
      <c r="D544" s="103" t="str">
        <f t="shared" si="25"/>
        <v>Std_CFLscw-3way(13w)_60pInc-r0248</v>
      </c>
      <c r="E544" s="103" t="str">
        <f>IF(LEFT(D544,3)="Std","Base case cost for mix of 60% Incandescent and 40% CFL lamps for CFL TechID: "&amp;INDEX('Measure &amp; Standard CostIDs'!$C$5:$C$177,A544),"&lt;from TechID&gt;")</f>
        <v>Base case cost for mix of 60% Incandescent and 40% CFL lamps for CFL TechID: CFLscw-3way(13w)</v>
      </c>
      <c r="F544" s="103" t="s">
        <v>860</v>
      </c>
      <c r="G544" s="103" t="s">
        <v>151</v>
      </c>
      <c r="H544" s="103" t="s">
        <v>861</v>
      </c>
      <c r="I544" s="103" t="s">
        <v>862</v>
      </c>
      <c r="J544" s="103" t="s">
        <v>863</v>
      </c>
      <c r="K544" s="103" t="s">
        <v>864</v>
      </c>
      <c r="L544" s="103" t="s">
        <v>153</v>
      </c>
      <c r="M544" s="103" t="s">
        <v>865</v>
      </c>
      <c r="N544" s="103" t="s">
        <v>866</v>
      </c>
      <c r="O544" s="103" t="str">
        <f t="shared" si="22"/>
        <v/>
      </c>
      <c r="P544" s="103" t="s">
        <v>153</v>
      </c>
      <c r="Q544" s="103" t="s">
        <v>153</v>
      </c>
      <c r="R544" s="103" t="s">
        <v>153</v>
      </c>
      <c r="S544" s="103" t="str">
        <f>INDEX('Measure &amp; Standard CostIDs'!$AK$8:$AK$12,B544)</f>
        <v>Single-pack</v>
      </c>
      <c r="T544" s="103" t="s">
        <v>867</v>
      </c>
      <c r="U544" s="103"/>
      <c r="V544" s="103"/>
      <c r="W544" s="103">
        <f>ROUND(IF(LEFT(D544,3)="Std",VLOOKUP(D544,'Measure &amp; Standard CostIDs'!$S$5:$X$177,1+B544,FALSE),VLOOKUP(D544,'Measure &amp; Standard CostIDs'!$C$5:$H$177,1+B544,FALSE)),2)</f>
        <v>7.02</v>
      </c>
      <c r="X544" s="103"/>
      <c r="Y544" s="103"/>
      <c r="Z544" s="103" t="s">
        <v>868</v>
      </c>
      <c r="AA544" s="103" t="s">
        <v>874</v>
      </c>
      <c r="AB544" s="103" t="s">
        <v>153</v>
      </c>
      <c r="AC544" s="103">
        <v>0</v>
      </c>
      <c r="AD544" s="156">
        <v>42005</v>
      </c>
      <c r="AE544" s="103"/>
      <c r="AF544" s="103" t="s">
        <v>870</v>
      </c>
      <c r="AG544" s="103" t="s">
        <v>871</v>
      </c>
      <c r="AH544" s="103" t="s">
        <v>976</v>
      </c>
      <c r="AI544" s="103">
        <v>0</v>
      </c>
      <c r="AJ544" s="103"/>
      <c r="AK544" s="103"/>
      <c r="AL544" s="103"/>
      <c r="AM544" s="103"/>
      <c r="AN544" s="103"/>
      <c r="AO544" s="103" t="str">
        <f t="shared" si="23"/>
        <v>Std_CFLscw-3way(13w)_60pInc-r0248Single-pack</v>
      </c>
    </row>
    <row r="545" spans="1:41">
      <c r="A545" s="177">
        <f>IFERROR(MATCH(D545,'Measure &amp; Standard CostIDs'!C$5:C$177,0),MATCH(D545,'Measure &amp; Standard CostIDs'!S$5:S$177,0))</f>
        <v>49</v>
      </c>
      <c r="B545" s="177">
        <f t="shared" si="24"/>
        <v>2</v>
      </c>
      <c r="C545" s="103" t="s">
        <v>153</v>
      </c>
      <c r="D545" s="103" t="str">
        <f t="shared" si="25"/>
        <v>Std_CFLscw-3way(15w)_60pInc-r0248</v>
      </c>
      <c r="E545" s="103" t="str">
        <f>IF(LEFT(D545,3)="Std","Base case cost for mix of 60% Incandescent and 40% CFL lamps for CFL TechID: "&amp;INDEX('Measure &amp; Standard CostIDs'!$C$5:$C$177,A545),"&lt;from TechID&gt;")</f>
        <v>Base case cost for mix of 60% Incandescent and 40% CFL lamps for CFL TechID: CFLscw-3way(15w)</v>
      </c>
      <c r="F545" s="103" t="s">
        <v>860</v>
      </c>
      <c r="G545" s="103" t="s">
        <v>151</v>
      </c>
      <c r="H545" s="103" t="s">
        <v>861</v>
      </c>
      <c r="I545" s="103" t="s">
        <v>862</v>
      </c>
      <c r="J545" s="103" t="s">
        <v>863</v>
      </c>
      <c r="K545" s="103" t="s">
        <v>864</v>
      </c>
      <c r="L545" s="103" t="s">
        <v>153</v>
      </c>
      <c r="M545" s="103" t="s">
        <v>865</v>
      </c>
      <c r="N545" s="103" t="s">
        <v>866</v>
      </c>
      <c r="O545" s="103" t="str">
        <f t="shared" si="22"/>
        <v/>
      </c>
      <c r="P545" s="103" t="s">
        <v>153</v>
      </c>
      <c r="Q545" s="103" t="s">
        <v>153</v>
      </c>
      <c r="R545" s="103" t="s">
        <v>153</v>
      </c>
      <c r="S545" s="103" t="str">
        <f>INDEX('Measure &amp; Standard CostIDs'!$AK$8:$AK$12,B545)</f>
        <v>Single-pack</v>
      </c>
      <c r="T545" s="103" t="s">
        <v>867</v>
      </c>
      <c r="U545" s="103"/>
      <c r="V545" s="103"/>
      <c r="W545" s="103">
        <f>ROUND(IF(LEFT(D545,3)="Std",VLOOKUP(D545,'Measure &amp; Standard CostIDs'!$S$5:$X$177,1+B545,FALSE),VLOOKUP(D545,'Measure &amp; Standard CostIDs'!$C$5:$H$177,1+B545,FALSE)),2)</f>
        <v>7.11</v>
      </c>
      <c r="X545" s="103"/>
      <c r="Y545" s="103"/>
      <c r="Z545" s="103" t="s">
        <v>868</v>
      </c>
      <c r="AA545" s="103" t="s">
        <v>874</v>
      </c>
      <c r="AB545" s="103" t="s">
        <v>153</v>
      </c>
      <c r="AC545" s="103">
        <v>0</v>
      </c>
      <c r="AD545" s="156">
        <v>42005</v>
      </c>
      <c r="AE545" s="103"/>
      <c r="AF545" s="103" t="s">
        <v>870</v>
      </c>
      <c r="AG545" s="103" t="s">
        <v>871</v>
      </c>
      <c r="AH545" s="103" t="s">
        <v>976</v>
      </c>
      <c r="AI545" s="103">
        <v>0</v>
      </c>
      <c r="AJ545" s="103"/>
      <c r="AK545" s="103"/>
      <c r="AL545" s="103"/>
      <c r="AM545" s="103"/>
      <c r="AN545" s="103"/>
      <c r="AO545" s="103" t="str">
        <f t="shared" si="23"/>
        <v>Std_CFLscw-3way(15w)_60pInc-r0248Single-pack</v>
      </c>
    </row>
    <row r="546" spans="1:41">
      <c r="A546" s="177">
        <f>IFERROR(MATCH(D546,'Measure &amp; Standard CostIDs'!C$5:C$177,0),MATCH(D546,'Measure &amp; Standard CostIDs'!S$5:S$177,0))</f>
        <v>50</v>
      </c>
      <c r="B546" s="177">
        <f t="shared" si="24"/>
        <v>2</v>
      </c>
      <c r="C546" s="103" t="s">
        <v>153</v>
      </c>
      <c r="D546" s="103" t="str">
        <f t="shared" si="25"/>
        <v>Std_CFLscw-3way(16w)_60pInc-r0248</v>
      </c>
      <c r="E546" s="103" t="str">
        <f>IF(LEFT(D546,3)="Std","Base case cost for mix of 60% Incandescent and 40% CFL lamps for CFL TechID: "&amp;INDEX('Measure &amp; Standard CostIDs'!$C$5:$C$177,A546),"&lt;from TechID&gt;")</f>
        <v>Base case cost for mix of 60% Incandescent and 40% CFL lamps for CFL TechID: CFLscw-3way(16w)</v>
      </c>
      <c r="F546" s="103" t="s">
        <v>860</v>
      </c>
      <c r="G546" s="103" t="s">
        <v>151</v>
      </c>
      <c r="H546" s="103" t="s">
        <v>861</v>
      </c>
      <c r="I546" s="103" t="s">
        <v>862</v>
      </c>
      <c r="J546" s="103" t="s">
        <v>863</v>
      </c>
      <c r="K546" s="103" t="s">
        <v>864</v>
      </c>
      <c r="L546" s="103" t="s">
        <v>153</v>
      </c>
      <c r="M546" s="103" t="s">
        <v>865</v>
      </c>
      <c r="N546" s="103" t="s">
        <v>866</v>
      </c>
      <c r="O546" s="103" t="str">
        <f t="shared" si="22"/>
        <v/>
      </c>
      <c r="P546" s="103" t="s">
        <v>153</v>
      </c>
      <c r="Q546" s="103" t="s">
        <v>153</v>
      </c>
      <c r="R546" s="103" t="s">
        <v>153</v>
      </c>
      <c r="S546" s="103" t="str">
        <f>INDEX('Measure &amp; Standard CostIDs'!$AK$8:$AK$12,B546)</f>
        <v>Single-pack</v>
      </c>
      <c r="T546" s="103" t="s">
        <v>867</v>
      </c>
      <c r="U546" s="103"/>
      <c r="V546" s="103"/>
      <c r="W546" s="103">
        <f>ROUND(IF(LEFT(D546,3)="Std",VLOOKUP(D546,'Measure &amp; Standard CostIDs'!$S$5:$X$177,1+B546,FALSE),VLOOKUP(D546,'Measure &amp; Standard CostIDs'!$C$5:$H$177,1+B546,FALSE)),2)</f>
        <v>7.16</v>
      </c>
      <c r="X546" s="103"/>
      <c r="Y546" s="103"/>
      <c r="Z546" s="103" t="s">
        <v>868</v>
      </c>
      <c r="AA546" s="103" t="s">
        <v>874</v>
      </c>
      <c r="AB546" s="103" t="s">
        <v>153</v>
      </c>
      <c r="AC546" s="103">
        <v>0</v>
      </c>
      <c r="AD546" s="156">
        <v>42005</v>
      </c>
      <c r="AE546" s="103"/>
      <c r="AF546" s="103" t="s">
        <v>870</v>
      </c>
      <c r="AG546" s="103" t="s">
        <v>871</v>
      </c>
      <c r="AH546" s="103" t="s">
        <v>976</v>
      </c>
      <c r="AI546" s="103">
        <v>0</v>
      </c>
      <c r="AJ546" s="103"/>
      <c r="AK546" s="103"/>
      <c r="AL546" s="103"/>
      <c r="AM546" s="103"/>
      <c r="AN546" s="103"/>
      <c r="AO546" s="103" t="str">
        <f t="shared" si="23"/>
        <v>Std_CFLscw-3way(16w)_60pInc-r0248Single-pack</v>
      </c>
    </row>
    <row r="547" spans="1:41">
      <c r="A547" s="177">
        <f>IFERROR(MATCH(D547,'Measure &amp; Standard CostIDs'!C$5:C$177,0),MATCH(D547,'Measure &amp; Standard CostIDs'!S$5:S$177,0))</f>
        <v>51</v>
      </c>
      <c r="B547" s="177">
        <f t="shared" si="24"/>
        <v>2</v>
      </c>
      <c r="C547" s="103" t="s">
        <v>153</v>
      </c>
      <c r="D547" s="103" t="str">
        <f t="shared" si="25"/>
        <v>Std_CFLscw-3way(17w)_60pInc-r0248</v>
      </c>
      <c r="E547" s="103" t="str">
        <f>IF(LEFT(D547,3)="Std","Base case cost for mix of 60% Incandescent and 40% CFL lamps for CFL TechID: "&amp;INDEX('Measure &amp; Standard CostIDs'!$C$5:$C$177,A547),"&lt;from TechID&gt;")</f>
        <v>Base case cost for mix of 60% Incandescent and 40% CFL lamps for CFL TechID: CFLscw-3way(17w)</v>
      </c>
      <c r="F547" s="103" t="s">
        <v>860</v>
      </c>
      <c r="G547" s="103" t="s">
        <v>151</v>
      </c>
      <c r="H547" s="103" t="s">
        <v>861</v>
      </c>
      <c r="I547" s="103" t="s">
        <v>862</v>
      </c>
      <c r="J547" s="103" t="s">
        <v>863</v>
      </c>
      <c r="K547" s="103" t="s">
        <v>864</v>
      </c>
      <c r="L547" s="103" t="s">
        <v>153</v>
      </c>
      <c r="M547" s="103" t="s">
        <v>865</v>
      </c>
      <c r="N547" s="103" t="s">
        <v>866</v>
      </c>
      <c r="O547" s="103" t="str">
        <f t="shared" si="22"/>
        <v/>
      </c>
      <c r="P547" s="103" t="s">
        <v>153</v>
      </c>
      <c r="Q547" s="103" t="s">
        <v>153</v>
      </c>
      <c r="R547" s="103" t="s">
        <v>153</v>
      </c>
      <c r="S547" s="103" t="str">
        <f>INDEX('Measure &amp; Standard CostIDs'!$AK$8:$AK$12,B547)</f>
        <v>Single-pack</v>
      </c>
      <c r="T547" s="103" t="s">
        <v>867</v>
      </c>
      <c r="U547" s="103"/>
      <c r="V547" s="103"/>
      <c r="W547" s="103">
        <f>ROUND(IF(LEFT(D547,3)="Std",VLOOKUP(D547,'Measure &amp; Standard CostIDs'!$S$5:$X$177,1+B547,FALSE),VLOOKUP(D547,'Measure &amp; Standard CostIDs'!$C$5:$H$177,1+B547,FALSE)),2)</f>
        <v>7.2</v>
      </c>
      <c r="X547" s="103"/>
      <c r="Y547" s="103"/>
      <c r="Z547" s="103" t="s">
        <v>868</v>
      </c>
      <c r="AA547" s="103" t="s">
        <v>874</v>
      </c>
      <c r="AB547" s="103" t="s">
        <v>153</v>
      </c>
      <c r="AC547" s="103">
        <v>0</v>
      </c>
      <c r="AD547" s="156">
        <v>42005</v>
      </c>
      <c r="AE547" s="103"/>
      <c r="AF547" s="103" t="s">
        <v>870</v>
      </c>
      <c r="AG547" s="103" t="s">
        <v>871</v>
      </c>
      <c r="AH547" s="103" t="s">
        <v>976</v>
      </c>
      <c r="AI547" s="103">
        <v>0</v>
      </c>
      <c r="AJ547" s="103"/>
      <c r="AK547" s="103"/>
      <c r="AL547" s="103"/>
      <c r="AM547" s="103"/>
      <c r="AN547" s="103"/>
      <c r="AO547" s="103" t="str">
        <f t="shared" si="23"/>
        <v>Std_CFLscw-3way(17w)_60pInc-r0248Single-pack</v>
      </c>
    </row>
    <row r="548" spans="1:41">
      <c r="A548" s="177">
        <f>IFERROR(MATCH(D548,'Measure &amp; Standard CostIDs'!C$5:C$177,0),MATCH(D548,'Measure &amp; Standard CostIDs'!S$5:S$177,0))</f>
        <v>52</v>
      </c>
      <c r="B548" s="177">
        <f t="shared" si="24"/>
        <v>2</v>
      </c>
      <c r="C548" s="103" t="s">
        <v>153</v>
      </c>
      <c r="D548" s="103" t="str">
        <f t="shared" si="25"/>
        <v>Std_CFLscw-3way(18w)_60pInc-r0248</v>
      </c>
      <c r="E548" s="103" t="str">
        <f>IF(LEFT(D548,3)="Std","Base case cost for mix of 60% Incandescent and 40% CFL lamps for CFL TechID: "&amp;INDEX('Measure &amp; Standard CostIDs'!$C$5:$C$177,A548),"&lt;from TechID&gt;")</f>
        <v>Base case cost for mix of 60% Incandescent and 40% CFL lamps for CFL TechID: CFLscw-3way(18w)</v>
      </c>
      <c r="F548" s="103" t="s">
        <v>860</v>
      </c>
      <c r="G548" s="103" t="s">
        <v>151</v>
      </c>
      <c r="H548" s="103" t="s">
        <v>861</v>
      </c>
      <c r="I548" s="103" t="s">
        <v>862</v>
      </c>
      <c r="J548" s="103" t="s">
        <v>863</v>
      </c>
      <c r="K548" s="103" t="s">
        <v>864</v>
      </c>
      <c r="L548" s="103" t="s">
        <v>153</v>
      </c>
      <c r="M548" s="103" t="s">
        <v>865</v>
      </c>
      <c r="N548" s="103" t="s">
        <v>866</v>
      </c>
      <c r="O548" s="103" t="str">
        <f t="shared" si="22"/>
        <v/>
      </c>
      <c r="P548" s="103" t="s">
        <v>153</v>
      </c>
      <c r="Q548" s="103" t="s">
        <v>153</v>
      </c>
      <c r="R548" s="103" t="s">
        <v>153</v>
      </c>
      <c r="S548" s="103" t="str">
        <f>INDEX('Measure &amp; Standard CostIDs'!$AK$8:$AK$12,B548)</f>
        <v>Single-pack</v>
      </c>
      <c r="T548" s="103" t="s">
        <v>867</v>
      </c>
      <c r="U548" s="103"/>
      <c r="V548" s="103"/>
      <c r="W548" s="103">
        <f>ROUND(IF(LEFT(D548,3)="Std",VLOOKUP(D548,'Measure &amp; Standard CostIDs'!$S$5:$X$177,1+B548,FALSE),VLOOKUP(D548,'Measure &amp; Standard CostIDs'!$C$5:$H$177,1+B548,FALSE)),2)</f>
        <v>7.24</v>
      </c>
      <c r="X548" s="103"/>
      <c r="Y548" s="103"/>
      <c r="Z548" s="103" t="s">
        <v>868</v>
      </c>
      <c r="AA548" s="103" t="s">
        <v>874</v>
      </c>
      <c r="AB548" s="103" t="s">
        <v>153</v>
      </c>
      <c r="AC548" s="103">
        <v>0</v>
      </c>
      <c r="AD548" s="156">
        <v>42005</v>
      </c>
      <c r="AE548" s="103"/>
      <c r="AF548" s="103" t="s">
        <v>870</v>
      </c>
      <c r="AG548" s="103" t="s">
        <v>871</v>
      </c>
      <c r="AH548" s="103" t="s">
        <v>976</v>
      </c>
      <c r="AI548" s="103">
        <v>0</v>
      </c>
      <c r="AJ548" s="103"/>
      <c r="AK548" s="103"/>
      <c r="AL548" s="103"/>
      <c r="AM548" s="103"/>
      <c r="AN548" s="103"/>
      <c r="AO548" s="103" t="str">
        <f t="shared" si="23"/>
        <v>Std_CFLscw-3way(18w)_60pInc-r0248Single-pack</v>
      </c>
    </row>
    <row r="549" spans="1:41">
      <c r="A549" s="177">
        <f>IFERROR(MATCH(D549,'Measure &amp; Standard CostIDs'!C$5:C$177,0),MATCH(D549,'Measure &amp; Standard CostIDs'!S$5:S$177,0))</f>
        <v>53</v>
      </c>
      <c r="B549" s="177">
        <f t="shared" si="24"/>
        <v>2</v>
      </c>
      <c r="C549" s="103" t="s">
        <v>153</v>
      </c>
      <c r="D549" s="103" t="str">
        <f t="shared" si="25"/>
        <v>Std_CFLscw-3way(19w)_60pInc-r0248</v>
      </c>
      <c r="E549" s="103" t="str">
        <f>IF(LEFT(D549,3)="Std","Base case cost for mix of 60% Incandescent and 40% CFL lamps for CFL TechID: "&amp;INDEX('Measure &amp; Standard CostIDs'!$C$5:$C$177,A549),"&lt;from TechID&gt;")</f>
        <v>Base case cost for mix of 60% Incandescent and 40% CFL lamps for CFL TechID: CFLscw-3way(19w)</v>
      </c>
      <c r="F549" s="103" t="s">
        <v>860</v>
      </c>
      <c r="G549" s="103" t="s">
        <v>151</v>
      </c>
      <c r="H549" s="103" t="s">
        <v>861</v>
      </c>
      <c r="I549" s="103" t="s">
        <v>862</v>
      </c>
      <c r="J549" s="103" t="s">
        <v>863</v>
      </c>
      <c r="K549" s="103" t="s">
        <v>864</v>
      </c>
      <c r="L549" s="103" t="s">
        <v>153</v>
      </c>
      <c r="M549" s="103" t="s">
        <v>865</v>
      </c>
      <c r="N549" s="103" t="s">
        <v>866</v>
      </c>
      <c r="O549" s="103" t="str">
        <f t="shared" si="22"/>
        <v/>
      </c>
      <c r="P549" s="103" t="s">
        <v>153</v>
      </c>
      <c r="Q549" s="103" t="s">
        <v>153</v>
      </c>
      <c r="R549" s="103" t="s">
        <v>153</v>
      </c>
      <c r="S549" s="103" t="str">
        <f>INDEX('Measure &amp; Standard CostIDs'!$AK$8:$AK$12,B549)</f>
        <v>Single-pack</v>
      </c>
      <c r="T549" s="103" t="s">
        <v>867</v>
      </c>
      <c r="U549" s="103"/>
      <c r="V549" s="103"/>
      <c r="W549" s="103">
        <f>ROUND(IF(LEFT(D549,3)="Std",VLOOKUP(D549,'Measure &amp; Standard CostIDs'!$S$5:$X$177,1+B549,FALSE),VLOOKUP(D549,'Measure &amp; Standard CostIDs'!$C$5:$H$177,1+B549,FALSE)),2)</f>
        <v>7.29</v>
      </c>
      <c r="X549" s="103"/>
      <c r="Y549" s="103"/>
      <c r="Z549" s="103" t="s">
        <v>868</v>
      </c>
      <c r="AA549" s="103" t="s">
        <v>874</v>
      </c>
      <c r="AB549" s="103" t="s">
        <v>153</v>
      </c>
      <c r="AC549" s="103">
        <v>0</v>
      </c>
      <c r="AD549" s="156">
        <v>42005</v>
      </c>
      <c r="AE549" s="103"/>
      <c r="AF549" s="103" t="s">
        <v>870</v>
      </c>
      <c r="AG549" s="103" t="s">
        <v>871</v>
      </c>
      <c r="AH549" s="103" t="s">
        <v>976</v>
      </c>
      <c r="AI549" s="103">
        <v>0</v>
      </c>
      <c r="AJ549" s="103"/>
      <c r="AK549" s="103"/>
      <c r="AL549" s="103"/>
      <c r="AM549" s="103"/>
      <c r="AN549" s="103"/>
      <c r="AO549" s="103" t="str">
        <f t="shared" si="23"/>
        <v>Std_CFLscw-3way(19w)_60pInc-r0248Single-pack</v>
      </c>
    </row>
    <row r="550" spans="1:41">
      <c r="A550" s="177">
        <f>IFERROR(MATCH(D550,'Measure &amp; Standard CostIDs'!C$5:C$177,0),MATCH(D550,'Measure &amp; Standard CostIDs'!S$5:S$177,0))</f>
        <v>54</v>
      </c>
      <c r="B550" s="177">
        <f t="shared" si="24"/>
        <v>2</v>
      </c>
      <c r="C550" s="103" t="s">
        <v>153</v>
      </c>
      <c r="D550" s="103" t="str">
        <f t="shared" si="25"/>
        <v>Std_CFLscw-3way(20w)_60pInc-r0248</v>
      </c>
      <c r="E550" s="103" t="str">
        <f>IF(LEFT(D550,3)="Std","Base case cost for mix of 60% Incandescent and 40% CFL lamps for CFL TechID: "&amp;INDEX('Measure &amp; Standard CostIDs'!$C$5:$C$177,A550),"&lt;from TechID&gt;")</f>
        <v>Base case cost for mix of 60% Incandescent and 40% CFL lamps for CFL TechID: CFLscw-3way(20w)</v>
      </c>
      <c r="F550" s="103" t="s">
        <v>860</v>
      </c>
      <c r="G550" s="103" t="s">
        <v>151</v>
      </c>
      <c r="H550" s="103" t="s">
        <v>861</v>
      </c>
      <c r="I550" s="103" t="s">
        <v>862</v>
      </c>
      <c r="J550" s="103" t="s">
        <v>863</v>
      </c>
      <c r="K550" s="103" t="s">
        <v>864</v>
      </c>
      <c r="L550" s="103" t="s">
        <v>153</v>
      </c>
      <c r="M550" s="103" t="s">
        <v>865</v>
      </c>
      <c r="N550" s="103" t="s">
        <v>866</v>
      </c>
      <c r="O550" s="103" t="str">
        <f t="shared" si="22"/>
        <v/>
      </c>
      <c r="P550" s="103" t="s">
        <v>153</v>
      </c>
      <c r="Q550" s="103" t="s">
        <v>153</v>
      </c>
      <c r="R550" s="103" t="s">
        <v>153</v>
      </c>
      <c r="S550" s="103" t="str">
        <f>INDEX('Measure &amp; Standard CostIDs'!$AK$8:$AK$12,B550)</f>
        <v>Single-pack</v>
      </c>
      <c r="T550" s="103" t="s">
        <v>867</v>
      </c>
      <c r="U550" s="103"/>
      <c r="V550" s="103"/>
      <c r="W550" s="103">
        <f>ROUND(IF(LEFT(D550,3)="Std",VLOOKUP(D550,'Measure &amp; Standard CostIDs'!$S$5:$X$177,1+B550,FALSE),VLOOKUP(D550,'Measure &amp; Standard CostIDs'!$C$5:$H$177,1+B550,FALSE)),2)</f>
        <v>7.33</v>
      </c>
      <c r="X550" s="103"/>
      <c r="Y550" s="103"/>
      <c r="Z550" s="103" t="s">
        <v>868</v>
      </c>
      <c r="AA550" s="103" t="s">
        <v>874</v>
      </c>
      <c r="AB550" s="103" t="s">
        <v>153</v>
      </c>
      <c r="AC550" s="103">
        <v>0</v>
      </c>
      <c r="AD550" s="156">
        <v>42005</v>
      </c>
      <c r="AE550" s="103"/>
      <c r="AF550" s="103" t="s">
        <v>870</v>
      </c>
      <c r="AG550" s="103" t="s">
        <v>871</v>
      </c>
      <c r="AH550" s="103" t="s">
        <v>976</v>
      </c>
      <c r="AI550" s="103">
        <v>0</v>
      </c>
      <c r="AJ550" s="103"/>
      <c r="AK550" s="103"/>
      <c r="AL550" s="103"/>
      <c r="AM550" s="103"/>
      <c r="AN550" s="103"/>
      <c r="AO550" s="103" t="str">
        <f t="shared" si="23"/>
        <v>Std_CFLscw-3way(20w)_60pInc-r0248Single-pack</v>
      </c>
    </row>
    <row r="551" spans="1:41">
      <c r="A551" s="177">
        <f>IFERROR(MATCH(D551,'Measure &amp; Standard CostIDs'!C$5:C$177,0),MATCH(D551,'Measure &amp; Standard CostIDs'!S$5:S$177,0))</f>
        <v>55</v>
      </c>
      <c r="B551" s="177">
        <f t="shared" si="24"/>
        <v>2</v>
      </c>
      <c r="C551" s="103" t="s">
        <v>153</v>
      </c>
      <c r="D551" s="103" t="str">
        <f t="shared" si="25"/>
        <v>Std_CFLscw-3way(21w)_60pInc-r0248</v>
      </c>
      <c r="E551" s="103" t="str">
        <f>IF(LEFT(D551,3)="Std","Base case cost for mix of 60% Incandescent and 40% CFL lamps for CFL TechID: "&amp;INDEX('Measure &amp; Standard CostIDs'!$C$5:$C$177,A551),"&lt;from TechID&gt;")</f>
        <v>Base case cost for mix of 60% Incandescent and 40% CFL lamps for CFL TechID: CFLscw-3way(21w)</v>
      </c>
      <c r="F551" s="103" t="s">
        <v>860</v>
      </c>
      <c r="G551" s="103" t="s">
        <v>151</v>
      </c>
      <c r="H551" s="103" t="s">
        <v>861</v>
      </c>
      <c r="I551" s="103" t="s">
        <v>862</v>
      </c>
      <c r="J551" s="103" t="s">
        <v>863</v>
      </c>
      <c r="K551" s="103" t="s">
        <v>864</v>
      </c>
      <c r="L551" s="103" t="s">
        <v>153</v>
      </c>
      <c r="M551" s="103" t="s">
        <v>865</v>
      </c>
      <c r="N551" s="103" t="s">
        <v>866</v>
      </c>
      <c r="O551" s="103" t="str">
        <f t="shared" si="22"/>
        <v/>
      </c>
      <c r="P551" s="103" t="s">
        <v>153</v>
      </c>
      <c r="Q551" s="103" t="s">
        <v>153</v>
      </c>
      <c r="R551" s="103" t="s">
        <v>153</v>
      </c>
      <c r="S551" s="103" t="str">
        <f>INDEX('Measure &amp; Standard CostIDs'!$AK$8:$AK$12,B551)</f>
        <v>Single-pack</v>
      </c>
      <c r="T551" s="103" t="s">
        <v>867</v>
      </c>
      <c r="U551" s="103"/>
      <c r="V551" s="103"/>
      <c r="W551" s="103">
        <f>ROUND(IF(LEFT(D551,3)="Std",VLOOKUP(D551,'Measure &amp; Standard CostIDs'!$S$5:$X$177,1+B551,FALSE),VLOOKUP(D551,'Measure &amp; Standard CostIDs'!$C$5:$H$177,1+B551,FALSE)),2)</f>
        <v>7.38</v>
      </c>
      <c r="X551" s="103"/>
      <c r="Y551" s="103"/>
      <c r="Z551" s="103" t="s">
        <v>868</v>
      </c>
      <c r="AA551" s="103" t="s">
        <v>874</v>
      </c>
      <c r="AB551" s="103" t="s">
        <v>153</v>
      </c>
      <c r="AC551" s="103">
        <v>0</v>
      </c>
      <c r="AD551" s="156">
        <v>42005</v>
      </c>
      <c r="AE551" s="103"/>
      <c r="AF551" s="103" t="s">
        <v>870</v>
      </c>
      <c r="AG551" s="103" t="s">
        <v>871</v>
      </c>
      <c r="AH551" s="103" t="s">
        <v>976</v>
      </c>
      <c r="AI551" s="103">
        <v>0</v>
      </c>
      <c r="AJ551" s="103"/>
      <c r="AK551" s="103"/>
      <c r="AL551" s="103"/>
      <c r="AM551" s="103"/>
      <c r="AN551" s="103"/>
      <c r="AO551" s="103" t="str">
        <f t="shared" si="23"/>
        <v>Std_CFLscw-3way(21w)_60pInc-r0248Single-pack</v>
      </c>
    </row>
    <row r="552" spans="1:41">
      <c r="A552" s="177">
        <f>IFERROR(MATCH(D552,'Measure &amp; Standard CostIDs'!C$5:C$177,0),MATCH(D552,'Measure &amp; Standard CostIDs'!S$5:S$177,0))</f>
        <v>56</v>
      </c>
      <c r="B552" s="177">
        <f t="shared" si="24"/>
        <v>2</v>
      </c>
      <c r="C552" s="103" t="s">
        <v>153</v>
      </c>
      <c r="D552" s="103" t="str">
        <f t="shared" si="25"/>
        <v>Std_CFLscw-3way(22w)_60pInc-r0248</v>
      </c>
      <c r="E552" s="103" t="str">
        <f>IF(LEFT(D552,3)="Std","Base case cost for mix of 60% Incandescent and 40% CFL lamps for CFL TechID: "&amp;INDEX('Measure &amp; Standard CostIDs'!$C$5:$C$177,A552),"&lt;from TechID&gt;")</f>
        <v>Base case cost for mix of 60% Incandescent and 40% CFL lamps for CFL TechID: CFLscw-3way(22w)</v>
      </c>
      <c r="F552" s="103" t="s">
        <v>860</v>
      </c>
      <c r="G552" s="103" t="s">
        <v>151</v>
      </c>
      <c r="H552" s="103" t="s">
        <v>861</v>
      </c>
      <c r="I552" s="103" t="s">
        <v>862</v>
      </c>
      <c r="J552" s="103" t="s">
        <v>863</v>
      </c>
      <c r="K552" s="103" t="s">
        <v>864</v>
      </c>
      <c r="L552" s="103" t="s">
        <v>153</v>
      </c>
      <c r="M552" s="103" t="s">
        <v>865</v>
      </c>
      <c r="N552" s="103" t="s">
        <v>866</v>
      </c>
      <c r="O552" s="103" t="str">
        <f t="shared" si="22"/>
        <v/>
      </c>
      <c r="P552" s="103" t="s">
        <v>153</v>
      </c>
      <c r="Q552" s="103" t="s">
        <v>153</v>
      </c>
      <c r="R552" s="103" t="s">
        <v>153</v>
      </c>
      <c r="S552" s="103" t="str">
        <f>INDEX('Measure &amp; Standard CostIDs'!$AK$8:$AK$12,B552)</f>
        <v>Single-pack</v>
      </c>
      <c r="T552" s="103" t="s">
        <v>867</v>
      </c>
      <c r="U552" s="103"/>
      <c r="V552" s="103"/>
      <c r="W552" s="103">
        <f>ROUND(IF(LEFT(D552,3)="Std",VLOOKUP(D552,'Measure &amp; Standard CostIDs'!$S$5:$X$177,1+B552,FALSE),VLOOKUP(D552,'Measure &amp; Standard CostIDs'!$C$5:$H$177,1+B552,FALSE)),2)</f>
        <v>7.42</v>
      </c>
      <c r="X552" s="103"/>
      <c r="Y552" s="103"/>
      <c r="Z552" s="103" t="s">
        <v>868</v>
      </c>
      <c r="AA552" s="103" t="s">
        <v>874</v>
      </c>
      <c r="AB552" s="103" t="s">
        <v>153</v>
      </c>
      <c r="AC552" s="103">
        <v>0</v>
      </c>
      <c r="AD552" s="156">
        <v>42005</v>
      </c>
      <c r="AE552" s="103"/>
      <c r="AF552" s="103" t="s">
        <v>870</v>
      </c>
      <c r="AG552" s="103" t="s">
        <v>871</v>
      </c>
      <c r="AH552" s="103" t="s">
        <v>976</v>
      </c>
      <c r="AI552" s="103">
        <v>0</v>
      </c>
      <c r="AJ552" s="103"/>
      <c r="AK552" s="103"/>
      <c r="AL552" s="103"/>
      <c r="AM552" s="103"/>
      <c r="AN552" s="103"/>
      <c r="AO552" s="103" t="str">
        <f t="shared" si="23"/>
        <v>Std_CFLscw-3way(22w)_60pInc-r0248Single-pack</v>
      </c>
    </row>
    <row r="553" spans="1:41">
      <c r="A553" s="177">
        <f>IFERROR(MATCH(D553,'Measure &amp; Standard CostIDs'!C$5:C$177,0),MATCH(D553,'Measure &amp; Standard CostIDs'!S$5:S$177,0))</f>
        <v>57</v>
      </c>
      <c r="B553" s="177">
        <f t="shared" si="24"/>
        <v>2</v>
      </c>
      <c r="C553" s="103" t="s">
        <v>153</v>
      </c>
      <c r="D553" s="103" t="str">
        <f t="shared" si="25"/>
        <v>Std_CFLscw-3way(23w)_60pInc-r0248</v>
      </c>
      <c r="E553" s="103" t="str">
        <f>IF(LEFT(D553,3)="Std","Base case cost for mix of 60% Incandescent and 40% CFL lamps for CFL TechID: "&amp;INDEX('Measure &amp; Standard CostIDs'!$C$5:$C$177,A553),"&lt;from TechID&gt;")</f>
        <v>Base case cost for mix of 60% Incandescent and 40% CFL lamps for CFL TechID: CFLscw-3way(23w)</v>
      </c>
      <c r="F553" s="103" t="s">
        <v>860</v>
      </c>
      <c r="G553" s="103" t="s">
        <v>151</v>
      </c>
      <c r="H553" s="103" t="s">
        <v>861</v>
      </c>
      <c r="I553" s="103" t="s">
        <v>862</v>
      </c>
      <c r="J553" s="103" t="s">
        <v>863</v>
      </c>
      <c r="K553" s="103" t="s">
        <v>864</v>
      </c>
      <c r="L553" s="103" t="s">
        <v>153</v>
      </c>
      <c r="M553" s="103" t="s">
        <v>865</v>
      </c>
      <c r="N553" s="103" t="s">
        <v>866</v>
      </c>
      <c r="O553" s="103" t="str">
        <f t="shared" si="22"/>
        <v/>
      </c>
      <c r="P553" s="103" t="s">
        <v>153</v>
      </c>
      <c r="Q553" s="103" t="s">
        <v>153</v>
      </c>
      <c r="R553" s="103" t="s">
        <v>153</v>
      </c>
      <c r="S553" s="103" t="str">
        <f>INDEX('Measure &amp; Standard CostIDs'!$AK$8:$AK$12,B553)</f>
        <v>Single-pack</v>
      </c>
      <c r="T553" s="103" t="s">
        <v>867</v>
      </c>
      <c r="U553" s="103"/>
      <c r="V553" s="103"/>
      <c r="W553" s="103">
        <f>ROUND(IF(LEFT(D553,3)="Std",VLOOKUP(D553,'Measure &amp; Standard CostIDs'!$S$5:$X$177,1+B553,FALSE),VLOOKUP(D553,'Measure &amp; Standard CostIDs'!$C$5:$H$177,1+B553,FALSE)),2)</f>
        <v>7.45</v>
      </c>
      <c r="X553" s="103"/>
      <c r="Y553" s="103"/>
      <c r="Z553" s="103" t="s">
        <v>868</v>
      </c>
      <c r="AA553" s="103" t="s">
        <v>874</v>
      </c>
      <c r="AB553" s="103" t="s">
        <v>153</v>
      </c>
      <c r="AC553" s="103">
        <v>0</v>
      </c>
      <c r="AD553" s="156">
        <v>42005</v>
      </c>
      <c r="AE553" s="103"/>
      <c r="AF553" s="103" t="s">
        <v>870</v>
      </c>
      <c r="AG553" s="103" t="s">
        <v>871</v>
      </c>
      <c r="AH553" s="103" t="s">
        <v>976</v>
      </c>
      <c r="AI553" s="103">
        <v>0</v>
      </c>
      <c r="AJ553" s="103"/>
      <c r="AK553" s="103"/>
      <c r="AL553" s="103"/>
      <c r="AM553" s="103"/>
      <c r="AN553" s="103"/>
      <c r="AO553" s="103" t="str">
        <f t="shared" si="23"/>
        <v>Std_CFLscw-3way(23w)_60pInc-r0248Single-pack</v>
      </c>
    </row>
    <row r="554" spans="1:41">
      <c r="A554" s="177">
        <f>IFERROR(MATCH(D554,'Measure &amp; Standard CostIDs'!C$5:C$177,0),MATCH(D554,'Measure &amp; Standard CostIDs'!S$5:S$177,0))</f>
        <v>58</v>
      </c>
      <c r="B554" s="177">
        <f t="shared" si="24"/>
        <v>2</v>
      </c>
      <c r="C554" s="103" t="s">
        <v>153</v>
      </c>
      <c r="D554" s="103" t="str">
        <f t="shared" si="25"/>
        <v>Std_CFLscw-3way(24w)_60pInc-r0248</v>
      </c>
      <c r="E554" s="103" t="str">
        <f>IF(LEFT(D554,3)="Std","Base case cost for mix of 60% Incandescent and 40% CFL lamps for CFL TechID: "&amp;INDEX('Measure &amp; Standard CostIDs'!$C$5:$C$177,A554),"&lt;from TechID&gt;")</f>
        <v>Base case cost for mix of 60% Incandescent and 40% CFL lamps for CFL TechID: CFLscw-3way(24w)</v>
      </c>
      <c r="F554" s="103" t="s">
        <v>860</v>
      </c>
      <c r="G554" s="103" t="s">
        <v>151</v>
      </c>
      <c r="H554" s="103" t="s">
        <v>861</v>
      </c>
      <c r="I554" s="103" t="s">
        <v>862</v>
      </c>
      <c r="J554" s="103" t="s">
        <v>863</v>
      </c>
      <c r="K554" s="103" t="s">
        <v>864</v>
      </c>
      <c r="L554" s="103" t="s">
        <v>153</v>
      </c>
      <c r="M554" s="103" t="s">
        <v>865</v>
      </c>
      <c r="N554" s="103" t="s">
        <v>866</v>
      </c>
      <c r="O554" s="103" t="str">
        <f t="shared" si="22"/>
        <v/>
      </c>
      <c r="P554" s="103" t="s">
        <v>153</v>
      </c>
      <c r="Q554" s="103" t="s">
        <v>153</v>
      </c>
      <c r="R554" s="103" t="s">
        <v>153</v>
      </c>
      <c r="S554" s="103" t="str">
        <f>INDEX('Measure &amp; Standard CostIDs'!$AK$8:$AK$12,B554)</f>
        <v>Single-pack</v>
      </c>
      <c r="T554" s="103" t="s">
        <v>867</v>
      </c>
      <c r="U554" s="103"/>
      <c r="V554" s="103"/>
      <c r="W554" s="103">
        <f>ROUND(IF(LEFT(D554,3)="Std",VLOOKUP(D554,'Measure &amp; Standard CostIDs'!$S$5:$X$177,1+B554,FALSE),VLOOKUP(D554,'Measure &amp; Standard CostIDs'!$C$5:$H$177,1+B554,FALSE)),2)</f>
        <v>7.48</v>
      </c>
      <c r="X554" s="103"/>
      <c r="Y554" s="103"/>
      <c r="Z554" s="103" t="s">
        <v>868</v>
      </c>
      <c r="AA554" s="103" t="s">
        <v>874</v>
      </c>
      <c r="AB554" s="103" t="s">
        <v>153</v>
      </c>
      <c r="AC554" s="103">
        <v>0</v>
      </c>
      <c r="AD554" s="156">
        <v>42005</v>
      </c>
      <c r="AE554" s="103"/>
      <c r="AF554" s="103" t="s">
        <v>870</v>
      </c>
      <c r="AG554" s="103" t="s">
        <v>871</v>
      </c>
      <c r="AH554" s="103" t="s">
        <v>976</v>
      </c>
      <c r="AI554" s="103">
        <v>0</v>
      </c>
      <c r="AJ554" s="103"/>
      <c r="AK554" s="103"/>
      <c r="AL554" s="103"/>
      <c r="AM554" s="103"/>
      <c r="AN554" s="103"/>
      <c r="AO554" s="103" t="str">
        <f t="shared" si="23"/>
        <v>Std_CFLscw-3way(24w)_60pInc-r0248Single-pack</v>
      </c>
    </row>
    <row r="555" spans="1:41">
      <c r="A555" s="177">
        <f>IFERROR(MATCH(D555,'Measure &amp; Standard CostIDs'!C$5:C$177,0),MATCH(D555,'Measure &amp; Standard CostIDs'!S$5:S$177,0))</f>
        <v>59</v>
      </c>
      <c r="B555" s="177">
        <f t="shared" si="24"/>
        <v>2</v>
      </c>
      <c r="C555" s="103" t="s">
        <v>153</v>
      </c>
      <c r="D555" s="103" t="str">
        <f t="shared" si="25"/>
        <v>Std_CFLscw-3way(25w)_60pInc-r0248</v>
      </c>
      <c r="E555" s="103" t="str">
        <f>IF(LEFT(D555,3)="Std","Base case cost for mix of 60% Incandescent and 40% CFL lamps for CFL TechID: "&amp;INDEX('Measure &amp; Standard CostIDs'!$C$5:$C$177,A555),"&lt;from TechID&gt;")</f>
        <v>Base case cost for mix of 60% Incandescent and 40% CFL lamps for CFL TechID: CFLscw-3way(25w)</v>
      </c>
      <c r="F555" s="103" t="s">
        <v>860</v>
      </c>
      <c r="G555" s="103" t="s">
        <v>151</v>
      </c>
      <c r="H555" s="103" t="s">
        <v>861</v>
      </c>
      <c r="I555" s="103" t="s">
        <v>862</v>
      </c>
      <c r="J555" s="103" t="s">
        <v>863</v>
      </c>
      <c r="K555" s="103" t="s">
        <v>864</v>
      </c>
      <c r="L555" s="103" t="s">
        <v>153</v>
      </c>
      <c r="M555" s="103" t="s">
        <v>865</v>
      </c>
      <c r="N555" s="103" t="s">
        <v>866</v>
      </c>
      <c r="O555" s="103" t="str">
        <f t="shared" si="22"/>
        <v/>
      </c>
      <c r="P555" s="103" t="s">
        <v>153</v>
      </c>
      <c r="Q555" s="103" t="s">
        <v>153</v>
      </c>
      <c r="R555" s="103" t="s">
        <v>153</v>
      </c>
      <c r="S555" s="103" t="str">
        <f>INDEX('Measure &amp; Standard CostIDs'!$AK$8:$AK$12,B555)</f>
        <v>Single-pack</v>
      </c>
      <c r="T555" s="103" t="s">
        <v>867</v>
      </c>
      <c r="U555" s="103"/>
      <c r="V555" s="103"/>
      <c r="W555" s="103">
        <f>ROUND(IF(LEFT(D555,3)="Std",VLOOKUP(D555,'Measure &amp; Standard CostIDs'!$S$5:$X$177,1+B555,FALSE),VLOOKUP(D555,'Measure &amp; Standard CostIDs'!$C$5:$H$177,1+B555,FALSE)),2)</f>
        <v>7.5</v>
      </c>
      <c r="X555" s="103"/>
      <c r="Y555" s="103"/>
      <c r="Z555" s="103" t="s">
        <v>868</v>
      </c>
      <c r="AA555" s="103" t="s">
        <v>874</v>
      </c>
      <c r="AB555" s="103" t="s">
        <v>153</v>
      </c>
      <c r="AC555" s="103">
        <v>0</v>
      </c>
      <c r="AD555" s="156">
        <v>42005</v>
      </c>
      <c r="AE555" s="103"/>
      <c r="AF555" s="103" t="s">
        <v>870</v>
      </c>
      <c r="AG555" s="103" t="s">
        <v>871</v>
      </c>
      <c r="AH555" s="103" t="s">
        <v>976</v>
      </c>
      <c r="AI555" s="103">
        <v>0</v>
      </c>
      <c r="AJ555" s="103"/>
      <c r="AK555" s="103"/>
      <c r="AL555" s="103"/>
      <c r="AM555" s="103"/>
      <c r="AN555" s="103"/>
      <c r="AO555" s="103" t="str">
        <f t="shared" si="23"/>
        <v>Std_CFLscw-3way(25w)_60pInc-r0248Single-pack</v>
      </c>
    </row>
    <row r="556" spans="1:41">
      <c r="A556" s="177">
        <f>IFERROR(MATCH(D556,'Measure &amp; Standard CostIDs'!C$5:C$177,0),MATCH(D556,'Measure &amp; Standard CostIDs'!S$5:S$177,0))</f>
        <v>60</v>
      </c>
      <c r="B556" s="177">
        <f t="shared" si="24"/>
        <v>2</v>
      </c>
      <c r="C556" s="103" t="s">
        <v>153</v>
      </c>
      <c r="D556" s="103" t="str">
        <f t="shared" si="25"/>
        <v>Std_CFLscw-3way(26w)_60pInc-r0248</v>
      </c>
      <c r="E556" s="103" t="str">
        <f>IF(LEFT(D556,3)="Std","Base case cost for mix of 60% Incandescent and 40% CFL lamps for CFL TechID: "&amp;INDEX('Measure &amp; Standard CostIDs'!$C$5:$C$177,A556),"&lt;from TechID&gt;")</f>
        <v>Base case cost for mix of 60% Incandescent and 40% CFL lamps for CFL TechID: CFLscw-3way(26w)</v>
      </c>
      <c r="F556" s="103" t="s">
        <v>860</v>
      </c>
      <c r="G556" s="103" t="s">
        <v>151</v>
      </c>
      <c r="H556" s="103" t="s">
        <v>861</v>
      </c>
      <c r="I556" s="103" t="s">
        <v>862</v>
      </c>
      <c r="J556" s="103" t="s">
        <v>863</v>
      </c>
      <c r="K556" s="103" t="s">
        <v>864</v>
      </c>
      <c r="L556" s="103" t="s">
        <v>153</v>
      </c>
      <c r="M556" s="103" t="s">
        <v>865</v>
      </c>
      <c r="N556" s="103" t="s">
        <v>866</v>
      </c>
      <c r="O556" s="103" t="str">
        <f t="shared" si="22"/>
        <v/>
      </c>
      <c r="P556" s="103" t="s">
        <v>153</v>
      </c>
      <c r="Q556" s="103" t="s">
        <v>153</v>
      </c>
      <c r="R556" s="103" t="s">
        <v>153</v>
      </c>
      <c r="S556" s="103" t="str">
        <f>INDEX('Measure &amp; Standard CostIDs'!$AK$8:$AK$12,B556)</f>
        <v>Single-pack</v>
      </c>
      <c r="T556" s="103" t="s">
        <v>867</v>
      </c>
      <c r="U556" s="103"/>
      <c r="V556" s="103"/>
      <c r="W556" s="103">
        <f>ROUND(IF(LEFT(D556,3)="Std",VLOOKUP(D556,'Measure &amp; Standard CostIDs'!$S$5:$X$177,1+B556,FALSE),VLOOKUP(D556,'Measure &amp; Standard CostIDs'!$C$5:$H$177,1+B556,FALSE)),2)</f>
        <v>7.57</v>
      </c>
      <c r="X556" s="103"/>
      <c r="Y556" s="103"/>
      <c r="Z556" s="103" t="s">
        <v>868</v>
      </c>
      <c r="AA556" s="103" t="s">
        <v>874</v>
      </c>
      <c r="AB556" s="103" t="s">
        <v>153</v>
      </c>
      <c r="AC556" s="103">
        <v>0</v>
      </c>
      <c r="AD556" s="156">
        <v>42005</v>
      </c>
      <c r="AE556" s="103"/>
      <c r="AF556" s="103" t="s">
        <v>870</v>
      </c>
      <c r="AG556" s="103" t="s">
        <v>871</v>
      </c>
      <c r="AH556" s="103" t="s">
        <v>976</v>
      </c>
      <c r="AI556" s="103">
        <v>0</v>
      </c>
      <c r="AJ556" s="103"/>
      <c r="AK556" s="103"/>
      <c r="AL556" s="103"/>
      <c r="AM556" s="103"/>
      <c r="AN556" s="103"/>
      <c r="AO556" s="103" t="str">
        <f t="shared" si="23"/>
        <v>Std_CFLscw-3way(26w)_60pInc-r0248Single-pack</v>
      </c>
    </row>
    <row r="557" spans="1:41">
      <c r="A557" s="177">
        <f>IFERROR(MATCH(D557,'Measure &amp; Standard CostIDs'!C$5:C$177,0),MATCH(D557,'Measure &amp; Standard CostIDs'!S$5:S$177,0))</f>
        <v>61</v>
      </c>
      <c r="B557" s="177">
        <f t="shared" si="24"/>
        <v>2</v>
      </c>
      <c r="C557" s="103" t="s">
        <v>153</v>
      </c>
      <c r="D557" s="103" t="str">
        <f t="shared" si="25"/>
        <v>Std_CFLscw-3way(27w)_60pInc-r0248</v>
      </c>
      <c r="E557" s="103" t="str">
        <f>IF(LEFT(D557,3)="Std","Base case cost for mix of 60% Incandescent and 40% CFL lamps for CFL TechID: "&amp;INDEX('Measure &amp; Standard CostIDs'!$C$5:$C$177,A557),"&lt;from TechID&gt;")</f>
        <v>Base case cost for mix of 60% Incandescent and 40% CFL lamps for CFL TechID: CFLscw-3way(27w)</v>
      </c>
      <c r="F557" s="103" t="s">
        <v>860</v>
      </c>
      <c r="G557" s="103" t="s">
        <v>151</v>
      </c>
      <c r="H557" s="103" t="s">
        <v>861</v>
      </c>
      <c r="I557" s="103" t="s">
        <v>862</v>
      </c>
      <c r="J557" s="103" t="s">
        <v>863</v>
      </c>
      <c r="K557" s="103" t="s">
        <v>864</v>
      </c>
      <c r="L557" s="103" t="s">
        <v>153</v>
      </c>
      <c r="M557" s="103" t="s">
        <v>865</v>
      </c>
      <c r="N557" s="103" t="s">
        <v>866</v>
      </c>
      <c r="O557" s="103" t="str">
        <f t="shared" si="22"/>
        <v/>
      </c>
      <c r="P557" s="103" t="s">
        <v>153</v>
      </c>
      <c r="Q557" s="103" t="s">
        <v>153</v>
      </c>
      <c r="R557" s="103" t="s">
        <v>153</v>
      </c>
      <c r="S557" s="103" t="str">
        <f>INDEX('Measure &amp; Standard CostIDs'!$AK$8:$AK$12,B557)</f>
        <v>Single-pack</v>
      </c>
      <c r="T557" s="103" t="s">
        <v>867</v>
      </c>
      <c r="U557" s="103"/>
      <c r="V557" s="103"/>
      <c r="W557" s="103">
        <f>ROUND(IF(LEFT(D557,3)="Std",VLOOKUP(D557,'Measure &amp; Standard CostIDs'!$S$5:$X$177,1+B557,FALSE),VLOOKUP(D557,'Measure &amp; Standard CostIDs'!$C$5:$H$177,1+B557,FALSE)),2)</f>
        <v>7.63</v>
      </c>
      <c r="X557" s="103"/>
      <c r="Y557" s="103"/>
      <c r="Z557" s="103" t="s">
        <v>868</v>
      </c>
      <c r="AA557" s="103" t="s">
        <v>874</v>
      </c>
      <c r="AB557" s="103" t="s">
        <v>153</v>
      </c>
      <c r="AC557" s="103">
        <v>0</v>
      </c>
      <c r="AD557" s="156">
        <v>42005</v>
      </c>
      <c r="AE557" s="103"/>
      <c r="AF557" s="103" t="s">
        <v>870</v>
      </c>
      <c r="AG557" s="103" t="s">
        <v>871</v>
      </c>
      <c r="AH557" s="103" t="s">
        <v>976</v>
      </c>
      <c r="AI557" s="103">
        <v>0</v>
      </c>
      <c r="AJ557" s="103"/>
      <c r="AK557" s="103"/>
      <c r="AL557" s="103"/>
      <c r="AM557" s="103"/>
      <c r="AN557" s="103"/>
      <c r="AO557" s="103" t="str">
        <f t="shared" si="23"/>
        <v>Std_CFLscw-3way(27w)_60pInc-r0248Single-pack</v>
      </c>
    </row>
    <row r="558" spans="1:41">
      <c r="A558" s="177">
        <f>IFERROR(MATCH(D558,'Measure &amp; Standard CostIDs'!C$5:C$177,0),MATCH(D558,'Measure &amp; Standard CostIDs'!S$5:S$177,0))</f>
        <v>62</v>
      </c>
      <c r="B558" s="177">
        <f t="shared" si="24"/>
        <v>2</v>
      </c>
      <c r="C558" s="103" t="s">
        <v>153</v>
      </c>
      <c r="D558" s="103" t="str">
        <f t="shared" si="25"/>
        <v>Std_CFLscw-3way(28w)_60pInc-r0248</v>
      </c>
      <c r="E558" s="103" t="str">
        <f>IF(LEFT(D558,3)="Std","Base case cost for mix of 60% Incandescent and 40% CFL lamps for CFL TechID: "&amp;INDEX('Measure &amp; Standard CostIDs'!$C$5:$C$177,A558),"&lt;from TechID&gt;")</f>
        <v>Base case cost for mix of 60% Incandescent and 40% CFL lamps for CFL TechID: CFLscw-3way(28w)</v>
      </c>
      <c r="F558" s="103" t="s">
        <v>860</v>
      </c>
      <c r="G558" s="103" t="s">
        <v>151</v>
      </c>
      <c r="H558" s="103" t="s">
        <v>861</v>
      </c>
      <c r="I558" s="103" t="s">
        <v>862</v>
      </c>
      <c r="J558" s="103" t="s">
        <v>863</v>
      </c>
      <c r="K558" s="103" t="s">
        <v>864</v>
      </c>
      <c r="L558" s="103" t="s">
        <v>153</v>
      </c>
      <c r="M558" s="103" t="s">
        <v>865</v>
      </c>
      <c r="N558" s="103" t="s">
        <v>866</v>
      </c>
      <c r="O558" s="103" t="str">
        <f t="shared" si="22"/>
        <v/>
      </c>
      <c r="P558" s="103" t="s">
        <v>153</v>
      </c>
      <c r="Q558" s="103" t="s">
        <v>153</v>
      </c>
      <c r="R558" s="103" t="s">
        <v>153</v>
      </c>
      <c r="S558" s="103" t="str">
        <f>INDEX('Measure &amp; Standard CostIDs'!$AK$8:$AK$12,B558)</f>
        <v>Single-pack</v>
      </c>
      <c r="T558" s="103" t="s">
        <v>867</v>
      </c>
      <c r="U558" s="103"/>
      <c r="V558" s="103"/>
      <c r="W558" s="103">
        <f>ROUND(IF(LEFT(D558,3)="Std",VLOOKUP(D558,'Measure &amp; Standard CostIDs'!$S$5:$X$177,1+B558,FALSE),VLOOKUP(D558,'Measure &amp; Standard CostIDs'!$C$5:$H$177,1+B558,FALSE)),2)</f>
        <v>7.7</v>
      </c>
      <c r="X558" s="103"/>
      <c r="Y558" s="103"/>
      <c r="Z558" s="103" t="s">
        <v>868</v>
      </c>
      <c r="AA558" s="103" t="s">
        <v>874</v>
      </c>
      <c r="AB558" s="103" t="s">
        <v>153</v>
      </c>
      <c r="AC558" s="103">
        <v>0</v>
      </c>
      <c r="AD558" s="156">
        <v>42005</v>
      </c>
      <c r="AE558" s="103"/>
      <c r="AF558" s="103" t="s">
        <v>870</v>
      </c>
      <c r="AG558" s="103" t="s">
        <v>871</v>
      </c>
      <c r="AH558" s="103" t="s">
        <v>976</v>
      </c>
      <c r="AI558" s="103">
        <v>0</v>
      </c>
      <c r="AJ558" s="103"/>
      <c r="AK558" s="103"/>
      <c r="AL558" s="103"/>
      <c r="AM558" s="103"/>
      <c r="AN558" s="103"/>
      <c r="AO558" s="103" t="str">
        <f t="shared" si="23"/>
        <v>Std_CFLscw-3way(28w)_60pInc-r0248Single-pack</v>
      </c>
    </row>
    <row r="559" spans="1:41">
      <c r="A559" s="177">
        <f>IFERROR(MATCH(D559,'Measure &amp; Standard CostIDs'!C$5:C$177,0),MATCH(D559,'Measure &amp; Standard CostIDs'!S$5:S$177,0))</f>
        <v>63</v>
      </c>
      <c r="B559" s="177">
        <f t="shared" si="24"/>
        <v>2</v>
      </c>
      <c r="C559" s="103" t="s">
        <v>153</v>
      </c>
      <c r="D559" s="103" t="str">
        <f t="shared" si="25"/>
        <v>Std_CFLscw-3way(29w)_60pInc-r0248</v>
      </c>
      <c r="E559" s="103" t="str">
        <f>IF(LEFT(D559,3)="Std","Base case cost for mix of 60% Incandescent and 40% CFL lamps for CFL TechID: "&amp;INDEX('Measure &amp; Standard CostIDs'!$C$5:$C$177,A559),"&lt;from TechID&gt;")</f>
        <v>Base case cost for mix of 60% Incandescent and 40% CFL lamps for CFL TechID: CFLscw-3way(29w)</v>
      </c>
      <c r="F559" s="103" t="s">
        <v>860</v>
      </c>
      <c r="G559" s="103" t="s">
        <v>151</v>
      </c>
      <c r="H559" s="103" t="s">
        <v>861</v>
      </c>
      <c r="I559" s="103" t="s">
        <v>862</v>
      </c>
      <c r="J559" s="103" t="s">
        <v>863</v>
      </c>
      <c r="K559" s="103" t="s">
        <v>864</v>
      </c>
      <c r="L559" s="103" t="s">
        <v>153</v>
      </c>
      <c r="M559" s="103" t="s">
        <v>865</v>
      </c>
      <c r="N559" s="103" t="s">
        <v>866</v>
      </c>
      <c r="O559" s="103" t="str">
        <f t="shared" si="22"/>
        <v/>
      </c>
      <c r="P559" s="103" t="s">
        <v>153</v>
      </c>
      <c r="Q559" s="103" t="s">
        <v>153</v>
      </c>
      <c r="R559" s="103" t="s">
        <v>153</v>
      </c>
      <c r="S559" s="103" t="str">
        <f>INDEX('Measure &amp; Standard CostIDs'!$AK$8:$AK$12,B559)</f>
        <v>Single-pack</v>
      </c>
      <c r="T559" s="103" t="s">
        <v>867</v>
      </c>
      <c r="U559" s="103"/>
      <c r="V559" s="103"/>
      <c r="W559" s="103">
        <f>ROUND(IF(LEFT(D559,3)="Std",VLOOKUP(D559,'Measure &amp; Standard CostIDs'!$S$5:$X$177,1+B559,FALSE),VLOOKUP(D559,'Measure &amp; Standard CostIDs'!$C$5:$H$177,1+B559,FALSE)),2)</f>
        <v>7.76</v>
      </c>
      <c r="X559" s="103"/>
      <c r="Y559" s="103"/>
      <c r="Z559" s="103" t="s">
        <v>868</v>
      </c>
      <c r="AA559" s="103" t="s">
        <v>874</v>
      </c>
      <c r="AB559" s="103" t="s">
        <v>153</v>
      </c>
      <c r="AC559" s="103">
        <v>0</v>
      </c>
      <c r="AD559" s="156">
        <v>42005</v>
      </c>
      <c r="AE559" s="103"/>
      <c r="AF559" s="103" t="s">
        <v>870</v>
      </c>
      <c r="AG559" s="103" t="s">
        <v>871</v>
      </c>
      <c r="AH559" s="103" t="s">
        <v>976</v>
      </c>
      <c r="AI559" s="103">
        <v>0</v>
      </c>
      <c r="AJ559" s="103"/>
      <c r="AK559" s="103"/>
      <c r="AL559" s="103"/>
      <c r="AM559" s="103"/>
      <c r="AN559" s="103"/>
      <c r="AO559" s="103" t="str">
        <f t="shared" si="23"/>
        <v>Std_CFLscw-3way(29w)_60pInc-r0248Single-pack</v>
      </c>
    </row>
    <row r="560" spans="1:41">
      <c r="A560" s="177">
        <f>IFERROR(MATCH(D560,'Measure &amp; Standard CostIDs'!C$5:C$177,0),MATCH(D560,'Measure &amp; Standard CostIDs'!S$5:S$177,0))</f>
        <v>64</v>
      </c>
      <c r="B560" s="177">
        <f t="shared" si="24"/>
        <v>2</v>
      </c>
      <c r="C560" s="103" t="s">
        <v>153</v>
      </c>
      <c r="D560" s="103" t="str">
        <f t="shared" si="25"/>
        <v>Std_CFLscw-3way(30w)_60pInc-r0248</v>
      </c>
      <c r="E560" s="103" t="str">
        <f>IF(LEFT(D560,3)="Std","Base case cost for mix of 60% Incandescent and 40% CFL lamps for CFL TechID: "&amp;INDEX('Measure &amp; Standard CostIDs'!$C$5:$C$177,A560),"&lt;from TechID&gt;")</f>
        <v>Base case cost for mix of 60% Incandescent and 40% CFL lamps for CFL TechID: CFLscw-3way(30w)</v>
      </c>
      <c r="F560" s="103" t="s">
        <v>860</v>
      </c>
      <c r="G560" s="103" t="s">
        <v>151</v>
      </c>
      <c r="H560" s="103" t="s">
        <v>861</v>
      </c>
      <c r="I560" s="103" t="s">
        <v>862</v>
      </c>
      <c r="J560" s="103" t="s">
        <v>863</v>
      </c>
      <c r="K560" s="103" t="s">
        <v>864</v>
      </c>
      <c r="L560" s="103" t="s">
        <v>153</v>
      </c>
      <c r="M560" s="103" t="s">
        <v>865</v>
      </c>
      <c r="N560" s="103" t="s">
        <v>866</v>
      </c>
      <c r="O560" s="103" t="str">
        <f t="shared" si="22"/>
        <v/>
      </c>
      <c r="P560" s="103" t="s">
        <v>153</v>
      </c>
      <c r="Q560" s="103" t="s">
        <v>153</v>
      </c>
      <c r="R560" s="103" t="s">
        <v>153</v>
      </c>
      <c r="S560" s="103" t="str">
        <f>INDEX('Measure &amp; Standard CostIDs'!$AK$8:$AK$12,B560)</f>
        <v>Single-pack</v>
      </c>
      <c r="T560" s="103" t="s">
        <v>867</v>
      </c>
      <c r="U560" s="103"/>
      <c r="V560" s="103"/>
      <c r="W560" s="103">
        <f>ROUND(IF(LEFT(D560,3)="Std",VLOOKUP(D560,'Measure &amp; Standard CostIDs'!$S$5:$X$177,1+B560,FALSE),VLOOKUP(D560,'Measure &amp; Standard CostIDs'!$C$5:$H$177,1+B560,FALSE)),2)</f>
        <v>7.83</v>
      </c>
      <c r="X560" s="103"/>
      <c r="Y560" s="103"/>
      <c r="Z560" s="103" t="s">
        <v>868</v>
      </c>
      <c r="AA560" s="103" t="s">
        <v>874</v>
      </c>
      <c r="AB560" s="103" t="s">
        <v>153</v>
      </c>
      <c r="AC560" s="103">
        <v>0</v>
      </c>
      <c r="AD560" s="156">
        <v>42005</v>
      </c>
      <c r="AE560" s="103"/>
      <c r="AF560" s="103" t="s">
        <v>870</v>
      </c>
      <c r="AG560" s="103" t="s">
        <v>871</v>
      </c>
      <c r="AH560" s="103" t="s">
        <v>976</v>
      </c>
      <c r="AI560" s="103">
        <v>0</v>
      </c>
      <c r="AJ560" s="103"/>
      <c r="AK560" s="103"/>
      <c r="AL560" s="103"/>
      <c r="AM560" s="103"/>
      <c r="AN560" s="103"/>
      <c r="AO560" s="103" t="str">
        <f t="shared" si="23"/>
        <v>Std_CFLscw-3way(30w)_60pInc-r0248Single-pack</v>
      </c>
    </row>
    <row r="561" spans="1:41">
      <c r="A561" s="177">
        <f>IFERROR(MATCH(D561,'Measure &amp; Standard CostIDs'!C$5:C$177,0),MATCH(D561,'Measure &amp; Standard CostIDs'!S$5:S$177,0))</f>
        <v>65</v>
      </c>
      <c r="B561" s="177">
        <f t="shared" si="24"/>
        <v>2</v>
      </c>
      <c r="C561" s="103" t="s">
        <v>153</v>
      </c>
      <c r="D561" s="103" t="str">
        <f t="shared" si="25"/>
        <v>Std_CFLscw-3way(31w)_60pInc-r0248</v>
      </c>
      <c r="E561" s="103" t="str">
        <f>IF(LEFT(D561,3)="Std","Base case cost for mix of 60% Incandescent and 40% CFL lamps for CFL TechID: "&amp;INDEX('Measure &amp; Standard CostIDs'!$C$5:$C$177,A561),"&lt;from TechID&gt;")</f>
        <v>Base case cost for mix of 60% Incandescent and 40% CFL lamps for CFL TechID: CFLscw-3way(31w)</v>
      </c>
      <c r="F561" s="103" t="s">
        <v>860</v>
      </c>
      <c r="G561" s="103" t="s">
        <v>151</v>
      </c>
      <c r="H561" s="103" t="s">
        <v>861</v>
      </c>
      <c r="I561" s="103" t="s">
        <v>862</v>
      </c>
      <c r="J561" s="103" t="s">
        <v>863</v>
      </c>
      <c r="K561" s="103" t="s">
        <v>864</v>
      </c>
      <c r="L561" s="103" t="s">
        <v>153</v>
      </c>
      <c r="M561" s="103" t="s">
        <v>865</v>
      </c>
      <c r="N561" s="103" t="s">
        <v>866</v>
      </c>
      <c r="O561" s="103" t="str">
        <f t="shared" si="22"/>
        <v/>
      </c>
      <c r="P561" s="103" t="s">
        <v>153</v>
      </c>
      <c r="Q561" s="103" t="s">
        <v>153</v>
      </c>
      <c r="R561" s="103" t="s">
        <v>153</v>
      </c>
      <c r="S561" s="103" t="str">
        <f>INDEX('Measure &amp; Standard CostIDs'!$AK$8:$AK$12,B561)</f>
        <v>Single-pack</v>
      </c>
      <c r="T561" s="103" t="s">
        <v>867</v>
      </c>
      <c r="U561" s="103"/>
      <c r="V561" s="103"/>
      <c r="W561" s="103">
        <f>ROUND(IF(LEFT(D561,3)="Std",VLOOKUP(D561,'Measure &amp; Standard CostIDs'!$S$5:$X$177,1+B561,FALSE),VLOOKUP(D561,'Measure &amp; Standard CostIDs'!$C$5:$H$177,1+B561,FALSE)),2)</f>
        <v>7.89</v>
      </c>
      <c r="X561" s="103"/>
      <c r="Y561" s="103"/>
      <c r="Z561" s="103" t="s">
        <v>868</v>
      </c>
      <c r="AA561" s="103" t="s">
        <v>874</v>
      </c>
      <c r="AB561" s="103" t="s">
        <v>153</v>
      </c>
      <c r="AC561" s="103">
        <v>0</v>
      </c>
      <c r="AD561" s="156">
        <v>42005</v>
      </c>
      <c r="AE561" s="103"/>
      <c r="AF561" s="103" t="s">
        <v>870</v>
      </c>
      <c r="AG561" s="103" t="s">
        <v>871</v>
      </c>
      <c r="AH561" s="103" t="s">
        <v>976</v>
      </c>
      <c r="AI561" s="103">
        <v>0</v>
      </c>
      <c r="AJ561" s="103"/>
      <c r="AK561" s="103"/>
      <c r="AL561" s="103"/>
      <c r="AM561" s="103"/>
      <c r="AN561" s="103"/>
      <c r="AO561" s="103" t="str">
        <f t="shared" si="23"/>
        <v>Std_CFLscw-3way(31w)_60pInc-r0248Single-pack</v>
      </c>
    </row>
    <row r="562" spans="1:41">
      <c r="A562" s="177">
        <f>IFERROR(MATCH(D562,'Measure &amp; Standard CostIDs'!C$5:C$177,0),MATCH(D562,'Measure &amp; Standard CostIDs'!S$5:S$177,0))</f>
        <v>66</v>
      </c>
      <c r="B562" s="177">
        <f t="shared" si="24"/>
        <v>2</v>
      </c>
      <c r="C562" s="103" t="s">
        <v>153</v>
      </c>
      <c r="D562" s="103" t="str">
        <f t="shared" si="25"/>
        <v>Std_CFLscw-3way(32w)_60pInc-r0248</v>
      </c>
      <c r="E562" s="103" t="str">
        <f>IF(LEFT(D562,3)="Std","Base case cost for mix of 60% Incandescent and 40% CFL lamps for CFL TechID: "&amp;INDEX('Measure &amp; Standard CostIDs'!$C$5:$C$177,A562),"&lt;from TechID&gt;")</f>
        <v>Base case cost for mix of 60% Incandescent and 40% CFL lamps for CFL TechID: CFLscw-3way(32w)</v>
      </c>
      <c r="F562" s="103" t="s">
        <v>860</v>
      </c>
      <c r="G562" s="103" t="s">
        <v>151</v>
      </c>
      <c r="H562" s="103" t="s">
        <v>861</v>
      </c>
      <c r="I562" s="103" t="s">
        <v>862</v>
      </c>
      <c r="J562" s="103" t="s">
        <v>863</v>
      </c>
      <c r="K562" s="103" t="s">
        <v>864</v>
      </c>
      <c r="L562" s="103" t="s">
        <v>153</v>
      </c>
      <c r="M562" s="103" t="s">
        <v>865</v>
      </c>
      <c r="N562" s="103" t="s">
        <v>866</v>
      </c>
      <c r="O562" s="103" t="str">
        <f t="shared" si="22"/>
        <v/>
      </c>
      <c r="P562" s="103" t="s">
        <v>153</v>
      </c>
      <c r="Q562" s="103" t="s">
        <v>153</v>
      </c>
      <c r="R562" s="103" t="s">
        <v>153</v>
      </c>
      <c r="S562" s="103" t="str">
        <f>INDEX('Measure &amp; Standard CostIDs'!$AK$8:$AK$12,B562)</f>
        <v>Single-pack</v>
      </c>
      <c r="T562" s="103" t="s">
        <v>867</v>
      </c>
      <c r="U562" s="103"/>
      <c r="V562" s="103"/>
      <c r="W562" s="103">
        <f>ROUND(IF(LEFT(D562,3)="Std",VLOOKUP(D562,'Measure &amp; Standard CostIDs'!$S$5:$X$177,1+B562,FALSE),VLOOKUP(D562,'Measure &amp; Standard CostIDs'!$C$5:$H$177,1+B562,FALSE)),2)</f>
        <v>7.96</v>
      </c>
      <c r="X562" s="103"/>
      <c r="Y562" s="103"/>
      <c r="Z562" s="103" t="s">
        <v>868</v>
      </c>
      <c r="AA562" s="103" t="s">
        <v>874</v>
      </c>
      <c r="AB562" s="103" t="s">
        <v>153</v>
      </c>
      <c r="AC562" s="103">
        <v>0</v>
      </c>
      <c r="AD562" s="156">
        <v>42005</v>
      </c>
      <c r="AE562" s="103"/>
      <c r="AF562" s="103" t="s">
        <v>870</v>
      </c>
      <c r="AG562" s="103" t="s">
        <v>871</v>
      </c>
      <c r="AH562" s="103" t="s">
        <v>976</v>
      </c>
      <c r="AI562" s="103">
        <v>0</v>
      </c>
      <c r="AJ562" s="103"/>
      <c r="AK562" s="103"/>
      <c r="AL562" s="103"/>
      <c r="AM562" s="103"/>
      <c r="AN562" s="103"/>
      <c r="AO562" s="103" t="str">
        <f t="shared" si="23"/>
        <v>Std_CFLscw-3way(32w)_60pInc-r0248Single-pack</v>
      </c>
    </row>
    <row r="563" spans="1:41">
      <c r="A563" s="177">
        <f>IFERROR(MATCH(D563,'Measure &amp; Standard CostIDs'!C$5:C$177,0),MATCH(D563,'Measure &amp; Standard CostIDs'!S$5:S$177,0))</f>
        <v>67</v>
      </c>
      <c r="B563" s="177">
        <f t="shared" si="24"/>
        <v>2</v>
      </c>
      <c r="C563" s="103" t="s">
        <v>153</v>
      </c>
      <c r="D563" s="103" t="str">
        <f t="shared" si="25"/>
        <v>Std_CFLscw-3way(33w)_60pInc-r0248</v>
      </c>
      <c r="E563" s="103" t="str">
        <f>IF(LEFT(D563,3)="Std","Base case cost for mix of 60% Incandescent and 40% CFL lamps for CFL TechID: "&amp;INDEX('Measure &amp; Standard CostIDs'!$C$5:$C$177,A563),"&lt;from TechID&gt;")</f>
        <v>Base case cost for mix of 60% Incandescent and 40% CFL lamps for CFL TechID: CFLscw-3way(33w)</v>
      </c>
      <c r="F563" s="103" t="s">
        <v>860</v>
      </c>
      <c r="G563" s="103" t="s">
        <v>151</v>
      </c>
      <c r="H563" s="103" t="s">
        <v>861</v>
      </c>
      <c r="I563" s="103" t="s">
        <v>862</v>
      </c>
      <c r="J563" s="103" t="s">
        <v>863</v>
      </c>
      <c r="K563" s="103" t="s">
        <v>864</v>
      </c>
      <c r="L563" s="103" t="s">
        <v>153</v>
      </c>
      <c r="M563" s="103" t="s">
        <v>865</v>
      </c>
      <c r="N563" s="103" t="s">
        <v>866</v>
      </c>
      <c r="O563" s="103" t="str">
        <f t="shared" si="22"/>
        <v/>
      </c>
      <c r="P563" s="103" t="s">
        <v>153</v>
      </c>
      <c r="Q563" s="103" t="s">
        <v>153</v>
      </c>
      <c r="R563" s="103" t="s">
        <v>153</v>
      </c>
      <c r="S563" s="103" t="str">
        <f>INDEX('Measure &amp; Standard CostIDs'!$AK$8:$AK$12,B563)</f>
        <v>Single-pack</v>
      </c>
      <c r="T563" s="103" t="s">
        <v>867</v>
      </c>
      <c r="U563" s="103"/>
      <c r="V563" s="103"/>
      <c r="W563" s="103">
        <f>ROUND(IF(LEFT(D563,3)="Std",VLOOKUP(D563,'Measure &amp; Standard CostIDs'!$S$5:$X$177,1+B563,FALSE),VLOOKUP(D563,'Measure &amp; Standard CostIDs'!$C$5:$H$177,1+B563,FALSE)),2)</f>
        <v>8.02</v>
      </c>
      <c r="X563" s="103"/>
      <c r="Y563" s="103"/>
      <c r="Z563" s="103" t="s">
        <v>868</v>
      </c>
      <c r="AA563" s="103" t="s">
        <v>874</v>
      </c>
      <c r="AB563" s="103" t="s">
        <v>153</v>
      </c>
      <c r="AC563" s="103">
        <v>0</v>
      </c>
      <c r="AD563" s="156">
        <v>42005</v>
      </c>
      <c r="AE563" s="103"/>
      <c r="AF563" s="103" t="s">
        <v>870</v>
      </c>
      <c r="AG563" s="103" t="s">
        <v>871</v>
      </c>
      <c r="AH563" s="103" t="s">
        <v>976</v>
      </c>
      <c r="AI563" s="103">
        <v>0</v>
      </c>
      <c r="AJ563" s="103"/>
      <c r="AK563" s="103"/>
      <c r="AL563" s="103"/>
      <c r="AM563" s="103"/>
      <c r="AN563" s="103"/>
      <c r="AO563" s="103" t="str">
        <f t="shared" si="23"/>
        <v>Std_CFLscw-3way(33w)_60pInc-r0248Single-pack</v>
      </c>
    </row>
    <row r="564" spans="1:41">
      <c r="A564" s="177">
        <f>IFERROR(MATCH(D564,'Measure &amp; Standard CostIDs'!C$5:C$177,0),MATCH(D564,'Measure &amp; Standard CostIDs'!S$5:S$177,0))</f>
        <v>68</v>
      </c>
      <c r="B564" s="177">
        <f t="shared" si="24"/>
        <v>2</v>
      </c>
      <c r="C564" s="103" t="s">
        <v>153</v>
      </c>
      <c r="D564" s="103" t="str">
        <f t="shared" si="25"/>
        <v>Std_CFLscw-3way(40w)_60pInc-r0248</v>
      </c>
      <c r="E564" s="103" t="str">
        <f>IF(LEFT(D564,3)="Std","Base case cost for mix of 60% Incandescent and 40% CFL lamps for CFL TechID: "&amp;INDEX('Measure &amp; Standard CostIDs'!$C$5:$C$177,A564),"&lt;from TechID&gt;")</f>
        <v>Base case cost for mix of 60% Incandescent and 40% CFL lamps for CFL TechID: CFLscw-3way(40w)</v>
      </c>
      <c r="F564" s="103" t="s">
        <v>860</v>
      </c>
      <c r="G564" s="103" t="s">
        <v>151</v>
      </c>
      <c r="H564" s="103" t="s">
        <v>861</v>
      </c>
      <c r="I564" s="103" t="s">
        <v>862</v>
      </c>
      <c r="J564" s="103" t="s">
        <v>863</v>
      </c>
      <c r="K564" s="103" t="s">
        <v>864</v>
      </c>
      <c r="L564" s="103" t="s">
        <v>153</v>
      </c>
      <c r="M564" s="103" t="s">
        <v>865</v>
      </c>
      <c r="N564" s="103" t="s">
        <v>866</v>
      </c>
      <c r="O564" s="103" t="str">
        <f t="shared" si="22"/>
        <v/>
      </c>
      <c r="P564" s="103" t="s">
        <v>153</v>
      </c>
      <c r="Q564" s="103" t="s">
        <v>153</v>
      </c>
      <c r="R564" s="103" t="s">
        <v>153</v>
      </c>
      <c r="S564" s="103" t="str">
        <f>INDEX('Measure &amp; Standard CostIDs'!$AK$8:$AK$12,B564)</f>
        <v>Single-pack</v>
      </c>
      <c r="T564" s="103" t="s">
        <v>867</v>
      </c>
      <c r="U564" s="103"/>
      <c r="V564" s="103"/>
      <c r="W564" s="103">
        <f>ROUND(IF(LEFT(D564,3)="Std",VLOOKUP(D564,'Measure &amp; Standard CostIDs'!$S$5:$X$177,1+B564,FALSE),VLOOKUP(D564,'Measure &amp; Standard CostIDs'!$C$5:$H$177,1+B564,FALSE)),2)</f>
        <v>8.48</v>
      </c>
      <c r="X564" s="103"/>
      <c r="Y564" s="103"/>
      <c r="Z564" s="103" t="s">
        <v>868</v>
      </c>
      <c r="AA564" s="103" t="s">
        <v>874</v>
      </c>
      <c r="AB564" s="103" t="s">
        <v>153</v>
      </c>
      <c r="AC564" s="103">
        <v>0</v>
      </c>
      <c r="AD564" s="156">
        <v>42005</v>
      </c>
      <c r="AE564" s="103"/>
      <c r="AF564" s="103" t="s">
        <v>870</v>
      </c>
      <c r="AG564" s="103" t="s">
        <v>871</v>
      </c>
      <c r="AH564" s="103" t="s">
        <v>976</v>
      </c>
      <c r="AI564" s="103">
        <v>0</v>
      </c>
      <c r="AJ564" s="103"/>
      <c r="AK564" s="103"/>
      <c r="AL564" s="103"/>
      <c r="AM564" s="103"/>
      <c r="AN564" s="103"/>
      <c r="AO564" s="103" t="str">
        <f t="shared" si="23"/>
        <v>Std_CFLscw-3way(40w)_60pInc-r0248Single-pack</v>
      </c>
    </row>
    <row r="565" spans="1:41">
      <c r="A565" s="177">
        <f>IFERROR(MATCH(D565,'Measure &amp; Standard CostIDs'!C$5:C$177,0),MATCH(D565,'Measure &amp; Standard CostIDs'!S$5:S$177,0))</f>
        <v>69</v>
      </c>
      <c r="B565" s="177">
        <f t="shared" si="24"/>
        <v>2</v>
      </c>
      <c r="C565" s="103" t="s">
        <v>153</v>
      </c>
      <c r="D565" s="103" t="str">
        <f t="shared" si="25"/>
        <v>Std_CFLscw-3way(42w)_60pInc-r0248</v>
      </c>
      <c r="E565" s="103" t="str">
        <f>IF(LEFT(D565,3)="Std","Base case cost for mix of 60% Incandescent and 40% CFL lamps for CFL TechID: "&amp;INDEX('Measure &amp; Standard CostIDs'!$C$5:$C$177,A565),"&lt;from TechID&gt;")</f>
        <v>Base case cost for mix of 60% Incandescent and 40% CFL lamps for CFL TechID: CFLscw-3way(42w)</v>
      </c>
      <c r="F565" s="103" t="s">
        <v>860</v>
      </c>
      <c r="G565" s="103" t="s">
        <v>151</v>
      </c>
      <c r="H565" s="103" t="s">
        <v>861</v>
      </c>
      <c r="I565" s="103" t="s">
        <v>862</v>
      </c>
      <c r="J565" s="103" t="s">
        <v>863</v>
      </c>
      <c r="K565" s="103" t="s">
        <v>864</v>
      </c>
      <c r="L565" s="103" t="s">
        <v>153</v>
      </c>
      <c r="M565" s="103" t="s">
        <v>865</v>
      </c>
      <c r="N565" s="103" t="s">
        <v>866</v>
      </c>
      <c r="O565" s="103" t="str">
        <f t="shared" si="22"/>
        <v/>
      </c>
      <c r="P565" s="103" t="s">
        <v>153</v>
      </c>
      <c r="Q565" s="103" t="s">
        <v>153</v>
      </c>
      <c r="R565" s="103" t="s">
        <v>153</v>
      </c>
      <c r="S565" s="103" t="str">
        <f>INDEX('Measure &amp; Standard CostIDs'!$AK$8:$AK$12,B565)</f>
        <v>Single-pack</v>
      </c>
      <c r="T565" s="103" t="s">
        <v>867</v>
      </c>
      <c r="U565" s="103"/>
      <c r="V565" s="103"/>
      <c r="W565" s="103">
        <f>ROUND(IF(LEFT(D565,3)="Std",VLOOKUP(D565,'Measure &amp; Standard CostIDs'!$S$5:$X$177,1+B565,FALSE),VLOOKUP(D565,'Measure &amp; Standard CostIDs'!$C$5:$H$177,1+B565,FALSE)),2)</f>
        <v>8.61</v>
      </c>
      <c r="X565" s="103"/>
      <c r="Y565" s="103"/>
      <c r="Z565" s="103" t="s">
        <v>868</v>
      </c>
      <c r="AA565" s="103" t="s">
        <v>874</v>
      </c>
      <c r="AB565" s="103" t="s">
        <v>153</v>
      </c>
      <c r="AC565" s="103">
        <v>0</v>
      </c>
      <c r="AD565" s="156">
        <v>42005</v>
      </c>
      <c r="AE565" s="103"/>
      <c r="AF565" s="103" t="s">
        <v>870</v>
      </c>
      <c r="AG565" s="103" t="s">
        <v>871</v>
      </c>
      <c r="AH565" s="103" t="s">
        <v>976</v>
      </c>
      <c r="AI565" s="103">
        <v>0</v>
      </c>
      <c r="AJ565" s="103"/>
      <c r="AK565" s="103"/>
      <c r="AL565" s="103"/>
      <c r="AM565" s="103"/>
      <c r="AN565" s="103"/>
      <c r="AO565" s="103" t="str">
        <f t="shared" si="23"/>
        <v>Std_CFLscw-3way(42w)_60pInc-r0248Single-pack</v>
      </c>
    </row>
    <row r="566" spans="1:41">
      <c r="A566" s="177">
        <f>IFERROR(MATCH(D566,'Measure &amp; Standard CostIDs'!C$5:C$177,0),MATCH(D566,'Measure &amp; Standard CostIDs'!S$5:S$177,0))</f>
        <v>70</v>
      </c>
      <c r="B566" s="177">
        <f t="shared" si="24"/>
        <v>2</v>
      </c>
      <c r="C566" s="103" t="s">
        <v>153</v>
      </c>
      <c r="D566" s="103" t="str">
        <f t="shared" si="25"/>
        <v>Std_CFLscw-A(10w)_60pInc-r0248</v>
      </c>
      <c r="E566" s="103" t="str">
        <f>IF(LEFT(D566,3)="Std","Base case cost for mix of 60% Incandescent and 40% CFL lamps for CFL TechID: "&amp;INDEX('Measure &amp; Standard CostIDs'!$C$5:$C$177,A566),"&lt;from TechID&gt;")</f>
        <v>Base case cost for mix of 60% Incandescent and 40% CFL lamps for CFL TechID: CFLscw-A(10w)</v>
      </c>
      <c r="F566" s="103" t="s">
        <v>860</v>
      </c>
      <c r="G566" s="103" t="s">
        <v>151</v>
      </c>
      <c r="H566" s="103" t="s">
        <v>861</v>
      </c>
      <c r="I566" s="103" t="s">
        <v>862</v>
      </c>
      <c r="J566" s="103" t="s">
        <v>863</v>
      </c>
      <c r="K566" s="103" t="s">
        <v>864</v>
      </c>
      <c r="L566" s="103" t="s">
        <v>153</v>
      </c>
      <c r="M566" s="103" t="s">
        <v>865</v>
      </c>
      <c r="N566" s="103" t="s">
        <v>866</v>
      </c>
      <c r="O566" s="103" t="str">
        <f t="shared" si="22"/>
        <v/>
      </c>
      <c r="P566" s="103" t="s">
        <v>153</v>
      </c>
      <c r="Q566" s="103" t="s">
        <v>153</v>
      </c>
      <c r="R566" s="103" t="s">
        <v>153</v>
      </c>
      <c r="S566" s="103" t="str">
        <f>INDEX('Measure &amp; Standard CostIDs'!$AK$8:$AK$12,B566)</f>
        <v>Single-pack</v>
      </c>
      <c r="T566" s="103" t="s">
        <v>867</v>
      </c>
      <c r="U566" s="103"/>
      <c r="V566" s="103"/>
      <c r="W566" s="103">
        <f>ROUND(IF(LEFT(D566,3)="Std",VLOOKUP(D566,'Measure &amp; Standard CostIDs'!$S$5:$X$177,1+B566,FALSE),VLOOKUP(D566,'Measure &amp; Standard CostIDs'!$C$5:$H$177,1+B566,FALSE)),2)</f>
        <v>4.6399999999999997</v>
      </c>
      <c r="X566" s="103"/>
      <c r="Y566" s="103"/>
      <c r="Z566" s="103" t="s">
        <v>868</v>
      </c>
      <c r="AA566" s="103" t="s">
        <v>874</v>
      </c>
      <c r="AB566" s="103" t="s">
        <v>153</v>
      </c>
      <c r="AC566" s="103">
        <v>0</v>
      </c>
      <c r="AD566" s="156">
        <v>42005</v>
      </c>
      <c r="AE566" s="103"/>
      <c r="AF566" s="103" t="s">
        <v>870</v>
      </c>
      <c r="AG566" s="103" t="s">
        <v>871</v>
      </c>
      <c r="AH566" s="103" t="s">
        <v>976</v>
      </c>
      <c r="AI566" s="103">
        <v>0</v>
      </c>
      <c r="AJ566" s="103"/>
      <c r="AK566" s="103"/>
      <c r="AL566" s="103"/>
      <c r="AM566" s="103"/>
      <c r="AN566" s="103"/>
      <c r="AO566" s="103" t="str">
        <f t="shared" si="23"/>
        <v>Std_CFLscw-A(10w)_60pInc-r0248Single-pack</v>
      </c>
    </row>
    <row r="567" spans="1:41">
      <c r="A567" s="177">
        <f>IFERROR(MATCH(D567,'Measure &amp; Standard CostIDs'!C$5:C$177,0),MATCH(D567,'Measure &amp; Standard CostIDs'!S$5:S$177,0))</f>
        <v>71</v>
      </c>
      <c r="B567" s="177">
        <f t="shared" si="24"/>
        <v>2</v>
      </c>
      <c r="C567" s="103" t="s">
        <v>153</v>
      </c>
      <c r="D567" s="103" t="str">
        <f t="shared" si="25"/>
        <v>Std_CFLscw-A(11w)_60pInc-r0248</v>
      </c>
      <c r="E567" s="103" t="str">
        <f>IF(LEFT(D567,3)="Std","Base case cost for mix of 60% Incandescent and 40% CFL lamps for CFL TechID: "&amp;INDEX('Measure &amp; Standard CostIDs'!$C$5:$C$177,A567),"&lt;from TechID&gt;")</f>
        <v>Base case cost for mix of 60% Incandescent and 40% CFL lamps for CFL TechID: CFLscw-A(11w)</v>
      </c>
      <c r="F567" s="103" t="s">
        <v>860</v>
      </c>
      <c r="G567" s="103" t="s">
        <v>151</v>
      </c>
      <c r="H567" s="103" t="s">
        <v>861</v>
      </c>
      <c r="I567" s="103" t="s">
        <v>862</v>
      </c>
      <c r="J567" s="103" t="s">
        <v>863</v>
      </c>
      <c r="K567" s="103" t="s">
        <v>864</v>
      </c>
      <c r="L567" s="103" t="s">
        <v>153</v>
      </c>
      <c r="M567" s="103" t="s">
        <v>865</v>
      </c>
      <c r="N567" s="103" t="s">
        <v>866</v>
      </c>
      <c r="O567" s="103" t="str">
        <f t="shared" si="22"/>
        <v/>
      </c>
      <c r="P567" s="103" t="s">
        <v>153</v>
      </c>
      <c r="Q567" s="103" t="s">
        <v>153</v>
      </c>
      <c r="R567" s="103" t="s">
        <v>153</v>
      </c>
      <c r="S567" s="103" t="str">
        <f>INDEX('Measure &amp; Standard CostIDs'!$AK$8:$AK$12,B567)</f>
        <v>Single-pack</v>
      </c>
      <c r="T567" s="103" t="s">
        <v>867</v>
      </c>
      <c r="U567" s="103"/>
      <c r="V567" s="103"/>
      <c r="W567" s="103">
        <f>ROUND(IF(LEFT(D567,3)="Std",VLOOKUP(D567,'Measure &amp; Standard CostIDs'!$S$5:$X$177,1+B567,FALSE),VLOOKUP(D567,'Measure &amp; Standard CostIDs'!$C$5:$H$177,1+B567,FALSE)),2)</f>
        <v>4.68</v>
      </c>
      <c r="X567" s="103"/>
      <c r="Y567" s="103"/>
      <c r="Z567" s="103" t="s">
        <v>868</v>
      </c>
      <c r="AA567" s="103" t="s">
        <v>874</v>
      </c>
      <c r="AB567" s="103" t="s">
        <v>153</v>
      </c>
      <c r="AC567" s="103">
        <v>0</v>
      </c>
      <c r="AD567" s="156">
        <v>42005</v>
      </c>
      <c r="AE567" s="103"/>
      <c r="AF567" s="103" t="s">
        <v>870</v>
      </c>
      <c r="AG567" s="103" t="s">
        <v>871</v>
      </c>
      <c r="AH567" s="103" t="s">
        <v>976</v>
      </c>
      <c r="AI567" s="103">
        <v>0</v>
      </c>
      <c r="AJ567" s="103"/>
      <c r="AK567" s="103"/>
      <c r="AL567" s="103"/>
      <c r="AM567" s="103"/>
      <c r="AN567" s="103"/>
      <c r="AO567" s="103" t="str">
        <f t="shared" si="23"/>
        <v>Std_CFLscw-A(11w)_60pInc-r0248Single-pack</v>
      </c>
    </row>
    <row r="568" spans="1:41">
      <c r="A568" s="177">
        <f>IFERROR(MATCH(D568,'Measure &amp; Standard CostIDs'!C$5:C$177,0),MATCH(D568,'Measure &amp; Standard CostIDs'!S$5:S$177,0))</f>
        <v>72</v>
      </c>
      <c r="B568" s="177">
        <f t="shared" si="24"/>
        <v>2</v>
      </c>
      <c r="C568" s="103" t="s">
        <v>153</v>
      </c>
      <c r="D568" s="103" t="str">
        <f t="shared" si="25"/>
        <v>Std_CFLscw-A(12w)_60pInc-r0248</v>
      </c>
      <c r="E568" s="103" t="str">
        <f>IF(LEFT(D568,3)="Std","Base case cost for mix of 60% Incandescent and 40% CFL lamps for CFL TechID: "&amp;INDEX('Measure &amp; Standard CostIDs'!$C$5:$C$177,A568),"&lt;from TechID&gt;")</f>
        <v>Base case cost for mix of 60% Incandescent and 40% CFL lamps for CFL TechID: CFLscw-A(12w)</v>
      </c>
      <c r="F568" s="103" t="s">
        <v>860</v>
      </c>
      <c r="G568" s="103" t="s">
        <v>151</v>
      </c>
      <c r="H568" s="103" t="s">
        <v>861</v>
      </c>
      <c r="I568" s="103" t="s">
        <v>862</v>
      </c>
      <c r="J568" s="103" t="s">
        <v>863</v>
      </c>
      <c r="K568" s="103" t="s">
        <v>864</v>
      </c>
      <c r="L568" s="103" t="s">
        <v>153</v>
      </c>
      <c r="M568" s="103" t="s">
        <v>865</v>
      </c>
      <c r="N568" s="103" t="s">
        <v>866</v>
      </c>
      <c r="O568" s="103" t="str">
        <f t="shared" si="22"/>
        <v/>
      </c>
      <c r="P568" s="103" t="s">
        <v>153</v>
      </c>
      <c r="Q568" s="103" t="s">
        <v>153</v>
      </c>
      <c r="R568" s="103" t="s">
        <v>153</v>
      </c>
      <c r="S568" s="103" t="str">
        <f>INDEX('Measure &amp; Standard CostIDs'!$AK$8:$AK$12,B568)</f>
        <v>Single-pack</v>
      </c>
      <c r="T568" s="103" t="s">
        <v>867</v>
      </c>
      <c r="U568" s="103"/>
      <c r="V568" s="103"/>
      <c r="W568" s="103">
        <f>ROUND(IF(LEFT(D568,3)="Std",VLOOKUP(D568,'Measure &amp; Standard CostIDs'!$S$5:$X$177,1+B568,FALSE),VLOOKUP(D568,'Measure &amp; Standard CostIDs'!$C$5:$H$177,1+B568,FALSE)),2)</f>
        <v>4.7300000000000004</v>
      </c>
      <c r="X568" s="103"/>
      <c r="Y568" s="103"/>
      <c r="Z568" s="103" t="s">
        <v>868</v>
      </c>
      <c r="AA568" s="103" t="s">
        <v>874</v>
      </c>
      <c r="AB568" s="103" t="s">
        <v>153</v>
      </c>
      <c r="AC568" s="103">
        <v>0</v>
      </c>
      <c r="AD568" s="156">
        <v>42005</v>
      </c>
      <c r="AE568" s="103"/>
      <c r="AF568" s="103" t="s">
        <v>870</v>
      </c>
      <c r="AG568" s="103" t="s">
        <v>871</v>
      </c>
      <c r="AH568" s="103" t="s">
        <v>976</v>
      </c>
      <c r="AI568" s="103">
        <v>0</v>
      </c>
      <c r="AJ568" s="103"/>
      <c r="AK568" s="103"/>
      <c r="AL568" s="103"/>
      <c r="AM568" s="103"/>
      <c r="AN568" s="103"/>
      <c r="AO568" s="103" t="str">
        <f t="shared" si="23"/>
        <v>Std_CFLscw-A(12w)_60pInc-r0248Single-pack</v>
      </c>
    </row>
    <row r="569" spans="1:41">
      <c r="A569" s="177">
        <f>IFERROR(MATCH(D569,'Measure &amp; Standard CostIDs'!C$5:C$177,0),MATCH(D569,'Measure &amp; Standard CostIDs'!S$5:S$177,0))</f>
        <v>73</v>
      </c>
      <c r="B569" s="177">
        <f t="shared" si="24"/>
        <v>2</v>
      </c>
      <c r="C569" s="103" t="s">
        <v>153</v>
      </c>
      <c r="D569" s="103" t="str">
        <f t="shared" si="25"/>
        <v>Std_CFLscw-A(13w)_60pInc-r0248</v>
      </c>
      <c r="E569" s="103" t="str">
        <f>IF(LEFT(D569,3)="Std","Base case cost for mix of 60% Incandescent and 40% CFL lamps for CFL TechID: "&amp;INDEX('Measure &amp; Standard CostIDs'!$C$5:$C$177,A569),"&lt;from TechID&gt;")</f>
        <v>Base case cost for mix of 60% Incandescent and 40% CFL lamps for CFL TechID: CFLscw-A(13w)</v>
      </c>
      <c r="F569" s="103" t="s">
        <v>860</v>
      </c>
      <c r="G569" s="103" t="s">
        <v>151</v>
      </c>
      <c r="H569" s="103" t="s">
        <v>861</v>
      </c>
      <c r="I569" s="103" t="s">
        <v>862</v>
      </c>
      <c r="J569" s="103" t="s">
        <v>863</v>
      </c>
      <c r="K569" s="103" t="s">
        <v>864</v>
      </c>
      <c r="L569" s="103" t="s">
        <v>153</v>
      </c>
      <c r="M569" s="103" t="s">
        <v>865</v>
      </c>
      <c r="N569" s="103" t="s">
        <v>866</v>
      </c>
      <c r="O569" s="103" t="str">
        <f t="shared" si="22"/>
        <v/>
      </c>
      <c r="P569" s="103" t="s">
        <v>153</v>
      </c>
      <c r="Q569" s="103" t="s">
        <v>153</v>
      </c>
      <c r="R569" s="103" t="s">
        <v>153</v>
      </c>
      <c r="S569" s="103" t="str">
        <f>INDEX('Measure &amp; Standard CostIDs'!$AK$8:$AK$12,B569)</f>
        <v>Single-pack</v>
      </c>
      <c r="T569" s="103" t="s">
        <v>867</v>
      </c>
      <c r="U569" s="103"/>
      <c r="V569" s="103"/>
      <c r="W569" s="103">
        <f>ROUND(IF(LEFT(D569,3)="Std",VLOOKUP(D569,'Measure &amp; Standard CostIDs'!$S$5:$X$177,1+B569,FALSE),VLOOKUP(D569,'Measure &amp; Standard CostIDs'!$C$5:$H$177,1+B569,FALSE)),2)</f>
        <v>4.7699999999999996</v>
      </c>
      <c r="X569" s="103"/>
      <c r="Y569" s="103"/>
      <c r="Z569" s="103" t="s">
        <v>868</v>
      </c>
      <c r="AA569" s="103" t="s">
        <v>874</v>
      </c>
      <c r="AB569" s="103" t="s">
        <v>153</v>
      </c>
      <c r="AC569" s="103">
        <v>0</v>
      </c>
      <c r="AD569" s="156">
        <v>42005</v>
      </c>
      <c r="AE569" s="103"/>
      <c r="AF569" s="103" t="s">
        <v>870</v>
      </c>
      <c r="AG569" s="103" t="s">
        <v>871</v>
      </c>
      <c r="AH569" s="103" t="s">
        <v>976</v>
      </c>
      <c r="AI569" s="103">
        <v>0</v>
      </c>
      <c r="AJ569" s="103"/>
      <c r="AK569" s="103"/>
      <c r="AL569" s="103"/>
      <c r="AM569" s="103"/>
      <c r="AN569" s="103"/>
      <c r="AO569" s="103" t="str">
        <f t="shared" si="23"/>
        <v>Std_CFLscw-A(13w)_60pInc-r0248Single-pack</v>
      </c>
    </row>
    <row r="570" spans="1:41">
      <c r="A570" s="177">
        <f>IFERROR(MATCH(D570,'Measure &amp; Standard CostIDs'!C$5:C$177,0),MATCH(D570,'Measure &amp; Standard CostIDs'!S$5:S$177,0))</f>
        <v>74</v>
      </c>
      <c r="B570" s="177">
        <f t="shared" si="24"/>
        <v>2</v>
      </c>
      <c r="C570" s="103" t="s">
        <v>153</v>
      </c>
      <c r="D570" s="103" t="str">
        <f t="shared" si="25"/>
        <v>Std_CFLscw-A(14w)_60pInc-r0248</v>
      </c>
      <c r="E570" s="103" t="str">
        <f>IF(LEFT(D570,3)="Std","Base case cost for mix of 60% Incandescent and 40% CFL lamps for CFL TechID: "&amp;INDEX('Measure &amp; Standard CostIDs'!$C$5:$C$177,A570),"&lt;from TechID&gt;")</f>
        <v>Base case cost for mix of 60% Incandescent and 40% CFL lamps for CFL TechID: CFLscw-A(14w)</v>
      </c>
      <c r="F570" s="103" t="s">
        <v>860</v>
      </c>
      <c r="G570" s="103" t="s">
        <v>151</v>
      </c>
      <c r="H570" s="103" t="s">
        <v>861</v>
      </c>
      <c r="I570" s="103" t="s">
        <v>862</v>
      </c>
      <c r="J570" s="103" t="s">
        <v>863</v>
      </c>
      <c r="K570" s="103" t="s">
        <v>864</v>
      </c>
      <c r="L570" s="103" t="s">
        <v>153</v>
      </c>
      <c r="M570" s="103" t="s">
        <v>865</v>
      </c>
      <c r="N570" s="103" t="s">
        <v>866</v>
      </c>
      <c r="O570" s="103" t="str">
        <f t="shared" si="22"/>
        <v/>
      </c>
      <c r="P570" s="103" t="s">
        <v>153</v>
      </c>
      <c r="Q570" s="103" t="s">
        <v>153</v>
      </c>
      <c r="R570" s="103" t="s">
        <v>153</v>
      </c>
      <c r="S570" s="103" t="str">
        <f>INDEX('Measure &amp; Standard CostIDs'!$AK$8:$AK$12,B570)</f>
        <v>Single-pack</v>
      </c>
      <c r="T570" s="103" t="s">
        <v>867</v>
      </c>
      <c r="U570" s="103"/>
      <c r="V570" s="103"/>
      <c r="W570" s="103">
        <f>ROUND(IF(LEFT(D570,3)="Std",VLOOKUP(D570,'Measure &amp; Standard CostIDs'!$S$5:$X$177,1+B570,FALSE),VLOOKUP(D570,'Measure &amp; Standard CostIDs'!$C$5:$H$177,1+B570,FALSE)),2)</f>
        <v>4.82</v>
      </c>
      <c r="X570" s="103"/>
      <c r="Y570" s="103"/>
      <c r="Z570" s="103" t="s">
        <v>868</v>
      </c>
      <c r="AA570" s="103" t="s">
        <v>874</v>
      </c>
      <c r="AB570" s="103" t="s">
        <v>153</v>
      </c>
      <c r="AC570" s="103">
        <v>0</v>
      </c>
      <c r="AD570" s="156">
        <v>42005</v>
      </c>
      <c r="AE570" s="103"/>
      <c r="AF570" s="103" t="s">
        <v>870</v>
      </c>
      <c r="AG570" s="103" t="s">
        <v>871</v>
      </c>
      <c r="AH570" s="103" t="s">
        <v>976</v>
      </c>
      <c r="AI570" s="103">
        <v>0</v>
      </c>
      <c r="AJ570" s="103"/>
      <c r="AK570" s="103"/>
      <c r="AL570" s="103"/>
      <c r="AM570" s="103"/>
      <c r="AN570" s="103"/>
      <c r="AO570" s="103" t="str">
        <f t="shared" si="23"/>
        <v>Std_CFLscw-A(14w)_60pInc-r0248Single-pack</v>
      </c>
    </row>
    <row r="571" spans="1:41">
      <c r="A571" s="177">
        <f>IFERROR(MATCH(D571,'Measure &amp; Standard CostIDs'!C$5:C$177,0),MATCH(D571,'Measure &amp; Standard CostIDs'!S$5:S$177,0))</f>
        <v>75</v>
      </c>
      <c r="B571" s="177">
        <f t="shared" si="24"/>
        <v>2</v>
      </c>
      <c r="C571" s="103" t="s">
        <v>153</v>
      </c>
      <c r="D571" s="103" t="str">
        <f t="shared" si="25"/>
        <v>Std_CFLscw-A(15w)_60pInc-r0248</v>
      </c>
      <c r="E571" s="103" t="str">
        <f>IF(LEFT(D571,3)="Std","Base case cost for mix of 60% Incandescent and 40% CFL lamps for CFL TechID: "&amp;INDEX('Measure &amp; Standard CostIDs'!$C$5:$C$177,A571),"&lt;from TechID&gt;")</f>
        <v>Base case cost for mix of 60% Incandescent and 40% CFL lamps for CFL TechID: CFLscw-A(15w)</v>
      </c>
      <c r="F571" s="103" t="s">
        <v>860</v>
      </c>
      <c r="G571" s="103" t="s">
        <v>151</v>
      </c>
      <c r="H571" s="103" t="s">
        <v>861</v>
      </c>
      <c r="I571" s="103" t="s">
        <v>862</v>
      </c>
      <c r="J571" s="103" t="s">
        <v>863</v>
      </c>
      <c r="K571" s="103" t="s">
        <v>864</v>
      </c>
      <c r="L571" s="103" t="s">
        <v>153</v>
      </c>
      <c r="M571" s="103" t="s">
        <v>865</v>
      </c>
      <c r="N571" s="103" t="s">
        <v>866</v>
      </c>
      <c r="O571" s="103" t="str">
        <f t="shared" si="22"/>
        <v/>
      </c>
      <c r="P571" s="103" t="s">
        <v>153</v>
      </c>
      <c r="Q571" s="103" t="s">
        <v>153</v>
      </c>
      <c r="R571" s="103" t="s">
        <v>153</v>
      </c>
      <c r="S571" s="103" t="str">
        <f>INDEX('Measure &amp; Standard CostIDs'!$AK$8:$AK$12,B571)</f>
        <v>Single-pack</v>
      </c>
      <c r="T571" s="103" t="s">
        <v>867</v>
      </c>
      <c r="U571" s="103"/>
      <c r="V571" s="103"/>
      <c r="W571" s="103">
        <f>ROUND(IF(LEFT(D571,3)="Std",VLOOKUP(D571,'Measure &amp; Standard CostIDs'!$S$5:$X$177,1+B571,FALSE),VLOOKUP(D571,'Measure &amp; Standard CostIDs'!$C$5:$H$177,1+B571,FALSE)),2)</f>
        <v>4.87</v>
      </c>
      <c r="X571" s="103"/>
      <c r="Y571" s="103"/>
      <c r="Z571" s="103" t="s">
        <v>868</v>
      </c>
      <c r="AA571" s="103" t="s">
        <v>874</v>
      </c>
      <c r="AB571" s="103" t="s">
        <v>153</v>
      </c>
      <c r="AC571" s="103">
        <v>0</v>
      </c>
      <c r="AD571" s="156">
        <v>42005</v>
      </c>
      <c r="AE571" s="103"/>
      <c r="AF571" s="103" t="s">
        <v>870</v>
      </c>
      <c r="AG571" s="103" t="s">
        <v>871</v>
      </c>
      <c r="AH571" s="103" t="s">
        <v>976</v>
      </c>
      <c r="AI571" s="103">
        <v>0</v>
      </c>
      <c r="AJ571" s="103"/>
      <c r="AK571" s="103"/>
      <c r="AL571" s="103"/>
      <c r="AM571" s="103"/>
      <c r="AN571" s="103"/>
      <c r="AO571" s="103" t="str">
        <f t="shared" si="23"/>
        <v>Std_CFLscw-A(15w)_60pInc-r0248Single-pack</v>
      </c>
    </row>
    <row r="572" spans="1:41">
      <c r="A572" s="177">
        <f>IFERROR(MATCH(D572,'Measure &amp; Standard CostIDs'!C$5:C$177,0),MATCH(D572,'Measure &amp; Standard CostIDs'!S$5:S$177,0))</f>
        <v>76</v>
      </c>
      <c r="B572" s="177">
        <f t="shared" si="24"/>
        <v>2</v>
      </c>
      <c r="C572" s="103" t="s">
        <v>153</v>
      </c>
      <c r="D572" s="103" t="str">
        <f t="shared" si="25"/>
        <v>Std_CFLscw-A(16w)_60pInc-r0248</v>
      </c>
      <c r="E572" s="103" t="str">
        <f>IF(LEFT(D572,3)="Std","Base case cost for mix of 60% Incandescent and 40% CFL lamps for CFL TechID: "&amp;INDEX('Measure &amp; Standard CostIDs'!$C$5:$C$177,A572),"&lt;from TechID&gt;")</f>
        <v>Base case cost for mix of 60% Incandescent and 40% CFL lamps for CFL TechID: CFLscw-A(16w)</v>
      </c>
      <c r="F572" s="103" t="s">
        <v>860</v>
      </c>
      <c r="G572" s="103" t="s">
        <v>151</v>
      </c>
      <c r="H572" s="103" t="s">
        <v>861</v>
      </c>
      <c r="I572" s="103" t="s">
        <v>862</v>
      </c>
      <c r="J572" s="103" t="s">
        <v>863</v>
      </c>
      <c r="K572" s="103" t="s">
        <v>864</v>
      </c>
      <c r="L572" s="103" t="s">
        <v>153</v>
      </c>
      <c r="M572" s="103" t="s">
        <v>865</v>
      </c>
      <c r="N572" s="103" t="s">
        <v>866</v>
      </c>
      <c r="O572" s="103" t="str">
        <f t="shared" si="22"/>
        <v/>
      </c>
      <c r="P572" s="103" t="s">
        <v>153</v>
      </c>
      <c r="Q572" s="103" t="s">
        <v>153</v>
      </c>
      <c r="R572" s="103" t="s">
        <v>153</v>
      </c>
      <c r="S572" s="103" t="str">
        <f>INDEX('Measure &amp; Standard CostIDs'!$AK$8:$AK$12,B572)</f>
        <v>Single-pack</v>
      </c>
      <c r="T572" s="103" t="s">
        <v>867</v>
      </c>
      <c r="U572" s="103"/>
      <c r="V572" s="103"/>
      <c r="W572" s="103">
        <f>ROUND(IF(LEFT(D572,3)="Std",VLOOKUP(D572,'Measure &amp; Standard CostIDs'!$S$5:$X$177,1+B572,FALSE),VLOOKUP(D572,'Measure &amp; Standard CostIDs'!$C$5:$H$177,1+B572,FALSE)),2)</f>
        <v>4.92</v>
      </c>
      <c r="X572" s="103"/>
      <c r="Y572" s="103"/>
      <c r="Z572" s="103" t="s">
        <v>868</v>
      </c>
      <c r="AA572" s="103" t="s">
        <v>874</v>
      </c>
      <c r="AB572" s="103" t="s">
        <v>153</v>
      </c>
      <c r="AC572" s="103">
        <v>0</v>
      </c>
      <c r="AD572" s="156">
        <v>42005</v>
      </c>
      <c r="AE572" s="103"/>
      <c r="AF572" s="103" t="s">
        <v>870</v>
      </c>
      <c r="AG572" s="103" t="s">
        <v>871</v>
      </c>
      <c r="AH572" s="103" t="s">
        <v>976</v>
      </c>
      <c r="AI572" s="103">
        <v>0</v>
      </c>
      <c r="AJ572" s="103"/>
      <c r="AK572" s="103"/>
      <c r="AL572" s="103"/>
      <c r="AM572" s="103"/>
      <c r="AN572" s="103"/>
      <c r="AO572" s="103" t="str">
        <f t="shared" si="23"/>
        <v>Std_CFLscw-A(16w)_60pInc-r0248Single-pack</v>
      </c>
    </row>
    <row r="573" spans="1:41">
      <c r="A573" s="177">
        <f>IFERROR(MATCH(D573,'Measure &amp; Standard CostIDs'!C$5:C$177,0),MATCH(D573,'Measure &amp; Standard CostIDs'!S$5:S$177,0))</f>
        <v>77</v>
      </c>
      <c r="B573" s="177">
        <f t="shared" si="24"/>
        <v>2</v>
      </c>
      <c r="C573" s="103" t="s">
        <v>153</v>
      </c>
      <c r="D573" s="103" t="str">
        <f t="shared" si="25"/>
        <v>Std_CFLscw-A(18w)_60pInc-r0248</v>
      </c>
      <c r="E573" s="103" t="str">
        <f>IF(LEFT(D573,3)="Std","Base case cost for mix of 60% Incandescent and 40% CFL lamps for CFL TechID: "&amp;INDEX('Measure &amp; Standard CostIDs'!$C$5:$C$177,A573),"&lt;from TechID&gt;")</f>
        <v>Base case cost for mix of 60% Incandescent and 40% CFL lamps for CFL TechID: CFLscw-A(18w)</v>
      </c>
      <c r="F573" s="103" t="s">
        <v>860</v>
      </c>
      <c r="G573" s="103" t="s">
        <v>151</v>
      </c>
      <c r="H573" s="103" t="s">
        <v>861</v>
      </c>
      <c r="I573" s="103" t="s">
        <v>862</v>
      </c>
      <c r="J573" s="103" t="s">
        <v>863</v>
      </c>
      <c r="K573" s="103" t="s">
        <v>864</v>
      </c>
      <c r="L573" s="103" t="s">
        <v>153</v>
      </c>
      <c r="M573" s="103" t="s">
        <v>865</v>
      </c>
      <c r="N573" s="103" t="s">
        <v>866</v>
      </c>
      <c r="O573" s="103" t="str">
        <f t="shared" si="22"/>
        <v/>
      </c>
      <c r="P573" s="103" t="s">
        <v>153</v>
      </c>
      <c r="Q573" s="103" t="s">
        <v>153</v>
      </c>
      <c r="R573" s="103" t="s">
        <v>153</v>
      </c>
      <c r="S573" s="103" t="str">
        <f>INDEX('Measure &amp; Standard CostIDs'!$AK$8:$AK$12,B573)</f>
        <v>Single-pack</v>
      </c>
      <c r="T573" s="103" t="s">
        <v>867</v>
      </c>
      <c r="U573" s="103"/>
      <c r="V573" s="103"/>
      <c r="W573" s="103">
        <f>ROUND(IF(LEFT(D573,3)="Std",VLOOKUP(D573,'Measure &amp; Standard CostIDs'!$S$5:$X$177,1+B573,FALSE),VLOOKUP(D573,'Measure &amp; Standard CostIDs'!$C$5:$H$177,1+B573,FALSE)),2)</f>
        <v>5</v>
      </c>
      <c r="X573" s="103"/>
      <c r="Y573" s="103"/>
      <c r="Z573" s="103" t="s">
        <v>868</v>
      </c>
      <c r="AA573" s="103" t="s">
        <v>874</v>
      </c>
      <c r="AB573" s="103" t="s">
        <v>153</v>
      </c>
      <c r="AC573" s="103">
        <v>0</v>
      </c>
      <c r="AD573" s="156">
        <v>42005</v>
      </c>
      <c r="AE573" s="103"/>
      <c r="AF573" s="103" t="s">
        <v>870</v>
      </c>
      <c r="AG573" s="103" t="s">
        <v>871</v>
      </c>
      <c r="AH573" s="103" t="s">
        <v>976</v>
      </c>
      <c r="AI573" s="103">
        <v>0</v>
      </c>
      <c r="AJ573" s="103"/>
      <c r="AK573" s="103"/>
      <c r="AL573" s="103"/>
      <c r="AM573" s="103"/>
      <c r="AN573" s="103"/>
      <c r="AO573" s="103" t="str">
        <f t="shared" si="23"/>
        <v>Std_CFLscw-A(18w)_60pInc-r0248Single-pack</v>
      </c>
    </row>
    <row r="574" spans="1:41">
      <c r="A574" s="177">
        <f>IFERROR(MATCH(D574,'Measure &amp; Standard CostIDs'!C$5:C$177,0),MATCH(D574,'Measure &amp; Standard CostIDs'!S$5:S$177,0))</f>
        <v>78</v>
      </c>
      <c r="B574" s="177">
        <f t="shared" si="24"/>
        <v>2</v>
      </c>
      <c r="C574" s="103" t="s">
        <v>153</v>
      </c>
      <c r="D574" s="103" t="str">
        <f t="shared" si="25"/>
        <v>Std_CFLscw-A(19w)_60pInc-r0248</v>
      </c>
      <c r="E574" s="103" t="str">
        <f>IF(LEFT(D574,3)="Std","Base case cost for mix of 60% Incandescent and 40% CFL lamps for CFL TechID: "&amp;INDEX('Measure &amp; Standard CostIDs'!$C$5:$C$177,A574),"&lt;from TechID&gt;")</f>
        <v>Base case cost for mix of 60% Incandescent and 40% CFL lamps for CFL TechID: CFLscw-A(19w)</v>
      </c>
      <c r="F574" s="103" t="s">
        <v>860</v>
      </c>
      <c r="G574" s="103" t="s">
        <v>151</v>
      </c>
      <c r="H574" s="103" t="s">
        <v>861</v>
      </c>
      <c r="I574" s="103" t="s">
        <v>862</v>
      </c>
      <c r="J574" s="103" t="s">
        <v>863</v>
      </c>
      <c r="K574" s="103" t="s">
        <v>864</v>
      </c>
      <c r="L574" s="103" t="s">
        <v>153</v>
      </c>
      <c r="M574" s="103" t="s">
        <v>865</v>
      </c>
      <c r="N574" s="103" t="s">
        <v>866</v>
      </c>
      <c r="O574" s="103" t="str">
        <f t="shared" si="22"/>
        <v/>
      </c>
      <c r="P574" s="103" t="s">
        <v>153</v>
      </c>
      <c r="Q574" s="103" t="s">
        <v>153</v>
      </c>
      <c r="R574" s="103" t="s">
        <v>153</v>
      </c>
      <c r="S574" s="103" t="str">
        <f>INDEX('Measure &amp; Standard CostIDs'!$AK$8:$AK$12,B574)</f>
        <v>Single-pack</v>
      </c>
      <c r="T574" s="103" t="s">
        <v>867</v>
      </c>
      <c r="U574" s="103"/>
      <c r="V574" s="103"/>
      <c r="W574" s="103">
        <f>ROUND(IF(LEFT(D574,3)="Std",VLOOKUP(D574,'Measure &amp; Standard CostIDs'!$S$5:$X$177,1+B574,FALSE),VLOOKUP(D574,'Measure &amp; Standard CostIDs'!$C$5:$H$177,1+B574,FALSE)),2)</f>
        <v>5.05</v>
      </c>
      <c r="X574" s="103"/>
      <c r="Y574" s="103"/>
      <c r="Z574" s="103" t="s">
        <v>868</v>
      </c>
      <c r="AA574" s="103" t="s">
        <v>874</v>
      </c>
      <c r="AB574" s="103" t="s">
        <v>153</v>
      </c>
      <c r="AC574" s="103">
        <v>0</v>
      </c>
      <c r="AD574" s="156">
        <v>42005</v>
      </c>
      <c r="AE574" s="103"/>
      <c r="AF574" s="103" t="s">
        <v>870</v>
      </c>
      <c r="AG574" s="103" t="s">
        <v>871</v>
      </c>
      <c r="AH574" s="103" t="s">
        <v>976</v>
      </c>
      <c r="AI574" s="103">
        <v>0</v>
      </c>
      <c r="AJ574" s="103"/>
      <c r="AK574" s="103"/>
      <c r="AL574" s="103"/>
      <c r="AM574" s="103"/>
      <c r="AN574" s="103"/>
      <c r="AO574" s="103" t="str">
        <f t="shared" si="23"/>
        <v>Std_CFLscw-A(19w)_60pInc-r0248Single-pack</v>
      </c>
    </row>
    <row r="575" spans="1:41">
      <c r="A575" s="177">
        <f>IFERROR(MATCH(D575,'Measure &amp; Standard CostIDs'!C$5:C$177,0),MATCH(D575,'Measure &amp; Standard CostIDs'!S$5:S$177,0))</f>
        <v>79</v>
      </c>
      <c r="B575" s="177">
        <f t="shared" si="24"/>
        <v>2</v>
      </c>
      <c r="C575" s="103" t="s">
        <v>153</v>
      </c>
      <c r="D575" s="103" t="str">
        <f t="shared" si="25"/>
        <v>Std_CFLscw-A(20w)_60pInc-r0248</v>
      </c>
      <c r="E575" s="103" t="str">
        <f>IF(LEFT(D575,3)="Std","Base case cost for mix of 60% Incandescent and 40% CFL lamps for CFL TechID: "&amp;INDEX('Measure &amp; Standard CostIDs'!$C$5:$C$177,A575),"&lt;from TechID&gt;")</f>
        <v>Base case cost for mix of 60% Incandescent and 40% CFL lamps for CFL TechID: CFLscw-A(20w)</v>
      </c>
      <c r="F575" s="103" t="s">
        <v>860</v>
      </c>
      <c r="G575" s="103" t="s">
        <v>151</v>
      </c>
      <c r="H575" s="103" t="s">
        <v>861</v>
      </c>
      <c r="I575" s="103" t="s">
        <v>862</v>
      </c>
      <c r="J575" s="103" t="s">
        <v>863</v>
      </c>
      <c r="K575" s="103" t="s">
        <v>864</v>
      </c>
      <c r="L575" s="103" t="s">
        <v>153</v>
      </c>
      <c r="M575" s="103" t="s">
        <v>865</v>
      </c>
      <c r="N575" s="103" t="s">
        <v>866</v>
      </c>
      <c r="O575" s="103" t="str">
        <f t="shared" si="22"/>
        <v/>
      </c>
      <c r="P575" s="103" t="s">
        <v>153</v>
      </c>
      <c r="Q575" s="103" t="s">
        <v>153</v>
      </c>
      <c r="R575" s="103" t="s">
        <v>153</v>
      </c>
      <c r="S575" s="103" t="str">
        <f>INDEX('Measure &amp; Standard CostIDs'!$AK$8:$AK$12,B575)</f>
        <v>Single-pack</v>
      </c>
      <c r="T575" s="103" t="s">
        <v>867</v>
      </c>
      <c r="U575" s="103"/>
      <c r="V575" s="103"/>
      <c r="W575" s="103">
        <f>ROUND(IF(LEFT(D575,3)="Std",VLOOKUP(D575,'Measure &amp; Standard CostIDs'!$S$5:$X$177,1+B575,FALSE),VLOOKUP(D575,'Measure &amp; Standard CostIDs'!$C$5:$H$177,1+B575,FALSE)),2)</f>
        <v>5.09</v>
      </c>
      <c r="X575" s="103"/>
      <c r="Y575" s="103"/>
      <c r="Z575" s="103" t="s">
        <v>868</v>
      </c>
      <c r="AA575" s="103" t="s">
        <v>874</v>
      </c>
      <c r="AB575" s="103" t="s">
        <v>153</v>
      </c>
      <c r="AC575" s="103">
        <v>0</v>
      </c>
      <c r="AD575" s="156">
        <v>42005</v>
      </c>
      <c r="AE575" s="103"/>
      <c r="AF575" s="103" t="s">
        <v>870</v>
      </c>
      <c r="AG575" s="103" t="s">
        <v>871</v>
      </c>
      <c r="AH575" s="103" t="s">
        <v>976</v>
      </c>
      <c r="AI575" s="103">
        <v>0</v>
      </c>
      <c r="AJ575" s="103"/>
      <c r="AK575" s="103"/>
      <c r="AL575" s="103"/>
      <c r="AM575" s="103"/>
      <c r="AN575" s="103"/>
      <c r="AO575" s="103" t="str">
        <f t="shared" si="23"/>
        <v>Std_CFLscw-A(20w)_60pInc-r0248Single-pack</v>
      </c>
    </row>
    <row r="576" spans="1:41">
      <c r="A576" s="177">
        <f>IFERROR(MATCH(D576,'Measure &amp; Standard CostIDs'!C$5:C$177,0),MATCH(D576,'Measure &amp; Standard CostIDs'!S$5:S$177,0))</f>
        <v>80</v>
      </c>
      <c r="B576" s="177">
        <f t="shared" si="24"/>
        <v>2</v>
      </c>
      <c r="C576" s="103" t="s">
        <v>153</v>
      </c>
      <c r="D576" s="103" t="str">
        <f t="shared" si="25"/>
        <v>Std_CFLscw-A(22w)_60pInc-r0248</v>
      </c>
      <c r="E576" s="103" t="str">
        <f>IF(LEFT(D576,3)="Std","Base case cost for mix of 60% Incandescent and 40% CFL lamps for CFL TechID: "&amp;INDEX('Measure &amp; Standard CostIDs'!$C$5:$C$177,A576),"&lt;from TechID&gt;")</f>
        <v>Base case cost for mix of 60% Incandescent and 40% CFL lamps for CFL TechID: CFLscw-A(22w)</v>
      </c>
      <c r="F576" s="103" t="s">
        <v>860</v>
      </c>
      <c r="G576" s="103" t="s">
        <v>151</v>
      </c>
      <c r="H576" s="103" t="s">
        <v>861</v>
      </c>
      <c r="I576" s="103" t="s">
        <v>862</v>
      </c>
      <c r="J576" s="103" t="s">
        <v>863</v>
      </c>
      <c r="K576" s="103" t="s">
        <v>864</v>
      </c>
      <c r="L576" s="103" t="s">
        <v>153</v>
      </c>
      <c r="M576" s="103" t="s">
        <v>865</v>
      </c>
      <c r="N576" s="103" t="s">
        <v>866</v>
      </c>
      <c r="O576" s="103" t="str">
        <f t="shared" si="22"/>
        <v/>
      </c>
      <c r="P576" s="103" t="s">
        <v>153</v>
      </c>
      <c r="Q576" s="103" t="s">
        <v>153</v>
      </c>
      <c r="R576" s="103" t="s">
        <v>153</v>
      </c>
      <c r="S576" s="103" t="str">
        <f>INDEX('Measure &amp; Standard CostIDs'!$AK$8:$AK$12,B576)</f>
        <v>Single-pack</v>
      </c>
      <c r="T576" s="103" t="s">
        <v>867</v>
      </c>
      <c r="U576" s="103"/>
      <c r="V576" s="103"/>
      <c r="W576" s="103">
        <f>ROUND(IF(LEFT(D576,3)="Std",VLOOKUP(D576,'Measure &amp; Standard CostIDs'!$S$5:$X$177,1+B576,FALSE),VLOOKUP(D576,'Measure &amp; Standard CostIDs'!$C$5:$H$177,1+B576,FALSE)),2)</f>
        <v>5.18</v>
      </c>
      <c r="X576" s="103"/>
      <c r="Y576" s="103"/>
      <c r="Z576" s="103" t="s">
        <v>868</v>
      </c>
      <c r="AA576" s="103" t="s">
        <v>874</v>
      </c>
      <c r="AB576" s="103" t="s">
        <v>153</v>
      </c>
      <c r="AC576" s="103">
        <v>0</v>
      </c>
      <c r="AD576" s="156">
        <v>42005</v>
      </c>
      <c r="AE576" s="103"/>
      <c r="AF576" s="103" t="s">
        <v>870</v>
      </c>
      <c r="AG576" s="103" t="s">
        <v>871</v>
      </c>
      <c r="AH576" s="103" t="s">
        <v>976</v>
      </c>
      <c r="AI576" s="103">
        <v>0</v>
      </c>
      <c r="AJ576" s="103"/>
      <c r="AK576" s="103"/>
      <c r="AL576" s="103"/>
      <c r="AM576" s="103"/>
      <c r="AN576" s="103"/>
      <c r="AO576" s="103" t="str">
        <f t="shared" si="23"/>
        <v>Std_CFLscw-A(22w)_60pInc-r0248Single-pack</v>
      </c>
    </row>
    <row r="577" spans="1:41">
      <c r="A577" s="177">
        <f>IFERROR(MATCH(D577,'Measure &amp; Standard CostIDs'!C$5:C$177,0),MATCH(D577,'Measure &amp; Standard CostIDs'!S$5:S$177,0))</f>
        <v>81</v>
      </c>
      <c r="B577" s="177">
        <f t="shared" si="24"/>
        <v>2</v>
      </c>
      <c r="C577" s="103" t="s">
        <v>153</v>
      </c>
      <c r="D577" s="103" t="str">
        <f t="shared" si="25"/>
        <v>Std_CFLscw-A(23w)_60pInc-r0248</v>
      </c>
      <c r="E577" s="103" t="str">
        <f>IF(LEFT(D577,3)="Std","Base case cost for mix of 60% Incandescent and 40% CFL lamps for CFL TechID: "&amp;INDEX('Measure &amp; Standard CostIDs'!$C$5:$C$177,A577),"&lt;from TechID&gt;")</f>
        <v>Base case cost for mix of 60% Incandescent and 40% CFL lamps for CFL TechID: CFLscw-A(23w)</v>
      </c>
      <c r="F577" s="103" t="s">
        <v>860</v>
      </c>
      <c r="G577" s="103" t="s">
        <v>151</v>
      </c>
      <c r="H577" s="103" t="s">
        <v>861</v>
      </c>
      <c r="I577" s="103" t="s">
        <v>862</v>
      </c>
      <c r="J577" s="103" t="s">
        <v>863</v>
      </c>
      <c r="K577" s="103" t="s">
        <v>864</v>
      </c>
      <c r="L577" s="103" t="s">
        <v>153</v>
      </c>
      <c r="M577" s="103" t="s">
        <v>865</v>
      </c>
      <c r="N577" s="103" t="s">
        <v>866</v>
      </c>
      <c r="O577" s="103" t="str">
        <f t="shared" si="22"/>
        <v/>
      </c>
      <c r="P577" s="103" t="s">
        <v>153</v>
      </c>
      <c r="Q577" s="103" t="s">
        <v>153</v>
      </c>
      <c r="R577" s="103" t="s">
        <v>153</v>
      </c>
      <c r="S577" s="103" t="str">
        <f>INDEX('Measure &amp; Standard CostIDs'!$AK$8:$AK$12,B577)</f>
        <v>Single-pack</v>
      </c>
      <c r="T577" s="103" t="s">
        <v>867</v>
      </c>
      <c r="U577" s="103"/>
      <c r="V577" s="103"/>
      <c r="W577" s="103">
        <f>ROUND(IF(LEFT(D577,3)="Std",VLOOKUP(D577,'Measure &amp; Standard CostIDs'!$S$5:$X$177,1+B577,FALSE),VLOOKUP(D577,'Measure &amp; Standard CostIDs'!$C$5:$H$177,1+B577,FALSE)),2)</f>
        <v>5.21</v>
      </c>
      <c r="X577" s="103"/>
      <c r="Y577" s="103"/>
      <c r="Z577" s="103" t="s">
        <v>868</v>
      </c>
      <c r="AA577" s="103" t="s">
        <v>874</v>
      </c>
      <c r="AB577" s="103" t="s">
        <v>153</v>
      </c>
      <c r="AC577" s="103">
        <v>0</v>
      </c>
      <c r="AD577" s="156">
        <v>42005</v>
      </c>
      <c r="AE577" s="103"/>
      <c r="AF577" s="103" t="s">
        <v>870</v>
      </c>
      <c r="AG577" s="103" t="s">
        <v>871</v>
      </c>
      <c r="AH577" s="103" t="s">
        <v>976</v>
      </c>
      <c r="AI577" s="103">
        <v>0</v>
      </c>
      <c r="AJ577" s="103"/>
      <c r="AK577" s="103"/>
      <c r="AL577" s="103"/>
      <c r="AM577" s="103"/>
      <c r="AN577" s="103"/>
      <c r="AO577" s="103" t="str">
        <f t="shared" si="23"/>
        <v>Std_CFLscw-A(23w)_60pInc-r0248Single-pack</v>
      </c>
    </row>
    <row r="578" spans="1:41">
      <c r="A578" s="177">
        <f>IFERROR(MATCH(D578,'Measure &amp; Standard CostIDs'!C$5:C$177,0),MATCH(D578,'Measure &amp; Standard CostIDs'!S$5:S$177,0))</f>
        <v>82</v>
      </c>
      <c r="B578" s="177">
        <f t="shared" si="24"/>
        <v>2</v>
      </c>
      <c r="C578" s="103" t="s">
        <v>153</v>
      </c>
      <c r="D578" s="103" t="str">
        <f t="shared" si="25"/>
        <v>Std_CFLscw-A(24w)_60pInc-r0248</v>
      </c>
      <c r="E578" s="103" t="str">
        <f>IF(LEFT(D578,3)="Std","Base case cost for mix of 60% Incandescent and 40% CFL lamps for CFL TechID: "&amp;INDEX('Measure &amp; Standard CostIDs'!$C$5:$C$177,A578),"&lt;from TechID&gt;")</f>
        <v>Base case cost for mix of 60% Incandescent and 40% CFL lamps for CFL TechID: CFLscw-A(24w)</v>
      </c>
      <c r="F578" s="103" t="s">
        <v>860</v>
      </c>
      <c r="G578" s="103" t="s">
        <v>151</v>
      </c>
      <c r="H578" s="103" t="s">
        <v>861</v>
      </c>
      <c r="I578" s="103" t="s">
        <v>862</v>
      </c>
      <c r="J578" s="103" t="s">
        <v>863</v>
      </c>
      <c r="K578" s="103" t="s">
        <v>864</v>
      </c>
      <c r="L578" s="103" t="s">
        <v>153</v>
      </c>
      <c r="M578" s="103" t="s">
        <v>865</v>
      </c>
      <c r="N578" s="103" t="s">
        <v>866</v>
      </c>
      <c r="O578" s="103" t="str">
        <f t="shared" si="22"/>
        <v/>
      </c>
      <c r="P578" s="103" t="s">
        <v>153</v>
      </c>
      <c r="Q578" s="103" t="s">
        <v>153</v>
      </c>
      <c r="R578" s="103" t="s">
        <v>153</v>
      </c>
      <c r="S578" s="103" t="str">
        <f>INDEX('Measure &amp; Standard CostIDs'!$AK$8:$AK$12,B578)</f>
        <v>Single-pack</v>
      </c>
      <c r="T578" s="103" t="s">
        <v>867</v>
      </c>
      <c r="U578" s="103"/>
      <c r="V578" s="103"/>
      <c r="W578" s="103">
        <f>ROUND(IF(LEFT(D578,3)="Std",VLOOKUP(D578,'Measure &amp; Standard CostIDs'!$S$5:$X$177,1+B578,FALSE),VLOOKUP(D578,'Measure &amp; Standard CostIDs'!$C$5:$H$177,1+B578,FALSE)),2)</f>
        <v>5.23</v>
      </c>
      <c r="X578" s="103"/>
      <c r="Y578" s="103"/>
      <c r="Z578" s="103" t="s">
        <v>868</v>
      </c>
      <c r="AA578" s="103" t="s">
        <v>874</v>
      </c>
      <c r="AB578" s="103" t="s">
        <v>153</v>
      </c>
      <c r="AC578" s="103">
        <v>0</v>
      </c>
      <c r="AD578" s="156">
        <v>42005</v>
      </c>
      <c r="AE578" s="103"/>
      <c r="AF578" s="103" t="s">
        <v>870</v>
      </c>
      <c r="AG578" s="103" t="s">
        <v>871</v>
      </c>
      <c r="AH578" s="103" t="s">
        <v>976</v>
      </c>
      <c r="AI578" s="103">
        <v>0</v>
      </c>
      <c r="AJ578" s="103"/>
      <c r="AK578" s="103"/>
      <c r="AL578" s="103"/>
      <c r="AM578" s="103"/>
      <c r="AN578" s="103"/>
      <c r="AO578" s="103" t="str">
        <f t="shared" si="23"/>
        <v>Std_CFLscw-A(24w)_60pInc-r0248Single-pack</v>
      </c>
    </row>
    <row r="579" spans="1:41">
      <c r="A579" s="177">
        <f>IFERROR(MATCH(D579,'Measure &amp; Standard CostIDs'!C$5:C$177,0),MATCH(D579,'Measure &amp; Standard CostIDs'!S$5:S$177,0))</f>
        <v>83</v>
      </c>
      <c r="B579" s="177">
        <f t="shared" si="24"/>
        <v>2</v>
      </c>
      <c r="C579" s="103" t="s">
        <v>153</v>
      </c>
      <c r="D579" s="103" t="str">
        <f t="shared" si="25"/>
        <v>Std_CFLscw-A(25w)_60pInc-r0248</v>
      </c>
      <c r="E579" s="103" t="str">
        <f>IF(LEFT(D579,3)="Std","Base case cost for mix of 60% Incandescent and 40% CFL lamps for CFL TechID: "&amp;INDEX('Measure &amp; Standard CostIDs'!$C$5:$C$177,A579),"&lt;from TechID&gt;")</f>
        <v>Base case cost for mix of 60% Incandescent and 40% CFL lamps for CFL TechID: CFLscw-A(25w)</v>
      </c>
      <c r="F579" s="103" t="s">
        <v>860</v>
      </c>
      <c r="G579" s="103" t="s">
        <v>151</v>
      </c>
      <c r="H579" s="103" t="s">
        <v>861</v>
      </c>
      <c r="I579" s="103" t="s">
        <v>862</v>
      </c>
      <c r="J579" s="103" t="s">
        <v>863</v>
      </c>
      <c r="K579" s="103" t="s">
        <v>864</v>
      </c>
      <c r="L579" s="103" t="s">
        <v>153</v>
      </c>
      <c r="M579" s="103" t="s">
        <v>865</v>
      </c>
      <c r="N579" s="103" t="s">
        <v>866</v>
      </c>
      <c r="O579" s="103" t="str">
        <f t="shared" si="22"/>
        <v/>
      </c>
      <c r="P579" s="103" t="s">
        <v>153</v>
      </c>
      <c r="Q579" s="103" t="s">
        <v>153</v>
      </c>
      <c r="R579" s="103" t="s">
        <v>153</v>
      </c>
      <c r="S579" s="103" t="str">
        <f>INDEX('Measure &amp; Standard CostIDs'!$AK$8:$AK$12,B579)</f>
        <v>Single-pack</v>
      </c>
      <c r="T579" s="103" t="s">
        <v>867</v>
      </c>
      <c r="U579" s="103"/>
      <c r="V579" s="103"/>
      <c r="W579" s="103">
        <f>ROUND(IF(LEFT(D579,3)="Std",VLOOKUP(D579,'Measure &amp; Standard CostIDs'!$S$5:$X$177,1+B579,FALSE),VLOOKUP(D579,'Measure &amp; Standard CostIDs'!$C$5:$H$177,1+B579,FALSE)),2)</f>
        <v>5.26</v>
      </c>
      <c r="X579" s="103"/>
      <c r="Y579" s="103"/>
      <c r="Z579" s="103" t="s">
        <v>868</v>
      </c>
      <c r="AA579" s="103" t="s">
        <v>874</v>
      </c>
      <c r="AB579" s="103" t="s">
        <v>153</v>
      </c>
      <c r="AC579" s="103">
        <v>0</v>
      </c>
      <c r="AD579" s="156">
        <v>42005</v>
      </c>
      <c r="AE579" s="103"/>
      <c r="AF579" s="103" t="s">
        <v>870</v>
      </c>
      <c r="AG579" s="103" t="s">
        <v>871</v>
      </c>
      <c r="AH579" s="103" t="s">
        <v>976</v>
      </c>
      <c r="AI579" s="103">
        <v>0</v>
      </c>
      <c r="AJ579" s="103"/>
      <c r="AK579" s="103"/>
      <c r="AL579" s="103"/>
      <c r="AM579" s="103"/>
      <c r="AN579" s="103"/>
      <c r="AO579" s="103" t="str">
        <f t="shared" si="23"/>
        <v>Std_CFLscw-A(25w)_60pInc-r0248Single-pack</v>
      </c>
    </row>
    <row r="580" spans="1:41">
      <c r="A580" s="177">
        <f>IFERROR(MATCH(D580,'Measure &amp; Standard CostIDs'!C$5:C$177,0),MATCH(D580,'Measure &amp; Standard CostIDs'!S$5:S$177,0))</f>
        <v>84</v>
      </c>
      <c r="B580" s="177">
        <f t="shared" si="24"/>
        <v>2</v>
      </c>
      <c r="C580" s="103" t="s">
        <v>153</v>
      </c>
      <c r="D580" s="103" t="str">
        <f t="shared" si="25"/>
        <v>Std_CFLscw-A(26w)_60pInc-r0248</v>
      </c>
      <c r="E580" s="103" t="str">
        <f>IF(LEFT(D580,3)="Std","Base case cost for mix of 60% Incandescent and 40% CFL lamps for CFL TechID: "&amp;INDEX('Measure &amp; Standard CostIDs'!$C$5:$C$177,A580),"&lt;from TechID&gt;")</f>
        <v>Base case cost for mix of 60% Incandescent and 40% CFL lamps for CFL TechID: CFLscw-A(26w)</v>
      </c>
      <c r="F580" s="103" t="s">
        <v>860</v>
      </c>
      <c r="G580" s="103" t="s">
        <v>151</v>
      </c>
      <c r="H580" s="103" t="s">
        <v>861</v>
      </c>
      <c r="I580" s="103" t="s">
        <v>862</v>
      </c>
      <c r="J580" s="103" t="s">
        <v>863</v>
      </c>
      <c r="K580" s="103" t="s">
        <v>864</v>
      </c>
      <c r="L580" s="103" t="s">
        <v>153</v>
      </c>
      <c r="M580" s="103" t="s">
        <v>865</v>
      </c>
      <c r="N580" s="103" t="s">
        <v>866</v>
      </c>
      <c r="O580" s="103" t="str">
        <f t="shared" si="22"/>
        <v/>
      </c>
      <c r="P580" s="103" t="s">
        <v>153</v>
      </c>
      <c r="Q580" s="103" t="s">
        <v>153</v>
      </c>
      <c r="R580" s="103" t="s">
        <v>153</v>
      </c>
      <c r="S580" s="103" t="str">
        <f>INDEX('Measure &amp; Standard CostIDs'!$AK$8:$AK$12,B580)</f>
        <v>Single-pack</v>
      </c>
      <c r="T580" s="103" t="s">
        <v>867</v>
      </c>
      <c r="U580" s="103"/>
      <c r="V580" s="103"/>
      <c r="W580" s="103">
        <f>ROUND(IF(LEFT(D580,3)="Std",VLOOKUP(D580,'Measure &amp; Standard CostIDs'!$S$5:$X$177,1+B580,FALSE),VLOOKUP(D580,'Measure &amp; Standard CostIDs'!$C$5:$H$177,1+B580,FALSE)),2)</f>
        <v>5.33</v>
      </c>
      <c r="X580" s="103"/>
      <c r="Y580" s="103"/>
      <c r="Z580" s="103" t="s">
        <v>868</v>
      </c>
      <c r="AA580" s="103" t="s">
        <v>874</v>
      </c>
      <c r="AB580" s="103" t="s">
        <v>153</v>
      </c>
      <c r="AC580" s="103">
        <v>0</v>
      </c>
      <c r="AD580" s="156">
        <v>42005</v>
      </c>
      <c r="AE580" s="103"/>
      <c r="AF580" s="103" t="s">
        <v>870</v>
      </c>
      <c r="AG580" s="103" t="s">
        <v>871</v>
      </c>
      <c r="AH580" s="103" t="s">
        <v>976</v>
      </c>
      <c r="AI580" s="103">
        <v>0</v>
      </c>
      <c r="AJ580" s="103"/>
      <c r="AK580" s="103"/>
      <c r="AL580" s="103"/>
      <c r="AM580" s="103"/>
      <c r="AN580" s="103"/>
      <c r="AO580" s="103" t="str">
        <f t="shared" si="23"/>
        <v>Std_CFLscw-A(26w)_60pInc-r0248Single-pack</v>
      </c>
    </row>
    <row r="581" spans="1:41">
      <c r="A581" s="177">
        <f>IFERROR(MATCH(D581,'Measure &amp; Standard CostIDs'!C$5:C$177,0),MATCH(D581,'Measure &amp; Standard CostIDs'!S$5:S$177,0))</f>
        <v>85</v>
      </c>
      <c r="B581" s="177">
        <f t="shared" si="24"/>
        <v>2</v>
      </c>
      <c r="C581" s="103" t="s">
        <v>153</v>
      </c>
      <c r="D581" s="103" t="str">
        <f t="shared" si="25"/>
        <v>Std_CFLscw-A(27w)_60pInc-r0248</v>
      </c>
      <c r="E581" s="103" t="str">
        <f>IF(LEFT(D581,3)="Std","Base case cost for mix of 60% Incandescent and 40% CFL lamps for CFL TechID: "&amp;INDEX('Measure &amp; Standard CostIDs'!$C$5:$C$177,A581),"&lt;from TechID&gt;")</f>
        <v>Base case cost for mix of 60% Incandescent and 40% CFL lamps for CFL TechID: CFLscw-A(27w)</v>
      </c>
      <c r="F581" s="103" t="s">
        <v>860</v>
      </c>
      <c r="G581" s="103" t="s">
        <v>151</v>
      </c>
      <c r="H581" s="103" t="s">
        <v>861</v>
      </c>
      <c r="I581" s="103" t="s">
        <v>862</v>
      </c>
      <c r="J581" s="103" t="s">
        <v>863</v>
      </c>
      <c r="K581" s="103" t="s">
        <v>864</v>
      </c>
      <c r="L581" s="103" t="s">
        <v>153</v>
      </c>
      <c r="M581" s="103" t="s">
        <v>865</v>
      </c>
      <c r="N581" s="103" t="s">
        <v>866</v>
      </c>
      <c r="O581" s="103" t="str">
        <f t="shared" si="22"/>
        <v/>
      </c>
      <c r="P581" s="103" t="s">
        <v>153</v>
      </c>
      <c r="Q581" s="103" t="s">
        <v>153</v>
      </c>
      <c r="R581" s="103" t="s">
        <v>153</v>
      </c>
      <c r="S581" s="103" t="str">
        <f>INDEX('Measure &amp; Standard CostIDs'!$AK$8:$AK$12,B581)</f>
        <v>Single-pack</v>
      </c>
      <c r="T581" s="103" t="s">
        <v>867</v>
      </c>
      <c r="U581" s="103"/>
      <c r="V581" s="103"/>
      <c r="W581" s="103">
        <f>ROUND(IF(LEFT(D581,3)="Std",VLOOKUP(D581,'Measure &amp; Standard CostIDs'!$S$5:$X$177,1+B581,FALSE),VLOOKUP(D581,'Measure &amp; Standard CostIDs'!$C$5:$H$177,1+B581,FALSE)),2)</f>
        <v>5.39</v>
      </c>
      <c r="X581" s="103"/>
      <c r="Y581" s="103"/>
      <c r="Z581" s="103" t="s">
        <v>868</v>
      </c>
      <c r="AA581" s="103" t="s">
        <v>874</v>
      </c>
      <c r="AB581" s="103" t="s">
        <v>153</v>
      </c>
      <c r="AC581" s="103">
        <v>0</v>
      </c>
      <c r="AD581" s="156">
        <v>42005</v>
      </c>
      <c r="AE581" s="103"/>
      <c r="AF581" s="103" t="s">
        <v>870</v>
      </c>
      <c r="AG581" s="103" t="s">
        <v>871</v>
      </c>
      <c r="AH581" s="103" t="s">
        <v>976</v>
      </c>
      <c r="AI581" s="103">
        <v>0</v>
      </c>
      <c r="AJ581" s="103"/>
      <c r="AK581" s="103"/>
      <c r="AL581" s="103"/>
      <c r="AM581" s="103"/>
      <c r="AN581" s="103"/>
      <c r="AO581" s="103" t="str">
        <f t="shared" si="23"/>
        <v>Std_CFLscw-A(27w)_60pInc-r0248Single-pack</v>
      </c>
    </row>
    <row r="582" spans="1:41">
      <c r="A582" s="177">
        <f>IFERROR(MATCH(D582,'Measure &amp; Standard CostIDs'!C$5:C$177,0),MATCH(D582,'Measure &amp; Standard CostIDs'!S$5:S$177,0))</f>
        <v>86</v>
      </c>
      <c r="B582" s="177">
        <f t="shared" si="24"/>
        <v>2</v>
      </c>
      <c r="C582" s="103" t="s">
        <v>153</v>
      </c>
      <c r="D582" s="103" t="str">
        <f t="shared" si="25"/>
        <v>Std_CFLscw-A(28w)_60pInc-r0248</v>
      </c>
      <c r="E582" s="103" t="str">
        <f>IF(LEFT(D582,3)="Std","Base case cost for mix of 60% Incandescent and 40% CFL lamps for CFL TechID: "&amp;INDEX('Measure &amp; Standard CostIDs'!$C$5:$C$177,A582),"&lt;from TechID&gt;")</f>
        <v>Base case cost for mix of 60% Incandescent and 40% CFL lamps for CFL TechID: CFLscw-A(28w)</v>
      </c>
      <c r="F582" s="103" t="s">
        <v>860</v>
      </c>
      <c r="G582" s="103" t="s">
        <v>151</v>
      </c>
      <c r="H582" s="103" t="s">
        <v>861</v>
      </c>
      <c r="I582" s="103" t="s">
        <v>862</v>
      </c>
      <c r="J582" s="103" t="s">
        <v>863</v>
      </c>
      <c r="K582" s="103" t="s">
        <v>864</v>
      </c>
      <c r="L582" s="103" t="s">
        <v>153</v>
      </c>
      <c r="M582" s="103" t="s">
        <v>865</v>
      </c>
      <c r="N582" s="103" t="s">
        <v>866</v>
      </c>
      <c r="O582" s="103" t="str">
        <f t="shared" ref="O582:O645" si="26">IF(LEFT(D582,3)="Std","",D582)</f>
        <v/>
      </c>
      <c r="P582" s="103" t="s">
        <v>153</v>
      </c>
      <c r="Q582" s="103" t="s">
        <v>153</v>
      </c>
      <c r="R582" s="103" t="s">
        <v>153</v>
      </c>
      <c r="S582" s="103" t="str">
        <f>INDEX('Measure &amp; Standard CostIDs'!$AK$8:$AK$12,B582)</f>
        <v>Single-pack</v>
      </c>
      <c r="T582" s="103" t="s">
        <v>867</v>
      </c>
      <c r="U582" s="103"/>
      <c r="V582" s="103"/>
      <c r="W582" s="103">
        <f>ROUND(IF(LEFT(D582,3)="Std",VLOOKUP(D582,'Measure &amp; Standard CostIDs'!$S$5:$X$177,1+B582,FALSE),VLOOKUP(D582,'Measure &amp; Standard CostIDs'!$C$5:$H$177,1+B582,FALSE)),2)</f>
        <v>5.46</v>
      </c>
      <c r="X582" s="103"/>
      <c r="Y582" s="103"/>
      <c r="Z582" s="103" t="s">
        <v>868</v>
      </c>
      <c r="AA582" s="103" t="s">
        <v>874</v>
      </c>
      <c r="AB582" s="103" t="s">
        <v>153</v>
      </c>
      <c r="AC582" s="103">
        <v>0</v>
      </c>
      <c r="AD582" s="156">
        <v>42005</v>
      </c>
      <c r="AE582" s="103"/>
      <c r="AF582" s="103" t="s">
        <v>870</v>
      </c>
      <c r="AG582" s="103" t="s">
        <v>871</v>
      </c>
      <c r="AH582" s="103" t="s">
        <v>976</v>
      </c>
      <c r="AI582" s="103">
        <v>0</v>
      </c>
      <c r="AJ582" s="103"/>
      <c r="AK582" s="103"/>
      <c r="AL582" s="103"/>
      <c r="AM582" s="103"/>
      <c r="AN582" s="103"/>
      <c r="AO582" s="103" t="str">
        <f t="shared" ref="AO582:AO645" si="27">D582&amp;S582</f>
        <v>Std_CFLscw-A(28w)_60pInc-r0248Single-pack</v>
      </c>
    </row>
    <row r="583" spans="1:41">
      <c r="A583" s="177">
        <f>IFERROR(MATCH(D583,'Measure &amp; Standard CostIDs'!C$5:C$177,0),MATCH(D583,'Measure &amp; Standard CostIDs'!S$5:S$177,0))</f>
        <v>87</v>
      </c>
      <c r="B583" s="177">
        <f t="shared" si="24"/>
        <v>2</v>
      </c>
      <c r="C583" s="103" t="s">
        <v>153</v>
      </c>
      <c r="D583" s="103" t="str">
        <f t="shared" si="25"/>
        <v>Std_CFLscw-A(30w)_60pInc-r0248</v>
      </c>
      <c r="E583" s="103" t="str">
        <f>IF(LEFT(D583,3)="Std","Base case cost for mix of 60% Incandescent and 40% CFL lamps for CFL TechID: "&amp;INDEX('Measure &amp; Standard CostIDs'!$C$5:$C$177,A583),"&lt;from TechID&gt;")</f>
        <v>Base case cost for mix of 60% Incandescent and 40% CFL lamps for CFL TechID: CFLscw-A(30w)</v>
      </c>
      <c r="F583" s="103" t="s">
        <v>860</v>
      </c>
      <c r="G583" s="103" t="s">
        <v>151</v>
      </c>
      <c r="H583" s="103" t="s">
        <v>861</v>
      </c>
      <c r="I583" s="103" t="s">
        <v>862</v>
      </c>
      <c r="J583" s="103" t="s">
        <v>863</v>
      </c>
      <c r="K583" s="103" t="s">
        <v>864</v>
      </c>
      <c r="L583" s="103" t="s">
        <v>153</v>
      </c>
      <c r="M583" s="103" t="s">
        <v>865</v>
      </c>
      <c r="N583" s="103" t="s">
        <v>866</v>
      </c>
      <c r="O583" s="103" t="str">
        <f t="shared" si="26"/>
        <v/>
      </c>
      <c r="P583" s="103" t="s">
        <v>153</v>
      </c>
      <c r="Q583" s="103" t="s">
        <v>153</v>
      </c>
      <c r="R583" s="103" t="s">
        <v>153</v>
      </c>
      <c r="S583" s="103" t="str">
        <f>INDEX('Measure &amp; Standard CostIDs'!$AK$8:$AK$12,B583)</f>
        <v>Single-pack</v>
      </c>
      <c r="T583" s="103" t="s">
        <v>867</v>
      </c>
      <c r="U583" s="103"/>
      <c r="V583" s="103"/>
      <c r="W583" s="103">
        <f>ROUND(IF(LEFT(D583,3)="Std",VLOOKUP(D583,'Measure &amp; Standard CostIDs'!$S$5:$X$177,1+B583,FALSE),VLOOKUP(D583,'Measure &amp; Standard CostIDs'!$C$5:$H$177,1+B583,FALSE)),2)</f>
        <v>5.59</v>
      </c>
      <c r="X583" s="103"/>
      <c r="Y583" s="103"/>
      <c r="Z583" s="103" t="s">
        <v>868</v>
      </c>
      <c r="AA583" s="103" t="s">
        <v>874</v>
      </c>
      <c r="AB583" s="103" t="s">
        <v>153</v>
      </c>
      <c r="AC583" s="103">
        <v>0</v>
      </c>
      <c r="AD583" s="156">
        <v>42005</v>
      </c>
      <c r="AE583" s="103"/>
      <c r="AF583" s="103" t="s">
        <v>870</v>
      </c>
      <c r="AG583" s="103" t="s">
        <v>871</v>
      </c>
      <c r="AH583" s="103" t="s">
        <v>976</v>
      </c>
      <c r="AI583" s="103">
        <v>0</v>
      </c>
      <c r="AJ583" s="103"/>
      <c r="AK583" s="103"/>
      <c r="AL583" s="103"/>
      <c r="AM583" s="103"/>
      <c r="AN583" s="103"/>
      <c r="AO583" s="103" t="str">
        <f t="shared" si="27"/>
        <v>Std_CFLscw-A(30w)_60pInc-r0248Single-pack</v>
      </c>
    </row>
    <row r="584" spans="1:41">
      <c r="A584" s="177">
        <f>IFERROR(MATCH(D584,'Measure &amp; Standard CostIDs'!C$5:C$177,0),MATCH(D584,'Measure &amp; Standard CostIDs'!S$5:S$177,0))</f>
        <v>88</v>
      </c>
      <c r="B584" s="177">
        <f t="shared" si="24"/>
        <v>2</v>
      </c>
      <c r="C584" s="103" t="s">
        <v>153</v>
      </c>
      <c r="D584" s="103" t="str">
        <f t="shared" si="25"/>
        <v>Std_CFLscw-A(32w)_60pInc-r0248</v>
      </c>
      <c r="E584" s="103" t="str">
        <f>IF(LEFT(D584,3)="Std","Base case cost for mix of 60% Incandescent and 40% CFL lamps for CFL TechID: "&amp;INDEX('Measure &amp; Standard CostIDs'!$C$5:$C$177,A584),"&lt;from TechID&gt;")</f>
        <v>Base case cost for mix of 60% Incandescent and 40% CFL lamps for CFL TechID: CFLscw-A(32w)</v>
      </c>
      <c r="F584" s="103" t="s">
        <v>860</v>
      </c>
      <c r="G584" s="103" t="s">
        <v>151</v>
      </c>
      <c r="H584" s="103" t="s">
        <v>861</v>
      </c>
      <c r="I584" s="103" t="s">
        <v>862</v>
      </c>
      <c r="J584" s="103" t="s">
        <v>863</v>
      </c>
      <c r="K584" s="103" t="s">
        <v>864</v>
      </c>
      <c r="L584" s="103" t="s">
        <v>153</v>
      </c>
      <c r="M584" s="103" t="s">
        <v>865</v>
      </c>
      <c r="N584" s="103" t="s">
        <v>866</v>
      </c>
      <c r="O584" s="103" t="str">
        <f t="shared" si="26"/>
        <v/>
      </c>
      <c r="P584" s="103" t="s">
        <v>153</v>
      </c>
      <c r="Q584" s="103" t="s">
        <v>153</v>
      </c>
      <c r="R584" s="103" t="s">
        <v>153</v>
      </c>
      <c r="S584" s="103" t="str">
        <f>INDEX('Measure &amp; Standard CostIDs'!$AK$8:$AK$12,B584)</f>
        <v>Single-pack</v>
      </c>
      <c r="T584" s="103" t="s">
        <v>867</v>
      </c>
      <c r="U584" s="103"/>
      <c r="V584" s="103"/>
      <c r="W584" s="103">
        <f>ROUND(IF(LEFT(D584,3)="Std",VLOOKUP(D584,'Measure &amp; Standard CostIDs'!$S$5:$X$177,1+B584,FALSE),VLOOKUP(D584,'Measure &amp; Standard CostIDs'!$C$5:$H$177,1+B584,FALSE)),2)</f>
        <v>5.72</v>
      </c>
      <c r="X584" s="103"/>
      <c r="Y584" s="103"/>
      <c r="Z584" s="103" t="s">
        <v>868</v>
      </c>
      <c r="AA584" s="103" t="s">
        <v>874</v>
      </c>
      <c r="AB584" s="103" t="s">
        <v>153</v>
      </c>
      <c r="AC584" s="103">
        <v>0</v>
      </c>
      <c r="AD584" s="156">
        <v>42005</v>
      </c>
      <c r="AE584" s="103"/>
      <c r="AF584" s="103" t="s">
        <v>870</v>
      </c>
      <c r="AG584" s="103" t="s">
        <v>871</v>
      </c>
      <c r="AH584" s="103" t="s">
        <v>976</v>
      </c>
      <c r="AI584" s="103">
        <v>0</v>
      </c>
      <c r="AJ584" s="103"/>
      <c r="AK584" s="103"/>
      <c r="AL584" s="103"/>
      <c r="AM584" s="103"/>
      <c r="AN584" s="103"/>
      <c r="AO584" s="103" t="str">
        <f t="shared" si="27"/>
        <v>Std_CFLscw-A(32w)_60pInc-r0248Single-pack</v>
      </c>
    </row>
    <row r="585" spans="1:41">
      <c r="A585" s="177">
        <f>IFERROR(MATCH(D585,'Measure &amp; Standard CostIDs'!C$5:C$177,0),MATCH(D585,'Measure &amp; Standard CostIDs'!S$5:S$177,0))</f>
        <v>89</v>
      </c>
      <c r="B585" s="177">
        <f t="shared" si="24"/>
        <v>2</v>
      </c>
      <c r="C585" s="103" t="s">
        <v>153</v>
      </c>
      <c r="D585" s="103" t="str">
        <f t="shared" si="25"/>
        <v>Std_CFLscw-A(40w)_60pInc-r0248</v>
      </c>
      <c r="E585" s="103" t="str">
        <f>IF(LEFT(D585,3)="Std","Base case cost for mix of 60% Incandescent and 40% CFL lamps for CFL TechID: "&amp;INDEX('Measure &amp; Standard CostIDs'!$C$5:$C$177,A585),"&lt;from TechID&gt;")</f>
        <v>Base case cost for mix of 60% Incandescent and 40% CFL lamps for CFL TechID: CFLscw-A(40w)</v>
      </c>
      <c r="F585" s="103" t="s">
        <v>860</v>
      </c>
      <c r="G585" s="103" t="s">
        <v>151</v>
      </c>
      <c r="H585" s="103" t="s">
        <v>861</v>
      </c>
      <c r="I585" s="103" t="s">
        <v>862</v>
      </c>
      <c r="J585" s="103" t="s">
        <v>863</v>
      </c>
      <c r="K585" s="103" t="s">
        <v>864</v>
      </c>
      <c r="L585" s="103" t="s">
        <v>153</v>
      </c>
      <c r="M585" s="103" t="s">
        <v>865</v>
      </c>
      <c r="N585" s="103" t="s">
        <v>866</v>
      </c>
      <c r="O585" s="103" t="str">
        <f t="shared" si="26"/>
        <v/>
      </c>
      <c r="P585" s="103" t="s">
        <v>153</v>
      </c>
      <c r="Q585" s="103" t="s">
        <v>153</v>
      </c>
      <c r="R585" s="103" t="s">
        <v>153</v>
      </c>
      <c r="S585" s="103" t="str">
        <f>INDEX('Measure &amp; Standard CostIDs'!$AK$8:$AK$12,B585)</f>
        <v>Single-pack</v>
      </c>
      <c r="T585" s="103" t="s">
        <v>867</v>
      </c>
      <c r="U585" s="103"/>
      <c r="V585" s="103"/>
      <c r="W585" s="103">
        <f>ROUND(IF(LEFT(D585,3)="Std",VLOOKUP(D585,'Measure &amp; Standard CostIDs'!$S$5:$X$177,1+B585,FALSE),VLOOKUP(D585,'Measure &amp; Standard CostIDs'!$C$5:$H$177,1+B585,FALSE)),2)</f>
        <v>6.23</v>
      </c>
      <c r="X585" s="103"/>
      <c r="Y585" s="103"/>
      <c r="Z585" s="103" t="s">
        <v>868</v>
      </c>
      <c r="AA585" s="103" t="s">
        <v>874</v>
      </c>
      <c r="AB585" s="103" t="s">
        <v>153</v>
      </c>
      <c r="AC585" s="103">
        <v>0</v>
      </c>
      <c r="AD585" s="156">
        <v>42005</v>
      </c>
      <c r="AE585" s="103"/>
      <c r="AF585" s="103" t="s">
        <v>870</v>
      </c>
      <c r="AG585" s="103" t="s">
        <v>871</v>
      </c>
      <c r="AH585" s="103" t="s">
        <v>976</v>
      </c>
      <c r="AI585" s="103">
        <v>0</v>
      </c>
      <c r="AJ585" s="103"/>
      <c r="AK585" s="103"/>
      <c r="AL585" s="103"/>
      <c r="AM585" s="103"/>
      <c r="AN585" s="103"/>
      <c r="AO585" s="103" t="str">
        <f t="shared" si="27"/>
        <v>Std_CFLscw-A(40w)_60pInc-r0248Single-pack</v>
      </c>
    </row>
    <row r="586" spans="1:41">
      <c r="A586" s="177">
        <f>IFERROR(MATCH(D586,'Measure &amp; Standard CostIDs'!C$5:C$177,0),MATCH(D586,'Measure &amp; Standard CostIDs'!S$5:S$177,0))</f>
        <v>90</v>
      </c>
      <c r="B586" s="177">
        <f t="shared" si="24"/>
        <v>2</v>
      </c>
      <c r="C586" s="103" t="s">
        <v>153</v>
      </c>
      <c r="D586" s="103" t="str">
        <f t="shared" si="25"/>
        <v>Std_CFLscw-A(42w)_60pInc-r0248</v>
      </c>
      <c r="E586" s="103" t="str">
        <f>IF(LEFT(D586,3)="Std","Base case cost for mix of 60% Incandescent and 40% CFL lamps for CFL TechID: "&amp;INDEX('Measure &amp; Standard CostIDs'!$C$5:$C$177,A586),"&lt;from TechID&gt;")</f>
        <v>Base case cost for mix of 60% Incandescent and 40% CFL lamps for CFL TechID: CFLscw-A(42w)</v>
      </c>
      <c r="F586" s="103" t="s">
        <v>860</v>
      </c>
      <c r="G586" s="103" t="s">
        <v>151</v>
      </c>
      <c r="H586" s="103" t="s">
        <v>861</v>
      </c>
      <c r="I586" s="103" t="s">
        <v>862</v>
      </c>
      <c r="J586" s="103" t="s">
        <v>863</v>
      </c>
      <c r="K586" s="103" t="s">
        <v>864</v>
      </c>
      <c r="L586" s="103" t="s">
        <v>153</v>
      </c>
      <c r="M586" s="103" t="s">
        <v>865</v>
      </c>
      <c r="N586" s="103" t="s">
        <v>866</v>
      </c>
      <c r="O586" s="103" t="str">
        <f t="shared" si="26"/>
        <v/>
      </c>
      <c r="P586" s="103" t="s">
        <v>153</v>
      </c>
      <c r="Q586" s="103" t="s">
        <v>153</v>
      </c>
      <c r="R586" s="103" t="s">
        <v>153</v>
      </c>
      <c r="S586" s="103" t="str">
        <f>INDEX('Measure &amp; Standard CostIDs'!$AK$8:$AK$12,B586)</f>
        <v>Single-pack</v>
      </c>
      <c r="T586" s="103" t="s">
        <v>867</v>
      </c>
      <c r="U586" s="103"/>
      <c r="V586" s="103"/>
      <c r="W586" s="103">
        <f>ROUND(IF(LEFT(D586,3)="Std",VLOOKUP(D586,'Measure &amp; Standard CostIDs'!$S$5:$X$177,1+B586,FALSE),VLOOKUP(D586,'Measure &amp; Standard CostIDs'!$C$5:$H$177,1+B586,FALSE)),2)</f>
        <v>6.36</v>
      </c>
      <c r="X586" s="103"/>
      <c r="Y586" s="103"/>
      <c r="Z586" s="103" t="s">
        <v>868</v>
      </c>
      <c r="AA586" s="103" t="s">
        <v>874</v>
      </c>
      <c r="AB586" s="103" t="s">
        <v>153</v>
      </c>
      <c r="AC586" s="103">
        <v>0</v>
      </c>
      <c r="AD586" s="156">
        <v>42005</v>
      </c>
      <c r="AE586" s="103"/>
      <c r="AF586" s="103" t="s">
        <v>870</v>
      </c>
      <c r="AG586" s="103" t="s">
        <v>871</v>
      </c>
      <c r="AH586" s="103" t="s">
        <v>976</v>
      </c>
      <c r="AI586" s="103">
        <v>0</v>
      </c>
      <c r="AJ586" s="103"/>
      <c r="AK586" s="103"/>
      <c r="AL586" s="103"/>
      <c r="AM586" s="103"/>
      <c r="AN586" s="103"/>
      <c r="AO586" s="103" t="str">
        <f t="shared" si="27"/>
        <v>Std_CFLscw-A(42w)_60pInc-r0248Single-pack</v>
      </c>
    </row>
    <row r="587" spans="1:41">
      <c r="A587" s="177">
        <f>IFERROR(MATCH(D587,'Measure &amp; Standard CostIDs'!C$5:C$177,0),MATCH(D587,'Measure &amp; Standard CostIDs'!S$5:S$177,0))</f>
        <v>93</v>
      </c>
      <c r="B587" s="177">
        <f t="shared" si="24"/>
        <v>2</v>
      </c>
      <c r="C587" s="103" t="s">
        <v>153</v>
      </c>
      <c r="D587" s="103" t="str">
        <f t="shared" si="25"/>
        <v>Std_CFLscw-A(7w)_60pInc-r0248</v>
      </c>
      <c r="E587" s="103" t="str">
        <f>IF(LEFT(D587,3)="Std","Base case cost for mix of 60% Incandescent and 40% CFL lamps for CFL TechID: "&amp;INDEX('Measure &amp; Standard CostIDs'!$C$5:$C$177,A587),"&lt;from TechID&gt;")</f>
        <v>Base case cost for mix of 60% Incandescent and 40% CFL lamps for CFL TechID: CFLscw-A(7w)</v>
      </c>
      <c r="F587" s="103" t="s">
        <v>860</v>
      </c>
      <c r="G587" s="103" t="s">
        <v>151</v>
      </c>
      <c r="H587" s="103" t="s">
        <v>861</v>
      </c>
      <c r="I587" s="103" t="s">
        <v>862</v>
      </c>
      <c r="J587" s="103" t="s">
        <v>863</v>
      </c>
      <c r="K587" s="103" t="s">
        <v>864</v>
      </c>
      <c r="L587" s="103" t="s">
        <v>153</v>
      </c>
      <c r="M587" s="103" t="s">
        <v>865</v>
      </c>
      <c r="N587" s="103" t="s">
        <v>866</v>
      </c>
      <c r="O587" s="103" t="str">
        <f t="shared" si="26"/>
        <v/>
      </c>
      <c r="P587" s="103" t="s">
        <v>153</v>
      </c>
      <c r="Q587" s="103" t="s">
        <v>153</v>
      </c>
      <c r="R587" s="103" t="s">
        <v>153</v>
      </c>
      <c r="S587" s="103" t="str">
        <f>INDEX('Measure &amp; Standard CostIDs'!$AK$8:$AK$12,B587)</f>
        <v>Single-pack</v>
      </c>
      <c r="T587" s="103" t="s">
        <v>867</v>
      </c>
      <c r="U587" s="103"/>
      <c r="V587" s="103"/>
      <c r="W587" s="103">
        <f>ROUND(IF(LEFT(D587,3)="Std",VLOOKUP(D587,'Measure &amp; Standard CostIDs'!$S$5:$X$177,1+B587,FALSE),VLOOKUP(D587,'Measure &amp; Standard CostIDs'!$C$5:$H$177,1+B587,FALSE)),2)</f>
        <v>4.53</v>
      </c>
      <c r="X587" s="103"/>
      <c r="Y587" s="103"/>
      <c r="Z587" s="103" t="s">
        <v>868</v>
      </c>
      <c r="AA587" s="103" t="s">
        <v>874</v>
      </c>
      <c r="AB587" s="103" t="s">
        <v>153</v>
      </c>
      <c r="AC587" s="103">
        <v>0</v>
      </c>
      <c r="AD587" s="156">
        <v>42005</v>
      </c>
      <c r="AE587" s="103"/>
      <c r="AF587" s="103" t="s">
        <v>870</v>
      </c>
      <c r="AG587" s="103" t="s">
        <v>871</v>
      </c>
      <c r="AH587" s="103" t="s">
        <v>976</v>
      </c>
      <c r="AI587" s="103">
        <v>0</v>
      </c>
      <c r="AJ587" s="103"/>
      <c r="AK587" s="103"/>
      <c r="AL587" s="103"/>
      <c r="AM587" s="103"/>
      <c r="AN587" s="103"/>
      <c r="AO587" s="103" t="str">
        <f t="shared" si="27"/>
        <v>Std_CFLscw-A(7w)_60pInc-r0248Single-pack</v>
      </c>
    </row>
    <row r="588" spans="1:41">
      <c r="A588" s="177">
        <f>IFERROR(MATCH(D588,'Measure &amp; Standard CostIDs'!C$5:C$177,0),MATCH(D588,'Measure &amp; Standard CostIDs'!S$5:S$177,0))</f>
        <v>94</v>
      </c>
      <c r="B588" s="177">
        <f t="shared" si="24"/>
        <v>2</v>
      </c>
      <c r="C588" s="103" t="s">
        <v>153</v>
      </c>
      <c r="D588" s="103" t="str">
        <f t="shared" si="25"/>
        <v>Std_CFLscw-A(8w)_60pInc-r0248</v>
      </c>
      <c r="E588" s="103" t="str">
        <f>IF(LEFT(D588,3)="Std","Base case cost for mix of 60% Incandescent and 40% CFL lamps for CFL TechID: "&amp;INDEX('Measure &amp; Standard CostIDs'!$C$5:$C$177,A588),"&lt;from TechID&gt;")</f>
        <v>Base case cost for mix of 60% Incandescent and 40% CFL lamps for CFL TechID: CFLscw-A(8w)</v>
      </c>
      <c r="F588" s="103" t="s">
        <v>860</v>
      </c>
      <c r="G588" s="103" t="s">
        <v>151</v>
      </c>
      <c r="H588" s="103" t="s">
        <v>861</v>
      </c>
      <c r="I588" s="103" t="s">
        <v>862</v>
      </c>
      <c r="J588" s="103" t="s">
        <v>863</v>
      </c>
      <c r="K588" s="103" t="s">
        <v>864</v>
      </c>
      <c r="L588" s="103" t="s">
        <v>153</v>
      </c>
      <c r="M588" s="103" t="s">
        <v>865</v>
      </c>
      <c r="N588" s="103" t="s">
        <v>866</v>
      </c>
      <c r="O588" s="103" t="str">
        <f t="shared" si="26"/>
        <v/>
      </c>
      <c r="P588" s="103" t="s">
        <v>153</v>
      </c>
      <c r="Q588" s="103" t="s">
        <v>153</v>
      </c>
      <c r="R588" s="103" t="s">
        <v>153</v>
      </c>
      <c r="S588" s="103" t="str">
        <f>INDEX('Measure &amp; Standard CostIDs'!$AK$8:$AK$12,B588)</f>
        <v>Single-pack</v>
      </c>
      <c r="T588" s="103" t="s">
        <v>867</v>
      </c>
      <c r="U588" s="103"/>
      <c r="V588" s="103"/>
      <c r="W588" s="103">
        <f>ROUND(IF(LEFT(D588,3)="Std",VLOOKUP(D588,'Measure &amp; Standard CostIDs'!$S$5:$X$177,1+B588,FALSE),VLOOKUP(D588,'Measure &amp; Standard CostIDs'!$C$5:$H$177,1+B588,FALSE)),2)</f>
        <v>4.5599999999999996</v>
      </c>
      <c r="X588" s="103"/>
      <c r="Y588" s="103"/>
      <c r="Z588" s="103" t="s">
        <v>868</v>
      </c>
      <c r="AA588" s="103" t="s">
        <v>874</v>
      </c>
      <c r="AB588" s="103" t="s">
        <v>153</v>
      </c>
      <c r="AC588" s="103">
        <v>0</v>
      </c>
      <c r="AD588" s="156">
        <v>42005</v>
      </c>
      <c r="AE588" s="103"/>
      <c r="AF588" s="103" t="s">
        <v>870</v>
      </c>
      <c r="AG588" s="103" t="s">
        <v>871</v>
      </c>
      <c r="AH588" s="103" t="s">
        <v>976</v>
      </c>
      <c r="AI588" s="103">
        <v>0</v>
      </c>
      <c r="AJ588" s="103"/>
      <c r="AK588" s="103"/>
      <c r="AL588" s="103"/>
      <c r="AM588" s="103"/>
      <c r="AN588" s="103"/>
      <c r="AO588" s="103" t="str">
        <f t="shared" si="27"/>
        <v>Std_CFLscw-A(8w)_60pInc-r0248Single-pack</v>
      </c>
    </row>
    <row r="589" spans="1:41">
      <c r="A589" s="177">
        <f>IFERROR(MATCH(D589,'Measure &amp; Standard CostIDs'!C$5:C$177,0),MATCH(D589,'Measure &amp; Standard CostIDs'!S$5:S$177,0))</f>
        <v>95</v>
      </c>
      <c r="B589" s="177">
        <f t="shared" si="24"/>
        <v>2</v>
      </c>
      <c r="C589" s="103" t="s">
        <v>153</v>
      </c>
      <c r="D589" s="103" t="str">
        <f t="shared" si="25"/>
        <v>Std_CFLscw-A(9w)_60pInc-r0248</v>
      </c>
      <c r="E589" s="103" t="str">
        <f>IF(LEFT(D589,3)="Std","Base case cost for mix of 60% Incandescent and 40% CFL lamps for CFL TechID: "&amp;INDEX('Measure &amp; Standard CostIDs'!$C$5:$C$177,A589),"&lt;from TechID&gt;")</f>
        <v>Base case cost for mix of 60% Incandescent and 40% CFL lamps for CFL TechID: CFLscw-A(9w)</v>
      </c>
      <c r="F589" s="103" t="s">
        <v>860</v>
      </c>
      <c r="G589" s="103" t="s">
        <v>151</v>
      </c>
      <c r="H589" s="103" t="s">
        <v>861</v>
      </c>
      <c r="I589" s="103" t="s">
        <v>862</v>
      </c>
      <c r="J589" s="103" t="s">
        <v>863</v>
      </c>
      <c r="K589" s="103" t="s">
        <v>864</v>
      </c>
      <c r="L589" s="103" t="s">
        <v>153</v>
      </c>
      <c r="M589" s="103" t="s">
        <v>865</v>
      </c>
      <c r="N589" s="103" t="s">
        <v>866</v>
      </c>
      <c r="O589" s="103" t="str">
        <f t="shared" si="26"/>
        <v/>
      </c>
      <c r="P589" s="103" t="s">
        <v>153</v>
      </c>
      <c r="Q589" s="103" t="s">
        <v>153</v>
      </c>
      <c r="R589" s="103" t="s">
        <v>153</v>
      </c>
      <c r="S589" s="103" t="str">
        <f>INDEX('Measure &amp; Standard CostIDs'!$AK$8:$AK$12,B589)</f>
        <v>Single-pack</v>
      </c>
      <c r="T589" s="103" t="s">
        <v>867</v>
      </c>
      <c r="U589" s="103"/>
      <c r="V589" s="103"/>
      <c r="W589" s="103">
        <f>ROUND(IF(LEFT(D589,3)="Std",VLOOKUP(D589,'Measure &amp; Standard CostIDs'!$S$5:$X$177,1+B589,FALSE),VLOOKUP(D589,'Measure &amp; Standard CostIDs'!$C$5:$H$177,1+B589,FALSE)),2)</f>
        <v>4.59</v>
      </c>
      <c r="X589" s="103"/>
      <c r="Y589" s="103"/>
      <c r="Z589" s="103" t="s">
        <v>868</v>
      </c>
      <c r="AA589" s="103" t="s">
        <v>874</v>
      </c>
      <c r="AB589" s="103" t="s">
        <v>153</v>
      </c>
      <c r="AC589" s="103">
        <v>0</v>
      </c>
      <c r="AD589" s="156">
        <v>42005</v>
      </c>
      <c r="AE589" s="103"/>
      <c r="AF589" s="103" t="s">
        <v>870</v>
      </c>
      <c r="AG589" s="103" t="s">
        <v>871</v>
      </c>
      <c r="AH589" s="103" t="s">
        <v>976</v>
      </c>
      <c r="AI589" s="103">
        <v>0</v>
      </c>
      <c r="AJ589" s="103"/>
      <c r="AK589" s="103"/>
      <c r="AL589" s="103"/>
      <c r="AM589" s="103"/>
      <c r="AN589" s="103"/>
      <c r="AO589" s="103" t="str">
        <f t="shared" si="27"/>
        <v>Std_CFLscw-A(9w)_60pInc-r0248Single-pack</v>
      </c>
    </row>
    <row r="590" spans="1:41">
      <c r="A590" s="177">
        <f>IFERROR(MATCH(D590,'Measure &amp; Standard CostIDs'!C$5:C$177,0),MATCH(D590,'Measure &amp; Standard CostIDs'!S$5:S$177,0))</f>
        <v>96</v>
      </c>
      <c r="B590" s="177">
        <f t="shared" si="24"/>
        <v>2</v>
      </c>
      <c r="C590" s="103" t="s">
        <v>153</v>
      </c>
      <c r="D590" s="103" t="str">
        <f t="shared" si="25"/>
        <v>Std_CFLscw-Candle(10w)_60pInc-r0248</v>
      </c>
      <c r="E590" s="103" t="str">
        <f>IF(LEFT(D590,3)="Std","Base case cost for mix of 60% Incandescent and 40% CFL lamps for CFL TechID: "&amp;INDEX('Measure &amp; Standard CostIDs'!$C$5:$C$177,A590),"&lt;from TechID&gt;")</f>
        <v>Base case cost for mix of 60% Incandescent and 40% CFL lamps for CFL TechID: CFLscw-Candle(10w)</v>
      </c>
      <c r="F590" s="103" t="s">
        <v>860</v>
      </c>
      <c r="G590" s="103" t="s">
        <v>151</v>
      </c>
      <c r="H590" s="103" t="s">
        <v>861</v>
      </c>
      <c r="I590" s="103" t="s">
        <v>862</v>
      </c>
      <c r="J590" s="103" t="s">
        <v>863</v>
      </c>
      <c r="K590" s="103" t="s">
        <v>864</v>
      </c>
      <c r="L590" s="103" t="s">
        <v>153</v>
      </c>
      <c r="M590" s="103" t="s">
        <v>865</v>
      </c>
      <c r="N590" s="103" t="s">
        <v>866</v>
      </c>
      <c r="O590" s="103" t="str">
        <f t="shared" si="26"/>
        <v/>
      </c>
      <c r="P590" s="103" t="s">
        <v>153</v>
      </c>
      <c r="Q590" s="103" t="s">
        <v>153</v>
      </c>
      <c r="R590" s="103" t="s">
        <v>153</v>
      </c>
      <c r="S590" s="103" t="str">
        <f>INDEX('Measure &amp; Standard CostIDs'!$AK$8:$AK$12,B590)</f>
        <v>Single-pack</v>
      </c>
      <c r="T590" s="103" t="s">
        <v>867</v>
      </c>
      <c r="U590" s="103"/>
      <c r="V590" s="103"/>
      <c r="W590" s="103">
        <f>ROUND(IF(LEFT(D590,3)="Std",VLOOKUP(D590,'Measure &amp; Standard CostIDs'!$S$5:$X$177,1+B590,FALSE),VLOOKUP(D590,'Measure &amp; Standard CostIDs'!$C$5:$H$177,1+B590,FALSE)),2)</f>
        <v>5.91</v>
      </c>
      <c r="X590" s="103"/>
      <c r="Y590" s="103"/>
      <c r="Z590" s="103" t="s">
        <v>868</v>
      </c>
      <c r="AA590" s="103" t="s">
        <v>874</v>
      </c>
      <c r="AB590" s="103" t="s">
        <v>153</v>
      </c>
      <c r="AC590" s="103">
        <v>0</v>
      </c>
      <c r="AD590" s="156">
        <v>42005</v>
      </c>
      <c r="AE590" s="103"/>
      <c r="AF590" s="103" t="s">
        <v>870</v>
      </c>
      <c r="AG590" s="103" t="s">
        <v>871</v>
      </c>
      <c r="AH590" s="103" t="s">
        <v>976</v>
      </c>
      <c r="AI590" s="103">
        <v>0</v>
      </c>
      <c r="AJ590" s="103"/>
      <c r="AK590" s="103"/>
      <c r="AL590" s="103"/>
      <c r="AM590" s="103"/>
      <c r="AN590" s="103"/>
      <c r="AO590" s="103" t="str">
        <f t="shared" si="27"/>
        <v>Std_CFLscw-Candle(10w)_60pInc-r0248Single-pack</v>
      </c>
    </row>
    <row r="591" spans="1:41">
      <c r="A591" s="177">
        <f>IFERROR(MATCH(D591,'Measure &amp; Standard CostIDs'!C$5:C$177,0),MATCH(D591,'Measure &amp; Standard CostIDs'!S$5:S$177,0))</f>
        <v>97</v>
      </c>
      <c r="B591" s="177">
        <f t="shared" si="24"/>
        <v>2</v>
      </c>
      <c r="C591" s="103" t="s">
        <v>153</v>
      </c>
      <c r="D591" s="103" t="str">
        <f t="shared" si="25"/>
        <v>Std_CFLscw-Candle(11w)_60pInc-r0248</v>
      </c>
      <c r="E591" s="103" t="str">
        <f>IF(LEFT(D591,3)="Std","Base case cost for mix of 60% Incandescent and 40% CFL lamps for CFL TechID: "&amp;INDEX('Measure &amp; Standard CostIDs'!$C$5:$C$177,A591),"&lt;from TechID&gt;")</f>
        <v>Base case cost for mix of 60% Incandescent and 40% CFL lamps for CFL TechID: CFLscw-Candle(11w)</v>
      </c>
      <c r="F591" s="103" t="s">
        <v>860</v>
      </c>
      <c r="G591" s="103" t="s">
        <v>151</v>
      </c>
      <c r="H591" s="103" t="s">
        <v>861</v>
      </c>
      <c r="I591" s="103" t="s">
        <v>862</v>
      </c>
      <c r="J591" s="103" t="s">
        <v>863</v>
      </c>
      <c r="K591" s="103" t="s">
        <v>864</v>
      </c>
      <c r="L591" s="103" t="s">
        <v>153</v>
      </c>
      <c r="M591" s="103" t="s">
        <v>865</v>
      </c>
      <c r="N591" s="103" t="s">
        <v>866</v>
      </c>
      <c r="O591" s="103" t="str">
        <f t="shared" si="26"/>
        <v/>
      </c>
      <c r="P591" s="103" t="s">
        <v>153</v>
      </c>
      <c r="Q591" s="103" t="s">
        <v>153</v>
      </c>
      <c r="R591" s="103" t="s">
        <v>153</v>
      </c>
      <c r="S591" s="103" t="str">
        <f>INDEX('Measure &amp; Standard CostIDs'!$AK$8:$AK$12,B591)</f>
        <v>Single-pack</v>
      </c>
      <c r="T591" s="103" t="s">
        <v>867</v>
      </c>
      <c r="U591" s="103"/>
      <c r="V591" s="103"/>
      <c r="W591" s="103">
        <f>ROUND(IF(LEFT(D591,3)="Std",VLOOKUP(D591,'Measure &amp; Standard CostIDs'!$S$5:$X$177,1+B591,FALSE),VLOOKUP(D591,'Measure &amp; Standard CostIDs'!$C$5:$H$177,1+B591,FALSE)),2)</f>
        <v>5.99</v>
      </c>
      <c r="X591" s="103"/>
      <c r="Y591" s="103"/>
      <c r="Z591" s="103" t="s">
        <v>868</v>
      </c>
      <c r="AA591" s="103" t="s">
        <v>874</v>
      </c>
      <c r="AB591" s="103" t="s">
        <v>153</v>
      </c>
      <c r="AC591" s="103">
        <v>0</v>
      </c>
      <c r="AD591" s="156">
        <v>42005</v>
      </c>
      <c r="AE591" s="103"/>
      <c r="AF591" s="103" t="s">
        <v>870</v>
      </c>
      <c r="AG591" s="103" t="s">
        <v>871</v>
      </c>
      <c r="AH591" s="103" t="s">
        <v>976</v>
      </c>
      <c r="AI591" s="103">
        <v>0</v>
      </c>
      <c r="AJ591" s="103"/>
      <c r="AK591" s="103"/>
      <c r="AL591" s="103"/>
      <c r="AM591" s="103"/>
      <c r="AN591" s="103"/>
      <c r="AO591" s="103" t="str">
        <f t="shared" si="27"/>
        <v>Std_CFLscw-Candle(11w)_60pInc-r0248Single-pack</v>
      </c>
    </row>
    <row r="592" spans="1:41">
      <c r="A592" s="177">
        <f>IFERROR(MATCH(D592,'Measure &amp; Standard CostIDs'!C$5:C$177,0),MATCH(D592,'Measure &amp; Standard CostIDs'!S$5:S$177,0))</f>
        <v>98</v>
      </c>
      <c r="B592" s="177">
        <f t="shared" ref="B592:B655" si="28">+B262+1</f>
        <v>2</v>
      </c>
      <c r="C592" s="103" t="s">
        <v>153</v>
      </c>
      <c r="D592" s="103" t="str">
        <f t="shared" ref="D592:D655" si="29">+D262</f>
        <v>Std_CFLscw-Candle(12w)_60pInc-r0248</v>
      </c>
      <c r="E592" s="103" t="str">
        <f>IF(LEFT(D592,3)="Std","Base case cost for mix of 60% Incandescent and 40% CFL lamps for CFL TechID: "&amp;INDEX('Measure &amp; Standard CostIDs'!$C$5:$C$177,A592),"&lt;from TechID&gt;")</f>
        <v>Base case cost for mix of 60% Incandescent and 40% CFL lamps for CFL TechID: CFLscw-Candle(12w)</v>
      </c>
      <c r="F592" s="103" t="s">
        <v>860</v>
      </c>
      <c r="G592" s="103" t="s">
        <v>151</v>
      </c>
      <c r="H592" s="103" t="s">
        <v>861</v>
      </c>
      <c r="I592" s="103" t="s">
        <v>862</v>
      </c>
      <c r="J592" s="103" t="s">
        <v>863</v>
      </c>
      <c r="K592" s="103" t="s">
        <v>864</v>
      </c>
      <c r="L592" s="103" t="s">
        <v>153</v>
      </c>
      <c r="M592" s="103" t="s">
        <v>865</v>
      </c>
      <c r="N592" s="103" t="s">
        <v>866</v>
      </c>
      <c r="O592" s="103" t="str">
        <f t="shared" si="26"/>
        <v/>
      </c>
      <c r="P592" s="103" t="s">
        <v>153</v>
      </c>
      <c r="Q592" s="103" t="s">
        <v>153</v>
      </c>
      <c r="R592" s="103" t="s">
        <v>153</v>
      </c>
      <c r="S592" s="103" t="str">
        <f>INDEX('Measure &amp; Standard CostIDs'!$AK$8:$AK$12,B592)</f>
        <v>Single-pack</v>
      </c>
      <c r="T592" s="103" t="s">
        <v>867</v>
      </c>
      <c r="U592" s="103"/>
      <c r="V592" s="103"/>
      <c r="W592" s="103">
        <f>ROUND(IF(LEFT(D592,3)="Std",VLOOKUP(D592,'Measure &amp; Standard CostIDs'!$S$5:$X$177,1+B592,FALSE),VLOOKUP(D592,'Measure &amp; Standard CostIDs'!$C$5:$H$177,1+B592,FALSE)),2)</f>
        <v>6.07</v>
      </c>
      <c r="X592" s="103"/>
      <c r="Y592" s="103"/>
      <c r="Z592" s="103" t="s">
        <v>868</v>
      </c>
      <c r="AA592" s="103" t="s">
        <v>874</v>
      </c>
      <c r="AB592" s="103" t="s">
        <v>153</v>
      </c>
      <c r="AC592" s="103">
        <v>0</v>
      </c>
      <c r="AD592" s="156">
        <v>42005</v>
      </c>
      <c r="AE592" s="103"/>
      <c r="AF592" s="103" t="s">
        <v>870</v>
      </c>
      <c r="AG592" s="103" t="s">
        <v>871</v>
      </c>
      <c r="AH592" s="103" t="s">
        <v>976</v>
      </c>
      <c r="AI592" s="103">
        <v>0</v>
      </c>
      <c r="AJ592" s="103"/>
      <c r="AK592" s="103"/>
      <c r="AL592" s="103"/>
      <c r="AM592" s="103"/>
      <c r="AN592" s="103"/>
      <c r="AO592" s="103" t="str">
        <f t="shared" si="27"/>
        <v>Std_CFLscw-Candle(12w)_60pInc-r0248Single-pack</v>
      </c>
    </row>
    <row r="593" spans="1:41">
      <c r="A593" s="177">
        <f>IFERROR(MATCH(D593,'Measure &amp; Standard CostIDs'!C$5:C$177,0),MATCH(D593,'Measure &amp; Standard CostIDs'!S$5:S$177,0))</f>
        <v>99</v>
      </c>
      <c r="B593" s="177">
        <f t="shared" si="28"/>
        <v>2</v>
      </c>
      <c r="C593" s="103" t="s">
        <v>153</v>
      </c>
      <c r="D593" s="103" t="str">
        <f t="shared" si="29"/>
        <v>Std_CFLscw-Candle(13w)_60pInc-r0248</v>
      </c>
      <c r="E593" s="103" t="str">
        <f>IF(LEFT(D593,3)="Std","Base case cost for mix of 60% Incandescent and 40% CFL lamps for CFL TechID: "&amp;INDEX('Measure &amp; Standard CostIDs'!$C$5:$C$177,A593),"&lt;from TechID&gt;")</f>
        <v>Base case cost for mix of 60% Incandescent and 40% CFL lamps for CFL TechID: CFLscw-Candle(13w)</v>
      </c>
      <c r="F593" s="103" t="s">
        <v>860</v>
      </c>
      <c r="G593" s="103" t="s">
        <v>151</v>
      </c>
      <c r="H593" s="103" t="s">
        <v>861</v>
      </c>
      <c r="I593" s="103" t="s">
        <v>862</v>
      </c>
      <c r="J593" s="103" t="s">
        <v>863</v>
      </c>
      <c r="K593" s="103" t="s">
        <v>864</v>
      </c>
      <c r="L593" s="103" t="s">
        <v>153</v>
      </c>
      <c r="M593" s="103" t="s">
        <v>865</v>
      </c>
      <c r="N593" s="103" t="s">
        <v>866</v>
      </c>
      <c r="O593" s="103" t="str">
        <f t="shared" si="26"/>
        <v/>
      </c>
      <c r="P593" s="103" t="s">
        <v>153</v>
      </c>
      <c r="Q593" s="103" t="s">
        <v>153</v>
      </c>
      <c r="R593" s="103" t="s">
        <v>153</v>
      </c>
      <c r="S593" s="103" t="str">
        <f>INDEX('Measure &amp; Standard CostIDs'!$AK$8:$AK$12,B593)</f>
        <v>Single-pack</v>
      </c>
      <c r="T593" s="103" t="s">
        <v>867</v>
      </c>
      <c r="U593" s="103"/>
      <c r="V593" s="103"/>
      <c r="W593" s="103">
        <f>ROUND(IF(LEFT(D593,3)="Std",VLOOKUP(D593,'Measure &amp; Standard CostIDs'!$S$5:$X$177,1+B593,FALSE),VLOOKUP(D593,'Measure &amp; Standard CostIDs'!$C$5:$H$177,1+B593,FALSE)),2)</f>
        <v>6.15</v>
      </c>
      <c r="X593" s="103"/>
      <c r="Y593" s="103"/>
      <c r="Z593" s="103" t="s">
        <v>868</v>
      </c>
      <c r="AA593" s="103" t="s">
        <v>874</v>
      </c>
      <c r="AB593" s="103" t="s">
        <v>153</v>
      </c>
      <c r="AC593" s="103">
        <v>0</v>
      </c>
      <c r="AD593" s="156">
        <v>42005</v>
      </c>
      <c r="AE593" s="103"/>
      <c r="AF593" s="103" t="s">
        <v>870</v>
      </c>
      <c r="AG593" s="103" t="s">
        <v>871</v>
      </c>
      <c r="AH593" s="103" t="s">
        <v>976</v>
      </c>
      <c r="AI593" s="103">
        <v>0</v>
      </c>
      <c r="AJ593" s="103"/>
      <c r="AK593" s="103"/>
      <c r="AL593" s="103"/>
      <c r="AM593" s="103"/>
      <c r="AN593" s="103"/>
      <c r="AO593" s="103" t="str">
        <f t="shared" si="27"/>
        <v>Std_CFLscw-Candle(13w)_60pInc-r0248Single-pack</v>
      </c>
    </row>
    <row r="594" spans="1:41">
      <c r="A594" s="177">
        <f>IFERROR(MATCH(D594,'Measure &amp; Standard CostIDs'!C$5:C$177,0),MATCH(D594,'Measure &amp; Standard CostIDs'!S$5:S$177,0))</f>
        <v>100</v>
      </c>
      <c r="B594" s="177">
        <f t="shared" si="28"/>
        <v>2</v>
      </c>
      <c r="C594" s="103" t="s">
        <v>153</v>
      </c>
      <c r="D594" s="103" t="str">
        <f t="shared" si="29"/>
        <v>Std_CFLscw-Candle(14w)_60pInc-r0248</v>
      </c>
      <c r="E594" s="103" t="str">
        <f>IF(LEFT(D594,3)="Std","Base case cost for mix of 60% Incandescent and 40% CFL lamps for CFL TechID: "&amp;INDEX('Measure &amp; Standard CostIDs'!$C$5:$C$177,A594),"&lt;from TechID&gt;")</f>
        <v>Base case cost for mix of 60% Incandescent and 40% CFL lamps for CFL TechID: CFLscw-Candle(14w)</v>
      </c>
      <c r="F594" s="103" t="s">
        <v>860</v>
      </c>
      <c r="G594" s="103" t="s">
        <v>151</v>
      </c>
      <c r="H594" s="103" t="s">
        <v>861</v>
      </c>
      <c r="I594" s="103" t="s">
        <v>862</v>
      </c>
      <c r="J594" s="103" t="s">
        <v>863</v>
      </c>
      <c r="K594" s="103" t="s">
        <v>864</v>
      </c>
      <c r="L594" s="103" t="s">
        <v>153</v>
      </c>
      <c r="M594" s="103" t="s">
        <v>865</v>
      </c>
      <c r="N594" s="103" t="s">
        <v>866</v>
      </c>
      <c r="O594" s="103" t="str">
        <f t="shared" si="26"/>
        <v/>
      </c>
      <c r="P594" s="103" t="s">
        <v>153</v>
      </c>
      <c r="Q594" s="103" t="s">
        <v>153</v>
      </c>
      <c r="R594" s="103" t="s">
        <v>153</v>
      </c>
      <c r="S594" s="103" t="str">
        <f>INDEX('Measure &amp; Standard CostIDs'!$AK$8:$AK$12,B594)</f>
        <v>Single-pack</v>
      </c>
      <c r="T594" s="103" t="s">
        <v>867</v>
      </c>
      <c r="U594" s="103"/>
      <c r="V594" s="103"/>
      <c r="W594" s="103">
        <f>ROUND(IF(LEFT(D594,3)="Std",VLOOKUP(D594,'Measure &amp; Standard CostIDs'!$S$5:$X$177,1+B594,FALSE),VLOOKUP(D594,'Measure &amp; Standard CostIDs'!$C$5:$H$177,1+B594,FALSE)),2)</f>
        <v>6.23</v>
      </c>
      <c r="X594" s="103"/>
      <c r="Y594" s="103"/>
      <c r="Z594" s="103" t="s">
        <v>868</v>
      </c>
      <c r="AA594" s="103" t="s">
        <v>874</v>
      </c>
      <c r="AB594" s="103" t="s">
        <v>153</v>
      </c>
      <c r="AC594" s="103">
        <v>0</v>
      </c>
      <c r="AD594" s="156">
        <v>42005</v>
      </c>
      <c r="AE594" s="103"/>
      <c r="AF594" s="103" t="s">
        <v>870</v>
      </c>
      <c r="AG594" s="103" t="s">
        <v>871</v>
      </c>
      <c r="AH594" s="103" t="s">
        <v>976</v>
      </c>
      <c r="AI594" s="103">
        <v>0</v>
      </c>
      <c r="AJ594" s="103"/>
      <c r="AK594" s="103"/>
      <c r="AL594" s="103"/>
      <c r="AM594" s="103"/>
      <c r="AN594" s="103"/>
      <c r="AO594" s="103" t="str">
        <f t="shared" si="27"/>
        <v>Std_CFLscw-Candle(14w)_60pInc-r0248Single-pack</v>
      </c>
    </row>
    <row r="595" spans="1:41">
      <c r="A595" s="177">
        <f>IFERROR(MATCH(D595,'Measure &amp; Standard CostIDs'!C$5:C$177,0),MATCH(D595,'Measure &amp; Standard CostIDs'!S$5:S$177,0))</f>
        <v>101</v>
      </c>
      <c r="B595" s="177">
        <f t="shared" si="28"/>
        <v>2</v>
      </c>
      <c r="C595" s="103" t="s">
        <v>153</v>
      </c>
      <c r="D595" s="103" t="str">
        <f t="shared" si="29"/>
        <v>Std_CFLscw-Candle(15w)_60pInc-r0248</v>
      </c>
      <c r="E595" s="103" t="str">
        <f>IF(LEFT(D595,3)="Std","Base case cost for mix of 60% Incandescent and 40% CFL lamps for CFL TechID: "&amp;INDEX('Measure &amp; Standard CostIDs'!$C$5:$C$177,A595),"&lt;from TechID&gt;")</f>
        <v>Base case cost for mix of 60% Incandescent and 40% CFL lamps for CFL TechID: CFLscw-Candle(15w)</v>
      </c>
      <c r="F595" s="103" t="s">
        <v>860</v>
      </c>
      <c r="G595" s="103" t="s">
        <v>151</v>
      </c>
      <c r="H595" s="103" t="s">
        <v>861</v>
      </c>
      <c r="I595" s="103" t="s">
        <v>862</v>
      </c>
      <c r="J595" s="103" t="s">
        <v>863</v>
      </c>
      <c r="K595" s="103" t="s">
        <v>864</v>
      </c>
      <c r="L595" s="103" t="s">
        <v>153</v>
      </c>
      <c r="M595" s="103" t="s">
        <v>865</v>
      </c>
      <c r="N595" s="103" t="s">
        <v>866</v>
      </c>
      <c r="O595" s="103" t="str">
        <f t="shared" si="26"/>
        <v/>
      </c>
      <c r="P595" s="103" t="s">
        <v>153</v>
      </c>
      <c r="Q595" s="103" t="s">
        <v>153</v>
      </c>
      <c r="R595" s="103" t="s">
        <v>153</v>
      </c>
      <c r="S595" s="103" t="str">
        <f>INDEX('Measure &amp; Standard CostIDs'!$AK$8:$AK$12,B595)</f>
        <v>Single-pack</v>
      </c>
      <c r="T595" s="103" t="s">
        <v>867</v>
      </c>
      <c r="U595" s="103"/>
      <c r="V595" s="103"/>
      <c r="W595" s="103">
        <f>ROUND(IF(LEFT(D595,3)="Std",VLOOKUP(D595,'Measure &amp; Standard CostIDs'!$S$5:$X$177,1+B595,FALSE),VLOOKUP(D595,'Measure &amp; Standard CostIDs'!$C$5:$H$177,1+B595,FALSE)),2)</f>
        <v>6.32</v>
      </c>
      <c r="X595" s="103"/>
      <c r="Y595" s="103"/>
      <c r="Z595" s="103" t="s">
        <v>868</v>
      </c>
      <c r="AA595" s="103" t="s">
        <v>874</v>
      </c>
      <c r="AB595" s="103" t="s">
        <v>153</v>
      </c>
      <c r="AC595" s="103">
        <v>0</v>
      </c>
      <c r="AD595" s="156">
        <v>42005</v>
      </c>
      <c r="AE595" s="103"/>
      <c r="AF595" s="103" t="s">
        <v>870</v>
      </c>
      <c r="AG595" s="103" t="s">
        <v>871</v>
      </c>
      <c r="AH595" s="103" t="s">
        <v>976</v>
      </c>
      <c r="AI595" s="103">
        <v>0</v>
      </c>
      <c r="AJ595" s="103"/>
      <c r="AK595" s="103"/>
      <c r="AL595" s="103"/>
      <c r="AM595" s="103"/>
      <c r="AN595" s="103"/>
      <c r="AO595" s="103" t="str">
        <f t="shared" si="27"/>
        <v>Std_CFLscw-Candle(15w)_60pInc-r0248Single-pack</v>
      </c>
    </row>
    <row r="596" spans="1:41">
      <c r="A596" s="177">
        <f>IFERROR(MATCH(D596,'Measure &amp; Standard CostIDs'!C$5:C$177,0),MATCH(D596,'Measure &amp; Standard CostIDs'!S$5:S$177,0))</f>
        <v>102</v>
      </c>
      <c r="B596" s="177">
        <f t="shared" si="28"/>
        <v>2</v>
      </c>
      <c r="C596" s="103" t="s">
        <v>153</v>
      </c>
      <c r="D596" s="103" t="str">
        <f t="shared" si="29"/>
        <v>Std_CFLscw-Candle(7w)_60pInc-r0248</v>
      </c>
      <c r="E596" s="103" t="str">
        <f>IF(LEFT(D596,3)="Std","Base case cost for mix of 60% Incandescent and 40% CFL lamps for CFL TechID: "&amp;INDEX('Measure &amp; Standard CostIDs'!$C$5:$C$177,A596),"&lt;from TechID&gt;")</f>
        <v>Base case cost for mix of 60% Incandescent and 40% CFL lamps for CFL TechID: CFLscw-Candle(7w)</v>
      </c>
      <c r="F596" s="103" t="s">
        <v>860</v>
      </c>
      <c r="G596" s="103" t="s">
        <v>151</v>
      </c>
      <c r="H596" s="103" t="s">
        <v>861</v>
      </c>
      <c r="I596" s="103" t="s">
        <v>862</v>
      </c>
      <c r="J596" s="103" t="s">
        <v>863</v>
      </c>
      <c r="K596" s="103" t="s">
        <v>864</v>
      </c>
      <c r="L596" s="103" t="s">
        <v>153</v>
      </c>
      <c r="M596" s="103" t="s">
        <v>865</v>
      </c>
      <c r="N596" s="103" t="s">
        <v>866</v>
      </c>
      <c r="O596" s="103" t="str">
        <f t="shared" si="26"/>
        <v/>
      </c>
      <c r="P596" s="103" t="s">
        <v>153</v>
      </c>
      <c r="Q596" s="103" t="s">
        <v>153</v>
      </c>
      <c r="R596" s="103" t="s">
        <v>153</v>
      </c>
      <c r="S596" s="103" t="str">
        <f>INDEX('Measure &amp; Standard CostIDs'!$AK$8:$AK$12,B596)</f>
        <v>Single-pack</v>
      </c>
      <c r="T596" s="103" t="s">
        <v>867</v>
      </c>
      <c r="U596" s="103"/>
      <c r="V596" s="103"/>
      <c r="W596" s="103">
        <f>ROUND(IF(LEFT(D596,3)="Std",VLOOKUP(D596,'Measure &amp; Standard CostIDs'!$S$5:$X$177,1+B596,FALSE),VLOOKUP(D596,'Measure &amp; Standard CostIDs'!$C$5:$H$177,1+B596,FALSE)),2)</f>
        <v>5.67</v>
      </c>
      <c r="X596" s="103"/>
      <c r="Y596" s="103"/>
      <c r="Z596" s="103" t="s">
        <v>868</v>
      </c>
      <c r="AA596" s="103" t="s">
        <v>874</v>
      </c>
      <c r="AB596" s="103" t="s">
        <v>153</v>
      </c>
      <c r="AC596" s="103">
        <v>0</v>
      </c>
      <c r="AD596" s="156">
        <v>42005</v>
      </c>
      <c r="AE596" s="103"/>
      <c r="AF596" s="103" t="s">
        <v>870</v>
      </c>
      <c r="AG596" s="103" t="s">
        <v>871</v>
      </c>
      <c r="AH596" s="103" t="s">
        <v>976</v>
      </c>
      <c r="AI596" s="103">
        <v>0</v>
      </c>
      <c r="AJ596" s="103"/>
      <c r="AK596" s="103"/>
      <c r="AL596" s="103"/>
      <c r="AM596" s="103"/>
      <c r="AN596" s="103"/>
      <c r="AO596" s="103" t="str">
        <f t="shared" si="27"/>
        <v>Std_CFLscw-Candle(7w)_60pInc-r0248Single-pack</v>
      </c>
    </row>
    <row r="597" spans="1:41">
      <c r="A597" s="177">
        <f>IFERROR(MATCH(D597,'Measure &amp; Standard CostIDs'!C$5:C$177,0),MATCH(D597,'Measure &amp; Standard CostIDs'!S$5:S$177,0))</f>
        <v>103</v>
      </c>
      <c r="B597" s="177">
        <f t="shared" si="28"/>
        <v>2</v>
      </c>
      <c r="C597" s="103" t="s">
        <v>153</v>
      </c>
      <c r="D597" s="103" t="str">
        <f t="shared" si="29"/>
        <v>Std_CFLscw-Candle(8w)_60pInc-r0248</v>
      </c>
      <c r="E597" s="103" t="str">
        <f>IF(LEFT(D597,3)="Std","Base case cost for mix of 60% Incandescent and 40% CFL lamps for CFL TechID: "&amp;INDEX('Measure &amp; Standard CostIDs'!$C$5:$C$177,A597),"&lt;from TechID&gt;")</f>
        <v>Base case cost for mix of 60% Incandescent and 40% CFL lamps for CFL TechID: CFLscw-Candle(8w)</v>
      </c>
      <c r="F597" s="103" t="s">
        <v>860</v>
      </c>
      <c r="G597" s="103" t="s">
        <v>151</v>
      </c>
      <c r="H597" s="103" t="s">
        <v>861</v>
      </c>
      <c r="I597" s="103" t="s">
        <v>862</v>
      </c>
      <c r="J597" s="103" t="s">
        <v>863</v>
      </c>
      <c r="K597" s="103" t="s">
        <v>864</v>
      </c>
      <c r="L597" s="103" t="s">
        <v>153</v>
      </c>
      <c r="M597" s="103" t="s">
        <v>865</v>
      </c>
      <c r="N597" s="103" t="s">
        <v>866</v>
      </c>
      <c r="O597" s="103" t="str">
        <f t="shared" si="26"/>
        <v/>
      </c>
      <c r="P597" s="103" t="s">
        <v>153</v>
      </c>
      <c r="Q597" s="103" t="s">
        <v>153</v>
      </c>
      <c r="R597" s="103" t="s">
        <v>153</v>
      </c>
      <c r="S597" s="103" t="str">
        <f>INDEX('Measure &amp; Standard CostIDs'!$AK$8:$AK$12,B597)</f>
        <v>Single-pack</v>
      </c>
      <c r="T597" s="103" t="s">
        <v>867</v>
      </c>
      <c r="U597" s="103"/>
      <c r="V597" s="103"/>
      <c r="W597" s="103">
        <f>ROUND(IF(LEFT(D597,3)="Std",VLOOKUP(D597,'Measure &amp; Standard CostIDs'!$S$5:$X$177,1+B597,FALSE),VLOOKUP(D597,'Measure &amp; Standard CostIDs'!$C$5:$H$177,1+B597,FALSE)),2)</f>
        <v>5.75</v>
      </c>
      <c r="X597" s="103"/>
      <c r="Y597" s="103"/>
      <c r="Z597" s="103" t="s">
        <v>868</v>
      </c>
      <c r="AA597" s="103" t="s">
        <v>874</v>
      </c>
      <c r="AB597" s="103" t="s">
        <v>153</v>
      </c>
      <c r="AC597" s="103">
        <v>0</v>
      </c>
      <c r="AD597" s="156">
        <v>42005</v>
      </c>
      <c r="AE597" s="103"/>
      <c r="AF597" s="103" t="s">
        <v>870</v>
      </c>
      <c r="AG597" s="103" t="s">
        <v>871</v>
      </c>
      <c r="AH597" s="103" t="s">
        <v>976</v>
      </c>
      <c r="AI597" s="103">
        <v>0</v>
      </c>
      <c r="AJ597" s="103"/>
      <c r="AK597" s="103"/>
      <c r="AL597" s="103"/>
      <c r="AM597" s="103"/>
      <c r="AN597" s="103"/>
      <c r="AO597" s="103" t="str">
        <f t="shared" si="27"/>
        <v>Std_CFLscw-Candle(8w)_60pInc-r0248Single-pack</v>
      </c>
    </row>
    <row r="598" spans="1:41">
      <c r="A598" s="177">
        <f>IFERROR(MATCH(D598,'Measure &amp; Standard CostIDs'!C$5:C$177,0),MATCH(D598,'Measure &amp; Standard CostIDs'!S$5:S$177,0))</f>
        <v>104</v>
      </c>
      <c r="B598" s="177">
        <f t="shared" si="28"/>
        <v>2</v>
      </c>
      <c r="C598" s="103" t="s">
        <v>153</v>
      </c>
      <c r="D598" s="103" t="str">
        <f t="shared" si="29"/>
        <v>Std_CFLscw-Candle(9w)_60pInc-r0248</v>
      </c>
      <c r="E598" s="103" t="str">
        <f>IF(LEFT(D598,3)="Std","Base case cost for mix of 60% Incandescent and 40% CFL lamps for CFL TechID: "&amp;INDEX('Measure &amp; Standard CostIDs'!$C$5:$C$177,A598),"&lt;from TechID&gt;")</f>
        <v>Base case cost for mix of 60% Incandescent and 40% CFL lamps for CFL TechID: CFLscw-Candle(9w)</v>
      </c>
      <c r="F598" s="103" t="s">
        <v>860</v>
      </c>
      <c r="G598" s="103" t="s">
        <v>151</v>
      </c>
      <c r="H598" s="103" t="s">
        <v>861</v>
      </c>
      <c r="I598" s="103" t="s">
        <v>862</v>
      </c>
      <c r="J598" s="103" t="s">
        <v>863</v>
      </c>
      <c r="K598" s="103" t="s">
        <v>864</v>
      </c>
      <c r="L598" s="103" t="s">
        <v>153</v>
      </c>
      <c r="M598" s="103" t="s">
        <v>865</v>
      </c>
      <c r="N598" s="103" t="s">
        <v>866</v>
      </c>
      <c r="O598" s="103" t="str">
        <f t="shared" si="26"/>
        <v/>
      </c>
      <c r="P598" s="103" t="s">
        <v>153</v>
      </c>
      <c r="Q598" s="103" t="s">
        <v>153</v>
      </c>
      <c r="R598" s="103" t="s">
        <v>153</v>
      </c>
      <c r="S598" s="103" t="str">
        <f>INDEX('Measure &amp; Standard CostIDs'!$AK$8:$AK$12,B598)</f>
        <v>Single-pack</v>
      </c>
      <c r="T598" s="103" t="s">
        <v>867</v>
      </c>
      <c r="U598" s="103"/>
      <c r="V598" s="103"/>
      <c r="W598" s="103">
        <f>ROUND(IF(LEFT(D598,3)="Std",VLOOKUP(D598,'Measure &amp; Standard CostIDs'!$S$5:$X$177,1+B598,FALSE),VLOOKUP(D598,'Measure &amp; Standard CostIDs'!$C$5:$H$177,1+B598,FALSE)),2)</f>
        <v>5.83</v>
      </c>
      <c r="X598" s="103"/>
      <c r="Y598" s="103"/>
      <c r="Z598" s="103" t="s">
        <v>868</v>
      </c>
      <c r="AA598" s="103" t="s">
        <v>874</v>
      </c>
      <c r="AB598" s="103" t="s">
        <v>153</v>
      </c>
      <c r="AC598" s="103">
        <v>0</v>
      </c>
      <c r="AD598" s="156">
        <v>42005</v>
      </c>
      <c r="AE598" s="103"/>
      <c r="AF598" s="103" t="s">
        <v>870</v>
      </c>
      <c r="AG598" s="103" t="s">
        <v>871</v>
      </c>
      <c r="AH598" s="103" t="s">
        <v>976</v>
      </c>
      <c r="AI598" s="103">
        <v>0</v>
      </c>
      <c r="AJ598" s="103"/>
      <c r="AK598" s="103"/>
      <c r="AL598" s="103"/>
      <c r="AM598" s="103"/>
      <c r="AN598" s="103"/>
      <c r="AO598" s="103" t="str">
        <f t="shared" si="27"/>
        <v>Std_CFLscw-Candle(9w)_60pInc-r0248Single-pack</v>
      </c>
    </row>
    <row r="599" spans="1:41">
      <c r="A599" s="177">
        <f>IFERROR(MATCH(D599,'Measure &amp; Standard CostIDs'!C$5:C$177,0),MATCH(D599,'Measure &amp; Standard CostIDs'!S$5:S$177,0))</f>
        <v>105</v>
      </c>
      <c r="B599" s="177">
        <f t="shared" si="28"/>
        <v>2</v>
      </c>
      <c r="C599" s="103" t="s">
        <v>153</v>
      </c>
      <c r="D599" s="103" t="str">
        <f t="shared" si="29"/>
        <v>Std_CFLscw-Dim(10w)_60pInc-r0248</v>
      </c>
      <c r="E599" s="103" t="str">
        <f>IF(LEFT(D599,3)="Std","Base case cost for mix of 60% Incandescent and 40% CFL lamps for CFL TechID: "&amp;INDEX('Measure &amp; Standard CostIDs'!$C$5:$C$177,A599),"&lt;from TechID&gt;")</f>
        <v>Base case cost for mix of 60% Incandescent and 40% CFL lamps for CFL TechID: CFLscw-Dim(10w)</v>
      </c>
      <c r="F599" s="103" t="s">
        <v>860</v>
      </c>
      <c r="G599" s="103" t="s">
        <v>151</v>
      </c>
      <c r="H599" s="103" t="s">
        <v>861</v>
      </c>
      <c r="I599" s="103" t="s">
        <v>862</v>
      </c>
      <c r="J599" s="103" t="s">
        <v>863</v>
      </c>
      <c r="K599" s="103" t="s">
        <v>864</v>
      </c>
      <c r="L599" s="103" t="s">
        <v>153</v>
      </c>
      <c r="M599" s="103" t="s">
        <v>865</v>
      </c>
      <c r="N599" s="103" t="s">
        <v>866</v>
      </c>
      <c r="O599" s="103" t="str">
        <f t="shared" si="26"/>
        <v/>
      </c>
      <c r="P599" s="103" t="s">
        <v>153</v>
      </c>
      <c r="Q599" s="103" t="s">
        <v>153</v>
      </c>
      <c r="R599" s="103" t="s">
        <v>153</v>
      </c>
      <c r="S599" s="103" t="str">
        <f>INDEX('Measure &amp; Standard CostIDs'!$AK$8:$AK$12,B599)</f>
        <v>Single-pack</v>
      </c>
      <c r="T599" s="103" t="s">
        <v>867</v>
      </c>
      <c r="U599" s="103"/>
      <c r="V599" s="103"/>
      <c r="W599" s="103">
        <f>ROUND(IF(LEFT(D599,3)="Std",VLOOKUP(D599,'Measure &amp; Standard CostIDs'!$S$5:$X$177,1+B599,FALSE),VLOOKUP(D599,'Measure &amp; Standard CostIDs'!$C$5:$H$177,1+B599,FALSE)),2)</f>
        <v>6.23</v>
      </c>
      <c r="X599" s="103"/>
      <c r="Y599" s="103"/>
      <c r="Z599" s="103" t="s">
        <v>868</v>
      </c>
      <c r="AA599" s="103" t="s">
        <v>874</v>
      </c>
      <c r="AB599" s="103" t="s">
        <v>153</v>
      </c>
      <c r="AC599" s="103">
        <v>0</v>
      </c>
      <c r="AD599" s="156">
        <v>42005</v>
      </c>
      <c r="AE599" s="103"/>
      <c r="AF599" s="103" t="s">
        <v>870</v>
      </c>
      <c r="AG599" s="103" t="s">
        <v>871</v>
      </c>
      <c r="AH599" s="103" t="s">
        <v>976</v>
      </c>
      <c r="AI599" s="103">
        <v>0</v>
      </c>
      <c r="AJ599" s="103"/>
      <c r="AK599" s="103"/>
      <c r="AL599" s="103"/>
      <c r="AM599" s="103"/>
      <c r="AN599" s="103"/>
      <c r="AO599" s="103" t="str">
        <f t="shared" si="27"/>
        <v>Std_CFLscw-Dim(10w)_60pInc-r0248Single-pack</v>
      </c>
    </row>
    <row r="600" spans="1:41">
      <c r="A600" s="177">
        <f>IFERROR(MATCH(D600,'Measure &amp; Standard CostIDs'!C$5:C$177,0),MATCH(D600,'Measure &amp; Standard CostIDs'!S$5:S$177,0))</f>
        <v>106</v>
      </c>
      <c r="B600" s="177">
        <f t="shared" si="28"/>
        <v>2</v>
      </c>
      <c r="C600" s="103" t="s">
        <v>153</v>
      </c>
      <c r="D600" s="103" t="str">
        <f t="shared" si="29"/>
        <v>Std_CFLscw-Dim(11w)_60pInc-r0248</v>
      </c>
      <c r="E600" s="103" t="str">
        <f>IF(LEFT(D600,3)="Std","Base case cost for mix of 60% Incandescent and 40% CFL lamps for CFL TechID: "&amp;INDEX('Measure &amp; Standard CostIDs'!$C$5:$C$177,A600),"&lt;from TechID&gt;")</f>
        <v>Base case cost for mix of 60% Incandescent and 40% CFL lamps for CFL TechID: CFLscw-Dim(11w)</v>
      </c>
      <c r="F600" s="103" t="s">
        <v>860</v>
      </c>
      <c r="G600" s="103" t="s">
        <v>151</v>
      </c>
      <c r="H600" s="103" t="s">
        <v>861</v>
      </c>
      <c r="I600" s="103" t="s">
        <v>862</v>
      </c>
      <c r="J600" s="103" t="s">
        <v>863</v>
      </c>
      <c r="K600" s="103" t="s">
        <v>864</v>
      </c>
      <c r="L600" s="103" t="s">
        <v>153</v>
      </c>
      <c r="M600" s="103" t="s">
        <v>865</v>
      </c>
      <c r="N600" s="103" t="s">
        <v>866</v>
      </c>
      <c r="O600" s="103" t="str">
        <f t="shared" si="26"/>
        <v/>
      </c>
      <c r="P600" s="103" t="s">
        <v>153</v>
      </c>
      <c r="Q600" s="103" t="s">
        <v>153</v>
      </c>
      <c r="R600" s="103" t="s">
        <v>153</v>
      </c>
      <c r="S600" s="103" t="str">
        <f>INDEX('Measure &amp; Standard CostIDs'!$AK$8:$AK$12,B600)</f>
        <v>Single-pack</v>
      </c>
      <c r="T600" s="103" t="s">
        <v>867</v>
      </c>
      <c r="U600" s="103"/>
      <c r="V600" s="103"/>
      <c r="W600" s="103">
        <f>ROUND(IF(LEFT(D600,3)="Std",VLOOKUP(D600,'Measure &amp; Standard CostIDs'!$S$5:$X$177,1+B600,FALSE),VLOOKUP(D600,'Measure &amp; Standard CostIDs'!$C$5:$H$177,1+B600,FALSE)),2)</f>
        <v>6.27</v>
      </c>
      <c r="X600" s="103"/>
      <c r="Y600" s="103"/>
      <c r="Z600" s="103" t="s">
        <v>868</v>
      </c>
      <c r="AA600" s="103" t="s">
        <v>874</v>
      </c>
      <c r="AB600" s="103" t="s">
        <v>153</v>
      </c>
      <c r="AC600" s="103">
        <v>0</v>
      </c>
      <c r="AD600" s="156">
        <v>42005</v>
      </c>
      <c r="AE600" s="103"/>
      <c r="AF600" s="103" t="s">
        <v>870</v>
      </c>
      <c r="AG600" s="103" t="s">
        <v>871</v>
      </c>
      <c r="AH600" s="103" t="s">
        <v>976</v>
      </c>
      <c r="AI600" s="103">
        <v>0</v>
      </c>
      <c r="AJ600" s="103"/>
      <c r="AK600" s="103"/>
      <c r="AL600" s="103"/>
      <c r="AM600" s="103"/>
      <c r="AN600" s="103"/>
      <c r="AO600" s="103" t="str">
        <f t="shared" si="27"/>
        <v>Std_CFLscw-Dim(11w)_60pInc-r0248Single-pack</v>
      </c>
    </row>
    <row r="601" spans="1:41">
      <c r="A601" s="177">
        <f>IFERROR(MATCH(D601,'Measure &amp; Standard CostIDs'!C$5:C$177,0),MATCH(D601,'Measure &amp; Standard CostIDs'!S$5:S$177,0))</f>
        <v>107</v>
      </c>
      <c r="B601" s="177">
        <f t="shared" si="28"/>
        <v>2</v>
      </c>
      <c r="C601" s="103" t="s">
        <v>153</v>
      </c>
      <c r="D601" s="103" t="str">
        <f t="shared" si="29"/>
        <v>Std_CFLscw-Dim(14w)_60pInc-r0248</v>
      </c>
      <c r="E601" s="103" t="str">
        <f>IF(LEFT(D601,3)="Std","Base case cost for mix of 60% Incandescent and 40% CFL lamps for CFL TechID: "&amp;INDEX('Measure &amp; Standard CostIDs'!$C$5:$C$177,A601),"&lt;from TechID&gt;")</f>
        <v>Base case cost for mix of 60% Incandescent and 40% CFL lamps for CFL TechID: CFLscw-Dim(14w)</v>
      </c>
      <c r="F601" s="103" t="s">
        <v>860</v>
      </c>
      <c r="G601" s="103" t="s">
        <v>151</v>
      </c>
      <c r="H601" s="103" t="s">
        <v>861</v>
      </c>
      <c r="I601" s="103" t="s">
        <v>862</v>
      </c>
      <c r="J601" s="103" t="s">
        <v>863</v>
      </c>
      <c r="K601" s="103" t="s">
        <v>864</v>
      </c>
      <c r="L601" s="103" t="s">
        <v>153</v>
      </c>
      <c r="M601" s="103" t="s">
        <v>865</v>
      </c>
      <c r="N601" s="103" t="s">
        <v>866</v>
      </c>
      <c r="O601" s="103" t="str">
        <f t="shared" si="26"/>
        <v/>
      </c>
      <c r="P601" s="103" t="s">
        <v>153</v>
      </c>
      <c r="Q601" s="103" t="s">
        <v>153</v>
      </c>
      <c r="R601" s="103" t="s">
        <v>153</v>
      </c>
      <c r="S601" s="103" t="str">
        <f>INDEX('Measure &amp; Standard CostIDs'!$AK$8:$AK$12,B601)</f>
        <v>Single-pack</v>
      </c>
      <c r="T601" s="103" t="s">
        <v>867</v>
      </c>
      <c r="U601" s="103"/>
      <c r="V601" s="103"/>
      <c r="W601" s="103">
        <f>ROUND(IF(LEFT(D601,3)="Std",VLOOKUP(D601,'Measure &amp; Standard CostIDs'!$S$5:$X$177,1+B601,FALSE),VLOOKUP(D601,'Measure &amp; Standard CostIDs'!$C$5:$H$177,1+B601,FALSE)),2)</f>
        <v>6.41</v>
      </c>
      <c r="X601" s="103"/>
      <c r="Y601" s="103"/>
      <c r="Z601" s="103" t="s">
        <v>868</v>
      </c>
      <c r="AA601" s="103" t="s">
        <v>874</v>
      </c>
      <c r="AB601" s="103" t="s">
        <v>153</v>
      </c>
      <c r="AC601" s="103">
        <v>0</v>
      </c>
      <c r="AD601" s="156">
        <v>42005</v>
      </c>
      <c r="AE601" s="103"/>
      <c r="AF601" s="103" t="s">
        <v>870</v>
      </c>
      <c r="AG601" s="103" t="s">
        <v>871</v>
      </c>
      <c r="AH601" s="103" t="s">
        <v>976</v>
      </c>
      <c r="AI601" s="103">
        <v>0</v>
      </c>
      <c r="AJ601" s="103"/>
      <c r="AK601" s="103"/>
      <c r="AL601" s="103"/>
      <c r="AM601" s="103"/>
      <c r="AN601" s="103"/>
      <c r="AO601" s="103" t="str">
        <f t="shared" si="27"/>
        <v>Std_CFLscw-Dim(14w)_60pInc-r0248Single-pack</v>
      </c>
    </row>
    <row r="602" spans="1:41">
      <c r="A602" s="177">
        <f>IFERROR(MATCH(D602,'Measure &amp; Standard CostIDs'!C$5:C$177,0),MATCH(D602,'Measure &amp; Standard CostIDs'!S$5:S$177,0))</f>
        <v>108</v>
      </c>
      <c r="B602" s="177">
        <f t="shared" si="28"/>
        <v>2</v>
      </c>
      <c r="C602" s="103" t="s">
        <v>153</v>
      </c>
      <c r="D602" s="103" t="str">
        <f t="shared" si="29"/>
        <v>Std_CFLscw-Dim(15w)_60pInc-r0248</v>
      </c>
      <c r="E602" s="103" t="str">
        <f>IF(LEFT(D602,3)="Std","Base case cost for mix of 60% Incandescent and 40% CFL lamps for CFL TechID: "&amp;INDEX('Measure &amp; Standard CostIDs'!$C$5:$C$177,A602),"&lt;from TechID&gt;")</f>
        <v>Base case cost for mix of 60% Incandescent and 40% CFL lamps for CFL TechID: CFLscw-Dim(15w)</v>
      </c>
      <c r="F602" s="103" t="s">
        <v>860</v>
      </c>
      <c r="G602" s="103" t="s">
        <v>151</v>
      </c>
      <c r="H602" s="103" t="s">
        <v>861</v>
      </c>
      <c r="I602" s="103" t="s">
        <v>862</v>
      </c>
      <c r="J602" s="103" t="s">
        <v>863</v>
      </c>
      <c r="K602" s="103" t="s">
        <v>864</v>
      </c>
      <c r="L602" s="103" t="s">
        <v>153</v>
      </c>
      <c r="M602" s="103" t="s">
        <v>865</v>
      </c>
      <c r="N602" s="103" t="s">
        <v>866</v>
      </c>
      <c r="O602" s="103" t="str">
        <f t="shared" si="26"/>
        <v/>
      </c>
      <c r="P602" s="103" t="s">
        <v>153</v>
      </c>
      <c r="Q602" s="103" t="s">
        <v>153</v>
      </c>
      <c r="R602" s="103" t="s">
        <v>153</v>
      </c>
      <c r="S602" s="103" t="str">
        <f>INDEX('Measure &amp; Standard CostIDs'!$AK$8:$AK$12,B602)</f>
        <v>Single-pack</v>
      </c>
      <c r="T602" s="103" t="s">
        <v>867</v>
      </c>
      <c r="U602" s="103"/>
      <c r="V602" s="103"/>
      <c r="W602" s="103">
        <f>ROUND(IF(LEFT(D602,3)="Std",VLOOKUP(D602,'Measure &amp; Standard CostIDs'!$S$5:$X$177,1+B602,FALSE),VLOOKUP(D602,'Measure &amp; Standard CostIDs'!$C$5:$H$177,1+B602,FALSE)),2)</f>
        <v>6.45</v>
      </c>
      <c r="X602" s="103"/>
      <c r="Y602" s="103"/>
      <c r="Z602" s="103" t="s">
        <v>868</v>
      </c>
      <c r="AA602" s="103" t="s">
        <v>874</v>
      </c>
      <c r="AB602" s="103" t="s">
        <v>153</v>
      </c>
      <c r="AC602" s="103">
        <v>0</v>
      </c>
      <c r="AD602" s="156">
        <v>42005</v>
      </c>
      <c r="AE602" s="103"/>
      <c r="AF602" s="103" t="s">
        <v>870</v>
      </c>
      <c r="AG602" s="103" t="s">
        <v>871</v>
      </c>
      <c r="AH602" s="103" t="s">
        <v>976</v>
      </c>
      <c r="AI602" s="103">
        <v>0</v>
      </c>
      <c r="AJ602" s="103"/>
      <c r="AK602" s="103"/>
      <c r="AL602" s="103"/>
      <c r="AM602" s="103"/>
      <c r="AN602" s="103"/>
      <c r="AO602" s="103" t="str">
        <f t="shared" si="27"/>
        <v>Std_CFLscw-Dim(15w)_60pInc-r0248Single-pack</v>
      </c>
    </row>
    <row r="603" spans="1:41">
      <c r="A603" s="177">
        <f>IFERROR(MATCH(D603,'Measure &amp; Standard CostIDs'!C$5:C$177,0),MATCH(D603,'Measure &amp; Standard CostIDs'!S$5:S$177,0))</f>
        <v>109</v>
      </c>
      <c r="B603" s="177">
        <f t="shared" si="28"/>
        <v>2</v>
      </c>
      <c r="C603" s="103" t="s">
        <v>153</v>
      </c>
      <c r="D603" s="103" t="str">
        <f t="shared" si="29"/>
        <v>Std_CFLscw-Dim(16w)_60pInc-r0248</v>
      </c>
      <c r="E603" s="103" t="str">
        <f>IF(LEFT(D603,3)="Std","Base case cost for mix of 60% Incandescent and 40% CFL lamps for CFL TechID: "&amp;INDEX('Measure &amp; Standard CostIDs'!$C$5:$C$177,A603),"&lt;from TechID&gt;")</f>
        <v>Base case cost for mix of 60% Incandescent and 40% CFL lamps for CFL TechID: CFLscw-Dim(16w)</v>
      </c>
      <c r="F603" s="103" t="s">
        <v>860</v>
      </c>
      <c r="G603" s="103" t="s">
        <v>151</v>
      </c>
      <c r="H603" s="103" t="s">
        <v>861</v>
      </c>
      <c r="I603" s="103" t="s">
        <v>862</v>
      </c>
      <c r="J603" s="103" t="s">
        <v>863</v>
      </c>
      <c r="K603" s="103" t="s">
        <v>864</v>
      </c>
      <c r="L603" s="103" t="s">
        <v>153</v>
      </c>
      <c r="M603" s="103" t="s">
        <v>865</v>
      </c>
      <c r="N603" s="103" t="s">
        <v>866</v>
      </c>
      <c r="O603" s="103" t="str">
        <f t="shared" si="26"/>
        <v/>
      </c>
      <c r="P603" s="103" t="s">
        <v>153</v>
      </c>
      <c r="Q603" s="103" t="s">
        <v>153</v>
      </c>
      <c r="R603" s="103" t="s">
        <v>153</v>
      </c>
      <c r="S603" s="103" t="str">
        <f>INDEX('Measure &amp; Standard CostIDs'!$AK$8:$AK$12,B603)</f>
        <v>Single-pack</v>
      </c>
      <c r="T603" s="103" t="s">
        <v>867</v>
      </c>
      <c r="U603" s="103"/>
      <c r="V603" s="103"/>
      <c r="W603" s="103">
        <f>ROUND(IF(LEFT(D603,3)="Std",VLOOKUP(D603,'Measure &amp; Standard CostIDs'!$S$5:$X$177,1+B603,FALSE),VLOOKUP(D603,'Measure &amp; Standard CostIDs'!$C$5:$H$177,1+B603,FALSE)),2)</f>
        <v>6.5</v>
      </c>
      <c r="X603" s="103"/>
      <c r="Y603" s="103"/>
      <c r="Z603" s="103" t="s">
        <v>868</v>
      </c>
      <c r="AA603" s="103" t="s">
        <v>874</v>
      </c>
      <c r="AB603" s="103" t="s">
        <v>153</v>
      </c>
      <c r="AC603" s="103">
        <v>0</v>
      </c>
      <c r="AD603" s="156">
        <v>42005</v>
      </c>
      <c r="AE603" s="103"/>
      <c r="AF603" s="103" t="s">
        <v>870</v>
      </c>
      <c r="AG603" s="103" t="s">
        <v>871</v>
      </c>
      <c r="AH603" s="103" t="s">
        <v>976</v>
      </c>
      <c r="AI603" s="103">
        <v>0</v>
      </c>
      <c r="AJ603" s="103"/>
      <c r="AK603" s="103"/>
      <c r="AL603" s="103"/>
      <c r="AM603" s="103"/>
      <c r="AN603" s="103"/>
      <c r="AO603" s="103" t="str">
        <f t="shared" si="27"/>
        <v>Std_CFLscw-Dim(16w)_60pInc-r0248Single-pack</v>
      </c>
    </row>
    <row r="604" spans="1:41">
      <c r="A604" s="177">
        <f>IFERROR(MATCH(D604,'Measure &amp; Standard CostIDs'!C$5:C$177,0),MATCH(D604,'Measure &amp; Standard CostIDs'!S$5:S$177,0))</f>
        <v>110</v>
      </c>
      <c r="B604" s="177">
        <f t="shared" si="28"/>
        <v>2</v>
      </c>
      <c r="C604" s="103" t="s">
        <v>153</v>
      </c>
      <c r="D604" s="103" t="str">
        <f t="shared" si="29"/>
        <v>Std_CFLscw-Dim(18w)_60pInc-r0248</v>
      </c>
      <c r="E604" s="103" t="str">
        <f>IF(LEFT(D604,3)="Std","Base case cost for mix of 60% Incandescent and 40% CFL lamps for CFL TechID: "&amp;INDEX('Measure &amp; Standard CostIDs'!$C$5:$C$177,A604),"&lt;from TechID&gt;")</f>
        <v>Base case cost for mix of 60% Incandescent and 40% CFL lamps for CFL TechID: CFLscw-Dim(18w)</v>
      </c>
      <c r="F604" s="103" t="s">
        <v>860</v>
      </c>
      <c r="G604" s="103" t="s">
        <v>151</v>
      </c>
      <c r="H604" s="103" t="s">
        <v>861</v>
      </c>
      <c r="I604" s="103" t="s">
        <v>862</v>
      </c>
      <c r="J604" s="103" t="s">
        <v>863</v>
      </c>
      <c r="K604" s="103" t="s">
        <v>864</v>
      </c>
      <c r="L604" s="103" t="s">
        <v>153</v>
      </c>
      <c r="M604" s="103" t="s">
        <v>865</v>
      </c>
      <c r="N604" s="103" t="s">
        <v>866</v>
      </c>
      <c r="O604" s="103" t="str">
        <f t="shared" si="26"/>
        <v/>
      </c>
      <c r="P604" s="103" t="s">
        <v>153</v>
      </c>
      <c r="Q604" s="103" t="s">
        <v>153</v>
      </c>
      <c r="R604" s="103" t="s">
        <v>153</v>
      </c>
      <c r="S604" s="103" t="str">
        <f>INDEX('Measure &amp; Standard CostIDs'!$AK$8:$AK$12,B604)</f>
        <v>Single-pack</v>
      </c>
      <c r="T604" s="103" t="s">
        <v>867</v>
      </c>
      <c r="U604" s="103"/>
      <c r="V604" s="103"/>
      <c r="W604" s="103">
        <f>ROUND(IF(LEFT(D604,3)="Std",VLOOKUP(D604,'Measure &amp; Standard CostIDs'!$S$5:$X$177,1+B604,FALSE),VLOOKUP(D604,'Measure &amp; Standard CostIDs'!$C$5:$H$177,1+B604,FALSE)),2)</f>
        <v>6.59</v>
      </c>
      <c r="X604" s="103"/>
      <c r="Y604" s="103"/>
      <c r="Z604" s="103" t="s">
        <v>868</v>
      </c>
      <c r="AA604" s="103" t="s">
        <v>874</v>
      </c>
      <c r="AB604" s="103" t="s">
        <v>153</v>
      </c>
      <c r="AC604" s="103">
        <v>0</v>
      </c>
      <c r="AD604" s="156">
        <v>42005</v>
      </c>
      <c r="AE604" s="103"/>
      <c r="AF604" s="103" t="s">
        <v>870</v>
      </c>
      <c r="AG604" s="103" t="s">
        <v>871</v>
      </c>
      <c r="AH604" s="103" t="s">
        <v>976</v>
      </c>
      <c r="AI604" s="103">
        <v>0</v>
      </c>
      <c r="AJ604" s="103"/>
      <c r="AK604" s="103"/>
      <c r="AL604" s="103"/>
      <c r="AM604" s="103"/>
      <c r="AN604" s="103"/>
      <c r="AO604" s="103" t="str">
        <f t="shared" si="27"/>
        <v>Std_CFLscw-Dim(18w)_60pInc-r0248Single-pack</v>
      </c>
    </row>
    <row r="605" spans="1:41">
      <c r="A605" s="177">
        <f>IFERROR(MATCH(D605,'Measure &amp; Standard CostIDs'!C$5:C$177,0),MATCH(D605,'Measure &amp; Standard CostIDs'!S$5:S$177,0))</f>
        <v>111</v>
      </c>
      <c r="B605" s="177">
        <f t="shared" si="28"/>
        <v>2</v>
      </c>
      <c r="C605" s="103" t="s">
        <v>153</v>
      </c>
      <c r="D605" s="103" t="str">
        <f t="shared" si="29"/>
        <v>Std_CFLscw-Dim(19w)_60pInc-r0248</v>
      </c>
      <c r="E605" s="103" t="str">
        <f>IF(LEFT(D605,3)="Std","Base case cost for mix of 60% Incandescent and 40% CFL lamps for CFL TechID: "&amp;INDEX('Measure &amp; Standard CostIDs'!$C$5:$C$177,A605),"&lt;from TechID&gt;")</f>
        <v>Base case cost for mix of 60% Incandescent and 40% CFL lamps for CFL TechID: CFLscw-Dim(19w)</v>
      </c>
      <c r="F605" s="103" t="s">
        <v>860</v>
      </c>
      <c r="G605" s="103" t="s">
        <v>151</v>
      </c>
      <c r="H605" s="103" t="s">
        <v>861</v>
      </c>
      <c r="I605" s="103" t="s">
        <v>862</v>
      </c>
      <c r="J605" s="103" t="s">
        <v>863</v>
      </c>
      <c r="K605" s="103" t="s">
        <v>864</v>
      </c>
      <c r="L605" s="103" t="s">
        <v>153</v>
      </c>
      <c r="M605" s="103" t="s">
        <v>865</v>
      </c>
      <c r="N605" s="103" t="s">
        <v>866</v>
      </c>
      <c r="O605" s="103" t="str">
        <f t="shared" si="26"/>
        <v/>
      </c>
      <c r="P605" s="103" t="s">
        <v>153</v>
      </c>
      <c r="Q605" s="103" t="s">
        <v>153</v>
      </c>
      <c r="R605" s="103" t="s">
        <v>153</v>
      </c>
      <c r="S605" s="103" t="str">
        <f>INDEX('Measure &amp; Standard CostIDs'!$AK$8:$AK$12,B605)</f>
        <v>Single-pack</v>
      </c>
      <c r="T605" s="103" t="s">
        <v>867</v>
      </c>
      <c r="U605" s="103"/>
      <c r="V605" s="103"/>
      <c r="W605" s="103">
        <f>ROUND(IF(LEFT(D605,3)="Std",VLOOKUP(D605,'Measure &amp; Standard CostIDs'!$S$5:$X$177,1+B605,FALSE),VLOOKUP(D605,'Measure &amp; Standard CostIDs'!$C$5:$H$177,1+B605,FALSE)),2)</f>
        <v>6.64</v>
      </c>
      <c r="X605" s="103"/>
      <c r="Y605" s="103"/>
      <c r="Z605" s="103" t="s">
        <v>868</v>
      </c>
      <c r="AA605" s="103" t="s">
        <v>874</v>
      </c>
      <c r="AB605" s="103" t="s">
        <v>153</v>
      </c>
      <c r="AC605" s="103">
        <v>0</v>
      </c>
      <c r="AD605" s="156">
        <v>42005</v>
      </c>
      <c r="AE605" s="103"/>
      <c r="AF605" s="103" t="s">
        <v>870</v>
      </c>
      <c r="AG605" s="103" t="s">
        <v>871</v>
      </c>
      <c r="AH605" s="103" t="s">
        <v>976</v>
      </c>
      <c r="AI605" s="103">
        <v>0</v>
      </c>
      <c r="AJ605" s="103"/>
      <c r="AK605" s="103"/>
      <c r="AL605" s="103"/>
      <c r="AM605" s="103"/>
      <c r="AN605" s="103"/>
      <c r="AO605" s="103" t="str">
        <f t="shared" si="27"/>
        <v>Std_CFLscw-Dim(19w)_60pInc-r0248Single-pack</v>
      </c>
    </row>
    <row r="606" spans="1:41">
      <c r="A606" s="177">
        <f>IFERROR(MATCH(D606,'Measure &amp; Standard CostIDs'!C$5:C$177,0),MATCH(D606,'Measure &amp; Standard CostIDs'!S$5:S$177,0))</f>
        <v>112</v>
      </c>
      <c r="B606" s="177">
        <f t="shared" si="28"/>
        <v>2</v>
      </c>
      <c r="C606" s="103" t="s">
        <v>153</v>
      </c>
      <c r="D606" s="103" t="str">
        <f t="shared" si="29"/>
        <v>Std_CFLscw-Dim(20w)_60pInc-r0248</v>
      </c>
      <c r="E606" s="103" t="str">
        <f>IF(LEFT(D606,3)="Std","Base case cost for mix of 60% Incandescent and 40% CFL lamps for CFL TechID: "&amp;INDEX('Measure &amp; Standard CostIDs'!$C$5:$C$177,A606),"&lt;from TechID&gt;")</f>
        <v>Base case cost for mix of 60% Incandescent and 40% CFL lamps for CFL TechID: CFLscw-Dim(20w)</v>
      </c>
      <c r="F606" s="103" t="s">
        <v>860</v>
      </c>
      <c r="G606" s="103" t="s">
        <v>151</v>
      </c>
      <c r="H606" s="103" t="s">
        <v>861</v>
      </c>
      <c r="I606" s="103" t="s">
        <v>862</v>
      </c>
      <c r="J606" s="103" t="s">
        <v>863</v>
      </c>
      <c r="K606" s="103" t="s">
        <v>864</v>
      </c>
      <c r="L606" s="103" t="s">
        <v>153</v>
      </c>
      <c r="M606" s="103" t="s">
        <v>865</v>
      </c>
      <c r="N606" s="103" t="s">
        <v>866</v>
      </c>
      <c r="O606" s="103" t="str">
        <f t="shared" si="26"/>
        <v/>
      </c>
      <c r="P606" s="103" t="s">
        <v>153</v>
      </c>
      <c r="Q606" s="103" t="s">
        <v>153</v>
      </c>
      <c r="R606" s="103" t="s">
        <v>153</v>
      </c>
      <c r="S606" s="103" t="str">
        <f>INDEX('Measure &amp; Standard CostIDs'!$AK$8:$AK$12,B606)</f>
        <v>Single-pack</v>
      </c>
      <c r="T606" s="103" t="s">
        <v>867</v>
      </c>
      <c r="U606" s="103"/>
      <c r="V606" s="103"/>
      <c r="W606" s="103">
        <f>ROUND(IF(LEFT(D606,3)="Std",VLOOKUP(D606,'Measure &amp; Standard CostIDs'!$S$5:$X$177,1+B606,FALSE),VLOOKUP(D606,'Measure &amp; Standard CostIDs'!$C$5:$H$177,1+B606,FALSE)),2)</f>
        <v>6.68</v>
      </c>
      <c r="X606" s="103"/>
      <c r="Y606" s="103"/>
      <c r="Z606" s="103" t="s">
        <v>868</v>
      </c>
      <c r="AA606" s="103" t="s">
        <v>874</v>
      </c>
      <c r="AB606" s="103" t="s">
        <v>153</v>
      </c>
      <c r="AC606" s="103">
        <v>0</v>
      </c>
      <c r="AD606" s="156">
        <v>42005</v>
      </c>
      <c r="AE606" s="103"/>
      <c r="AF606" s="103" t="s">
        <v>870</v>
      </c>
      <c r="AG606" s="103" t="s">
        <v>871</v>
      </c>
      <c r="AH606" s="103" t="s">
        <v>976</v>
      </c>
      <c r="AI606" s="103">
        <v>0</v>
      </c>
      <c r="AJ606" s="103"/>
      <c r="AK606" s="103"/>
      <c r="AL606" s="103"/>
      <c r="AM606" s="103"/>
      <c r="AN606" s="103"/>
      <c r="AO606" s="103" t="str">
        <f t="shared" si="27"/>
        <v>Std_CFLscw-Dim(20w)_60pInc-r0248Single-pack</v>
      </c>
    </row>
    <row r="607" spans="1:41">
      <c r="A607" s="177">
        <f>IFERROR(MATCH(D607,'Measure &amp; Standard CostIDs'!C$5:C$177,0),MATCH(D607,'Measure &amp; Standard CostIDs'!S$5:S$177,0))</f>
        <v>113</v>
      </c>
      <c r="B607" s="177">
        <f t="shared" si="28"/>
        <v>2</v>
      </c>
      <c r="C607" s="103" t="s">
        <v>153</v>
      </c>
      <c r="D607" s="103" t="str">
        <f t="shared" si="29"/>
        <v>Std_CFLscw-Dim(23w)_60pInc-r0248</v>
      </c>
      <c r="E607" s="103" t="str">
        <f>IF(LEFT(D607,3)="Std","Base case cost for mix of 60% Incandescent and 40% CFL lamps for CFL TechID: "&amp;INDEX('Measure &amp; Standard CostIDs'!$C$5:$C$177,A607),"&lt;from TechID&gt;")</f>
        <v>Base case cost for mix of 60% Incandescent and 40% CFL lamps for CFL TechID: CFLscw-Dim(23w)</v>
      </c>
      <c r="F607" s="103" t="s">
        <v>860</v>
      </c>
      <c r="G607" s="103" t="s">
        <v>151</v>
      </c>
      <c r="H607" s="103" t="s">
        <v>861</v>
      </c>
      <c r="I607" s="103" t="s">
        <v>862</v>
      </c>
      <c r="J607" s="103" t="s">
        <v>863</v>
      </c>
      <c r="K607" s="103" t="s">
        <v>864</v>
      </c>
      <c r="L607" s="103" t="s">
        <v>153</v>
      </c>
      <c r="M607" s="103" t="s">
        <v>865</v>
      </c>
      <c r="N607" s="103" t="s">
        <v>866</v>
      </c>
      <c r="O607" s="103" t="str">
        <f t="shared" si="26"/>
        <v/>
      </c>
      <c r="P607" s="103" t="s">
        <v>153</v>
      </c>
      <c r="Q607" s="103" t="s">
        <v>153</v>
      </c>
      <c r="R607" s="103" t="s">
        <v>153</v>
      </c>
      <c r="S607" s="103" t="str">
        <f>INDEX('Measure &amp; Standard CostIDs'!$AK$8:$AK$12,B607)</f>
        <v>Single-pack</v>
      </c>
      <c r="T607" s="103" t="s">
        <v>867</v>
      </c>
      <c r="U607" s="103"/>
      <c r="V607" s="103"/>
      <c r="W607" s="103">
        <f>ROUND(IF(LEFT(D607,3)="Std",VLOOKUP(D607,'Measure &amp; Standard CostIDs'!$S$5:$X$177,1+B607,FALSE),VLOOKUP(D607,'Measure &amp; Standard CostIDs'!$C$5:$H$177,1+B607,FALSE)),2)</f>
        <v>6.79</v>
      </c>
      <c r="X607" s="103"/>
      <c r="Y607" s="103"/>
      <c r="Z607" s="103" t="s">
        <v>868</v>
      </c>
      <c r="AA607" s="103" t="s">
        <v>874</v>
      </c>
      <c r="AB607" s="103" t="s">
        <v>153</v>
      </c>
      <c r="AC607" s="103">
        <v>0</v>
      </c>
      <c r="AD607" s="156">
        <v>42005</v>
      </c>
      <c r="AE607" s="103"/>
      <c r="AF607" s="103" t="s">
        <v>870</v>
      </c>
      <c r="AG607" s="103" t="s">
        <v>871</v>
      </c>
      <c r="AH607" s="103" t="s">
        <v>976</v>
      </c>
      <c r="AI607" s="103">
        <v>0</v>
      </c>
      <c r="AJ607" s="103"/>
      <c r="AK607" s="103"/>
      <c r="AL607" s="103"/>
      <c r="AM607" s="103"/>
      <c r="AN607" s="103"/>
      <c r="AO607" s="103" t="str">
        <f t="shared" si="27"/>
        <v>Std_CFLscw-Dim(23w)_60pInc-r0248Single-pack</v>
      </c>
    </row>
    <row r="608" spans="1:41">
      <c r="A608" s="177">
        <f>IFERROR(MATCH(D608,'Measure &amp; Standard CostIDs'!C$5:C$177,0),MATCH(D608,'Measure &amp; Standard CostIDs'!S$5:S$177,0))</f>
        <v>114</v>
      </c>
      <c r="B608" s="177">
        <f t="shared" si="28"/>
        <v>2</v>
      </c>
      <c r="C608" s="103" t="s">
        <v>153</v>
      </c>
      <c r="D608" s="103" t="str">
        <f t="shared" si="29"/>
        <v>Std_CFLscw-Dim(25w)_60pInc-r0248</v>
      </c>
      <c r="E608" s="103" t="str">
        <f>IF(LEFT(D608,3)="Std","Base case cost for mix of 60% Incandescent and 40% CFL lamps for CFL TechID: "&amp;INDEX('Measure &amp; Standard CostIDs'!$C$5:$C$177,A608),"&lt;from TechID&gt;")</f>
        <v>Base case cost for mix of 60% Incandescent and 40% CFL lamps for CFL TechID: CFLscw-Dim(25w)</v>
      </c>
      <c r="F608" s="103" t="s">
        <v>860</v>
      </c>
      <c r="G608" s="103" t="s">
        <v>151</v>
      </c>
      <c r="H608" s="103" t="s">
        <v>861</v>
      </c>
      <c r="I608" s="103" t="s">
        <v>862</v>
      </c>
      <c r="J608" s="103" t="s">
        <v>863</v>
      </c>
      <c r="K608" s="103" t="s">
        <v>864</v>
      </c>
      <c r="L608" s="103" t="s">
        <v>153</v>
      </c>
      <c r="M608" s="103" t="s">
        <v>865</v>
      </c>
      <c r="N608" s="103" t="s">
        <v>866</v>
      </c>
      <c r="O608" s="103" t="str">
        <f t="shared" si="26"/>
        <v/>
      </c>
      <c r="P608" s="103" t="s">
        <v>153</v>
      </c>
      <c r="Q608" s="103" t="s">
        <v>153</v>
      </c>
      <c r="R608" s="103" t="s">
        <v>153</v>
      </c>
      <c r="S608" s="103" t="str">
        <f>INDEX('Measure &amp; Standard CostIDs'!$AK$8:$AK$12,B608)</f>
        <v>Single-pack</v>
      </c>
      <c r="T608" s="103" t="s">
        <v>867</v>
      </c>
      <c r="U608" s="103"/>
      <c r="V608" s="103"/>
      <c r="W608" s="103">
        <f>ROUND(IF(LEFT(D608,3)="Std",VLOOKUP(D608,'Measure &amp; Standard CostIDs'!$S$5:$X$177,1+B608,FALSE),VLOOKUP(D608,'Measure &amp; Standard CostIDs'!$C$5:$H$177,1+B608,FALSE)),2)</f>
        <v>6.85</v>
      </c>
      <c r="X608" s="103"/>
      <c r="Y608" s="103"/>
      <c r="Z608" s="103" t="s">
        <v>868</v>
      </c>
      <c r="AA608" s="103" t="s">
        <v>874</v>
      </c>
      <c r="AB608" s="103" t="s">
        <v>153</v>
      </c>
      <c r="AC608" s="103">
        <v>0</v>
      </c>
      <c r="AD608" s="156">
        <v>42005</v>
      </c>
      <c r="AE608" s="103"/>
      <c r="AF608" s="103" t="s">
        <v>870</v>
      </c>
      <c r="AG608" s="103" t="s">
        <v>871</v>
      </c>
      <c r="AH608" s="103" t="s">
        <v>976</v>
      </c>
      <c r="AI608" s="103">
        <v>0</v>
      </c>
      <c r="AJ608" s="103"/>
      <c r="AK608" s="103"/>
      <c r="AL608" s="103"/>
      <c r="AM608" s="103"/>
      <c r="AN608" s="103"/>
      <c r="AO608" s="103" t="str">
        <f t="shared" si="27"/>
        <v>Std_CFLscw-Dim(25w)_60pInc-r0248Single-pack</v>
      </c>
    </row>
    <row r="609" spans="1:41">
      <c r="A609" s="177">
        <f>IFERROR(MATCH(D609,'Measure &amp; Standard CostIDs'!C$5:C$177,0),MATCH(D609,'Measure &amp; Standard CostIDs'!S$5:S$177,0))</f>
        <v>115</v>
      </c>
      <c r="B609" s="177">
        <f t="shared" si="28"/>
        <v>2</v>
      </c>
      <c r="C609" s="103" t="s">
        <v>153</v>
      </c>
      <c r="D609" s="103" t="str">
        <f t="shared" si="29"/>
        <v>Std_CFLscw-Dim(26w)_60pInc-r0248</v>
      </c>
      <c r="E609" s="103" t="str">
        <f>IF(LEFT(D609,3)="Std","Base case cost for mix of 60% Incandescent and 40% CFL lamps for CFL TechID: "&amp;INDEX('Measure &amp; Standard CostIDs'!$C$5:$C$177,A609),"&lt;from TechID&gt;")</f>
        <v>Base case cost for mix of 60% Incandescent and 40% CFL lamps for CFL TechID: CFLscw-Dim(26w)</v>
      </c>
      <c r="F609" s="103" t="s">
        <v>860</v>
      </c>
      <c r="G609" s="103" t="s">
        <v>151</v>
      </c>
      <c r="H609" s="103" t="s">
        <v>861</v>
      </c>
      <c r="I609" s="103" t="s">
        <v>862</v>
      </c>
      <c r="J609" s="103" t="s">
        <v>863</v>
      </c>
      <c r="K609" s="103" t="s">
        <v>864</v>
      </c>
      <c r="L609" s="103" t="s">
        <v>153</v>
      </c>
      <c r="M609" s="103" t="s">
        <v>865</v>
      </c>
      <c r="N609" s="103" t="s">
        <v>866</v>
      </c>
      <c r="O609" s="103" t="str">
        <f t="shared" si="26"/>
        <v/>
      </c>
      <c r="P609" s="103" t="s">
        <v>153</v>
      </c>
      <c r="Q609" s="103" t="s">
        <v>153</v>
      </c>
      <c r="R609" s="103" t="s">
        <v>153</v>
      </c>
      <c r="S609" s="103" t="str">
        <f>INDEX('Measure &amp; Standard CostIDs'!$AK$8:$AK$12,B609)</f>
        <v>Single-pack</v>
      </c>
      <c r="T609" s="103" t="s">
        <v>867</v>
      </c>
      <c r="U609" s="103"/>
      <c r="V609" s="103"/>
      <c r="W609" s="103">
        <f>ROUND(IF(LEFT(D609,3)="Std",VLOOKUP(D609,'Measure &amp; Standard CostIDs'!$S$5:$X$177,1+B609,FALSE),VLOOKUP(D609,'Measure &amp; Standard CostIDs'!$C$5:$H$177,1+B609,FALSE)),2)</f>
        <v>6.91</v>
      </c>
      <c r="X609" s="103"/>
      <c r="Y609" s="103"/>
      <c r="Z609" s="103" t="s">
        <v>868</v>
      </c>
      <c r="AA609" s="103" t="s">
        <v>874</v>
      </c>
      <c r="AB609" s="103" t="s">
        <v>153</v>
      </c>
      <c r="AC609" s="103">
        <v>0</v>
      </c>
      <c r="AD609" s="156">
        <v>42005</v>
      </c>
      <c r="AE609" s="103"/>
      <c r="AF609" s="103" t="s">
        <v>870</v>
      </c>
      <c r="AG609" s="103" t="s">
        <v>871</v>
      </c>
      <c r="AH609" s="103" t="s">
        <v>976</v>
      </c>
      <c r="AI609" s="103">
        <v>0</v>
      </c>
      <c r="AJ609" s="103"/>
      <c r="AK609" s="103"/>
      <c r="AL609" s="103"/>
      <c r="AM609" s="103"/>
      <c r="AN609" s="103"/>
      <c r="AO609" s="103" t="str">
        <f t="shared" si="27"/>
        <v>Std_CFLscw-Dim(26w)_60pInc-r0248Single-pack</v>
      </c>
    </row>
    <row r="610" spans="1:41">
      <c r="A610" s="177">
        <f>IFERROR(MATCH(D610,'Measure &amp; Standard CostIDs'!C$5:C$177,0),MATCH(D610,'Measure &amp; Standard CostIDs'!S$5:S$177,0))</f>
        <v>116</v>
      </c>
      <c r="B610" s="177">
        <f t="shared" si="28"/>
        <v>2</v>
      </c>
      <c r="C610" s="103" t="s">
        <v>153</v>
      </c>
      <c r="D610" s="103" t="str">
        <f t="shared" si="29"/>
        <v>Std_CFLscw-Dim(28w)_60pInc-r0248</v>
      </c>
      <c r="E610" s="103" t="str">
        <f>IF(LEFT(D610,3)="Std","Base case cost for mix of 60% Incandescent and 40% CFL lamps for CFL TechID: "&amp;INDEX('Measure &amp; Standard CostIDs'!$C$5:$C$177,A610),"&lt;from TechID&gt;")</f>
        <v>Base case cost for mix of 60% Incandescent and 40% CFL lamps for CFL TechID: CFLscw-Dim(28w)</v>
      </c>
      <c r="F610" s="103" t="s">
        <v>860</v>
      </c>
      <c r="G610" s="103" t="s">
        <v>151</v>
      </c>
      <c r="H610" s="103" t="s">
        <v>861</v>
      </c>
      <c r="I610" s="103" t="s">
        <v>862</v>
      </c>
      <c r="J610" s="103" t="s">
        <v>863</v>
      </c>
      <c r="K610" s="103" t="s">
        <v>864</v>
      </c>
      <c r="L610" s="103" t="s">
        <v>153</v>
      </c>
      <c r="M610" s="103" t="s">
        <v>865</v>
      </c>
      <c r="N610" s="103" t="s">
        <v>866</v>
      </c>
      <c r="O610" s="103" t="str">
        <f t="shared" si="26"/>
        <v/>
      </c>
      <c r="P610" s="103" t="s">
        <v>153</v>
      </c>
      <c r="Q610" s="103" t="s">
        <v>153</v>
      </c>
      <c r="R610" s="103" t="s">
        <v>153</v>
      </c>
      <c r="S610" s="103" t="str">
        <f>INDEX('Measure &amp; Standard CostIDs'!$AK$8:$AK$12,B610)</f>
        <v>Single-pack</v>
      </c>
      <c r="T610" s="103" t="s">
        <v>867</v>
      </c>
      <c r="U610" s="103"/>
      <c r="V610" s="103"/>
      <c r="W610" s="103">
        <f>ROUND(IF(LEFT(D610,3)="Std",VLOOKUP(D610,'Measure &amp; Standard CostIDs'!$S$5:$X$177,1+B610,FALSE),VLOOKUP(D610,'Measure &amp; Standard CostIDs'!$C$5:$H$177,1+B610,FALSE)),2)</f>
        <v>7.04</v>
      </c>
      <c r="X610" s="103"/>
      <c r="Y610" s="103"/>
      <c r="Z610" s="103" t="s">
        <v>868</v>
      </c>
      <c r="AA610" s="103" t="s">
        <v>874</v>
      </c>
      <c r="AB610" s="103" t="s">
        <v>153</v>
      </c>
      <c r="AC610" s="103">
        <v>0</v>
      </c>
      <c r="AD610" s="156">
        <v>42005</v>
      </c>
      <c r="AE610" s="103"/>
      <c r="AF610" s="103" t="s">
        <v>870</v>
      </c>
      <c r="AG610" s="103" t="s">
        <v>871</v>
      </c>
      <c r="AH610" s="103" t="s">
        <v>976</v>
      </c>
      <c r="AI610" s="103">
        <v>0</v>
      </c>
      <c r="AJ610" s="103"/>
      <c r="AK610" s="103"/>
      <c r="AL610" s="103"/>
      <c r="AM610" s="103"/>
      <c r="AN610" s="103"/>
      <c r="AO610" s="103" t="str">
        <f t="shared" si="27"/>
        <v>Std_CFLscw-Dim(28w)_60pInc-r0248Single-pack</v>
      </c>
    </row>
    <row r="611" spans="1:41">
      <c r="A611" s="177">
        <f>IFERROR(MATCH(D611,'Measure &amp; Standard CostIDs'!C$5:C$177,0),MATCH(D611,'Measure &amp; Standard CostIDs'!S$5:S$177,0))</f>
        <v>117</v>
      </c>
      <c r="B611" s="177">
        <f t="shared" si="28"/>
        <v>2</v>
      </c>
      <c r="C611" s="103" t="s">
        <v>153</v>
      </c>
      <c r="D611" s="103" t="str">
        <f t="shared" si="29"/>
        <v>Std_CFLscw-Dim(30w)_60pInc-r0248</v>
      </c>
      <c r="E611" s="103" t="str">
        <f>IF(LEFT(D611,3)="Std","Base case cost for mix of 60% Incandescent and 40% CFL lamps for CFL TechID: "&amp;INDEX('Measure &amp; Standard CostIDs'!$C$5:$C$177,A611),"&lt;from TechID&gt;")</f>
        <v>Base case cost for mix of 60% Incandescent and 40% CFL lamps for CFL TechID: CFLscw-Dim(30w)</v>
      </c>
      <c r="F611" s="103" t="s">
        <v>860</v>
      </c>
      <c r="G611" s="103" t="s">
        <v>151</v>
      </c>
      <c r="H611" s="103" t="s">
        <v>861</v>
      </c>
      <c r="I611" s="103" t="s">
        <v>862</v>
      </c>
      <c r="J611" s="103" t="s">
        <v>863</v>
      </c>
      <c r="K611" s="103" t="s">
        <v>864</v>
      </c>
      <c r="L611" s="103" t="s">
        <v>153</v>
      </c>
      <c r="M611" s="103" t="s">
        <v>865</v>
      </c>
      <c r="N611" s="103" t="s">
        <v>866</v>
      </c>
      <c r="O611" s="103" t="str">
        <f t="shared" si="26"/>
        <v/>
      </c>
      <c r="P611" s="103" t="s">
        <v>153</v>
      </c>
      <c r="Q611" s="103" t="s">
        <v>153</v>
      </c>
      <c r="R611" s="103" t="s">
        <v>153</v>
      </c>
      <c r="S611" s="103" t="str">
        <f>INDEX('Measure &amp; Standard CostIDs'!$AK$8:$AK$12,B611)</f>
        <v>Single-pack</v>
      </c>
      <c r="T611" s="103" t="s">
        <v>867</v>
      </c>
      <c r="U611" s="103"/>
      <c r="V611" s="103"/>
      <c r="W611" s="103">
        <f>ROUND(IF(LEFT(D611,3)="Std",VLOOKUP(D611,'Measure &amp; Standard CostIDs'!$S$5:$X$177,1+B611,FALSE),VLOOKUP(D611,'Measure &amp; Standard CostIDs'!$C$5:$H$177,1+B611,FALSE)),2)</f>
        <v>7.17</v>
      </c>
      <c r="X611" s="103"/>
      <c r="Y611" s="103"/>
      <c r="Z611" s="103" t="s">
        <v>868</v>
      </c>
      <c r="AA611" s="103" t="s">
        <v>874</v>
      </c>
      <c r="AB611" s="103" t="s">
        <v>153</v>
      </c>
      <c r="AC611" s="103">
        <v>0</v>
      </c>
      <c r="AD611" s="156">
        <v>42005</v>
      </c>
      <c r="AE611" s="103"/>
      <c r="AF611" s="103" t="s">
        <v>870</v>
      </c>
      <c r="AG611" s="103" t="s">
        <v>871</v>
      </c>
      <c r="AH611" s="103" t="s">
        <v>976</v>
      </c>
      <c r="AI611" s="103">
        <v>0</v>
      </c>
      <c r="AJ611" s="103"/>
      <c r="AK611" s="103"/>
      <c r="AL611" s="103"/>
      <c r="AM611" s="103"/>
      <c r="AN611" s="103"/>
      <c r="AO611" s="103" t="str">
        <f t="shared" si="27"/>
        <v>Std_CFLscw-Dim(30w)_60pInc-r0248Single-pack</v>
      </c>
    </row>
    <row r="612" spans="1:41">
      <c r="A612" s="177">
        <f>IFERROR(MATCH(D612,'Measure &amp; Standard CostIDs'!C$5:C$177,0),MATCH(D612,'Measure &amp; Standard CostIDs'!S$5:S$177,0))</f>
        <v>118</v>
      </c>
      <c r="B612" s="177">
        <f t="shared" si="28"/>
        <v>2</v>
      </c>
      <c r="C612" s="103" t="s">
        <v>153</v>
      </c>
      <c r="D612" s="103" t="str">
        <f t="shared" si="29"/>
        <v>Std_CFLscw-Dim(33w)_60pInc-r0248</v>
      </c>
      <c r="E612" s="103" t="str">
        <f>IF(LEFT(D612,3)="Std","Base case cost for mix of 60% Incandescent and 40% CFL lamps for CFL TechID: "&amp;INDEX('Measure &amp; Standard CostIDs'!$C$5:$C$177,A612),"&lt;from TechID&gt;")</f>
        <v>Base case cost for mix of 60% Incandescent and 40% CFL lamps for CFL TechID: CFLscw-Dim(33w)</v>
      </c>
      <c r="F612" s="103" t="s">
        <v>860</v>
      </c>
      <c r="G612" s="103" t="s">
        <v>151</v>
      </c>
      <c r="H612" s="103" t="s">
        <v>861</v>
      </c>
      <c r="I612" s="103" t="s">
        <v>862</v>
      </c>
      <c r="J612" s="103" t="s">
        <v>863</v>
      </c>
      <c r="K612" s="103" t="s">
        <v>864</v>
      </c>
      <c r="L612" s="103" t="s">
        <v>153</v>
      </c>
      <c r="M612" s="103" t="s">
        <v>865</v>
      </c>
      <c r="N612" s="103" t="s">
        <v>866</v>
      </c>
      <c r="O612" s="103" t="str">
        <f t="shared" si="26"/>
        <v/>
      </c>
      <c r="P612" s="103" t="s">
        <v>153</v>
      </c>
      <c r="Q612" s="103" t="s">
        <v>153</v>
      </c>
      <c r="R612" s="103" t="s">
        <v>153</v>
      </c>
      <c r="S612" s="103" t="str">
        <f>INDEX('Measure &amp; Standard CostIDs'!$AK$8:$AK$12,B612)</f>
        <v>Single-pack</v>
      </c>
      <c r="T612" s="103" t="s">
        <v>867</v>
      </c>
      <c r="U612" s="103"/>
      <c r="V612" s="103"/>
      <c r="W612" s="103">
        <f>ROUND(IF(LEFT(D612,3)="Std",VLOOKUP(D612,'Measure &amp; Standard CostIDs'!$S$5:$X$177,1+B612,FALSE),VLOOKUP(D612,'Measure &amp; Standard CostIDs'!$C$5:$H$177,1+B612,FALSE)),2)</f>
        <v>7.37</v>
      </c>
      <c r="X612" s="103"/>
      <c r="Y612" s="103"/>
      <c r="Z612" s="103" t="s">
        <v>868</v>
      </c>
      <c r="AA612" s="103" t="s">
        <v>874</v>
      </c>
      <c r="AB612" s="103" t="s">
        <v>153</v>
      </c>
      <c r="AC612" s="103">
        <v>0</v>
      </c>
      <c r="AD612" s="156">
        <v>42005</v>
      </c>
      <c r="AE612" s="103"/>
      <c r="AF612" s="103" t="s">
        <v>870</v>
      </c>
      <c r="AG612" s="103" t="s">
        <v>871</v>
      </c>
      <c r="AH612" s="103" t="s">
        <v>976</v>
      </c>
      <c r="AI612" s="103">
        <v>0</v>
      </c>
      <c r="AJ612" s="103"/>
      <c r="AK612" s="103"/>
      <c r="AL612" s="103"/>
      <c r="AM612" s="103"/>
      <c r="AN612" s="103"/>
      <c r="AO612" s="103" t="str">
        <f t="shared" si="27"/>
        <v>Std_CFLscw-Dim(33w)_60pInc-r0248Single-pack</v>
      </c>
    </row>
    <row r="613" spans="1:41">
      <c r="A613" s="177">
        <f>IFERROR(MATCH(D613,'Measure &amp; Standard CostIDs'!C$5:C$177,0),MATCH(D613,'Measure &amp; Standard CostIDs'!S$5:S$177,0))</f>
        <v>119</v>
      </c>
      <c r="B613" s="177">
        <f t="shared" si="28"/>
        <v>2</v>
      </c>
      <c r="C613" s="103" t="s">
        <v>153</v>
      </c>
      <c r="D613" s="103" t="str">
        <f t="shared" si="29"/>
        <v>Std_CFLscw-Dim(35w)_60pInc-r0248</v>
      </c>
      <c r="E613" s="103" t="str">
        <f>IF(LEFT(D613,3)="Std","Base case cost for mix of 60% Incandescent and 40% CFL lamps for CFL TechID: "&amp;INDEX('Measure &amp; Standard CostIDs'!$C$5:$C$177,A613),"&lt;from TechID&gt;")</f>
        <v>Base case cost for mix of 60% Incandescent and 40% CFL lamps for CFL TechID: CFLscw-Dim(35w)</v>
      </c>
      <c r="F613" s="103" t="s">
        <v>860</v>
      </c>
      <c r="G613" s="103" t="s">
        <v>151</v>
      </c>
      <c r="H613" s="103" t="s">
        <v>861</v>
      </c>
      <c r="I613" s="103" t="s">
        <v>862</v>
      </c>
      <c r="J613" s="103" t="s">
        <v>863</v>
      </c>
      <c r="K613" s="103" t="s">
        <v>864</v>
      </c>
      <c r="L613" s="103" t="s">
        <v>153</v>
      </c>
      <c r="M613" s="103" t="s">
        <v>865</v>
      </c>
      <c r="N613" s="103" t="s">
        <v>866</v>
      </c>
      <c r="O613" s="103" t="str">
        <f t="shared" si="26"/>
        <v/>
      </c>
      <c r="P613" s="103" t="s">
        <v>153</v>
      </c>
      <c r="Q613" s="103" t="s">
        <v>153</v>
      </c>
      <c r="R613" s="103" t="s">
        <v>153</v>
      </c>
      <c r="S613" s="103" t="str">
        <f>INDEX('Measure &amp; Standard CostIDs'!$AK$8:$AK$12,B613)</f>
        <v>Single-pack</v>
      </c>
      <c r="T613" s="103" t="s">
        <v>867</v>
      </c>
      <c r="U613" s="103"/>
      <c r="V613" s="103"/>
      <c r="W613" s="103">
        <f>ROUND(IF(LEFT(D613,3)="Std",VLOOKUP(D613,'Measure &amp; Standard CostIDs'!$S$5:$X$177,1+B613,FALSE),VLOOKUP(D613,'Measure &amp; Standard CostIDs'!$C$5:$H$177,1+B613,FALSE)),2)</f>
        <v>7.5</v>
      </c>
      <c r="X613" s="103"/>
      <c r="Y613" s="103"/>
      <c r="Z613" s="103" t="s">
        <v>868</v>
      </c>
      <c r="AA613" s="103" t="s">
        <v>874</v>
      </c>
      <c r="AB613" s="103" t="s">
        <v>153</v>
      </c>
      <c r="AC613" s="103">
        <v>0</v>
      </c>
      <c r="AD613" s="156">
        <v>42005</v>
      </c>
      <c r="AE613" s="103"/>
      <c r="AF613" s="103" t="s">
        <v>870</v>
      </c>
      <c r="AG613" s="103" t="s">
        <v>871</v>
      </c>
      <c r="AH613" s="103" t="s">
        <v>976</v>
      </c>
      <c r="AI613" s="103">
        <v>0</v>
      </c>
      <c r="AJ613" s="103"/>
      <c r="AK613" s="103"/>
      <c r="AL613" s="103"/>
      <c r="AM613" s="103"/>
      <c r="AN613" s="103"/>
      <c r="AO613" s="103" t="str">
        <f t="shared" si="27"/>
        <v>Std_CFLscw-Dim(35w)_60pInc-r0248Single-pack</v>
      </c>
    </row>
    <row r="614" spans="1:41">
      <c r="A614" s="177">
        <f>IFERROR(MATCH(D614,'Measure &amp; Standard CostIDs'!C$5:C$177,0),MATCH(D614,'Measure &amp; Standard CostIDs'!S$5:S$177,0))</f>
        <v>120</v>
      </c>
      <c r="B614" s="177">
        <f t="shared" si="28"/>
        <v>2</v>
      </c>
      <c r="C614" s="103" t="s">
        <v>153</v>
      </c>
      <c r="D614" s="103" t="str">
        <f t="shared" si="29"/>
        <v>Std_CFLscw-Dim(38w)_60pInc-r0248</v>
      </c>
      <c r="E614" s="103" t="str">
        <f>IF(LEFT(D614,3)="Std","Base case cost for mix of 60% Incandescent and 40% CFL lamps for CFL TechID: "&amp;INDEX('Measure &amp; Standard CostIDs'!$C$5:$C$177,A614),"&lt;from TechID&gt;")</f>
        <v>Base case cost for mix of 60% Incandescent and 40% CFL lamps for CFL TechID: CFLscw-Dim(38w)</v>
      </c>
      <c r="F614" s="103" t="s">
        <v>860</v>
      </c>
      <c r="G614" s="103" t="s">
        <v>151</v>
      </c>
      <c r="H614" s="103" t="s">
        <v>861</v>
      </c>
      <c r="I614" s="103" t="s">
        <v>862</v>
      </c>
      <c r="J614" s="103" t="s">
        <v>863</v>
      </c>
      <c r="K614" s="103" t="s">
        <v>864</v>
      </c>
      <c r="L614" s="103" t="s">
        <v>153</v>
      </c>
      <c r="M614" s="103" t="s">
        <v>865</v>
      </c>
      <c r="N614" s="103" t="s">
        <v>866</v>
      </c>
      <c r="O614" s="103" t="str">
        <f t="shared" si="26"/>
        <v/>
      </c>
      <c r="P614" s="103" t="s">
        <v>153</v>
      </c>
      <c r="Q614" s="103" t="s">
        <v>153</v>
      </c>
      <c r="R614" s="103" t="s">
        <v>153</v>
      </c>
      <c r="S614" s="103" t="str">
        <f>INDEX('Measure &amp; Standard CostIDs'!$AK$8:$AK$12,B614)</f>
        <v>Single-pack</v>
      </c>
      <c r="T614" s="103" t="s">
        <v>867</v>
      </c>
      <c r="U614" s="103"/>
      <c r="V614" s="103"/>
      <c r="W614" s="103">
        <f>ROUND(IF(LEFT(D614,3)="Std",VLOOKUP(D614,'Measure &amp; Standard CostIDs'!$S$5:$X$177,1+B614,FALSE),VLOOKUP(D614,'Measure &amp; Standard CostIDs'!$C$5:$H$177,1+B614,FALSE)),2)</f>
        <v>7.69</v>
      </c>
      <c r="X614" s="103"/>
      <c r="Y614" s="103"/>
      <c r="Z614" s="103" t="s">
        <v>868</v>
      </c>
      <c r="AA614" s="103" t="s">
        <v>874</v>
      </c>
      <c r="AB614" s="103" t="s">
        <v>153</v>
      </c>
      <c r="AC614" s="103">
        <v>0</v>
      </c>
      <c r="AD614" s="156">
        <v>42005</v>
      </c>
      <c r="AE614" s="103"/>
      <c r="AF614" s="103" t="s">
        <v>870</v>
      </c>
      <c r="AG614" s="103" t="s">
        <v>871</v>
      </c>
      <c r="AH614" s="103" t="s">
        <v>976</v>
      </c>
      <c r="AI614" s="103">
        <v>0</v>
      </c>
      <c r="AJ614" s="103"/>
      <c r="AK614" s="103"/>
      <c r="AL614" s="103"/>
      <c r="AM614" s="103"/>
      <c r="AN614" s="103"/>
      <c r="AO614" s="103" t="str">
        <f t="shared" si="27"/>
        <v>Std_CFLscw-Dim(38w)_60pInc-r0248Single-pack</v>
      </c>
    </row>
    <row r="615" spans="1:41">
      <c r="A615" s="177">
        <f>IFERROR(MATCH(D615,'Measure &amp; Standard CostIDs'!C$5:C$177,0),MATCH(D615,'Measure &amp; Standard CostIDs'!S$5:S$177,0))</f>
        <v>121</v>
      </c>
      <c r="B615" s="177">
        <f t="shared" si="28"/>
        <v>2</v>
      </c>
      <c r="C615" s="103" t="s">
        <v>153</v>
      </c>
      <c r="D615" s="103" t="str">
        <f t="shared" si="29"/>
        <v>Std_CFLscw-Dim(40w)_60pInc-r0248</v>
      </c>
      <c r="E615" s="103" t="str">
        <f>IF(LEFT(D615,3)="Std","Base case cost for mix of 60% Incandescent and 40% CFL lamps for CFL TechID: "&amp;INDEX('Measure &amp; Standard CostIDs'!$C$5:$C$177,A615),"&lt;from TechID&gt;")</f>
        <v>Base case cost for mix of 60% Incandescent and 40% CFL lamps for CFL TechID: CFLscw-Dim(40w)</v>
      </c>
      <c r="F615" s="103" t="s">
        <v>860</v>
      </c>
      <c r="G615" s="103" t="s">
        <v>151</v>
      </c>
      <c r="H615" s="103" t="s">
        <v>861</v>
      </c>
      <c r="I615" s="103" t="s">
        <v>862</v>
      </c>
      <c r="J615" s="103" t="s">
        <v>863</v>
      </c>
      <c r="K615" s="103" t="s">
        <v>864</v>
      </c>
      <c r="L615" s="103" t="s">
        <v>153</v>
      </c>
      <c r="M615" s="103" t="s">
        <v>865</v>
      </c>
      <c r="N615" s="103" t="s">
        <v>866</v>
      </c>
      <c r="O615" s="103" t="str">
        <f t="shared" si="26"/>
        <v/>
      </c>
      <c r="P615" s="103" t="s">
        <v>153</v>
      </c>
      <c r="Q615" s="103" t="s">
        <v>153</v>
      </c>
      <c r="R615" s="103" t="s">
        <v>153</v>
      </c>
      <c r="S615" s="103" t="str">
        <f>INDEX('Measure &amp; Standard CostIDs'!$AK$8:$AK$12,B615)</f>
        <v>Single-pack</v>
      </c>
      <c r="T615" s="103" t="s">
        <v>867</v>
      </c>
      <c r="U615" s="103"/>
      <c r="V615" s="103"/>
      <c r="W615" s="103">
        <f>ROUND(IF(LEFT(D615,3)="Std",VLOOKUP(D615,'Measure &amp; Standard CostIDs'!$S$5:$X$177,1+B615,FALSE),VLOOKUP(D615,'Measure &amp; Standard CostIDs'!$C$5:$H$177,1+B615,FALSE)),2)</f>
        <v>7.82</v>
      </c>
      <c r="X615" s="103"/>
      <c r="Y615" s="103"/>
      <c r="Z615" s="103" t="s">
        <v>868</v>
      </c>
      <c r="AA615" s="103" t="s">
        <v>874</v>
      </c>
      <c r="AB615" s="103" t="s">
        <v>153</v>
      </c>
      <c r="AC615" s="103">
        <v>0</v>
      </c>
      <c r="AD615" s="156">
        <v>42005</v>
      </c>
      <c r="AE615" s="103"/>
      <c r="AF615" s="103" t="s">
        <v>870</v>
      </c>
      <c r="AG615" s="103" t="s">
        <v>871</v>
      </c>
      <c r="AH615" s="103" t="s">
        <v>976</v>
      </c>
      <c r="AI615" s="103">
        <v>0</v>
      </c>
      <c r="AJ615" s="103"/>
      <c r="AK615" s="103"/>
      <c r="AL615" s="103"/>
      <c r="AM615" s="103"/>
      <c r="AN615" s="103"/>
      <c r="AO615" s="103" t="str">
        <f t="shared" si="27"/>
        <v>Std_CFLscw-Dim(40w)_60pInc-r0248Single-pack</v>
      </c>
    </row>
    <row r="616" spans="1:41">
      <c r="A616" s="177">
        <f>IFERROR(MATCH(D616,'Measure &amp; Standard CostIDs'!C$5:C$177,0),MATCH(D616,'Measure &amp; Standard CostIDs'!S$5:S$177,0))</f>
        <v>125</v>
      </c>
      <c r="B616" s="177">
        <f t="shared" si="28"/>
        <v>2</v>
      </c>
      <c r="C616" s="103" t="s">
        <v>153</v>
      </c>
      <c r="D616" s="103" t="str">
        <f t="shared" si="29"/>
        <v>Std_CFLscw-Glb(10w)_60pInc-r0248</v>
      </c>
      <c r="E616" s="103" t="str">
        <f>IF(LEFT(D616,3)="Std","Base case cost for mix of 60% Incandescent and 40% CFL lamps for CFL TechID: "&amp;INDEX('Measure &amp; Standard CostIDs'!$C$5:$C$177,A616),"&lt;from TechID&gt;")</f>
        <v>Base case cost for mix of 60% Incandescent and 40% CFL lamps for CFL TechID: CFLscw-Glb(10w)</v>
      </c>
      <c r="F616" s="103" t="s">
        <v>860</v>
      </c>
      <c r="G616" s="103" t="s">
        <v>151</v>
      </c>
      <c r="H616" s="103" t="s">
        <v>861</v>
      </c>
      <c r="I616" s="103" t="s">
        <v>862</v>
      </c>
      <c r="J616" s="103" t="s">
        <v>863</v>
      </c>
      <c r="K616" s="103" t="s">
        <v>864</v>
      </c>
      <c r="L616" s="103" t="s">
        <v>153</v>
      </c>
      <c r="M616" s="103" t="s">
        <v>865</v>
      </c>
      <c r="N616" s="103" t="s">
        <v>866</v>
      </c>
      <c r="O616" s="103" t="str">
        <f t="shared" si="26"/>
        <v/>
      </c>
      <c r="P616" s="103" t="s">
        <v>153</v>
      </c>
      <c r="Q616" s="103" t="s">
        <v>153</v>
      </c>
      <c r="R616" s="103" t="s">
        <v>153</v>
      </c>
      <c r="S616" s="103" t="str">
        <f>INDEX('Measure &amp; Standard CostIDs'!$AK$8:$AK$12,B616)</f>
        <v>Single-pack</v>
      </c>
      <c r="T616" s="103" t="s">
        <v>867</v>
      </c>
      <c r="U616" s="103"/>
      <c r="V616" s="103"/>
      <c r="W616" s="103">
        <f>ROUND(IF(LEFT(D616,3)="Std",VLOOKUP(D616,'Measure &amp; Standard CostIDs'!$S$5:$X$177,1+B616,FALSE),VLOOKUP(D616,'Measure &amp; Standard CostIDs'!$C$5:$H$177,1+B616,FALSE)),2)</f>
        <v>6.33</v>
      </c>
      <c r="X616" s="103"/>
      <c r="Y616" s="103"/>
      <c r="Z616" s="103" t="s">
        <v>868</v>
      </c>
      <c r="AA616" s="103" t="s">
        <v>874</v>
      </c>
      <c r="AB616" s="103" t="s">
        <v>153</v>
      </c>
      <c r="AC616" s="103">
        <v>0</v>
      </c>
      <c r="AD616" s="156">
        <v>42005</v>
      </c>
      <c r="AE616" s="103"/>
      <c r="AF616" s="103" t="s">
        <v>870</v>
      </c>
      <c r="AG616" s="103" t="s">
        <v>871</v>
      </c>
      <c r="AH616" s="103" t="s">
        <v>976</v>
      </c>
      <c r="AI616" s="103">
        <v>0</v>
      </c>
      <c r="AJ616" s="103"/>
      <c r="AK616" s="103"/>
      <c r="AL616" s="103"/>
      <c r="AM616" s="103"/>
      <c r="AN616" s="103"/>
      <c r="AO616" s="103" t="str">
        <f t="shared" si="27"/>
        <v>Std_CFLscw-Glb(10w)_60pInc-r0248Single-pack</v>
      </c>
    </row>
    <row r="617" spans="1:41">
      <c r="A617" s="177">
        <f>IFERROR(MATCH(D617,'Measure &amp; Standard CostIDs'!C$5:C$177,0),MATCH(D617,'Measure &amp; Standard CostIDs'!S$5:S$177,0))</f>
        <v>126</v>
      </c>
      <c r="B617" s="177">
        <f t="shared" si="28"/>
        <v>2</v>
      </c>
      <c r="C617" s="103" t="s">
        <v>153</v>
      </c>
      <c r="D617" s="103" t="str">
        <f t="shared" si="29"/>
        <v>Std_CFLscw-Glb(11w)_60pInc-r0248</v>
      </c>
      <c r="E617" s="103" t="str">
        <f>IF(LEFT(D617,3)="Std","Base case cost for mix of 60% Incandescent and 40% CFL lamps for CFL TechID: "&amp;INDEX('Measure &amp; Standard CostIDs'!$C$5:$C$177,A617),"&lt;from TechID&gt;")</f>
        <v>Base case cost for mix of 60% Incandescent and 40% CFL lamps for CFL TechID: CFLscw-Glb(11w)</v>
      </c>
      <c r="F617" s="103" t="s">
        <v>860</v>
      </c>
      <c r="G617" s="103" t="s">
        <v>151</v>
      </c>
      <c r="H617" s="103" t="s">
        <v>861</v>
      </c>
      <c r="I617" s="103" t="s">
        <v>862</v>
      </c>
      <c r="J617" s="103" t="s">
        <v>863</v>
      </c>
      <c r="K617" s="103" t="s">
        <v>864</v>
      </c>
      <c r="L617" s="103" t="s">
        <v>153</v>
      </c>
      <c r="M617" s="103" t="s">
        <v>865</v>
      </c>
      <c r="N617" s="103" t="s">
        <v>866</v>
      </c>
      <c r="O617" s="103" t="str">
        <f t="shared" si="26"/>
        <v/>
      </c>
      <c r="P617" s="103" t="s">
        <v>153</v>
      </c>
      <c r="Q617" s="103" t="s">
        <v>153</v>
      </c>
      <c r="R617" s="103" t="s">
        <v>153</v>
      </c>
      <c r="S617" s="103" t="str">
        <f>INDEX('Measure &amp; Standard CostIDs'!$AK$8:$AK$12,B617)</f>
        <v>Single-pack</v>
      </c>
      <c r="T617" s="103" t="s">
        <v>867</v>
      </c>
      <c r="U617" s="103"/>
      <c r="V617" s="103"/>
      <c r="W617" s="103">
        <f>ROUND(IF(LEFT(D617,3)="Std",VLOOKUP(D617,'Measure &amp; Standard CostIDs'!$S$5:$X$177,1+B617,FALSE),VLOOKUP(D617,'Measure &amp; Standard CostIDs'!$C$5:$H$177,1+B617,FALSE)),2)</f>
        <v>6.34</v>
      </c>
      <c r="X617" s="103"/>
      <c r="Y617" s="103"/>
      <c r="Z617" s="103" t="s">
        <v>868</v>
      </c>
      <c r="AA617" s="103" t="s">
        <v>874</v>
      </c>
      <c r="AB617" s="103" t="s">
        <v>153</v>
      </c>
      <c r="AC617" s="103">
        <v>0</v>
      </c>
      <c r="AD617" s="156">
        <v>42005</v>
      </c>
      <c r="AE617" s="103"/>
      <c r="AF617" s="103" t="s">
        <v>870</v>
      </c>
      <c r="AG617" s="103" t="s">
        <v>871</v>
      </c>
      <c r="AH617" s="103" t="s">
        <v>976</v>
      </c>
      <c r="AI617" s="103">
        <v>0</v>
      </c>
      <c r="AJ617" s="103"/>
      <c r="AK617" s="103"/>
      <c r="AL617" s="103"/>
      <c r="AM617" s="103"/>
      <c r="AN617" s="103"/>
      <c r="AO617" s="103" t="str">
        <f t="shared" si="27"/>
        <v>Std_CFLscw-Glb(11w)_60pInc-r0248Single-pack</v>
      </c>
    </row>
    <row r="618" spans="1:41">
      <c r="A618" s="177">
        <f>IFERROR(MATCH(D618,'Measure &amp; Standard CostIDs'!C$5:C$177,0),MATCH(D618,'Measure &amp; Standard CostIDs'!S$5:S$177,0))</f>
        <v>127</v>
      </c>
      <c r="B618" s="177">
        <f t="shared" si="28"/>
        <v>2</v>
      </c>
      <c r="C618" s="103" t="s">
        <v>153</v>
      </c>
      <c r="D618" s="103" t="str">
        <f t="shared" si="29"/>
        <v>Std_CFLscw-Glb(12w)_60pInc-r0248</v>
      </c>
      <c r="E618" s="103" t="str">
        <f>IF(LEFT(D618,3)="Std","Base case cost for mix of 60% Incandescent and 40% CFL lamps for CFL TechID: "&amp;INDEX('Measure &amp; Standard CostIDs'!$C$5:$C$177,A618),"&lt;from TechID&gt;")</f>
        <v>Base case cost for mix of 60% Incandescent and 40% CFL lamps for CFL TechID: CFLscw-Glb(12w)</v>
      </c>
      <c r="F618" s="103" t="s">
        <v>860</v>
      </c>
      <c r="G618" s="103" t="s">
        <v>151</v>
      </c>
      <c r="H618" s="103" t="s">
        <v>861</v>
      </c>
      <c r="I618" s="103" t="s">
        <v>862</v>
      </c>
      <c r="J618" s="103" t="s">
        <v>863</v>
      </c>
      <c r="K618" s="103" t="s">
        <v>864</v>
      </c>
      <c r="L618" s="103" t="s">
        <v>153</v>
      </c>
      <c r="M618" s="103" t="s">
        <v>865</v>
      </c>
      <c r="N618" s="103" t="s">
        <v>866</v>
      </c>
      <c r="O618" s="103" t="str">
        <f t="shared" si="26"/>
        <v/>
      </c>
      <c r="P618" s="103" t="s">
        <v>153</v>
      </c>
      <c r="Q618" s="103" t="s">
        <v>153</v>
      </c>
      <c r="R618" s="103" t="s">
        <v>153</v>
      </c>
      <c r="S618" s="103" t="str">
        <f>INDEX('Measure &amp; Standard CostIDs'!$AK$8:$AK$12,B618)</f>
        <v>Single-pack</v>
      </c>
      <c r="T618" s="103" t="s">
        <v>867</v>
      </c>
      <c r="U618" s="103"/>
      <c r="V618" s="103"/>
      <c r="W618" s="103">
        <f>ROUND(IF(LEFT(D618,3)="Std",VLOOKUP(D618,'Measure &amp; Standard CostIDs'!$S$5:$X$177,1+B618,FALSE),VLOOKUP(D618,'Measure &amp; Standard CostIDs'!$C$5:$H$177,1+B618,FALSE)),2)</f>
        <v>6.35</v>
      </c>
      <c r="X618" s="103"/>
      <c r="Y618" s="103"/>
      <c r="Z618" s="103" t="s">
        <v>868</v>
      </c>
      <c r="AA618" s="103" t="s">
        <v>874</v>
      </c>
      <c r="AB618" s="103" t="s">
        <v>153</v>
      </c>
      <c r="AC618" s="103">
        <v>0</v>
      </c>
      <c r="AD618" s="156">
        <v>42005</v>
      </c>
      <c r="AE618" s="103"/>
      <c r="AF618" s="103" t="s">
        <v>870</v>
      </c>
      <c r="AG618" s="103" t="s">
        <v>871</v>
      </c>
      <c r="AH618" s="103" t="s">
        <v>976</v>
      </c>
      <c r="AI618" s="103">
        <v>0</v>
      </c>
      <c r="AJ618" s="103"/>
      <c r="AK618" s="103"/>
      <c r="AL618" s="103"/>
      <c r="AM618" s="103"/>
      <c r="AN618" s="103"/>
      <c r="AO618" s="103" t="str">
        <f t="shared" si="27"/>
        <v>Std_CFLscw-Glb(12w)_60pInc-r0248Single-pack</v>
      </c>
    </row>
    <row r="619" spans="1:41">
      <c r="A619" s="177">
        <f>IFERROR(MATCH(D619,'Measure &amp; Standard CostIDs'!C$5:C$177,0),MATCH(D619,'Measure &amp; Standard CostIDs'!S$5:S$177,0))</f>
        <v>128</v>
      </c>
      <c r="B619" s="177">
        <f t="shared" si="28"/>
        <v>2</v>
      </c>
      <c r="C619" s="103" t="s">
        <v>153</v>
      </c>
      <c r="D619" s="103" t="str">
        <f t="shared" si="29"/>
        <v>Std_CFLscw-Glb(13w)_60pInc-r0248</v>
      </c>
      <c r="E619" s="103" t="str">
        <f>IF(LEFT(D619,3)="Std","Base case cost for mix of 60% Incandescent and 40% CFL lamps for CFL TechID: "&amp;INDEX('Measure &amp; Standard CostIDs'!$C$5:$C$177,A619),"&lt;from TechID&gt;")</f>
        <v>Base case cost for mix of 60% Incandescent and 40% CFL lamps for CFL TechID: CFLscw-Glb(13w)</v>
      </c>
      <c r="F619" s="103" t="s">
        <v>860</v>
      </c>
      <c r="G619" s="103" t="s">
        <v>151</v>
      </c>
      <c r="H619" s="103" t="s">
        <v>861</v>
      </c>
      <c r="I619" s="103" t="s">
        <v>862</v>
      </c>
      <c r="J619" s="103" t="s">
        <v>863</v>
      </c>
      <c r="K619" s="103" t="s">
        <v>864</v>
      </c>
      <c r="L619" s="103" t="s">
        <v>153</v>
      </c>
      <c r="M619" s="103" t="s">
        <v>865</v>
      </c>
      <c r="N619" s="103" t="s">
        <v>866</v>
      </c>
      <c r="O619" s="103" t="str">
        <f t="shared" si="26"/>
        <v/>
      </c>
      <c r="P619" s="103" t="s">
        <v>153</v>
      </c>
      <c r="Q619" s="103" t="s">
        <v>153</v>
      </c>
      <c r="R619" s="103" t="s">
        <v>153</v>
      </c>
      <c r="S619" s="103" t="str">
        <f>INDEX('Measure &amp; Standard CostIDs'!$AK$8:$AK$12,B619)</f>
        <v>Single-pack</v>
      </c>
      <c r="T619" s="103" t="s">
        <v>867</v>
      </c>
      <c r="U619" s="103"/>
      <c r="V619" s="103"/>
      <c r="W619" s="103">
        <f>ROUND(IF(LEFT(D619,3)="Std",VLOOKUP(D619,'Measure &amp; Standard CostIDs'!$S$5:$X$177,1+B619,FALSE),VLOOKUP(D619,'Measure &amp; Standard CostIDs'!$C$5:$H$177,1+B619,FALSE)),2)</f>
        <v>6.36</v>
      </c>
      <c r="X619" s="103"/>
      <c r="Y619" s="103"/>
      <c r="Z619" s="103" t="s">
        <v>868</v>
      </c>
      <c r="AA619" s="103" t="s">
        <v>874</v>
      </c>
      <c r="AB619" s="103" t="s">
        <v>153</v>
      </c>
      <c r="AC619" s="103">
        <v>0</v>
      </c>
      <c r="AD619" s="156">
        <v>42005</v>
      </c>
      <c r="AE619" s="103"/>
      <c r="AF619" s="103" t="s">
        <v>870</v>
      </c>
      <c r="AG619" s="103" t="s">
        <v>871</v>
      </c>
      <c r="AH619" s="103" t="s">
        <v>976</v>
      </c>
      <c r="AI619" s="103">
        <v>0</v>
      </c>
      <c r="AJ619" s="103"/>
      <c r="AK619" s="103"/>
      <c r="AL619" s="103"/>
      <c r="AM619" s="103"/>
      <c r="AN619" s="103"/>
      <c r="AO619" s="103" t="str">
        <f t="shared" si="27"/>
        <v>Std_CFLscw-Glb(13w)_60pInc-r0248Single-pack</v>
      </c>
    </row>
    <row r="620" spans="1:41">
      <c r="A620" s="177">
        <f>IFERROR(MATCH(D620,'Measure &amp; Standard CostIDs'!C$5:C$177,0),MATCH(D620,'Measure &amp; Standard CostIDs'!S$5:S$177,0))</f>
        <v>129</v>
      </c>
      <c r="B620" s="177">
        <f t="shared" si="28"/>
        <v>2</v>
      </c>
      <c r="C620" s="103" t="s">
        <v>153</v>
      </c>
      <c r="D620" s="103" t="str">
        <f t="shared" si="29"/>
        <v>Std_CFLscw-Glb(14w)_60pInc-r0248</v>
      </c>
      <c r="E620" s="103" t="str">
        <f>IF(LEFT(D620,3)="Std","Base case cost for mix of 60% Incandescent and 40% CFL lamps for CFL TechID: "&amp;INDEX('Measure &amp; Standard CostIDs'!$C$5:$C$177,A620),"&lt;from TechID&gt;")</f>
        <v>Base case cost for mix of 60% Incandescent and 40% CFL lamps for CFL TechID: CFLscw-Glb(14w)</v>
      </c>
      <c r="F620" s="103" t="s">
        <v>860</v>
      </c>
      <c r="G620" s="103" t="s">
        <v>151</v>
      </c>
      <c r="H620" s="103" t="s">
        <v>861</v>
      </c>
      <c r="I620" s="103" t="s">
        <v>862</v>
      </c>
      <c r="J620" s="103" t="s">
        <v>863</v>
      </c>
      <c r="K620" s="103" t="s">
        <v>864</v>
      </c>
      <c r="L620" s="103" t="s">
        <v>153</v>
      </c>
      <c r="M620" s="103" t="s">
        <v>865</v>
      </c>
      <c r="N620" s="103" t="s">
        <v>866</v>
      </c>
      <c r="O620" s="103" t="str">
        <f t="shared" si="26"/>
        <v/>
      </c>
      <c r="P620" s="103" t="s">
        <v>153</v>
      </c>
      <c r="Q620" s="103" t="s">
        <v>153</v>
      </c>
      <c r="R620" s="103" t="s">
        <v>153</v>
      </c>
      <c r="S620" s="103" t="str">
        <f>INDEX('Measure &amp; Standard CostIDs'!$AK$8:$AK$12,B620)</f>
        <v>Single-pack</v>
      </c>
      <c r="T620" s="103" t="s">
        <v>867</v>
      </c>
      <c r="U620" s="103"/>
      <c r="V620" s="103"/>
      <c r="W620" s="103">
        <f>ROUND(IF(LEFT(D620,3)="Std",VLOOKUP(D620,'Measure &amp; Standard CostIDs'!$S$5:$X$177,1+B620,FALSE),VLOOKUP(D620,'Measure &amp; Standard CostIDs'!$C$5:$H$177,1+B620,FALSE)),2)</f>
        <v>6.37</v>
      </c>
      <c r="X620" s="103"/>
      <c r="Y620" s="103"/>
      <c r="Z620" s="103" t="s">
        <v>868</v>
      </c>
      <c r="AA620" s="103" t="s">
        <v>874</v>
      </c>
      <c r="AB620" s="103" t="s">
        <v>153</v>
      </c>
      <c r="AC620" s="103">
        <v>0</v>
      </c>
      <c r="AD620" s="156">
        <v>42005</v>
      </c>
      <c r="AE620" s="103"/>
      <c r="AF620" s="103" t="s">
        <v>870</v>
      </c>
      <c r="AG620" s="103" t="s">
        <v>871</v>
      </c>
      <c r="AH620" s="103" t="s">
        <v>976</v>
      </c>
      <c r="AI620" s="103">
        <v>0</v>
      </c>
      <c r="AJ620" s="103"/>
      <c r="AK620" s="103"/>
      <c r="AL620" s="103"/>
      <c r="AM620" s="103"/>
      <c r="AN620" s="103"/>
      <c r="AO620" s="103" t="str">
        <f t="shared" si="27"/>
        <v>Std_CFLscw-Glb(14w)_60pInc-r0248Single-pack</v>
      </c>
    </row>
    <row r="621" spans="1:41">
      <c r="A621" s="177">
        <f>IFERROR(MATCH(D621,'Measure &amp; Standard CostIDs'!C$5:C$177,0),MATCH(D621,'Measure &amp; Standard CostIDs'!S$5:S$177,0))</f>
        <v>130</v>
      </c>
      <c r="B621" s="177">
        <f t="shared" si="28"/>
        <v>2</v>
      </c>
      <c r="C621" s="103" t="s">
        <v>153</v>
      </c>
      <c r="D621" s="103" t="str">
        <f t="shared" si="29"/>
        <v>Std_CFLscw-Glb(15w)_60pInc-r0248</v>
      </c>
      <c r="E621" s="103" t="str">
        <f>IF(LEFT(D621,3)="Std","Base case cost for mix of 60% Incandescent and 40% CFL lamps for CFL TechID: "&amp;INDEX('Measure &amp; Standard CostIDs'!$C$5:$C$177,A621),"&lt;from TechID&gt;")</f>
        <v>Base case cost for mix of 60% Incandescent and 40% CFL lamps for CFL TechID: CFLscw-Glb(15w)</v>
      </c>
      <c r="F621" s="103" t="s">
        <v>860</v>
      </c>
      <c r="G621" s="103" t="s">
        <v>151</v>
      </c>
      <c r="H621" s="103" t="s">
        <v>861</v>
      </c>
      <c r="I621" s="103" t="s">
        <v>862</v>
      </c>
      <c r="J621" s="103" t="s">
        <v>863</v>
      </c>
      <c r="K621" s="103" t="s">
        <v>864</v>
      </c>
      <c r="L621" s="103" t="s">
        <v>153</v>
      </c>
      <c r="M621" s="103" t="s">
        <v>865</v>
      </c>
      <c r="N621" s="103" t="s">
        <v>866</v>
      </c>
      <c r="O621" s="103" t="str">
        <f t="shared" si="26"/>
        <v/>
      </c>
      <c r="P621" s="103" t="s">
        <v>153</v>
      </c>
      <c r="Q621" s="103" t="s">
        <v>153</v>
      </c>
      <c r="R621" s="103" t="s">
        <v>153</v>
      </c>
      <c r="S621" s="103" t="str">
        <f>INDEX('Measure &amp; Standard CostIDs'!$AK$8:$AK$12,B621)</f>
        <v>Single-pack</v>
      </c>
      <c r="T621" s="103" t="s">
        <v>867</v>
      </c>
      <c r="U621" s="103"/>
      <c r="V621" s="103"/>
      <c r="W621" s="103">
        <f>ROUND(IF(LEFT(D621,3)="Std",VLOOKUP(D621,'Measure &amp; Standard CostIDs'!$S$5:$X$177,1+B621,FALSE),VLOOKUP(D621,'Measure &amp; Standard CostIDs'!$C$5:$H$177,1+B621,FALSE)),2)</f>
        <v>6.37</v>
      </c>
      <c r="X621" s="103"/>
      <c r="Y621" s="103"/>
      <c r="Z621" s="103" t="s">
        <v>868</v>
      </c>
      <c r="AA621" s="103" t="s">
        <v>874</v>
      </c>
      <c r="AB621" s="103" t="s">
        <v>153</v>
      </c>
      <c r="AC621" s="103">
        <v>0</v>
      </c>
      <c r="AD621" s="156">
        <v>42005</v>
      </c>
      <c r="AE621" s="103"/>
      <c r="AF621" s="103" t="s">
        <v>870</v>
      </c>
      <c r="AG621" s="103" t="s">
        <v>871</v>
      </c>
      <c r="AH621" s="103" t="s">
        <v>976</v>
      </c>
      <c r="AI621" s="103">
        <v>0</v>
      </c>
      <c r="AJ621" s="103"/>
      <c r="AK621" s="103"/>
      <c r="AL621" s="103"/>
      <c r="AM621" s="103"/>
      <c r="AN621" s="103"/>
      <c r="AO621" s="103" t="str">
        <f t="shared" si="27"/>
        <v>Std_CFLscw-Glb(15w)_60pInc-r0248Single-pack</v>
      </c>
    </row>
    <row r="622" spans="1:41">
      <c r="A622" s="177">
        <f>IFERROR(MATCH(D622,'Measure &amp; Standard CostIDs'!C$5:C$177,0),MATCH(D622,'Measure &amp; Standard CostIDs'!S$5:S$177,0))</f>
        <v>131</v>
      </c>
      <c r="B622" s="177">
        <f t="shared" si="28"/>
        <v>2</v>
      </c>
      <c r="C622" s="103" t="s">
        <v>153</v>
      </c>
      <c r="D622" s="103" t="str">
        <f t="shared" si="29"/>
        <v>Std_CFLscw-Glb(16w)_60pInc-r0248</v>
      </c>
      <c r="E622" s="103" t="str">
        <f>IF(LEFT(D622,3)="Std","Base case cost for mix of 60% Incandescent and 40% CFL lamps for CFL TechID: "&amp;INDEX('Measure &amp; Standard CostIDs'!$C$5:$C$177,A622),"&lt;from TechID&gt;")</f>
        <v>Base case cost for mix of 60% Incandescent and 40% CFL lamps for CFL TechID: CFLscw-Glb(16w)</v>
      </c>
      <c r="F622" s="103" t="s">
        <v>860</v>
      </c>
      <c r="G622" s="103" t="s">
        <v>151</v>
      </c>
      <c r="H622" s="103" t="s">
        <v>861</v>
      </c>
      <c r="I622" s="103" t="s">
        <v>862</v>
      </c>
      <c r="J622" s="103" t="s">
        <v>863</v>
      </c>
      <c r="K622" s="103" t="s">
        <v>864</v>
      </c>
      <c r="L622" s="103" t="s">
        <v>153</v>
      </c>
      <c r="M622" s="103" t="s">
        <v>865</v>
      </c>
      <c r="N622" s="103" t="s">
        <v>866</v>
      </c>
      <c r="O622" s="103" t="str">
        <f t="shared" si="26"/>
        <v/>
      </c>
      <c r="P622" s="103" t="s">
        <v>153</v>
      </c>
      <c r="Q622" s="103" t="s">
        <v>153</v>
      </c>
      <c r="R622" s="103" t="s">
        <v>153</v>
      </c>
      <c r="S622" s="103" t="str">
        <f>INDEX('Measure &amp; Standard CostIDs'!$AK$8:$AK$12,B622)</f>
        <v>Single-pack</v>
      </c>
      <c r="T622" s="103" t="s">
        <v>867</v>
      </c>
      <c r="U622" s="103"/>
      <c r="V622" s="103"/>
      <c r="W622" s="103">
        <f>ROUND(IF(LEFT(D622,3)="Std",VLOOKUP(D622,'Measure &amp; Standard CostIDs'!$S$5:$X$177,1+B622,FALSE),VLOOKUP(D622,'Measure &amp; Standard CostIDs'!$C$5:$H$177,1+B622,FALSE)),2)</f>
        <v>6.39</v>
      </c>
      <c r="X622" s="103"/>
      <c r="Y622" s="103"/>
      <c r="Z622" s="103" t="s">
        <v>868</v>
      </c>
      <c r="AA622" s="103" t="s">
        <v>874</v>
      </c>
      <c r="AB622" s="103" t="s">
        <v>153</v>
      </c>
      <c r="AC622" s="103">
        <v>0</v>
      </c>
      <c r="AD622" s="156">
        <v>42005</v>
      </c>
      <c r="AE622" s="103"/>
      <c r="AF622" s="103" t="s">
        <v>870</v>
      </c>
      <c r="AG622" s="103" t="s">
        <v>871</v>
      </c>
      <c r="AH622" s="103" t="s">
        <v>976</v>
      </c>
      <c r="AI622" s="103">
        <v>0</v>
      </c>
      <c r="AJ622" s="103"/>
      <c r="AK622" s="103"/>
      <c r="AL622" s="103"/>
      <c r="AM622" s="103"/>
      <c r="AN622" s="103"/>
      <c r="AO622" s="103" t="str">
        <f t="shared" si="27"/>
        <v>Std_CFLscw-Glb(16w)_60pInc-r0248Single-pack</v>
      </c>
    </row>
    <row r="623" spans="1:41">
      <c r="A623" s="177">
        <f>IFERROR(MATCH(D623,'Measure &amp; Standard CostIDs'!C$5:C$177,0),MATCH(D623,'Measure &amp; Standard CostIDs'!S$5:S$177,0))</f>
        <v>132</v>
      </c>
      <c r="B623" s="177">
        <f t="shared" si="28"/>
        <v>2</v>
      </c>
      <c r="C623" s="103" t="s">
        <v>153</v>
      </c>
      <c r="D623" s="103" t="str">
        <f t="shared" si="29"/>
        <v>Std_CFLscw-Glb(18w)_60pInc-r0248</v>
      </c>
      <c r="E623" s="103" t="str">
        <f>IF(LEFT(D623,3)="Std","Base case cost for mix of 60% Incandescent and 40% CFL lamps for CFL TechID: "&amp;INDEX('Measure &amp; Standard CostIDs'!$C$5:$C$177,A623),"&lt;from TechID&gt;")</f>
        <v>Base case cost for mix of 60% Incandescent and 40% CFL lamps for CFL TechID: CFLscw-Glb(18w)</v>
      </c>
      <c r="F623" s="103" t="s">
        <v>860</v>
      </c>
      <c r="G623" s="103" t="s">
        <v>151</v>
      </c>
      <c r="H623" s="103" t="s">
        <v>861</v>
      </c>
      <c r="I623" s="103" t="s">
        <v>862</v>
      </c>
      <c r="J623" s="103" t="s">
        <v>863</v>
      </c>
      <c r="K623" s="103" t="s">
        <v>864</v>
      </c>
      <c r="L623" s="103" t="s">
        <v>153</v>
      </c>
      <c r="M623" s="103" t="s">
        <v>865</v>
      </c>
      <c r="N623" s="103" t="s">
        <v>866</v>
      </c>
      <c r="O623" s="103" t="str">
        <f t="shared" si="26"/>
        <v/>
      </c>
      <c r="P623" s="103" t="s">
        <v>153</v>
      </c>
      <c r="Q623" s="103" t="s">
        <v>153</v>
      </c>
      <c r="R623" s="103" t="s">
        <v>153</v>
      </c>
      <c r="S623" s="103" t="str">
        <f>INDEX('Measure &amp; Standard CostIDs'!$AK$8:$AK$12,B623)</f>
        <v>Single-pack</v>
      </c>
      <c r="T623" s="103" t="s">
        <v>867</v>
      </c>
      <c r="U623" s="103"/>
      <c r="V623" s="103"/>
      <c r="W623" s="103">
        <f>ROUND(IF(LEFT(D623,3)="Std",VLOOKUP(D623,'Measure &amp; Standard CostIDs'!$S$5:$X$177,1+B623,FALSE),VLOOKUP(D623,'Measure &amp; Standard CostIDs'!$C$5:$H$177,1+B623,FALSE)),2)</f>
        <v>6.4</v>
      </c>
      <c r="X623" s="103"/>
      <c r="Y623" s="103"/>
      <c r="Z623" s="103" t="s">
        <v>868</v>
      </c>
      <c r="AA623" s="103" t="s">
        <v>874</v>
      </c>
      <c r="AB623" s="103" t="s">
        <v>153</v>
      </c>
      <c r="AC623" s="103">
        <v>0</v>
      </c>
      <c r="AD623" s="156">
        <v>42005</v>
      </c>
      <c r="AE623" s="103"/>
      <c r="AF623" s="103" t="s">
        <v>870</v>
      </c>
      <c r="AG623" s="103" t="s">
        <v>871</v>
      </c>
      <c r="AH623" s="103" t="s">
        <v>976</v>
      </c>
      <c r="AI623" s="103">
        <v>0</v>
      </c>
      <c r="AJ623" s="103"/>
      <c r="AK623" s="103"/>
      <c r="AL623" s="103"/>
      <c r="AM623" s="103"/>
      <c r="AN623" s="103"/>
      <c r="AO623" s="103" t="str">
        <f t="shared" si="27"/>
        <v>Std_CFLscw-Glb(18w)_60pInc-r0248Single-pack</v>
      </c>
    </row>
    <row r="624" spans="1:41">
      <c r="A624" s="177">
        <f>IFERROR(MATCH(D624,'Measure &amp; Standard CostIDs'!C$5:C$177,0),MATCH(D624,'Measure &amp; Standard CostIDs'!S$5:S$177,0))</f>
        <v>133</v>
      </c>
      <c r="B624" s="177">
        <f t="shared" si="28"/>
        <v>2</v>
      </c>
      <c r="C624" s="103" t="s">
        <v>153</v>
      </c>
      <c r="D624" s="103" t="str">
        <f t="shared" si="29"/>
        <v>Std_CFLscw-Glb(19w)_60pInc-r0248</v>
      </c>
      <c r="E624" s="103" t="str">
        <f>IF(LEFT(D624,3)="Std","Base case cost for mix of 60% Incandescent and 40% CFL lamps for CFL TechID: "&amp;INDEX('Measure &amp; Standard CostIDs'!$C$5:$C$177,A624),"&lt;from TechID&gt;")</f>
        <v>Base case cost for mix of 60% Incandescent and 40% CFL lamps for CFL TechID: CFLscw-Glb(19w)</v>
      </c>
      <c r="F624" s="103" t="s">
        <v>860</v>
      </c>
      <c r="G624" s="103" t="s">
        <v>151</v>
      </c>
      <c r="H624" s="103" t="s">
        <v>861</v>
      </c>
      <c r="I624" s="103" t="s">
        <v>862</v>
      </c>
      <c r="J624" s="103" t="s">
        <v>863</v>
      </c>
      <c r="K624" s="103" t="s">
        <v>864</v>
      </c>
      <c r="L624" s="103" t="s">
        <v>153</v>
      </c>
      <c r="M624" s="103" t="s">
        <v>865</v>
      </c>
      <c r="N624" s="103" t="s">
        <v>866</v>
      </c>
      <c r="O624" s="103" t="str">
        <f t="shared" si="26"/>
        <v/>
      </c>
      <c r="P624" s="103" t="s">
        <v>153</v>
      </c>
      <c r="Q624" s="103" t="s">
        <v>153</v>
      </c>
      <c r="R624" s="103" t="s">
        <v>153</v>
      </c>
      <c r="S624" s="103" t="str">
        <f>INDEX('Measure &amp; Standard CostIDs'!$AK$8:$AK$12,B624)</f>
        <v>Single-pack</v>
      </c>
      <c r="T624" s="103" t="s">
        <v>867</v>
      </c>
      <c r="U624" s="103"/>
      <c r="V624" s="103"/>
      <c r="W624" s="103">
        <f>ROUND(IF(LEFT(D624,3)="Std",VLOOKUP(D624,'Measure &amp; Standard CostIDs'!$S$5:$X$177,1+B624,FALSE),VLOOKUP(D624,'Measure &amp; Standard CostIDs'!$C$5:$H$177,1+B624,FALSE)),2)</f>
        <v>6.41</v>
      </c>
      <c r="X624" s="103"/>
      <c r="Y624" s="103"/>
      <c r="Z624" s="103" t="s">
        <v>868</v>
      </c>
      <c r="AA624" s="103" t="s">
        <v>874</v>
      </c>
      <c r="AB624" s="103" t="s">
        <v>153</v>
      </c>
      <c r="AC624" s="103">
        <v>0</v>
      </c>
      <c r="AD624" s="156">
        <v>42005</v>
      </c>
      <c r="AE624" s="103"/>
      <c r="AF624" s="103" t="s">
        <v>870</v>
      </c>
      <c r="AG624" s="103" t="s">
        <v>871</v>
      </c>
      <c r="AH624" s="103" t="s">
        <v>976</v>
      </c>
      <c r="AI624" s="103">
        <v>0</v>
      </c>
      <c r="AJ624" s="103"/>
      <c r="AK624" s="103"/>
      <c r="AL624" s="103"/>
      <c r="AM624" s="103"/>
      <c r="AN624" s="103"/>
      <c r="AO624" s="103" t="str">
        <f t="shared" si="27"/>
        <v>Std_CFLscw-Glb(19w)_60pInc-r0248Single-pack</v>
      </c>
    </row>
    <row r="625" spans="1:41">
      <c r="A625" s="177">
        <f>IFERROR(MATCH(D625,'Measure &amp; Standard CostIDs'!C$5:C$177,0),MATCH(D625,'Measure &amp; Standard CostIDs'!S$5:S$177,0))</f>
        <v>134</v>
      </c>
      <c r="B625" s="177">
        <f t="shared" si="28"/>
        <v>2</v>
      </c>
      <c r="C625" s="103" t="s">
        <v>153</v>
      </c>
      <c r="D625" s="103" t="str">
        <f t="shared" si="29"/>
        <v>Std_CFLscw-Glb(20w)_60pInc-r0248</v>
      </c>
      <c r="E625" s="103" t="str">
        <f>IF(LEFT(D625,3)="Std","Base case cost for mix of 60% Incandescent and 40% CFL lamps for CFL TechID: "&amp;INDEX('Measure &amp; Standard CostIDs'!$C$5:$C$177,A625),"&lt;from TechID&gt;")</f>
        <v>Base case cost for mix of 60% Incandescent and 40% CFL lamps for CFL TechID: CFLscw-Glb(20w)</v>
      </c>
      <c r="F625" s="103" t="s">
        <v>860</v>
      </c>
      <c r="G625" s="103" t="s">
        <v>151</v>
      </c>
      <c r="H625" s="103" t="s">
        <v>861</v>
      </c>
      <c r="I625" s="103" t="s">
        <v>862</v>
      </c>
      <c r="J625" s="103" t="s">
        <v>863</v>
      </c>
      <c r="K625" s="103" t="s">
        <v>864</v>
      </c>
      <c r="L625" s="103" t="s">
        <v>153</v>
      </c>
      <c r="M625" s="103" t="s">
        <v>865</v>
      </c>
      <c r="N625" s="103" t="s">
        <v>866</v>
      </c>
      <c r="O625" s="103" t="str">
        <f t="shared" si="26"/>
        <v/>
      </c>
      <c r="P625" s="103" t="s">
        <v>153</v>
      </c>
      <c r="Q625" s="103" t="s">
        <v>153</v>
      </c>
      <c r="R625" s="103" t="s">
        <v>153</v>
      </c>
      <c r="S625" s="103" t="str">
        <f>INDEX('Measure &amp; Standard CostIDs'!$AK$8:$AK$12,B625)</f>
        <v>Single-pack</v>
      </c>
      <c r="T625" s="103" t="s">
        <v>867</v>
      </c>
      <c r="U625" s="103"/>
      <c r="V625" s="103"/>
      <c r="W625" s="103">
        <f>ROUND(IF(LEFT(D625,3)="Std",VLOOKUP(D625,'Measure &amp; Standard CostIDs'!$S$5:$X$177,1+B625,FALSE),VLOOKUP(D625,'Measure &amp; Standard CostIDs'!$C$5:$H$177,1+B625,FALSE)),2)</f>
        <v>6.42</v>
      </c>
      <c r="X625" s="103"/>
      <c r="Y625" s="103"/>
      <c r="Z625" s="103" t="s">
        <v>868</v>
      </c>
      <c r="AA625" s="103" t="s">
        <v>874</v>
      </c>
      <c r="AB625" s="103" t="s">
        <v>153</v>
      </c>
      <c r="AC625" s="103">
        <v>0</v>
      </c>
      <c r="AD625" s="156">
        <v>42005</v>
      </c>
      <c r="AE625" s="103"/>
      <c r="AF625" s="103" t="s">
        <v>870</v>
      </c>
      <c r="AG625" s="103" t="s">
        <v>871</v>
      </c>
      <c r="AH625" s="103" t="s">
        <v>976</v>
      </c>
      <c r="AI625" s="103">
        <v>0</v>
      </c>
      <c r="AJ625" s="103"/>
      <c r="AK625" s="103"/>
      <c r="AL625" s="103"/>
      <c r="AM625" s="103"/>
      <c r="AN625" s="103"/>
      <c r="AO625" s="103" t="str">
        <f t="shared" si="27"/>
        <v>Std_CFLscw-Glb(20w)_60pInc-r0248Single-pack</v>
      </c>
    </row>
    <row r="626" spans="1:41">
      <c r="A626" s="177">
        <f>IFERROR(MATCH(D626,'Measure &amp; Standard CostIDs'!C$5:C$177,0),MATCH(D626,'Measure &amp; Standard CostIDs'!S$5:S$177,0))</f>
        <v>135</v>
      </c>
      <c r="B626" s="177">
        <f t="shared" si="28"/>
        <v>2</v>
      </c>
      <c r="C626" s="103" t="s">
        <v>153</v>
      </c>
      <c r="D626" s="103" t="str">
        <f t="shared" si="29"/>
        <v>Std_CFLscw-Glb(22w)_60pInc-r0248</v>
      </c>
      <c r="E626" s="103" t="str">
        <f>IF(LEFT(D626,3)="Std","Base case cost for mix of 60% Incandescent and 40% CFL lamps for CFL TechID: "&amp;INDEX('Measure &amp; Standard CostIDs'!$C$5:$C$177,A626),"&lt;from TechID&gt;")</f>
        <v>Base case cost for mix of 60% Incandescent and 40% CFL lamps for CFL TechID: CFLscw-Glb(22w)</v>
      </c>
      <c r="F626" s="103" t="s">
        <v>860</v>
      </c>
      <c r="G626" s="103" t="s">
        <v>151</v>
      </c>
      <c r="H626" s="103" t="s">
        <v>861</v>
      </c>
      <c r="I626" s="103" t="s">
        <v>862</v>
      </c>
      <c r="J626" s="103" t="s">
        <v>863</v>
      </c>
      <c r="K626" s="103" t="s">
        <v>864</v>
      </c>
      <c r="L626" s="103" t="s">
        <v>153</v>
      </c>
      <c r="M626" s="103" t="s">
        <v>865</v>
      </c>
      <c r="N626" s="103" t="s">
        <v>866</v>
      </c>
      <c r="O626" s="103" t="str">
        <f t="shared" si="26"/>
        <v/>
      </c>
      <c r="P626" s="103" t="s">
        <v>153</v>
      </c>
      <c r="Q626" s="103" t="s">
        <v>153</v>
      </c>
      <c r="R626" s="103" t="s">
        <v>153</v>
      </c>
      <c r="S626" s="103" t="str">
        <f>INDEX('Measure &amp; Standard CostIDs'!$AK$8:$AK$12,B626)</f>
        <v>Single-pack</v>
      </c>
      <c r="T626" s="103" t="s">
        <v>867</v>
      </c>
      <c r="U626" s="103"/>
      <c r="V626" s="103"/>
      <c r="W626" s="103">
        <f>ROUND(IF(LEFT(D626,3)="Std",VLOOKUP(D626,'Measure &amp; Standard CostIDs'!$S$5:$X$177,1+B626,FALSE),VLOOKUP(D626,'Measure &amp; Standard CostIDs'!$C$5:$H$177,1+B626,FALSE)),2)</f>
        <v>6.43</v>
      </c>
      <c r="X626" s="103"/>
      <c r="Y626" s="103"/>
      <c r="Z626" s="103" t="s">
        <v>868</v>
      </c>
      <c r="AA626" s="103" t="s">
        <v>874</v>
      </c>
      <c r="AB626" s="103" t="s">
        <v>153</v>
      </c>
      <c r="AC626" s="103">
        <v>0</v>
      </c>
      <c r="AD626" s="156">
        <v>42005</v>
      </c>
      <c r="AE626" s="103"/>
      <c r="AF626" s="103" t="s">
        <v>870</v>
      </c>
      <c r="AG626" s="103" t="s">
        <v>871</v>
      </c>
      <c r="AH626" s="103" t="s">
        <v>976</v>
      </c>
      <c r="AI626" s="103">
        <v>0</v>
      </c>
      <c r="AJ626" s="103"/>
      <c r="AK626" s="103"/>
      <c r="AL626" s="103"/>
      <c r="AM626" s="103"/>
      <c r="AN626" s="103"/>
      <c r="AO626" s="103" t="str">
        <f t="shared" si="27"/>
        <v>Std_CFLscw-Glb(22w)_60pInc-r0248Single-pack</v>
      </c>
    </row>
    <row r="627" spans="1:41">
      <c r="A627" s="177">
        <f>IFERROR(MATCH(D627,'Measure &amp; Standard CostIDs'!C$5:C$177,0),MATCH(D627,'Measure &amp; Standard CostIDs'!S$5:S$177,0))</f>
        <v>136</v>
      </c>
      <c r="B627" s="177">
        <f t="shared" si="28"/>
        <v>2</v>
      </c>
      <c r="C627" s="103" t="s">
        <v>153</v>
      </c>
      <c r="D627" s="103" t="str">
        <f t="shared" si="29"/>
        <v>Std_CFLscw-Glb(23w)_60pInc-r0248</v>
      </c>
      <c r="E627" s="103" t="str">
        <f>IF(LEFT(D627,3)="Std","Base case cost for mix of 60% Incandescent and 40% CFL lamps for CFL TechID: "&amp;INDEX('Measure &amp; Standard CostIDs'!$C$5:$C$177,A627),"&lt;from TechID&gt;")</f>
        <v>Base case cost for mix of 60% Incandescent and 40% CFL lamps for CFL TechID: CFLscw-Glb(23w)</v>
      </c>
      <c r="F627" s="103" t="s">
        <v>860</v>
      </c>
      <c r="G627" s="103" t="s">
        <v>151</v>
      </c>
      <c r="H627" s="103" t="s">
        <v>861</v>
      </c>
      <c r="I627" s="103" t="s">
        <v>862</v>
      </c>
      <c r="J627" s="103" t="s">
        <v>863</v>
      </c>
      <c r="K627" s="103" t="s">
        <v>864</v>
      </c>
      <c r="L627" s="103" t="s">
        <v>153</v>
      </c>
      <c r="M627" s="103" t="s">
        <v>865</v>
      </c>
      <c r="N627" s="103" t="s">
        <v>866</v>
      </c>
      <c r="O627" s="103" t="str">
        <f t="shared" si="26"/>
        <v/>
      </c>
      <c r="P627" s="103" t="s">
        <v>153</v>
      </c>
      <c r="Q627" s="103" t="s">
        <v>153</v>
      </c>
      <c r="R627" s="103" t="s">
        <v>153</v>
      </c>
      <c r="S627" s="103" t="str">
        <f>INDEX('Measure &amp; Standard CostIDs'!$AK$8:$AK$12,B627)</f>
        <v>Single-pack</v>
      </c>
      <c r="T627" s="103" t="s">
        <v>867</v>
      </c>
      <c r="U627" s="103"/>
      <c r="V627" s="103"/>
      <c r="W627" s="103">
        <f>ROUND(IF(LEFT(D627,3)="Std",VLOOKUP(D627,'Measure &amp; Standard CostIDs'!$S$5:$X$177,1+B627,FALSE),VLOOKUP(D627,'Measure &amp; Standard CostIDs'!$C$5:$H$177,1+B627,FALSE)),2)</f>
        <v>6.45</v>
      </c>
      <c r="X627" s="103"/>
      <c r="Y627" s="103"/>
      <c r="Z627" s="103" t="s">
        <v>868</v>
      </c>
      <c r="AA627" s="103" t="s">
        <v>874</v>
      </c>
      <c r="AB627" s="103" t="s">
        <v>153</v>
      </c>
      <c r="AC627" s="103">
        <v>0</v>
      </c>
      <c r="AD627" s="156">
        <v>42005</v>
      </c>
      <c r="AE627" s="103"/>
      <c r="AF627" s="103" t="s">
        <v>870</v>
      </c>
      <c r="AG627" s="103" t="s">
        <v>871</v>
      </c>
      <c r="AH627" s="103" t="s">
        <v>976</v>
      </c>
      <c r="AI627" s="103">
        <v>0</v>
      </c>
      <c r="AJ627" s="103"/>
      <c r="AK627" s="103"/>
      <c r="AL627" s="103"/>
      <c r="AM627" s="103"/>
      <c r="AN627" s="103"/>
      <c r="AO627" s="103" t="str">
        <f t="shared" si="27"/>
        <v>Std_CFLscw-Glb(23w)_60pInc-r0248Single-pack</v>
      </c>
    </row>
    <row r="628" spans="1:41">
      <c r="A628" s="177">
        <f>IFERROR(MATCH(D628,'Measure &amp; Standard CostIDs'!C$5:C$177,0),MATCH(D628,'Measure &amp; Standard CostIDs'!S$5:S$177,0))</f>
        <v>137</v>
      </c>
      <c r="B628" s="177">
        <f t="shared" si="28"/>
        <v>2</v>
      </c>
      <c r="C628" s="103" t="s">
        <v>153</v>
      </c>
      <c r="D628" s="103" t="str">
        <f t="shared" si="29"/>
        <v>Std_CFLscw-Glb(9w)_60pInc-r0248</v>
      </c>
      <c r="E628" s="103" t="str">
        <f>IF(LEFT(D628,3)="Std","Base case cost for mix of 60% Incandescent and 40% CFL lamps for CFL TechID: "&amp;INDEX('Measure &amp; Standard CostIDs'!$C$5:$C$177,A628),"&lt;from TechID&gt;")</f>
        <v>Base case cost for mix of 60% Incandescent and 40% CFL lamps for CFL TechID: CFLscw-Glb(9w)</v>
      </c>
      <c r="F628" s="103" t="s">
        <v>860</v>
      </c>
      <c r="G628" s="103" t="s">
        <v>151</v>
      </c>
      <c r="H628" s="103" t="s">
        <v>861</v>
      </c>
      <c r="I628" s="103" t="s">
        <v>862</v>
      </c>
      <c r="J628" s="103" t="s">
        <v>863</v>
      </c>
      <c r="K628" s="103" t="s">
        <v>864</v>
      </c>
      <c r="L628" s="103" t="s">
        <v>153</v>
      </c>
      <c r="M628" s="103" t="s">
        <v>865</v>
      </c>
      <c r="N628" s="103" t="s">
        <v>866</v>
      </c>
      <c r="O628" s="103" t="str">
        <f t="shared" si="26"/>
        <v/>
      </c>
      <c r="P628" s="103" t="s">
        <v>153</v>
      </c>
      <c r="Q628" s="103" t="s">
        <v>153</v>
      </c>
      <c r="R628" s="103" t="s">
        <v>153</v>
      </c>
      <c r="S628" s="103" t="str">
        <f>INDEX('Measure &amp; Standard CostIDs'!$AK$8:$AK$12,B628)</f>
        <v>Single-pack</v>
      </c>
      <c r="T628" s="103" t="s">
        <v>867</v>
      </c>
      <c r="U628" s="103"/>
      <c r="V628" s="103"/>
      <c r="W628" s="103">
        <f>ROUND(IF(LEFT(D628,3)="Std",VLOOKUP(D628,'Measure &amp; Standard CostIDs'!$S$5:$X$177,1+B628,FALSE),VLOOKUP(D628,'Measure &amp; Standard CostIDs'!$C$5:$H$177,1+B628,FALSE)),2)</f>
        <v>5.55</v>
      </c>
      <c r="X628" s="103"/>
      <c r="Y628" s="103"/>
      <c r="Z628" s="103" t="s">
        <v>868</v>
      </c>
      <c r="AA628" s="103" t="s">
        <v>874</v>
      </c>
      <c r="AB628" s="103" t="s">
        <v>153</v>
      </c>
      <c r="AC628" s="103">
        <v>0</v>
      </c>
      <c r="AD628" s="156">
        <v>42005</v>
      </c>
      <c r="AE628" s="103"/>
      <c r="AF628" s="103" t="s">
        <v>870</v>
      </c>
      <c r="AG628" s="103" t="s">
        <v>871</v>
      </c>
      <c r="AH628" s="103" t="s">
        <v>976</v>
      </c>
      <c r="AI628" s="103">
        <v>0</v>
      </c>
      <c r="AJ628" s="103"/>
      <c r="AK628" s="103"/>
      <c r="AL628" s="103"/>
      <c r="AM628" s="103"/>
      <c r="AN628" s="103"/>
      <c r="AO628" s="103" t="str">
        <f t="shared" si="27"/>
        <v>Std_CFLscw-Glb(9w)_60pInc-r0248Single-pack</v>
      </c>
    </row>
    <row r="629" spans="1:41">
      <c r="A629" s="177">
        <f>IFERROR(MATCH(D629,'Measure &amp; Standard CostIDs'!C$5:C$177,0),MATCH(D629,'Measure &amp; Standard CostIDs'!S$5:S$177,0))</f>
        <v>138</v>
      </c>
      <c r="B629" s="177">
        <f t="shared" si="28"/>
        <v>2</v>
      </c>
      <c r="C629" s="103" t="s">
        <v>153</v>
      </c>
      <c r="D629" s="103" t="str">
        <f t="shared" si="29"/>
        <v>Std_CFLscw-PAR38(23w)_60pInc-r0286</v>
      </c>
      <c r="E629" s="103" t="str">
        <f>IF(LEFT(D629,3)="Std","Base case cost for mix of 60% Incandescent and 40% CFL lamps for CFL TechID: "&amp;INDEX('Measure &amp; Standard CostIDs'!$C$5:$C$177,A629),"&lt;from TechID&gt;")</f>
        <v>Base case cost for mix of 60% Incandescent and 40% CFL lamps for CFL TechID: CFLscw-PAR38(23w)</v>
      </c>
      <c r="F629" s="103" t="s">
        <v>860</v>
      </c>
      <c r="G629" s="103" t="s">
        <v>151</v>
      </c>
      <c r="H629" s="103" t="s">
        <v>861</v>
      </c>
      <c r="I629" s="103" t="s">
        <v>862</v>
      </c>
      <c r="J629" s="103" t="s">
        <v>863</v>
      </c>
      <c r="K629" s="103" t="s">
        <v>864</v>
      </c>
      <c r="L629" s="103" t="s">
        <v>153</v>
      </c>
      <c r="M629" s="103" t="s">
        <v>865</v>
      </c>
      <c r="N629" s="103" t="s">
        <v>866</v>
      </c>
      <c r="O629" s="103" t="str">
        <f t="shared" si="26"/>
        <v/>
      </c>
      <c r="P629" s="103" t="s">
        <v>153</v>
      </c>
      <c r="Q629" s="103" t="s">
        <v>153</v>
      </c>
      <c r="R629" s="103" t="s">
        <v>153</v>
      </c>
      <c r="S629" s="103" t="str">
        <f>INDEX('Measure &amp; Standard CostIDs'!$AK$8:$AK$12,B629)</f>
        <v>Single-pack</v>
      </c>
      <c r="T629" s="103" t="s">
        <v>867</v>
      </c>
      <c r="U629" s="103"/>
      <c r="V629" s="103"/>
      <c r="W629" s="103">
        <f>ROUND(IF(LEFT(D629,3)="Std",VLOOKUP(D629,'Measure &amp; Standard CostIDs'!$S$5:$X$177,1+B629,FALSE),VLOOKUP(D629,'Measure &amp; Standard CostIDs'!$C$5:$H$177,1+B629,FALSE)),2)</f>
        <v>8.35</v>
      </c>
      <c r="X629" s="103"/>
      <c r="Y629" s="103"/>
      <c r="Z629" s="103" t="s">
        <v>868</v>
      </c>
      <c r="AA629" s="103" t="s">
        <v>874</v>
      </c>
      <c r="AB629" s="103" t="s">
        <v>153</v>
      </c>
      <c r="AC629" s="103">
        <v>0</v>
      </c>
      <c r="AD629" s="156">
        <v>42005</v>
      </c>
      <c r="AE629" s="103"/>
      <c r="AF629" s="103" t="s">
        <v>870</v>
      </c>
      <c r="AG629" s="103" t="s">
        <v>871</v>
      </c>
      <c r="AH629" s="103" t="s">
        <v>976</v>
      </c>
      <c r="AI629" s="103">
        <v>0</v>
      </c>
      <c r="AJ629" s="103"/>
      <c r="AK629" s="103"/>
      <c r="AL629" s="103"/>
      <c r="AM629" s="103"/>
      <c r="AN629" s="103"/>
      <c r="AO629" s="103" t="str">
        <f t="shared" si="27"/>
        <v>Std_CFLscw-PAR38(23w)_60pInc-r0286Single-pack</v>
      </c>
    </row>
    <row r="630" spans="1:41">
      <c r="A630" s="177">
        <f>IFERROR(MATCH(D630,'Measure &amp; Standard CostIDs'!C$5:C$177,0),MATCH(D630,'Measure &amp; Standard CostIDs'!S$5:S$177,0))</f>
        <v>139</v>
      </c>
      <c r="B630" s="177">
        <f t="shared" si="28"/>
        <v>2</v>
      </c>
      <c r="C630" s="103" t="s">
        <v>153</v>
      </c>
      <c r="D630" s="103" t="str">
        <f t="shared" si="29"/>
        <v>Std_CFLscw-Refl(10w)_60pInc-r0286</v>
      </c>
      <c r="E630" s="103" t="str">
        <f>IF(LEFT(D630,3)="Std","Base case cost for mix of 60% Incandescent and 40% CFL lamps for CFL TechID: "&amp;INDEX('Measure &amp; Standard CostIDs'!$C$5:$C$177,A630),"&lt;from TechID&gt;")</f>
        <v>Base case cost for mix of 60% Incandescent and 40% CFL lamps for CFL TechID: CFLscw-Refl(10w)</v>
      </c>
      <c r="F630" s="103" t="s">
        <v>860</v>
      </c>
      <c r="G630" s="103" t="s">
        <v>151</v>
      </c>
      <c r="H630" s="103" t="s">
        <v>861</v>
      </c>
      <c r="I630" s="103" t="s">
        <v>862</v>
      </c>
      <c r="J630" s="103" t="s">
        <v>863</v>
      </c>
      <c r="K630" s="103" t="s">
        <v>864</v>
      </c>
      <c r="L630" s="103" t="s">
        <v>153</v>
      </c>
      <c r="M630" s="103" t="s">
        <v>865</v>
      </c>
      <c r="N630" s="103" t="s">
        <v>866</v>
      </c>
      <c r="O630" s="103" t="str">
        <f t="shared" si="26"/>
        <v/>
      </c>
      <c r="P630" s="103" t="s">
        <v>153</v>
      </c>
      <c r="Q630" s="103" t="s">
        <v>153</v>
      </c>
      <c r="R630" s="103" t="s">
        <v>153</v>
      </c>
      <c r="S630" s="103" t="str">
        <f>INDEX('Measure &amp; Standard CostIDs'!$AK$8:$AK$12,B630)</f>
        <v>Single-pack</v>
      </c>
      <c r="T630" s="103" t="s">
        <v>867</v>
      </c>
      <c r="U630" s="103"/>
      <c r="V630" s="103"/>
      <c r="W630" s="103">
        <f>ROUND(IF(LEFT(D630,3)="Std",VLOOKUP(D630,'Measure &amp; Standard CostIDs'!$S$5:$X$177,1+B630,FALSE),VLOOKUP(D630,'Measure &amp; Standard CostIDs'!$C$5:$H$177,1+B630,FALSE)),2)</f>
        <v>7.25</v>
      </c>
      <c r="X630" s="103"/>
      <c r="Y630" s="103"/>
      <c r="Z630" s="103" t="s">
        <v>868</v>
      </c>
      <c r="AA630" s="103" t="s">
        <v>874</v>
      </c>
      <c r="AB630" s="103" t="s">
        <v>153</v>
      </c>
      <c r="AC630" s="103">
        <v>0</v>
      </c>
      <c r="AD630" s="156">
        <v>42005</v>
      </c>
      <c r="AE630" s="103"/>
      <c r="AF630" s="103" t="s">
        <v>870</v>
      </c>
      <c r="AG630" s="103" t="s">
        <v>871</v>
      </c>
      <c r="AH630" s="103" t="s">
        <v>976</v>
      </c>
      <c r="AI630" s="103">
        <v>0</v>
      </c>
      <c r="AJ630" s="103"/>
      <c r="AK630" s="103"/>
      <c r="AL630" s="103"/>
      <c r="AM630" s="103"/>
      <c r="AN630" s="103"/>
      <c r="AO630" s="103" t="str">
        <f t="shared" si="27"/>
        <v>Std_CFLscw-Refl(10w)_60pInc-r0286Single-pack</v>
      </c>
    </row>
    <row r="631" spans="1:41">
      <c r="A631" s="177">
        <f>IFERROR(MATCH(D631,'Measure &amp; Standard CostIDs'!C$5:C$177,0),MATCH(D631,'Measure &amp; Standard CostIDs'!S$5:S$177,0))</f>
        <v>140</v>
      </c>
      <c r="B631" s="177">
        <f t="shared" si="28"/>
        <v>2</v>
      </c>
      <c r="C631" s="103" t="s">
        <v>153</v>
      </c>
      <c r="D631" s="103" t="str">
        <f t="shared" si="29"/>
        <v>Std_CFLscw-Refl(11w)_60pInc-r0286</v>
      </c>
      <c r="E631" s="103" t="str">
        <f>IF(LEFT(D631,3)="Std","Base case cost for mix of 60% Incandescent and 40% CFL lamps for CFL TechID: "&amp;INDEX('Measure &amp; Standard CostIDs'!$C$5:$C$177,A631),"&lt;from TechID&gt;")</f>
        <v>Base case cost for mix of 60% Incandescent and 40% CFL lamps for CFL TechID: CFLscw-Refl(11w)</v>
      </c>
      <c r="F631" s="103" t="s">
        <v>860</v>
      </c>
      <c r="G631" s="103" t="s">
        <v>151</v>
      </c>
      <c r="H631" s="103" t="s">
        <v>861</v>
      </c>
      <c r="I631" s="103" t="s">
        <v>862</v>
      </c>
      <c r="J631" s="103" t="s">
        <v>863</v>
      </c>
      <c r="K631" s="103" t="s">
        <v>864</v>
      </c>
      <c r="L631" s="103" t="s">
        <v>153</v>
      </c>
      <c r="M631" s="103" t="s">
        <v>865</v>
      </c>
      <c r="N631" s="103" t="s">
        <v>866</v>
      </c>
      <c r="O631" s="103" t="str">
        <f t="shared" si="26"/>
        <v/>
      </c>
      <c r="P631" s="103" t="s">
        <v>153</v>
      </c>
      <c r="Q631" s="103" t="s">
        <v>153</v>
      </c>
      <c r="R631" s="103" t="s">
        <v>153</v>
      </c>
      <c r="S631" s="103" t="str">
        <f>INDEX('Measure &amp; Standard CostIDs'!$AK$8:$AK$12,B631)</f>
        <v>Single-pack</v>
      </c>
      <c r="T631" s="103" t="s">
        <v>867</v>
      </c>
      <c r="U631" s="103"/>
      <c r="V631" s="103"/>
      <c r="W631" s="103">
        <f>ROUND(IF(LEFT(D631,3)="Std",VLOOKUP(D631,'Measure &amp; Standard CostIDs'!$S$5:$X$177,1+B631,FALSE),VLOOKUP(D631,'Measure &amp; Standard CostIDs'!$C$5:$H$177,1+B631,FALSE)),2)</f>
        <v>7.33</v>
      </c>
      <c r="X631" s="103"/>
      <c r="Y631" s="103"/>
      <c r="Z631" s="103" t="s">
        <v>868</v>
      </c>
      <c r="AA631" s="103" t="s">
        <v>874</v>
      </c>
      <c r="AB631" s="103" t="s">
        <v>153</v>
      </c>
      <c r="AC631" s="103">
        <v>0</v>
      </c>
      <c r="AD631" s="156">
        <v>42005</v>
      </c>
      <c r="AE631" s="103"/>
      <c r="AF631" s="103" t="s">
        <v>870</v>
      </c>
      <c r="AG631" s="103" t="s">
        <v>871</v>
      </c>
      <c r="AH631" s="103" t="s">
        <v>976</v>
      </c>
      <c r="AI631" s="103">
        <v>0</v>
      </c>
      <c r="AJ631" s="103"/>
      <c r="AK631" s="103"/>
      <c r="AL631" s="103"/>
      <c r="AM631" s="103"/>
      <c r="AN631" s="103"/>
      <c r="AO631" s="103" t="str">
        <f t="shared" si="27"/>
        <v>Std_CFLscw-Refl(11w)_60pInc-r0286Single-pack</v>
      </c>
    </row>
    <row r="632" spans="1:41">
      <c r="A632" s="177">
        <f>IFERROR(MATCH(D632,'Measure &amp; Standard CostIDs'!C$5:C$177,0),MATCH(D632,'Measure &amp; Standard CostIDs'!S$5:S$177,0))</f>
        <v>141</v>
      </c>
      <c r="B632" s="177">
        <f t="shared" si="28"/>
        <v>2</v>
      </c>
      <c r="C632" s="103" t="s">
        <v>153</v>
      </c>
      <c r="D632" s="103" t="str">
        <f t="shared" si="29"/>
        <v>Std_CFLscw-Refl(12w)_60pInc-r0286</v>
      </c>
      <c r="E632" s="103" t="str">
        <f>IF(LEFT(D632,3)="Std","Base case cost for mix of 60% Incandescent and 40% CFL lamps for CFL TechID: "&amp;INDEX('Measure &amp; Standard CostIDs'!$C$5:$C$177,A632),"&lt;from TechID&gt;")</f>
        <v>Base case cost for mix of 60% Incandescent and 40% CFL lamps for CFL TechID: CFLscw-Refl(12w)</v>
      </c>
      <c r="F632" s="103" t="s">
        <v>860</v>
      </c>
      <c r="G632" s="103" t="s">
        <v>151</v>
      </c>
      <c r="H632" s="103" t="s">
        <v>861</v>
      </c>
      <c r="I632" s="103" t="s">
        <v>862</v>
      </c>
      <c r="J632" s="103" t="s">
        <v>863</v>
      </c>
      <c r="K632" s="103" t="s">
        <v>864</v>
      </c>
      <c r="L632" s="103" t="s">
        <v>153</v>
      </c>
      <c r="M632" s="103" t="s">
        <v>865</v>
      </c>
      <c r="N632" s="103" t="s">
        <v>866</v>
      </c>
      <c r="O632" s="103" t="str">
        <f t="shared" si="26"/>
        <v/>
      </c>
      <c r="P632" s="103" t="s">
        <v>153</v>
      </c>
      <c r="Q632" s="103" t="s">
        <v>153</v>
      </c>
      <c r="R632" s="103" t="s">
        <v>153</v>
      </c>
      <c r="S632" s="103" t="str">
        <f>INDEX('Measure &amp; Standard CostIDs'!$AK$8:$AK$12,B632)</f>
        <v>Single-pack</v>
      </c>
      <c r="T632" s="103" t="s">
        <v>867</v>
      </c>
      <c r="U632" s="103"/>
      <c r="V632" s="103"/>
      <c r="W632" s="103">
        <f>ROUND(IF(LEFT(D632,3)="Std",VLOOKUP(D632,'Measure &amp; Standard CostIDs'!$S$5:$X$177,1+B632,FALSE),VLOOKUP(D632,'Measure &amp; Standard CostIDs'!$C$5:$H$177,1+B632,FALSE)),2)</f>
        <v>7.42</v>
      </c>
      <c r="X632" s="103"/>
      <c r="Y632" s="103"/>
      <c r="Z632" s="103" t="s">
        <v>868</v>
      </c>
      <c r="AA632" s="103" t="s">
        <v>874</v>
      </c>
      <c r="AB632" s="103" t="s">
        <v>153</v>
      </c>
      <c r="AC632" s="103">
        <v>0</v>
      </c>
      <c r="AD632" s="156">
        <v>42005</v>
      </c>
      <c r="AE632" s="103"/>
      <c r="AF632" s="103" t="s">
        <v>870</v>
      </c>
      <c r="AG632" s="103" t="s">
        <v>871</v>
      </c>
      <c r="AH632" s="103" t="s">
        <v>976</v>
      </c>
      <c r="AI632" s="103">
        <v>0</v>
      </c>
      <c r="AJ632" s="103"/>
      <c r="AK632" s="103"/>
      <c r="AL632" s="103"/>
      <c r="AM632" s="103"/>
      <c r="AN632" s="103"/>
      <c r="AO632" s="103" t="str">
        <f t="shared" si="27"/>
        <v>Std_CFLscw-Refl(12w)_60pInc-r0286Single-pack</v>
      </c>
    </row>
    <row r="633" spans="1:41">
      <c r="A633" s="177">
        <f>IFERROR(MATCH(D633,'Measure &amp; Standard CostIDs'!C$5:C$177,0),MATCH(D633,'Measure &amp; Standard CostIDs'!S$5:S$177,0))</f>
        <v>142</v>
      </c>
      <c r="B633" s="177">
        <f t="shared" si="28"/>
        <v>2</v>
      </c>
      <c r="C633" s="103" t="s">
        <v>153</v>
      </c>
      <c r="D633" s="103" t="str">
        <f t="shared" si="29"/>
        <v>Std_CFLscw-Refl(13w)_60pInc-r0286</v>
      </c>
      <c r="E633" s="103" t="str">
        <f>IF(LEFT(D633,3)="Std","Base case cost for mix of 60% Incandescent and 40% CFL lamps for CFL TechID: "&amp;INDEX('Measure &amp; Standard CostIDs'!$C$5:$C$177,A633),"&lt;from TechID&gt;")</f>
        <v>Base case cost for mix of 60% Incandescent and 40% CFL lamps for CFL TechID: CFLscw-Refl(13w)</v>
      </c>
      <c r="F633" s="103" t="s">
        <v>860</v>
      </c>
      <c r="G633" s="103" t="s">
        <v>151</v>
      </c>
      <c r="H633" s="103" t="s">
        <v>861</v>
      </c>
      <c r="I633" s="103" t="s">
        <v>862</v>
      </c>
      <c r="J633" s="103" t="s">
        <v>863</v>
      </c>
      <c r="K633" s="103" t="s">
        <v>864</v>
      </c>
      <c r="L633" s="103" t="s">
        <v>153</v>
      </c>
      <c r="M633" s="103" t="s">
        <v>865</v>
      </c>
      <c r="N633" s="103" t="s">
        <v>866</v>
      </c>
      <c r="O633" s="103" t="str">
        <f t="shared" si="26"/>
        <v/>
      </c>
      <c r="P633" s="103" t="s">
        <v>153</v>
      </c>
      <c r="Q633" s="103" t="s">
        <v>153</v>
      </c>
      <c r="R633" s="103" t="s">
        <v>153</v>
      </c>
      <c r="S633" s="103" t="str">
        <f>INDEX('Measure &amp; Standard CostIDs'!$AK$8:$AK$12,B633)</f>
        <v>Single-pack</v>
      </c>
      <c r="T633" s="103" t="s">
        <v>867</v>
      </c>
      <c r="U633" s="103"/>
      <c r="V633" s="103"/>
      <c r="W633" s="103">
        <f>ROUND(IF(LEFT(D633,3)="Std",VLOOKUP(D633,'Measure &amp; Standard CostIDs'!$S$5:$X$177,1+B633,FALSE),VLOOKUP(D633,'Measure &amp; Standard CostIDs'!$C$5:$H$177,1+B633,FALSE)),2)</f>
        <v>7.5</v>
      </c>
      <c r="X633" s="103"/>
      <c r="Y633" s="103"/>
      <c r="Z633" s="103" t="s">
        <v>868</v>
      </c>
      <c r="AA633" s="103" t="s">
        <v>874</v>
      </c>
      <c r="AB633" s="103" t="s">
        <v>153</v>
      </c>
      <c r="AC633" s="103">
        <v>0</v>
      </c>
      <c r="AD633" s="156">
        <v>42005</v>
      </c>
      <c r="AE633" s="103"/>
      <c r="AF633" s="103" t="s">
        <v>870</v>
      </c>
      <c r="AG633" s="103" t="s">
        <v>871</v>
      </c>
      <c r="AH633" s="103" t="s">
        <v>976</v>
      </c>
      <c r="AI633" s="103">
        <v>0</v>
      </c>
      <c r="AJ633" s="103"/>
      <c r="AK633" s="103"/>
      <c r="AL633" s="103"/>
      <c r="AM633" s="103"/>
      <c r="AN633" s="103"/>
      <c r="AO633" s="103" t="str">
        <f t="shared" si="27"/>
        <v>Std_CFLscw-Refl(13w)_60pInc-r0286Single-pack</v>
      </c>
    </row>
    <row r="634" spans="1:41">
      <c r="A634" s="177">
        <f>IFERROR(MATCH(D634,'Measure &amp; Standard CostIDs'!C$5:C$177,0),MATCH(D634,'Measure &amp; Standard CostIDs'!S$5:S$177,0))</f>
        <v>143</v>
      </c>
      <c r="B634" s="177">
        <f t="shared" si="28"/>
        <v>2</v>
      </c>
      <c r="C634" s="103" t="s">
        <v>153</v>
      </c>
      <c r="D634" s="103" t="str">
        <f t="shared" si="29"/>
        <v>Std_CFLscw-Refl(14w)_60pInc-r0286</v>
      </c>
      <c r="E634" s="103" t="str">
        <f>IF(LEFT(D634,3)="Std","Base case cost for mix of 60% Incandescent and 40% CFL lamps for CFL TechID: "&amp;INDEX('Measure &amp; Standard CostIDs'!$C$5:$C$177,A634),"&lt;from TechID&gt;")</f>
        <v>Base case cost for mix of 60% Incandescent and 40% CFL lamps for CFL TechID: CFLscw-Refl(14w)</v>
      </c>
      <c r="F634" s="103" t="s">
        <v>860</v>
      </c>
      <c r="G634" s="103" t="s">
        <v>151</v>
      </c>
      <c r="H634" s="103" t="s">
        <v>861</v>
      </c>
      <c r="I634" s="103" t="s">
        <v>862</v>
      </c>
      <c r="J634" s="103" t="s">
        <v>863</v>
      </c>
      <c r="K634" s="103" t="s">
        <v>864</v>
      </c>
      <c r="L634" s="103" t="s">
        <v>153</v>
      </c>
      <c r="M634" s="103" t="s">
        <v>865</v>
      </c>
      <c r="N634" s="103" t="s">
        <v>866</v>
      </c>
      <c r="O634" s="103" t="str">
        <f t="shared" si="26"/>
        <v/>
      </c>
      <c r="P634" s="103" t="s">
        <v>153</v>
      </c>
      <c r="Q634" s="103" t="s">
        <v>153</v>
      </c>
      <c r="R634" s="103" t="s">
        <v>153</v>
      </c>
      <c r="S634" s="103" t="str">
        <f>INDEX('Measure &amp; Standard CostIDs'!$AK$8:$AK$12,B634)</f>
        <v>Single-pack</v>
      </c>
      <c r="T634" s="103" t="s">
        <v>867</v>
      </c>
      <c r="U634" s="103"/>
      <c r="V634" s="103"/>
      <c r="W634" s="103">
        <f>ROUND(IF(LEFT(D634,3)="Std",VLOOKUP(D634,'Measure &amp; Standard CostIDs'!$S$5:$X$177,1+B634,FALSE),VLOOKUP(D634,'Measure &amp; Standard CostIDs'!$C$5:$H$177,1+B634,FALSE)),2)</f>
        <v>7.59</v>
      </c>
      <c r="X634" s="103"/>
      <c r="Y634" s="103"/>
      <c r="Z634" s="103" t="s">
        <v>868</v>
      </c>
      <c r="AA634" s="103" t="s">
        <v>874</v>
      </c>
      <c r="AB634" s="103" t="s">
        <v>153</v>
      </c>
      <c r="AC634" s="103">
        <v>0</v>
      </c>
      <c r="AD634" s="156">
        <v>42005</v>
      </c>
      <c r="AE634" s="103"/>
      <c r="AF634" s="103" t="s">
        <v>870</v>
      </c>
      <c r="AG634" s="103" t="s">
        <v>871</v>
      </c>
      <c r="AH634" s="103" t="s">
        <v>976</v>
      </c>
      <c r="AI634" s="103">
        <v>0</v>
      </c>
      <c r="AJ634" s="103"/>
      <c r="AK634" s="103"/>
      <c r="AL634" s="103"/>
      <c r="AM634" s="103"/>
      <c r="AN634" s="103"/>
      <c r="AO634" s="103" t="str">
        <f t="shared" si="27"/>
        <v>Std_CFLscw-Refl(14w)_60pInc-r0286Single-pack</v>
      </c>
    </row>
    <row r="635" spans="1:41">
      <c r="A635" s="177">
        <f>IFERROR(MATCH(D635,'Measure &amp; Standard CostIDs'!C$5:C$177,0),MATCH(D635,'Measure &amp; Standard CostIDs'!S$5:S$177,0))</f>
        <v>144</v>
      </c>
      <c r="B635" s="177">
        <f t="shared" si="28"/>
        <v>2</v>
      </c>
      <c r="C635" s="103" t="s">
        <v>153</v>
      </c>
      <c r="D635" s="103" t="str">
        <f t="shared" si="29"/>
        <v>Std_CFLscw-Refl(16w)_60pInc-r0286</v>
      </c>
      <c r="E635" s="103" t="str">
        <f>IF(LEFT(D635,3)="Std","Base case cost for mix of 60% Incandescent and 40% CFL lamps for CFL TechID: "&amp;INDEX('Measure &amp; Standard CostIDs'!$C$5:$C$177,A635),"&lt;from TechID&gt;")</f>
        <v>Base case cost for mix of 60% Incandescent and 40% CFL lamps for CFL TechID: CFLscw-Refl(16w)</v>
      </c>
      <c r="F635" s="103" t="s">
        <v>860</v>
      </c>
      <c r="G635" s="103" t="s">
        <v>151</v>
      </c>
      <c r="H635" s="103" t="s">
        <v>861</v>
      </c>
      <c r="I635" s="103" t="s">
        <v>862</v>
      </c>
      <c r="J635" s="103" t="s">
        <v>863</v>
      </c>
      <c r="K635" s="103" t="s">
        <v>864</v>
      </c>
      <c r="L635" s="103" t="s">
        <v>153</v>
      </c>
      <c r="M635" s="103" t="s">
        <v>865</v>
      </c>
      <c r="N635" s="103" t="s">
        <v>866</v>
      </c>
      <c r="O635" s="103" t="str">
        <f t="shared" si="26"/>
        <v/>
      </c>
      <c r="P635" s="103" t="s">
        <v>153</v>
      </c>
      <c r="Q635" s="103" t="s">
        <v>153</v>
      </c>
      <c r="R635" s="103" t="s">
        <v>153</v>
      </c>
      <c r="S635" s="103" t="str">
        <f>INDEX('Measure &amp; Standard CostIDs'!$AK$8:$AK$12,B635)</f>
        <v>Single-pack</v>
      </c>
      <c r="T635" s="103" t="s">
        <v>867</v>
      </c>
      <c r="U635" s="103"/>
      <c r="V635" s="103"/>
      <c r="W635" s="103">
        <f>ROUND(IF(LEFT(D635,3)="Std",VLOOKUP(D635,'Measure &amp; Standard CostIDs'!$S$5:$X$177,1+B635,FALSE),VLOOKUP(D635,'Measure &amp; Standard CostIDs'!$C$5:$H$177,1+B635,FALSE)),2)</f>
        <v>7.75</v>
      </c>
      <c r="X635" s="103"/>
      <c r="Y635" s="103"/>
      <c r="Z635" s="103" t="s">
        <v>868</v>
      </c>
      <c r="AA635" s="103" t="s">
        <v>874</v>
      </c>
      <c r="AB635" s="103" t="s">
        <v>153</v>
      </c>
      <c r="AC635" s="103">
        <v>0</v>
      </c>
      <c r="AD635" s="156">
        <v>42005</v>
      </c>
      <c r="AE635" s="103"/>
      <c r="AF635" s="103" t="s">
        <v>870</v>
      </c>
      <c r="AG635" s="103" t="s">
        <v>871</v>
      </c>
      <c r="AH635" s="103" t="s">
        <v>976</v>
      </c>
      <c r="AI635" s="103">
        <v>0</v>
      </c>
      <c r="AJ635" s="103"/>
      <c r="AK635" s="103"/>
      <c r="AL635" s="103"/>
      <c r="AM635" s="103"/>
      <c r="AN635" s="103"/>
      <c r="AO635" s="103" t="str">
        <f t="shared" si="27"/>
        <v>Std_CFLscw-Refl(16w)_60pInc-r0286Single-pack</v>
      </c>
    </row>
    <row r="636" spans="1:41">
      <c r="A636" s="177">
        <f>IFERROR(MATCH(D636,'Measure &amp; Standard CostIDs'!C$5:C$177,0),MATCH(D636,'Measure &amp; Standard CostIDs'!S$5:S$177,0))</f>
        <v>145</v>
      </c>
      <c r="B636" s="177">
        <f t="shared" si="28"/>
        <v>2</v>
      </c>
      <c r="C636" s="103" t="s">
        <v>153</v>
      </c>
      <c r="D636" s="103" t="str">
        <f t="shared" si="29"/>
        <v>Std_CFLscw-Refl(17w)_60pInc-r0286</v>
      </c>
      <c r="E636" s="103" t="str">
        <f>IF(LEFT(D636,3)="Std","Base case cost for mix of 60% Incandescent and 40% CFL lamps for CFL TechID: "&amp;INDEX('Measure &amp; Standard CostIDs'!$C$5:$C$177,A636),"&lt;from TechID&gt;")</f>
        <v>Base case cost for mix of 60% Incandescent and 40% CFL lamps for CFL TechID: CFLscw-Refl(17w)</v>
      </c>
      <c r="F636" s="103" t="s">
        <v>860</v>
      </c>
      <c r="G636" s="103" t="s">
        <v>151</v>
      </c>
      <c r="H636" s="103" t="s">
        <v>861</v>
      </c>
      <c r="I636" s="103" t="s">
        <v>862</v>
      </c>
      <c r="J636" s="103" t="s">
        <v>863</v>
      </c>
      <c r="K636" s="103" t="s">
        <v>864</v>
      </c>
      <c r="L636" s="103" t="s">
        <v>153</v>
      </c>
      <c r="M636" s="103" t="s">
        <v>865</v>
      </c>
      <c r="N636" s="103" t="s">
        <v>866</v>
      </c>
      <c r="O636" s="103" t="str">
        <f t="shared" si="26"/>
        <v/>
      </c>
      <c r="P636" s="103" t="s">
        <v>153</v>
      </c>
      <c r="Q636" s="103" t="s">
        <v>153</v>
      </c>
      <c r="R636" s="103" t="s">
        <v>153</v>
      </c>
      <c r="S636" s="103" t="str">
        <f>INDEX('Measure &amp; Standard CostIDs'!$AK$8:$AK$12,B636)</f>
        <v>Single-pack</v>
      </c>
      <c r="T636" s="103" t="s">
        <v>867</v>
      </c>
      <c r="U636" s="103"/>
      <c r="V636" s="103"/>
      <c r="W636" s="103">
        <f>ROUND(IF(LEFT(D636,3)="Std",VLOOKUP(D636,'Measure &amp; Standard CostIDs'!$S$5:$X$177,1+B636,FALSE),VLOOKUP(D636,'Measure &amp; Standard CostIDs'!$C$5:$H$177,1+B636,FALSE)),2)</f>
        <v>7.84</v>
      </c>
      <c r="X636" s="103"/>
      <c r="Y636" s="103"/>
      <c r="Z636" s="103" t="s">
        <v>868</v>
      </c>
      <c r="AA636" s="103" t="s">
        <v>874</v>
      </c>
      <c r="AB636" s="103" t="s">
        <v>153</v>
      </c>
      <c r="AC636" s="103">
        <v>0</v>
      </c>
      <c r="AD636" s="156">
        <v>42005</v>
      </c>
      <c r="AE636" s="103"/>
      <c r="AF636" s="103" t="s">
        <v>870</v>
      </c>
      <c r="AG636" s="103" t="s">
        <v>871</v>
      </c>
      <c r="AH636" s="103" t="s">
        <v>976</v>
      </c>
      <c r="AI636" s="103">
        <v>0</v>
      </c>
      <c r="AJ636" s="103"/>
      <c r="AK636" s="103"/>
      <c r="AL636" s="103"/>
      <c r="AM636" s="103"/>
      <c r="AN636" s="103"/>
      <c r="AO636" s="103" t="str">
        <f t="shared" si="27"/>
        <v>Std_CFLscw-Refl(17w)_60pInc-r0286Single-pack</v>
      </c>
    </row>
    <row r="637" spans="1:41">
      <c r="A637" s="177">
        <f>IFERROR(MATCH(D637,'Measure &amp; Standard CostIDs'!C$5:C$177,0),MATCH(D637,'Measure &amp; Standard CostIDs'!S$5:S$177,0))</f>
        <v>146</v>
      </c>
      <c r="B637" s="177">
        <f t="shared" si="28"/>
        <v>2</v>
      </c>
      <c r="C637" s="103" t="s">
        <v>153</v>
      </c>
      <c r="D637" s="103" t="str">
        <f t="shared" si="29"/>
        <v>Std_CFLscw-Refl(18w)_60pInc-r0286</v>
      </c>
      <c r="E637" s="103" t="str">
        <f>IF(LEFT(D637,3)="Std","Base case cost for mix of 60% Incandescent and 40% CFL lamps for CFL TechID: "&amp;INDEX('Measure &amp; Standard CostIDs'!$C$5:$C$177,A637),"&lt;from TechID&gt;")</f>
        <v>Base case cost for mix of 60% Incandescent and 40% CFL lamps for CFL TechID: CFLscw-Refl(18w)</v>
      </c>
      <c r="F637" s="103" t="s">
        <v>860</v>
      </c>
      <c r="G637" s="103" t="s">
        <v>151</v>
      </c>
      <c r="H637" s="103" t="s">
        <v>861</v>
      </c>
      <c r="I637" s="103" t="s">
        <v>862</v>
      </c>
      <c r="J637" s="103" t="s">
        <v>863</v>
      </c>
      <c r="K637" s="103" t="s">
        <v>864</v>
      </c>
      <c r="L637" s="103" t="s">
        <v>153</v>
      </c>
      <c r="M637" s="103" t="s">
        <v>865</v>
      </c>
      <c r="N637" s="103" t="s">
        <v>866</v>
      </c>
      <c r="O637" s="103" t="str">
        <f t="shared" si="26"/>
        <v/>
      </c>
      <c r="P637" s="103" t="s">
        <v>153</v>
      </c>
      <c r="Q637" s="103" t="s">
        <v>153</v>
      </c>
      <c r="R637" s="103" t="s">
        <v>153</v>
      </c>
      <c r="S637" s="103" t="str">
        <f>INDEX('Measure &amp; Standard CostIDs'!$AK$8:$AK$12,B637)</f>
        <v>Single-pack</v>
      </c>
      <c r="T637" s="103" t="s">
        <v>867</v>
      </c>
      <c r="U637" s="103"/>
      <c r="V637" s="103"/>
      <c r="W637" s="103">
        <f>ROUND(IF(LEFT(D637,3)="Std",VLOOKUP(D637,'Measure &amp; Standard CostIDs'!$S$5:$X$177,1+B637,FALSE),VLOOKUP(D637,'Measure &amp; Standard CostIDs'!$C$5:$H$177,1+B637,FALSE)),2)</f>
        <v>7.93</v>
      </c>
      <c r="X637" s="103"/>
      <c r="Y637" s="103"/>
      <c r="Z637" s="103" t="s">
        <v>868</v>
      </c>
      <c r="AA637" s="103" t="s">
        <v>874</v>
      </c>
      <c r="AB637" s="103" t="s">
        <v>153</v>
      </c>
      <c r="AC637" s="103">
        <v>0</v>
      </c>
      <c r="AD637" s="156">
        <v>42005</v>
      </c>
      <c r="AE637" s="103"/>
      <c r="AF637" s="103" t="s">
        <v>870</v>
      </c>
      <c r="AG637" s="103" t="s">
        <v>871</v>
      </c>
      <c r="AH637" s="103" t="s">
        <v>976</v>
      </c>
      <c r="AI637" s="103">
        <v>0</v>
      </c>
      <c r="AJ637" s="103"/>
      <c r="AK637" s="103"/>
      <c r="AL637" s="103"/>
      <c r="AM637" s="103"/>
      <c r="AN637" s="103"/>
      <c r="AO637" s="103" t="str">
        <f t="shared" si="27"/>
        <v>Std_CFLscw-Refl(18w)_60pInc-r0286Single-pack</v>
      </c>
    </row>
    <row r="638" spans="1:41">
      <c r="A638" s="177">
        <f>IFERROR(MATCH(D638,'Measure &amp; Standard CostIDs'!C$5:C$177,0),MATCH(D638,'Measure &amp; Standard CostIDs'!S$5:S$177,0))</f>
        <v>147</v>
      </c>
      <c r="B638" s="177">
        <f t="shared" si="28"/>
        <v>2</v>
      </c>
      <c r="C638" s="103" t="s">
        <v>153</v>
      </c>
      <c r="D638" s="103" t="str">
        <f t="shared" si="29"/>
        <v>Std_CFLscw-Refl(19w)_60pInc-r0286</v>
      </c>
      <c r="E638" s="103" t="str">
        <f>IF(LEFT(D638,3)="Std","Base case cost for mix of 60% Incandescent and 40% CFL lamps for CFL TechID: "&amp;INDEX('Measure &amp; Standard CostIDs'!$C$5:$C$177,A638),"&lt;from TechID&gt;")</f>
        <v>Base case cost for mix of 60% Incandescent and 40% CFL lamps for CFL TechID: CFLscw-Refl(19w)</v>
      </c>
      <c r="F638" s="103" t="s">
        <v>860</v>
      </c>
      <c r="G638" s="103" t="s">
        <v>151</v>
      </c>
      <c r="H638" s="103" t="s">
        <v>861</v>
      </c>
      <c r="I638" s="103" t="s">
        <v>862</v>
      </c>
      <c r="J638" s="103" t="s">
        <v>863</v>
      </c>
      <c r="K638" s="103" t="s">
        <v>864</v>
      </c>
      <c r="L638" s="103" t="s">
        <v>153</v>
      </c>
      <c r="M638" s="103" t="s">
        <v>865</v>
      </c>
      <c r="N638" s="103" t="s">
        <v>866</v>
      </c>
      <c r="O638" s="103" t="str">
        <f t="shared" si="26"/>
        <v/>
      </c>
      <c r="P638" s="103" t="s">
        <v>153</v>
      </c>
      <c r="Q638" s="103" t="s">
        <v>153</v>
      </c>
      <c r="R638" s="103" t="s">
        <v>153</v>
      </c>
      <c r="S638" s="103" t="str">
        <f>INDEX('Measure &amp; Standard CostIDs'!$AK$8:$AK$12,B638)</f>
        <v>Single-pack</v>
      </c>
      <c r="T638" s="103" t="s">
        <v>867</v>
      </c>
      <c r="U638" s="103"/>
      <c r="V638" s="103"/>
      <c r="W638" s="103">
        <f>ROUND(IF(LEFT(D638,3)="Std",VLOOKUP(D638,'Measure &amp; Standard CostIDs'!$S$5:$X$177,1+B638,FALSE),VLOOKUP(D638,'Measure &amp; Standard CostIDs'!$C$5:$H$177,1+B638,FALSE)),2)</f>
        <v>8.01</v>
      </c>
      <c r="X638" s="103"/>
      <c r="Y638" s="103"/>
      <c r="Z638" s="103" t="s">
        <v>868</v>
      </c>
      <c r="AA638" s="103" t="s">
        <v>874</v>
      </c>
      <c r="AB638" s="103" t="s">
        <v>153</v>
      </c>
      <c r="AC638" s="103">
        <v>0</v>
      </c>
      <c r="AD638" s="156">
        <v>42005</v>
      </c>
      <c r="AE638" s="103"/>
      <c r="AF638" s="103" t="s">
        <v>870</v>
      </c>
      <c r="AG638" s="103" t="s">
        <v>871</v>
      </c>
      <c r="AH638" s="103" t="s">
        <v>976</v>
      </c>
      <c r="AI638" s="103">
        <v>0</v>
      </c>
      <c r="AJ638" s="103"/>
      <c r="AK638" s="103"/>
      <c r="AL638" s="103"/>
      <c r="AM638" s="103"/>
      <c r="AN638" s="103"/>
      <c r="AO638" s="103" t="str">
        <f t="shared" si="27"/>
        <v>Std_CFLscw-Refl(19w)_60pInc-r0286Single-pack</v>
      </c>
    </row>
    <row r="639" spans="1:41">
      <c r="A639" s="177">
        <f>IFERROR(MATCH(D639,'Measure &amp; Standard CostIDs'!C$5:C$177,0),MATCH(D639,'Measure &amp; Standard CostIDs'!S$5:S$177,0))</f>
        <v>148</v>
      </c>
      <c r="B639" s="177">
        <f t="shared" si="28"/>
        <v>2</v>
      </c>
      <c r="C639" s="103" t="s">
        <v>153</v>
      </c>
      <c r="D639" s="103" t="str">
        <f t="shared" si="29"/>
        <v>Std_CFLscw-Refl(20w)_60pInc-r0286</v>
      </c>
      <c r="E639" s="103" t="str">
        <f>IF(LEFT(D639,3)="Std","Base case cost for mix of 60% Incandescent and 40% CFL lamps for CFL TechID: "&amp;INDEX('Measure &amp; Standard CostIDs'!$C$5:$C$177,A639),"&lt;from TechID&gt;")</f>
        <v>Base case cost for mix of 60% Incandescent and 40% CFL lamps for CFL TechID: CFLscw-Refl(20w)</v>
      </c>
      <c r="F639" s="103" t="s">
        <v>860</v>
      </c>
      <c r="G639" s="103" t="s">
        <v>151</v>
      </c>
      <c r="H639" s="103" t="s">
        <v>861</v>
      </c>
      <c r="I639" s="103" t="s">
        <v>862</v>
      </c>
      <c r="J639" s="103" t="s">
        <v>863</v>
      </c>
      <c r="K639" s="103" t="s">
        <v>864</v>
      </c>
      <c r="L639" s="103" t="s">
        <v>153</v>
      </c>
      <c r="M639" s="103" t="s">
        <v>865</v>
      </c>
      <c r="N639" s="103" t="s">
        <v>866</v>
      </c>
      <c r="O639" s="103" t="str">
        <f t="shared" si="26"/>
        <v/>
      </c>
      <c r="P639" s="103" t="s">
        <v>153</v>
      </c>
      <c r="Q639" s="103" t="s">
        <v>153</v>
      </c>
      <c r="R639" s="103" t="s">
        <v>153</v>
      </c>
      <c r="S639" s="103" t="str">
        <f>INDEX('Measure &amp; Standard CostIDs'!$AK$8:$AK$12,B639)</f>
        <v>Single-pack</v>
      </c>
      <c r="T639" s="103" t="s">
        <v>867</v>
      </c>
      <c r="U639" s="103"/>
      <c r="V639" s="103"/>
      <c r="W639" s="103">
        <f>ROUND(IF(LEFT(D639,3)="Std",VLOOKUP(D639,'Measure &amp; Standard CostIDs'!$S$5:$X$177,1+B639,FALSE),VLOOKUP(D639,'Measure &amp; Standard CostIDs'!$C$5:$H$177,1+B639,FALSE)),2)</f>
        <v>8.1</v>
      </c>
      <c r="X639" s="103"/>
      <c r="Y639" s="103"/>
      <c r="Z639" s="103" t="s">
        <v>868</v>
      </c>
      <c r="AA639" s="103" t="s">
        <v>874</v>
      </c>
      <c r="AB639" s="103" t="s">
        <v>153</v>
      </c>
      <c r="AC639" s="103">
        <v>0</v>
      </c>
      <c r="AD639" s="156">
        <v>42005</v>
      </c>
      <c r="AE639" s="103"/>
      <c r="AF639" s="103" t="s">
        <v>870</v>
      </c>
      <c r="AG639" s="103" t="s">
        <v>871</v>
      </c>
      <c r="AH639" s="103" t="s">
        <v>976</v>
      </c>
      <c r="AI639" s="103">
        <v>0</v>
      </c>
      <c r="AJ639" s="103"/>
      <c r="AK639" s="103"/>
      <c r="AL639" s="103"/>
      <c r="AM639" s="103"/>
      <c r="AN639" s="103"/>
      <c r="AO639" s="103" t="str">
        <f t="shared" si="27"/>
        <v>Std_CFLscw-Refl(20w)_60pInc-r0286Single-pack</v>
      </c>
    </row>
    <row r="640" spans="1:41">
      <c r="A640" s="177">
        <f>IFERROR(MATCH(D640,'Measure &amp; Standard CostIDs'!C$5:C$177,0),MATCH(D640,'Measure &amp; Standard CostIDs'!S$5:S$177,0))</f>
        <v>149</v>
      </c>
      <c r="B640" s="177">
        <f t="shared" si="28"/>
        <v>2</v>
      </c>
      <c r="C640" s="103" t="s">
        <v>153</v>
      </c>
      <c r="D640" s="103" t="str">
        <f t="shared" si="29"/>
        <v>Std_CFLscw-Refl(21w)_60pInc-r0286</v>
      </c>
      <c r="E640" s="103" t="str">
        <f>IF(LEFT(D640,3)="Std","Base case cost for mix of 60% Incandescent and 40% CFL lamps for CFL TechID: "&amp;INDEX('Measure &amp; Standard CostIDs'!$C$5:$C$177,A640),"&lt;from TechID&gt;")</f>
        <v>Base case cost for mix of 60% Incandescent and 40% CFL lamps for CFL TechID: CFLscw-Refl(21w)</v>
      </c>
      <c r="F640" s="103" t="s">
        <v>860</v>
      </c>
      <c r="G640" s="103" t="s">
        <v>151</v>
      </c>
      <c r="H640" s="103" t="s">
        <v>861</v>
      </c>
      <c r="I640" s="103" t="s">
        <v>862</v>
      </c>
      <c r="J640" s="103" t="s">
        <v>863</v>
      </c>
      <c r="K640" s="103" t="s">
        <v>864</v>
      </c>
      <c r="L640" s="103" t="s">
        <v>153</v>
      </c>
      <c r="M640" s="103" t="s">
        <v>865</v>
      </c>
      <c r="N640" s="103" t="s">
        <v>866</v>
      </c>
      <c r="O640" s="103" t="str">
        <f t="shared" si="26"/>
        <v/>
      </c>
      <c r="P640" s="103" t="s">
        <v>153</v>
      </c>
      <c r="Q640" s="103" t="s">
        <v>153</v>
      </c>
      <c r="R640" s="103" t="s">
        <v>153</v>
      </c>
      <c r="S640" s="103" t="str">
        <f>INDEX('Measure &amp; Standard CostIDs'!$AK$8:$AK$12,B640)</f>
        <v>Single-pack</v>
      </c>
      <c r="T640" s="103" t="s">
        <v>867</v>
      </c>
      <c r="U640" s="103"/>
      <c r="V640" s="103"/>
      <c r="W640" s="103">
        <f>ROUND(IF(LEFT(D640,3)="Std",VLOOKUP(D640,'Measure &amp; Standard CostIDs'!$S$5:$X$177,1+B640,FALSE),VLOOKUP(D640,'Measure &amp; Standard CostIDs'!$C$5:$H$177,1+B640,FALSE)),2)</f>
        <v>8.18</v>
      </c>
      <c r="X640" s="103"/>
      <c r="Y640" s="103"/>
      <c r="Z640" s="103" t="s">
        <v>868</v>
      </c>
      <c r="AA640" s="103" t="s">
        <v>874</v>
      </c>
      <c r="AB640" s="103" t="s">
        <v>153</v>
      </c>
      <c r="AC640" s="103">
        <v>0</v>
      </c>
      <c r="AD640" s="156">
        <v>42005</v>
      </c>
      <c r="AE640" s="103"/>
      <c r="AF640" s="103" t="s">
        <v>870</v>
      </c>
      <c r="AG640" s="103" t="s">
        <v>871</v>
      </c>
      <c r="AH640" s="103" t="s">
        <v>976</v>
      </c>
      <c r="AI640" s="103">
        <v>0</v>
      </c>
      <c r="AJ640" s="103"/>
      <c r="AK640" s="103"/>
      <c r="AL640" s="103"/>
      <c r="AM640" s="103"/>
      <c r="AN640" s="103"/>
      <c r="AO640" s="103" t="str">
        <f t="shared" si="27"/>
        <v>Std_CFLscw-Refl(21w)_60pInc-r0286Single-pack</v>
      </c>
    </row>
    <row r="641" spans="1:41">
      <c r="A641" s="177">
        <f>IFERROR(MATCH(D641,'Measure &amp; Standard CostIDs'!C$5:C$177,0),MATCH(D641,'Measure &amp; Standard CostIDs'!S$5:S$177,0))</f>
        <v>150</v>
      </c>
      <c r="B641" s="177">
        <f t="shared" si="28"/>
        <v>2</v>
      </c>
      <c r="C641" s="103" t="s">
        <v>153</v>
      </c>
      <c r="D641" s="103" t="str">
        <f t="shared" si="29"/>
        <v>Std_CFLscw-Refl(22w)_60pInc-r0286</v>
      </c>
      <c r="E641" s="103" t="str">
        <f>IF(LEFT(D641,3)="Std","Base case cost for mix of 60% Incandescent and 40% CFL lamps for CFL TechID: "&amp;INDEX('Measure &amp; Standard CostIDs'!$C$5:$C$177,A641),"&lt;from TechID&gt;")</f>
        <v>Base case cost for mix of 60% Incandescent and 40% CFL lamps for CFL TechID: CFLscw-Refl(22w)</v>
      </c>
      <c r="F641" s="103" t="s">
        <v>860</v>
      </c>
      <c r="G641" s="103" t="s">
        <v>151</v>
      </c>
      <c r="H641" s="103" t="s">
        <v>861</v>
      </c>
      <c r="I641" s="103" t="s">
        <v>862</v>
      </c>
      <c r="J641" s="103" t="s">
        <v>863</v>
      </c>
      <c r="K641" s="103" t="s">
        <v>864</v>
      </c>
      <c r="L641" s="103" t="s">
        <v>153</v>
      </c>
      <c r="M641" s="103" t="s">
        <v>865</v>
      </c>
      <c r="N641" s="103" t="s">
        <v>866</v>
      </c>
      <c r="O641" s="103" t="str">
        <f t="shared" si="26"/>
        <v/>
      </c>
      <c r="P641" s="103" t="s">
        <v>153</v>
      </c>
      <c r="Q641" s="103" t="s">
        <v>153</v>
      </c>
      <c r="R641" s="103" t="s">
        <v>153</v>
      </c>
      <c r="S641" s="103" t="str">
        <f>INDEX('Measure &amp; Standard CostIDs'!$AK$8:$AK$12,B641)</f>
        <v>Single-pack</v>
      </c>
      <c r="T641" s="103" t="s">
        <v>867</v>
      </c>
      <c r="U641" s="103"/>
      <c r="V641" s="103"/>
      <c r="W641" s="103">
        <f>ROUND(IF(LEFT(D641,3)="Std",VLOOKUP(D641,'Measure &amp; Standard CostIDs'!$S$5:$X$177,1+B641,FALSE),VLOOKUP(D641,'Measure &amp; Standard CostIDs'!$C$5:$H$177,1+B641,FALSE)),2)</f>
        <v>8.26</v>
      </c>
      <c r="X641" s="103"/>
      <c r="Y641" s="103"/>
      <c r="Z641" s="103" t="s">
        <v>868</v>
      </c>
      <c r="AA641" s="103" t="s">
        <v>874</v>
      </c>
      <c r="AB641" s="103" t="s">
        <v>153</v>
      </c>
      <c r="AC641" s="103">
        <v>0</v>
      </c>
      <c r="AD641" s="156">
        <v>42005</v>
      </c>
      <c r="AE641" s="103"/>
      <c r="AF641" s="103" t="s">
        <v>870</v>
      </c>
      <c r="AG641" s="103" t="s">
        <v>871</v>
      </c>
      <c r="AH641" s="103" t="s">
        <v>976</v>
      </c>
      <c r="AI641" s="103">
        <v>0</v>
      </c>
      <c r="AJ641" s="103"/>
      <c r="AK641" s="103"/>
      <c r="AL641" s="103"/>
      <c r="AM641" s="103"/>
      <c r="AN641" s="103"/>
      <c r="AO641" s="103" t="str">
        <f t="shared" si="27"/>
        <v>Std_CFLscw-Refl(22w)_60pInc-r0286Single-pack</v>
      </c>
    </row>
    <row r="642" spans="1:41">
      <c r="A642" s="177">
        <f>IFERROR(MATCH(D642,'Measure &amp; Standard CostIDs'!C$5:C$177,0),MATCH(D642,'Measure &amp; Standard CostIDs'!S$5:S$177,0))</f>
        <v>151</v>
      </c>
      <c r="B642" s="177">
        <f t="shared" si="28"/>
        <v>2</v>
      </c>
      <c r="C642" s="103" t="s">
        <v>153</v>
      </c>
      <c r="D642" s="103" t="str">
        <f t="shared" si="29"/>
        <v>Std_CFLscw-Refl(24w)_60pInc-r0286</v>
      </c>
      <c r="E642" s="103" t="str">
        <f>IF(LEFT(D642,3)="Std","Base case cost for mix of 60% Incandescent and 40% CFL lamps for CFL TechID: "&amp;INDEX('Measure &amp; Standard CostIDs'!$C$5:$C$177,A642),"&lt;from TechID&gt;")</f>
        <v>Base case cost for mix of 60% Incandescent and 40% CFL lamps for CFL TechID: CFLscw-Refl(24w)</v>
      </c>
      <c r="F642" s="103" t="s">
        <v>860</v>
      </c>
      <c r="G642" s="103" t="s">
        <v>151</v>
      </c>
      <c r="H642" s="103" t="s">
        <v>861</v>
      </c>
      <c r="I642" s="103" t="s">
        <v>862</v>
      </c>
      <c r="J642" s="103" t="s">
        <v>863</v>
      </c>
      <c r="K642" s="103" t="s">
        <v>864</v>
      </c>
      <c r="L642" s="103" t="s">
        <v>153</v>
      </c>
      <c r="M642" s="103" t="s">
        <v>865</v>
      </c>
      <c r="N642" s="103" t="s">
        <v>866</v>
      </c>
      <c r="O642" s="103" t="str">
        <f t="shared" si="26"/>
        <v/>
      </c>
      <c r="P642" s="103" t="s">
        <v>153</v>
      </c>
      <c r="Q642" s="103" t="s">
        <v>153</v>
      </c>
      <c r="R642" s="103" t="s">
        <v>153</v>
      </c>
      <c r="S642" s="103" t="str">
        <f>INDEX('Measure &amp; Standard CostIDs'!$AK$8:$AK$12,B642)</f>
        <v>Single-pack</v>
      </c>
      <c r="T642" s="103" t="s">
        <v>867</v>
      </c>
      <c r="U642" s="103"/>
      <c r="V642" s="103"/>
      <c r="W642" s="103">
        <f>ROUND(IF(LEFT(D642,3)="Std",VLOOKUP(D642,'Measure &amp; Standard CostIDs'!$S$5:$X$177,1+B642,FALSE),VLOOKUP(D642,'Measure &amp; Standard CostIDs'!$C$5:$H$177,1+B642,FALSE)),2)</f>
        <v>8.43</v>
      </c>
      <c r="X642" s="103"/>
      <c r="Y642" s="103"/>
      <c r="Z642" s="103" t="s">
        <v>868</v>
      </c>
      <c r="AA642" s="103" t="s">
        <v>874</v>
      </c>
      <c r="AB642" s="103" t="s">
        <v>153</v>
      </c>
      <c r="AC642" s="103">
        <v>0</v>
      </c>
      <c r="AD642" s="156">
        <v>42005</v>
      </c>
      <c r="AE642" s="103"/>
      <c r="AF642" s="103" t="s">
        <v>870</v>
      </c>
      <c r="AG642" s="103" t="s">
        <v>871</v>
      </c>
      <c r="AH642" s="103" t="s">
        <v>976</v>
      </c>
      <c r="AI642" s="103">
        <v>0</v>
      </c>
      <c r="AJ642" s="103"/>
      <c r="AK642" s="103"/>
      <c r="AL642" s="103"/>
      <c r="AM642" s="103"/>
      <c r="AN642" s="103"/>
      <c r="AO642" s="103" t="str">
        <f t="shared" si="27"/>
        <v>Std_CFLscw-Refl(24w)_60pInc-r0286Single-pack</v>
      </c>
    </row>
    <row r="643" spans="1:41">
      <c r="A643" s="177">
        <f>IFERROR(MATCH(D643,'Measure &amp; Standard CostIDs'!C$5:C$177,0),MATCH(D643,'Measure &amp; Standard CostIDs'!S$5:S$177,0))</f>
        <v>152</v>
      </c>
      <c r="B643" s="177">
        <f t="shared" si="28"/>
        <v>2</v>
      </c>
      <c r="C643" s="103" t="s">
        <v>153</v>
      </c>
      <c r="D643" s="103" t="str">
        <f t="shared" si="29"/>
        <v>Std_CFLscw-Refl(25w)_60pInc-r0286</v>
      </c>
      <c r="E643" s="103" t="str">
        <f>IF(LEFT(D643,3)="Std","Base case cost for mix of 60% Incandescent and 40% CFL lamps for CFL TechID: "&amp;INDEX('Measure &amp; Standard CostIDs'!$C$5:$C$177,A643),"&lt;from TechID&gt;")</f>
        <v>Base case cost for mix of 60% Incandescent and 40% CFL lamps for CFL TechID: CFLscw-Refl(25w)</v>
      </c>
      <c r="F643" s="103" t="s">
        <v>860</v>
      </c>
      <c r="G643" s="103" t="s">
        <v>151</v>
      </c>
      <c r="H643" s="103" t="s">
        <v>861</v>
      </c>
      <c r="I643" s="103" t="s">
        <v>862</v>
      </c>
      <c r="J643" s="103" t="s">
        <v>863</v>
      </c>
      <c r="K643" s="103" t="s">
        <v>864</v>
      </c>
      <c r="L643" s="103" t="s">
        <v>153</v>
      </c>
      <c r="M643" s="103" t="s">
        <v>865</v>
      </c>
      <c r="N643" s="103" t="s">
        <v>866</v>
      </c>
      <c r="O643" s="103" t="str">
        <f t="shared" si="26"/>
        <v/>
      </c>
      <c r="P643" s="103" t="s">
        <v>153</v>
      </c>
      <c r="Q643" s="103" t="s">
        <v>153</v>
      </c>
      <c r="R643" s="103" t="s">
        <v>153</v>
      </c>
      <c r="S643" s="103" t="str">
        <f>INDEX('Measure &amp; Standard CostIDs'!$AK$8:$AK$12,B643)</f>
        <v>Single-pack</v>
      </c>
      <c r="T643" s="103" t="s">
        <v>867</v>
      </c>
      <c r="U643" s="103"/>
      <c r="V643" s="103"/>
      <c r="W643" s="103">
        <f>ROUND(IF(LEFT(D643,3)="Std",VLOOKUP(D643,'Measure &amp; Standard CostIDs'!$S$5:$X$177,1+B643,FALSE),VLOOKUP(D643,'Measure &amp; Standard CostIDs'!$C$5:$H$177,1+B643,FALSE)),2)</f>
        <v>8.52</v>
      </c>
      <c r="X643" s="103"/>
      <c r="Y643" s="103"/>
      <c r="Z643" s="103" t="s">
        <v>868</v>
      </c>
      <c r="AA643" s="103" t="s">
        <v>874</v>
      </c>
      <c r="AB643" s="103" t="s">
        <v>153</v>
      </c>
      <c r="AC643" s="103">
        <v>0</v>
      </c>
      <c r="AD643" s="156">
        <v>42005</v>
      </c>
      <c r="AE643" s="103"/>
      <c r="AF643" s="103" t="s">
        <v>870</v>
      </c>
      <c r="AG643" s="103" t="s">
        <v>871</v>
      </c>
      <c r="AH643" s="103" t="s">
        <v>976</v>
      </c>
      <c r="AI643" s="103">
        <v>0</v>
      </c>
      <c r="AJ643" s="103"/>
      <c r="AK643" s="103"/>
      <c r="AL643" s="103"/>
      <c r="AM643" s="103"/>
      <c r="AN643" s="103"/>
      <c r="AO643" s="103" t="str">
        <f t="shared" si="27"/>
        <v>Std_CFLscw-Refl(25w)_60pInc-r0286Single-pack</v>
      </c>
    </row>
    <row r="644" spans="1:41">
      <c r="A644" s="177">
        <f>IFERROR(MATCH(D644,'Measure &amp; Standard CostIDs'!C$5:C$177,0),MATCH(D644,'Measure &amp; Standard CostIDs'!S$5:S$177,0))</f>
        <v>153</v>
      </c>
      <c r="B644" s="177">
        <f t="shared" si="28"/>
        <v>2</v>
      </c>
      <c r="C644" s="103" t="s">
        <v>153</v>
      </c>
      <c r="D644" s="103" t="str">
        <f t="shared" si="29"/>
        <v>Std_CFLscw-Refl(26w)_60pInc-r0286</v>
      </c>
      <c r="E644" s="103" t="str">
        <f>IF(LEFT(D644,3)="Std","Base case cost for mix of 60% Incandescent and 40% CFL lamps for CFL TechID: "&amp;INDEX('Measure &amp; Standard CostIDs'!$C$5:$C$177,A644),"&lt;from TechID&gt;")</f>
        <v>Base case cost for mix of 60% Incandescent and 40% CFL lamps for CFL TechID: CFLscw-Refl(26w)</v>
      </c>
      <c r="F644" s="103" t="s">
        <v>860</v>
      </c>
      <c r="G644" s="103" t="s">
        <v>151</v>
      </c>
      <c r="H644" s="103" t="s">
        <v>861</v>
      </c>
      <c r="I644" s="103" t="s">
        <v>862</v>
      </c>
      <c r="J644" s="103" t="s">
        <v>863</v>
      </c>
      <c r="K644" s="103" t="s">
        <v>864</v>
      </c>
      <c r="L644" s="103" t="s">
        <v>153</v>
      </c>
      <c r="M644" s="103" t="s">
        <v>865</v>
      </c>
      <c r="N644" s="103" t="s">
        <v>866</v>
      </c>
      <c r="O644" s="103" t="str">
        <f t="shared" si="26"/>
        <v/>
      </c>
      <c r="P644" s="103" t="s">
        <v>153</v>
      </c>
      <c r="Q644" s="103" t="s">
        <v>153</v>
      </c>
      <c r="R644" s="103" t="s">
        <v>153</v>
      </c>
      <c r="S644" s="103" t="str">
        <f>INDEX('Measure &amp; Standard CostIDs'!$AK$8:$AK$12,B644)</f>
        <v>Single-pack</v>
      </c>
      <c r="T644" s="103" t="s">
        <v>867</v>
      </c>
      <c r="U644" s="103"/>
      <c r="V644" s="103"/>
      <c r="W644" s="103">
        <f>ROUND(IF(LEFT(D644,3)="Std",VLOOKUP(D644,'Measure &amp; Standard CostIDs'!$S$5:$X$177,1+B644,FALSE),VLOOKUP(D644,'Measure &amp; Standard CostIDs'!$C$5:$H$177,1+B644,FALSE)),2)</f>
        <v>8.6</v>
      </c>
      <c r="X644" s="103"/>
      <c r="Y644" s="103"/>
      <c r="Z644" s="103" t="s">
        <v>868</v>
      </c>
      <c r="AA644" s="103" t="s">
        <v>874</v>
      </c>
      <c r="AB644" s="103" t="s">
        <v>153</v>
      </c>
      <c r="AC644" s="103">
        <v>0</v>
      </c>
      <c r="AD644" s="156">
        <v>42005</v>
      </c>
      <c r="AE644" s="103"/>
      <c r="AF644" s="103" t="s">
        <v>870</v>
      </c>
      <c r="AG644" s="103" t="s">
        <v>871</v>
      </c>
      <c r="AH644" s="103" t="s">
        <v>976</v>
      </c>
      <c r="AI644" s="103">
        <v>0</v>
      </c>
      <c r="AJ644" s="103"/>
      <c r="AK644" s="103"/>
      <c r="AL644" s="103"/>
      <c r="AM644" s="103"/>
      <c r="AN644" s="103"/>
      <c r="AO644" s="103" t="str">
        <f t="shared" si="27"/>
        <v>Std_CFLscw-Refl(26w)_60pInc-r0286Single-pack</v>
      </c>
    </row>
    <row r="645" spans="1:41">
      <c r="A645" s="177">
        <f>IFERROR(MATCH(D645,'Measure &amp; Standard CostIDs'!C$5:C$177,0),MATCH(D645,'Measure &amp; Standard CostIDs'!S$5:S$177,0))</f>
        <v>154</v>
      </c>
      <c r="B645" s="177">
        <f t="shared" si="28"/>
        <v>2</v>
      </c>
      <c r="C645" s="103" t="s">
        <v>153</v>
      </c>
      <c r="D645" s="103" t="str">
        <f t="shared" si="29"/>
        <v>Std_CFLscw-Refl(5w)_60pInc-r0286</v>
      </c>
      <c r="E645" s="103" t="str">
        <f>IF(LEFT(D645,3)="Std","Base case cost for mix of 60% Incandescent and 40% CFL lamps for CFL TechID: "&amp;INDEX('Measure &amp; Standard CostIDs'!$C$5:$C$177,A645),"&lt;from TechID&gt;")</f>
        <v>Base case cost for mix of 60% Incandescent and 40% CFL lamps for CFL TechID: CFLscw-Refl(5w)</v>
      </c>
      <c r="F645" s="103" t="s">
        <v>860</v>
      </c>
      <c r="G645" s="103" t="s">
        <v>151</v>
      </c>
      <c r="H645" s="103" t="s">
        <v>861</v>
      </c>
      <c r="I645" s="103" t="s">
        <v>862</v>
      </c>
      <c r="J645" s="103" t="s">
        <v>863</v>
      </c>
      <c r="K645" s="103" t="s">
        <v>864</v>
      </c>
      <c r="L645" s="103" t="s">
        <v>153</v>
      </c>
      <c r="M645" s="103" t="s">
        <v>865</v>
      </c>
      <c r="N645" s="103" t="s">
        <v>866</v>
      </c>
      <c r="O645" s="103" t="str">
        <f t="shared" si="26"/>
        <v/>
      </c>
      <c r="P645" s="103" t="s">
        <v>153</v>
      </c>
      <c r="Q645" s="103" t="s">
        <v>153</v>
      </c>
      <c r="R645" s="103" t="s">
        <v>153</v>
      </c>
      <c r="S645" s="103" t="str">
        <f>INDEX('Measure &amp; Standard CostIDs'!$AK$8:$AK$12,B645)</f>
        <v>Single-pack</v>
      </c>
      <c r="T645" s="103" t="s">
        <v>867</v>
      </c>
      <c r="U645" s="103"/>
      <c r="V645" s="103"/>
      <c r="W645" s="103">
        <f>ROUND(IF(LEFT(D645,3)="Std",VLOOKUP(D645,'Measure &amp; Standard CostIDs'!$S$5:$X$177,1+B645,FALSE),VLOOKUP(D645,'Measure &amp; Standard CostIDs'!$C$5:$H$177,1+B645,FALSE)),2)</f>
        <v>6.82</v>
      </c>
      <c r="X645" s="103"/>
      <c r="Y645" s="103"/>
      <c r="Z645" s="103" t="s">
        <v>868</v>
      </c>
      <c r="AA645" s="103" t="s">
        <v>874</v>
      </c>
      <c r="AB645" s="103" t="s">
        <v>153</v>
      </c>
      <c r="AC645" s="103">
        <v>0</v>
      </c>
      <c r="AD645" s="156">
        <v>42005</v>
      </c>
      <c r="AE645" s="103"/>
      <c r="AF645" s="103" t="s">
        <v>870</v>
      </c>
      <c r="AG645" s="103" t="s">
        <v>871</v>
      </c>
      <c r="AH645" s="103" t="s">
        <v>976</v>
      </c>
      <c r="AI645" s="103">
        <v>0</v>
      </c>
      <c r="AJ645" s="103"/>
      <c r="AK645" s="103"/>
      <c r="AL645" s="103"/>
      <c r="AM645" s="103"/>
      <c r="AN645" s="103"/>
      <c r="AO645" s="103" t="str">
        <f t="shared" si="27"/>
        <v>Std_CFLscw-Refl(5w)_60pInc-r0286Single-pack</v>
      </c>
    </row>
    <row r="646" spans="1:41">
      <c r="A646" s="177">
        <f>IFERROR(MATCH(D646,'Measure &amp; Standard CostIDs'!C$5:C$177,0),MATCH(D646,'Measure &amp; Standard CostIDs'!S$5:S$177,0))</f>
        <v>155</v>
      </c>
      <c r="B646" s="177">
        <f t="shared" si="28"/>
        <v>2</v>
      </c>
      <c r="C646" s="103" t="s">
        <v>153</v>
      </c>
      <c r="D646" s="103" t="str">
        <f t="shared" si="29"/>
        <v>Std_CFLscw-Refl(6w)_60pInc-r0286</v>
      </c>
      <c r="E646" s="103" t="str">
        <f>IF(LEFT(D646,3)="Std","Base case cost for mix of 60% Incandescent and 40% CFL lamps for CFL TechID: "&amp;INDEX('Measure &amp; Standard CostIDs'!$C$5:$C$177,A646),"&lt;from TechID&gt;")</f>
        <v>Base case cost for mix of 60% Incandescent and 40% CFL lamps for CFL TechID: CFLscw-Refl(6w)</v>
      </c>
      <c r="F646" s="103" t="s">
        <v>860</v>
      </c>
      <c r="G646" s="103" t="s">
        <v>151</v>
      </c>
      <c r="H646" s="103" t="s">
        <v>861</v>
      </c>
      <c r="I646" s="103" t="s">
        <v>862</v>
      </c>
      <c r="J646" s="103" t="s">
        <v>863</v>
      </c>
      <c r="K646" s="103" t="s">
        <v>864</v>
      </c>
      <c r="L646" s="103" t="s">
        <v>153</v>
      </c>
      <c r="M646" s="103" t="s">
        <v>865</v>
      </c>
      <c r="N646" s="103" t="s">
        <v>866</v>
      </c>
      <c r="O646" s="103" t="str">
        <f t="shared" ref="O646:O709" si="30">IF(LEFT(D646,3)="Std","",D646)</f>
        <v/>
      </c>
      <c r="P646" s="103" t="s">
        <v>153</v>
      </c>
      <c r="Q646" s="103" t="s">
        <v>153</v>
      </c>
      <c r="R646" s="103" t="s">
        <v>153</v>
      </c>
      <c r="S646" s="103" t="str">
        <f>INDEX('Measure &amp; Standard CostIDs'!$AK$8:$AK$12,B646)</f>
        <v>Single-pack</v>
      </c>
      <c r="T646" s="103" t="s">
        <v>867</v>
      </c>
      <c r="U646" s="103"/>
      <c r="V646" s="103"/>
      <c r="W646" s="103">
        <f>ROUND(IF(LEFT(D646,3)="Std",VLOOKUP(D646,'Measure &amp; Standard CostIDs'!$S$5:$X$177,1+B646,FALSE),VLOOKUP(D646,'Measure &amp; Standard CostIDs'!$C$5:$H$177,1+B646,FALSE)),2)</f>
        <v>6.92</v>
      </c>
      <c r="X646" s="103"/>
      <c r="Y646" s="103"/>
      <c r="Z646" s="103" t="s">
        <v>868</v>
      </c>
      <c r="AA646" s="103" t="s">
        <v>874</v>
      </c>
      <c r="AB646" s="103" t="s">
        <v>153</v>
      </c>
      <c r="AC646" s="103">
        <v>0</v>
      </c>
      <c r="AD646" s="156">
        <v>42005</v>
      </c>
      <c r="AE646" s="103"/>
      <c r="AF646" s="103" t="s">
        <v>870</v>
      </c>
      <c r="AG646" s="103" t="s">
        <v>871</v>
      </c>
      <c r="AH646" s="103" t="s">
        <v>976</v>
      </c>
      <c r="AI646" s="103">
        <v>0</v>
      </c>
      <c r="AJ646" s="103"/>
      <c r="AK646" s="103"/>
      <c r="AL646" s="103"/>
      <c r="AM646" s="103"/>
      <c r="AN646" s="103"/>
      <c r="AO646" s="103" t="str">
        <f t="shared" ref="AO646:AO709" si="31">D646&amp;S646</f>
        <v>Std_CFLscw-Refl(6w)_60pInc-r0286Single-pack</v>
      </c>
    </row>
    <row r="647" spans="1:41">
      <c r="A647" s="177">
        <f>IFERROR(MATCH(D647,'Measure &amp; Standard CostIDs'!C$5:C$177,0),MATCH(D647,'Measure &amp; Standard CostIDs'!S$5:S$177,0))</f>
        <v>156</v>
      </c>
      <c r="B647" s="177">
        <f t="shared" si="28"/>
        <v>2</v>
      </c>
      <c r="C647" s="103" t="s">
        <v>153</v>
      </c>
      <c r="D647" s="103" t="str">
        <f t="shared" si="29"/>
        <v>Std_CFLscw-Refl(7w)_60pInc-r0286</v>
      </c>
      <c r="E647" s="103" t="str">
        <f>IF(LEFT(D647,3)="Std","Base case cost for mix of 60% Incandescent and 40% CFL lamps for CFL TechID: "&amp;INDEX('Measure &amp; Standard CostIDs'!$C$5:$C$177,A647),"&lt;from TechID&gt;")</f>
        <v>Base case cost for mix of 60% Incandescent and 40% CFL lamps for CFL TechID: CFLscw-Refl(7w)</v>
      </c>
      <c r="F647" s="103" t="s">
        <v>860</v>
      </c>
      <c r="G647" s="103" t="s">
        <v>151</v>
      </c>
      <c r="H647" s="103" t="s">
        <v>861</v>
      </c>
      <c r="I647" s="103" t="s">
        <v>862</v>
      </c>
      <c r="J647" s="103" t="s">
        <v>863</v>
      </c>
      <c r="K647" s="103" t="s">
        <v>864</v>
      </c>
      <c r="L647" s="103" t="s">
        <v>153</v>
      </c>
      <c r="M647" s="103" t="s">
        <v>865</v>
      </c>
      <c r="N647" s="103" t="s">
        <v>866</v>
      </c>
      <c r="O647" s="103" t="str">
        <f t="shared" si="30"/>
        <v/>
      </c>
      <c r="P647" s="103" t="s">
        <v>153</v>
      </c>
      <c r="Q647" s="103" t="s">
        <v>153</v>
      </c>
      <c r="R647" s="103" t="s">
        <v>153</v>
      </c>
      <c r="S647" s="103" t="str">
        <f>INDEX('Measure &amp; Standard CostIDs'!$AK$8:$AK$12,B647)</f>
        <v>Single-pack</v>
      </c>
      <c r="T647" s="103" t="s">
        <v>867</v>
      </c>
      <c r="U647" s="103"/>
      <c r="V647" s="103"/>
      <c r="W647" s="103">
        <f>ROUND(IF(LEFT(D647,3)="Std",VLOOKUP(D647,'Measure &amp; Standard CostIDs'!$S$5:$X$177,1+B647,FALSE),VLOOKUP(D647,'Measure &amp; Standard CostIDs'!$C$5:$H$177,1+B647,FALSE)),2)</f>
        <v>7</v>
      </c>
      <c r="X647" s="103"/>
      <c r="Y647" s="103"/>
      <c r="Z647" s="103" t="s">
        <v>868</v>
      </c>
      <c r="AA647" s="103" t="s">
        <v>874</v>
      </c>
      <c r="AB647" s="103" t="s">
        <v>153</v>
      </c>
      <c r="AC647" s="103">
        <v>0</v>
      </c>
      <c r="AD647" s="156">
        <v>42005</v>
      </c>
      <c r="AE647" s="103"/>
      <c r="AF647" s="103" t="s">
        <v>870</v>
      </c>
      <c r="AG647" s="103" t="s">
        <v>871</v>
      </c>
      <c r="AH647" s="103" t="s">
        <v>976</v>
      </c>
      <c r="AI647" s="103">
        <v>0</v>
      </c>
      <c r="AJ647" s="103"/>
      <c r="AK647" s="103"/>
      <c r="AL647" s="103"/>
      <c r="AM647" s="103"/>
      <c r="AN647" s="103"/>
      <c r="AO647" s="103" t="str">
        <f t="shared" si="31"/>
        <v>Std_CFLscw-Refl(7w)_60pInc-r0286Single-pack</v>
      </c>
    </row>
    <row r="648" spans="1:41">
      <c r="A648" s="177">
        <f>IFERROR(MATCH(D648,'Measure &amp; Standard CostIDs'!C$5:C$177,0),MATCH(D648,'Measure &amp; Standard CostIDs'!S$5:S$177,0))</f>
        <v>157</v>
      </c>
      <c r="B648" s="177">
        <f t="shared" si="28"/>
        <v>2</v>
      </c>
      <c r="C648" s="103" t="s">
        <v>153</v>
      </c>
      <c r="D648" s="103" t="str">
        <f t="shared" si="29"/>
        <v>Std_CFLscw-Refl(8w)_60pInc-r0286</v>
      </c>
      <c r="E648" s="103" t="str">
        <f>IF(LEFT(D648,3)="Std","Base case cost for mix of 60% Incandescent and 40% CFL lamps for CFL TechID: "&amp;INDEX('Measure &amp; Standard CostIDs'!$C$5:$C$177,A648),"&lt;from TechID&gt;")</f>
        <v>Base case cost for mix of 60% Incandescent and 40% CFL lamps for CFL TechID: CFLscw-Refl(8w)</v>
      </c>
      <c r="F648" s="103" t="s">
        <v>860</v>
      </c>
      <c r="G648" s="103" t="s">
        <v>151</v>
      </c>
      <c r="H648" s="103" t="s">
        <v>861</v>
      </c>
      <c r="I648" s="103" t="s">
        <v>862</v>
      </c>
      <c r="J648" s="103" t="s">
        <v>863</v>
      </c>
      <c r="K648" s="103" t="s">
        <v>864</v>
      </c>
      <c r="L648" s="103" t="s">
        <v>153</v>
      </c>
      <c r="M648" s="103" t="s">
        <v>865</v>
      </c>
      <c r="N648" s="103" t="s">
        <v>866</v>
      </c>
      <c r="O648" s="103" t="str">
        <f t="shared" si="30"/>
        <v/>
      </c>
      <c r="P648" s="103" t="s">
        <v>153</v>
      </c>
      <c r="Q648" s="103" t="s">
        <v>153</v>
      </c>
      <c r="R648" s="103" t="s">
        <v>153</v>
      </c>
      <c r="S648" s="103" t="str">
        <f>INDEX('Measure &amp; Standard CostIDs'!$AK$8:$AK$12,B648)</f>
        <v>Single-pack</v>
      </c>
      <c r="T648" s="103" t="s">
        <v>867</v>
      </c>
      <c r="U648" s="103"/>
      <c r="V648" s="103"/>
      <c r="W648" s="103">
        <f>ROUND(IF(LEFT(D648,3)="Std",VLOOKUP(D648,'Measure &amp; Standard CostIDs'!$S$5:$X$177,1+B648,FALSE),VLOOKUP(D648,'Measure &amp; Standard CostIDs'!$C$5:$H$177,1+B648,FALSE)),2)</f>
        <v>7.08</v>
      </c>
      <c r="X648" s="103"/>
      <c r="Y648" s="103"/>
      <c r="Z648" s="103" t="s">
        <v>868</v>
      </c>
      <c r="AA648" s="103" t="s">
        <v>874</v>
      </c>
      <c r="AB648" s="103" t="s">
        <v>153</v>
      </c>
      <c r="AC648" s="103">
        <v>0</v>
      </c>
      <c r="AD648" s="156">
        <v>42005</v>
      </c>
      <c r="AE648" s="103"/>
      <c r="AF648" s="103" t="s">
        <v>870</v>
      </c>
      <c r="AG648" s="103" t="s">
        <v>871</v>
      </c>
      <c r="AH648" s="103" t="s">
        <v>976</v>
      </c>
      <c r="AI648" s="103">
        <v>0</v>
      </c>
      <c r="AJ648" s="103"/>
      <c r="AK648" s="103"/>
      <c r="AL648" s="103"/>
      <c r="AM648" s="103"/>
      <c r="AN648" s="103"/>
      <c r="AO648" s="103" t="str">
        <f t="shared" si="31"/>
        <v>Std_CFLscw-Refl(8w)_60pInc-r0286Single-pack</v>
      </c>
    </row>
    <row r="649" spans="1:41">
      <c r="A649" s="177">
        <f>IFERROR(MATCH(D649,'Measure &amp; Standard CostIDs'!C$5:C$177,0),MATCH(D649,'Measure &amp; Standard CostIDs'!S$5:S$177,0))</f>
        <v>158</v>
      </c>
      <c r="B649" s="177">
        <f t="shared" si="28"/>
        <v>2</v>
      </c>
      <c r="C649" s="103" t="s">
        <v>153</v>
      </c>
      <c r="D649" s="103" t="str">
        <f t="shared" si="29"/>
        <v>Std_CFLscw-Refl(9w)_60pInc-r0286</v>
      </c>
      <c r="E649" s="103" t="str">
        <f>IF(LEFT(D649,3)="Std","Base case cost for mix of 60% Incandescent and 40% CFL lamps for CFL TechID: "&amp;INDEX('Measure &amp; Standard CostIDs'!$C$5:$C$177,A649),"&lt;from TechID&gt;")</f>
        <v>Base case cost for mix of 60% Incandescent and 40% CFL lamps for CFL TechID: CFLscw-Refl(9w)</v>
      </c>
      <c r="F649" s="103" t="s">
        <v>860</v>
      </c>
      <c r="G649" s="103" t="s">
        <v>151</v>
      </c>
      <c r="H649" s="103" t="s">
        <v>861</v>
      </c>
      <c r="I649" s="103" t="s">
        <v>862</v>
      </c>
      <c r="J649" s="103" t="s">
        <v>863</v>
      </c>
      <c r="K649" s="103" t="s">
        <v>864</v>
      </c>
      <c r="L649" s="103" t="s">
        <v>153</v>
      </c>
      <c r="M649" s="103" t="s">
        <v>865</v>
      </c>
      <c r="N649" s="103" t="s">
        <v>866</v>
      </c>
      <c r="O649" s="103" t="str">
        <f t="shared" si="30"/>
        <v/>
      </c>
      <c r="P649" s="103" t="s">
        <v>153</v>
      </c>
      <c r="Q649" s="103" t="s">
        <v>153</v>
      </c>
      <c r="R649" s="103" t="s">
        <v>153</v>
      </c>
      <c r="S649" s="103" t="str">
        <f>INDEX('Measure &amp; Standard CostIDs'!$AK$8:$AK$12,B649)</f>
        <v>Single-pack</v>
      </c>
      <c r="T649" s="103" t="s">
        <v>867</v>
      </c>
      <c r="U649" s="103"/>
      <c r="V649" s="103"/>
      <c r="W649" s="103">
        <f>ROUND(IF(LEFT(D649,3)="Std",VLOOKUP(D649,'Measure &amp; Standard CostIDs'!$S$5:$X$177,1+B649,FALSE),VLOOKUP(D649,'Measure &amp; Standard CostIDs'!$C$5:$H$177,1+B649,FALSE)),2)</f>
        <v>7.17</v>
      </c>
      <c r="X649" s="103"/>
      <c r="Y649" s="103"/>
      <c r="Z649" s="103" t="s">
        <v>868</v>
      </c>
      <c r="AA649" s="103" t="s">
        <v>874</v>
      </c>
      <c r="AB649" s="103" t="s">
        <v>153</v>
      </c>
      <c r="AC649" s="103">
        <v>0</v>
      </c>
      <c r="AD649" s="156">
        <v>42005</v>
      </c>
      <c r="AE649" s="103"/>
      <c r="AF649" s="103" t="s">
        <v>870</v>
      </c>
      <c r="AG649" s="103" t="s">
        <v>871</v>
      </c>
      <c r="AH649" s="103" t="s">
        <v>976</v>
      </c>
      <c r="AI649" s="103">
        <v>0</v>
      </c>
      <c r="AJ649" s="103"/>
      <c r="AK649" s="103"/>
      <c r="AL649" s="103"/>
      <c r="AM649" s="103"/>
      <c r="AN649" s="103"/>
      <c r="AO649" s="103" t="str">
        <f t="shared" si="31"/>
        <v>Std_CFLscw-Refl(9w)_60pInc-r0286Single-pack</v>
      </c>
    </row>
    <row r="650" spans="1:41">
      <c r="A650" s="177">
        <f>IFERROR(MATCH(D650,'Measure &amp; Standard CostIDs'!C$5:C$177,0),MATCH(D650,'Measure &amp; Standard CostIDs'!S$5:S$177,0))</f>
        <v>159</v>
      </c>
      <c r="B650" s="177">
        <f t="shared" si="28"/>
        <v>2</v>
      </c>
      <c r="C650" s="103" t="s">
        <v>153</v>
      </c>
      <c r="D650" s="103" t="str">
        <f t="shared" si="29"/>
        <v>Std_CFLscw-Refl-1(15w)_60pInc-r0286</v>
      </c>
      <c r="E650" s="103" t="str">
        <f>IF(LEFT(D650,3)="Std","Base case cost for mix of 60% Incandescent and 40% CFL lamps for CFL TechID: "&amp;INDEX('Measure &amp; Standard CostIDs'!$C$5:$C$177,A650),"&lt;from TechID&gt;")</f>
        <v>Base case cost for mix of 60% Incandescent and 40% CFL lamps for CFL TechID: CFLscw-Refl-1(15w)</v>
      </c>
      <c r="F650" s="103" t="s">
        <v>860</v>
      </c>
      <c r="G650" s="103" t="s">
        <v>151</v>
      </c>
      <c r="H650" s="103" t="s">
        <v>861</v>
      </c>
      <c r="I650" s="103" t="s">
        <v>862</v>
      </c>
      <c r="J650" s="103" t="s">
        <v>863</v>
      </c>
      <c r="K650" s="103" t="s">
        <v>864</v>
      </c>
      <c r="L650" s="103" t="s">
        <v>153</v>
      </c>
      <c r="M650" s="103" t="s">
        <v>865</v>
      </c>
      <c r="N650" s="103" t="s">
        <v>866</v>
      </c>
      <c r="O650" s="103" t="str">
        <f t="shared" si="30"/>
        <v/>
      </c>
      <c r="P650" s="103" t="s">
        <v>153</v>
      </c>
      <c r="Q650" s="103" t="s">
        <v>153</v>
      </c>
      <c r="R650" s="103" t="s">
        <v>153</v>
      </c>
      <c r="S650" s="103" t="str">
        <f>INDEX('Measure &amp; Standard CostIDs'!$AK$8:$AK$12,B650)</f>
        <v>Single-pack</v>
      </c>
      <c r="T650" s="103" t="s">
        <v>867</v>
      </c>
      <c r="U650" s="103"/>
      <c r="V650" s="103"/>
      <c r="W650" s="103">
        <f>ROUND(IF(LEFT(D650,3)="Std",VLOOKUP(D650,'Measure &amp; Standard CostIDs'!$S$5:$X$177,1+B650,FALSE),VLOOKUP(D650,'Measure &amp; Standard CostIDs'!$C$5:$H$177,1+B650,FALSE)),2)</f>
        <v>7.67</v>
      </c>
      <c r="X650" s="103"/>
      <c r="Y650" s="103"/>
      <c r="Z650" s="103" t="s">
        <v>868</v>
      </c>
      <c r="AA650" s="103" t="s">
        <v>874</v>
      </c>
      <c r="AB650" s="103" t="s">
        <v>153</v>
      </c>
      <c r="AC650" s="103">
        <v>0</v>
      </c>
      <c r="AD650" s="156">
        <v>42005</v>
      </c>
      <c r="AE650" s="103"/>
      <c r="AF650" s="103" t="s">
        <v>870</v>
      </c>
      <c r="AG650" s="103" t="s">
        <v>871</v>
      </c>
      <c r="AH650" s="103" t="s">
        <v>976</v>
      </c>
      <c r="AI650" s="103">
        <v>0</v>
      </c>
      <c r="AJ650" s="103"/>
      <c r="AK650" s="103"/>
      <c r="AL650" s="103"/>
      <c r="AM650" s="103"/>
      <c r="AN650" s="103"/>
      <c r="AO650" s="103" t="str">
        <f t="shared" si="31"/>
        <v>Std_CFLscw-Refl-1(15w)_60pInc-r0286Single-pack</v>
      </c>
    </row>
    <row r="651" spans="1:41">
      <c r="A651" s="177">
        <f>IFERROR(MATCH(D651,'Measure &amp; Standard CostIDs'!C$5:C$177,0),MATCH(D651,'Measure &amp; Standard CostIDs'!S$5:S$177,0))</f>
        <v>160</v>
      </c>
      <c r="B651" s="177">
        <f t="shared" si="28"/>
        <v>2</v>
      </c>
      <c r="C651" s="103" t="s">
        <v>153</v>
      </c>
      <c r="D651" s="103" t="str">
        <f t="shared" si="29"/>
        <v>Std_CFLscw-Refl-1(23w)_60pInc-r0286</v>
      </c>
      <c r="E651" s="103" t="str">
        <f>IF(LEFT(D651,3)="Std","Base case cost for mix of 60% Incandescent and 40% CFL lamps for CFL TechID: "&amp;INDEX('Measure &amp; Standard CostIDs'!$C$5:$C$177,A651),"&lt;from TechID&gt;")</f>
        <v>Base case cost for mix of 60% Incandescent and 40% CFL lamps for CFL TechID: CFLscw-Refl-1(23w)</v>
      </c>
      <c r="F651" s="103" t="s">
        <v>860</v>
      </c>
      <c r="G651" s="103" t="s">
        <v>151</v>
      </c>
      <c r="H651" s="103" t="s">
        <v>861</v>
      </c>
      <c r="I651" s="103" t="s">
        <v>862</v>
      </c>
      <c r="J651" s="103" t="s">
        <v>863</v>
      </c>
      <c r="K651" s="103" t="s">
        <v>864</v>
      </c>
      <c r="L651" s="103" t="s">
        <v>153</v>
      </c>
      <c r="M651" s="103" t="s">
        <v>865</v>
      </c>
      <c r="N651" s="103" t="s">
        <v>866</v>
      </c>
      <c r="O651" s="103" t="str">
        <f t="shared" si="30"/>
        <v/>
      </c>
      <c r="P651" s="103" t="s">
        <v>153</v>
      </c>
      <c r="Q651" s="103" t="s">
        <v>153</v>
      </c>
      <c r="R651" s="103" t="s">
        <v>153</v>
      </c>
      <c r="S651" s="103" t="str">
        <f>INDEX('Measure &amp; Standard CostIDs'!$AK$8:$AK$12,B651)</f>
        <v>Single-pack</v>
      </c>
      <c r="T651" s="103" t="s">
        <v>867</v>
      </c>
      <c r="U651" s="103"/>
      <c r="V651" s="103"/>
      <c r="W651" s="103">
        <f>ROUND(IF(LEFT(D651,3)="Std",VLOOKUP(D651,'Measure &amp; Standard CostIDs'!$S$5:$X$177,1+B651,FALSE),VLOOKUP(D651,'Measure &amp; Standard CostIDs'!$C$5:$H$177,1+B651,FALSE)),2)</f>
        <v>8.35</v>
      </c>
      <c r="X651" s="103"/>
      <c r="Y651" s="103"/>
      <c r="Z651" s="103" t="s">
        <v>868</v>
      </c>
      <c r="AA651" s="103" t="s">
        <v>874</v>
      </c>
      <c r="AB651" s="103" t="s">
        <v>153</v>
      </c>
      <c r="AC651" s="103">
        <v>0</v>
      </c>
      <c r="AD651" s="156">
        <v>42005</v>
      </c>
      <c r="AE651" s="103"/>
      <c r="AF651" s="103" t="s">
        <v>870</v>
      </c>
      <c r="AG651" s="103" t="s">
        <v>871</v>
      </c>
      <c r="AH651" s="103" t="s">
        <v>976</v>
      </c>
      <c r="AI651" s="103">
        <v>0</v>
      </c>
      <c r="AJ651" s="103"/>
      <c r="AK651" s="103"/>
      <c r="AL651" s="103"/>
      <c r="AM651" s="103"/>
      <c r="AN651" s="103"/>
      <c r="AO651" s="103" t="str">
        <f t="shared" si="31"/>
        <v>Std_CFLscw-Refl-1(23w)_60pInc-r0286Single-pack</v>
      </c>
    </row>
    <row r="652" spans="1:41">
      <c r="A652" s="177">
        <f>IFERROR(MATCH(D652,'Measure &amp; Standard CostIDs'!C$5:C$177,0),MATCH(D652,'Measure &amp; Standard CostIDs'!S$5:S$177,0))</f>
        <v>161</v>
      </c>
      <c r="B652" s="177">
        <f t="shared" si="28"/>
        <v>2</v>
      </c>
      <c r="C652" s="103" t="s">
        <v>153</v>
      </c>
      <c r="D652" s="103" t="str">
        <f t="shared" si="29"/>
        <v>Std_CFLscw-Refl-2(15w)_60pInc-r0286</v>
      </c>
      <c r="E652" s="103" t="str">
        <f>IF(LEFT(D652,3)="Std","Base case cost for mix of 60% Incandescent and 40% CFL lamps for CFL TechID: "&amp;INDEX('Measure &amp; Standard CostIDs'!$C$5:$C$177,A652),"&lt;from TechID&gt;")</f>
        <v>Base case cost for mix of 60% Incandescent and 40% CFL lamps for CFL TechID: CFLscw-Refl-2(15w)</v>
      </c>
      <c r="F652" s="103" t="s">
        <v>860</v>
      </c>
      <c r="G652" s="103" t="s">
        <v>151</v>
      </c>
      <c r="H652" s="103" t="s">
        <v>861</v>
      </c>
      <c r="I652" s="103" t="s">
        <v>862</v>
      </c>
      <c r="J652" s="103" t="s">
        <v>863</v>
      </c>
      <c r="K652" s="103" t="s">
        <v>864</v>
      </c>
      <c r="L652" s="103" t="s">
        <v>153</v>
      </c>
      <c r="M652" s="103" t="s">
        <v>865</v>
      </c>
      <c r="N652" s="103" t="s">
        <v>866</v>
      </c>
      <c r="O652" s="103" t="str">
        <f t="shared" si="30"/>
        <v/>
      </c>
      <c r="P652" s="103" t="s">
        <v>153</v>
      </c>
      <c r="Q652" s="103" t="s">
        <v>153</v>
      </c>
      <c r="R652" s="103" t="s">
        <v>153</v>
      </c>
      <c r="S652" s="103" t="str">
        <f>INDEX('Measure &amp; Standard CostIDs'!$AK$8:$AK$12,B652)</f>
        <v>Single-pack</v>
      </c>
      <c r="T652" s="103" t="s">
        <v>867</v>
      </c>
      <c r="U652" s="103"/>
      <c r="V652" s="103"/>
      <c r="W652" s="103">
        <f>ROUND(IF(LEFT(D652,3)="Std",VLOOKUP(D652,'Measure &amp; Standard CostIDs'!$S$5:$X$177,1+B652,FALSE),VLOOKUP(D652,'Measure &amp; Standard CostIDs'!$C$5:$H$177,1+B652,FALSE)),2)</f>
        <v>7.67</v>
      </c>
      <c r="X652" s="103"/>
      <c r="Y652" s="103"/>
      <c r="Z652" s="103" t="s">
        <v>868</v>
      </c>
      <c r="AA652" s="103" t="s">
        <v>874</v>
      </c>
      <c r="AB652" s="103" t="s">
        <v>153</v>
      </c>
      <c r="AC652" s="103">
        <v>0</v>
      </c>
      <c r="AD652" s="156">
        <v>42005</v>
      </c>
      <c r="AE652" s="103"/>
      <c r="AF652" s="103" t="s">
        <v>870</v>
      </c>
      <c r="AG652" s="103" t="s">
        <v>871</v>
      </c>
      <c r="AH652" s="103" t="s">
        <v>976</v>
      </c>
      <c r="AI652" s="103">
        <v>0</v>
      </c>
      <c r="AJ652" s="103"/>
      <c r="AK652" s="103"/>
      <c r="AL652" s="103"/>
      <c r="AM652" s="103"/>
      <c r="AN652" s="103"/>
      <c r="AO652" s="103" t="str">
        <f t="shared" si="31"/>
        <v>Std_CFLscw-Refl-2(15w)_60pInc-r0286Single-pack</v>
      </c>
    </row>
    <row r="653" spans="1:41">
      <c r="A653" s="177">
        <f>IFERROR(MATCH(D653,'Measure &amp; Standard CostIDs'!C$5:C$177,0),MATCH(D653,'Measure &amp; Standard CostIDs'!S$5:S$177,0))</f>
        <v>162</v>
      </c>
      <c r="B653" s="177">
        <f t="shared" si="28"/>
        <v>2</v>
      </c>
      <c r="C653" s="103" t="s">
        <v>153</v>
      </c>
      <c r="D653" s="103" t="str">
        <f t="shared" si="29"/>
        <v>Std_CFLscw-Refl-2(23w)_60pInc-r0286</v>
      </c>
      <c r="E653" s="103" t="str">
        <f>IF(LEFT(D653,3)="Std","Base case cost for mix of 60% Incandescent and 40% CFL lamps for CFL TechID: "&amp;INDEX('Measure &amp; Standard CostIDs'!$C$5:$C$177,A653),"&lt;from TechID&gt;")</f>
        <v>Base case cost for mix of 60% Incandescent and 40% CFL lamps for CFL TechID: CFLscw-Refl-2(23w)</v>
      </c>
      <c r="F653" s="103" t="s">
        <v>860</v>
      </c>
      <c r="G653" s="103" t="s">
        <v>151</v>
      </c>
      <c r="H653" s="103" t="s">
        <v>861</v>
      </c>
      <c r="I653" s="103" t="s">
        <v>862</v>
      </c>
      <c r="J653" s="103" t="s">
        <v>863</v>
      </c>
      <c r="K653" s="103" t="s">
        <v>864</v>
      </c>
      <c r="L653" s="103" t="s">
        <v>153</v>
      </c>
      <c r="M653" s="103" t="s">
        <v>865</v>
      </c>
      <c r="N653" s="103" t="s">
        <v>866</v>
      </c>
      <c r="O653" s="103" t="str">
        <f t="shared" si="30"/>
        <v/>
      </c>
      <c r="P653" s="103" t="s">
        <v>153</v>
      </c>
      <c r="Q653" s="103" t="s">
        <v>153</v>
      </c>
      <c r="R653" s="103" t="s">
        <v>153</v>
      </c>
      <c r="S653" s="103" t="str">
        <f>INDEX('Measure &amp; Standard CostIDs'!$AK$8:$AK$12,B653)</f>
        <v>Single-pack</v>
      </c>
      <c r="T653" s="103" t="s">
        <v>867</v>
      </c>
      <c r="U653" s="103"/>
      <c r="V653" s="103"/>
      <c r="W653" s="103">
        <f>ROUND(IF(LEFT(D653,3)="Std",VLOOKUP(D653,'Measure &amp; Standard CostIDs'!$S$5:$X$177,1+B653,FALSE),VLOOKUP(D653,'Measure &amp; Standard CostIDs'!$C$5:$H$177,1+B653,FALSE)),2)</f>
        <v>8.35</v>
      </c>
      <c r="X653" s="103"/>
      <c r="Y653" s="103"/>
      <c r="Z653" s="103" t="s">
        <v>868</v>
      </c>
      <c r="AA653" s="103" t="s">
        <v>874</v>
      </c>
      <c r="AB653" s="103" t="s">
        <v>153</v>
      </c>
      <c r="AC653" s="103">
        <v>0</v>
      </c>
      <c r="AD653" s="156">
        <v>42005</v>
      </c>
      <c r="AE653" s="103"/>
      <c r="AF653" s="103" t="s">
        <v>870</v>
      </c>
      <c r="AG653" s="103" t="s">
        <v>871</v>
      </c>
      <c r="AH653" s="103" t="s">
        <v>976</v>
      </c>
      <c r="AI653" s="103">
        <v>0</v>
      </c>
      <c r="AJ653" s="103"/>
      <c r="AK653" s="103"/>
      <c r="AL653" s="103"/>
      <c r="AM653" s="103"/>
      <c r="AN653" s="103"/>
      <c r="AO653" s="103" t="str">
        <f t="shared" si="31"/>
        <v>Std_CFLscw-Refl-2(23w)_60pInc-r0286Single-pack</v>
      </c>
    </row>
    <row r="654" spans="1:41">
      <c r="A654" s="177">
        <f>IFERROR(MATCH(D654,'Measure &amp; Standard CostIDs'!C$5:C$177,0),MATCH(D654,'Measure &amp; Standard CostIDs'!S$5:S$177,0))</f>
        <v>163</v>
      </c>
      <c r="B654" s="177">
        <f t="shared" si="28"/>
        <v>2</v>
      </c>
      <c r="C654" s="103" t="s">
        <v>153</v>
      </c>
      <c r="D654" s="103" t="str">
        <f t="shared" si="29"/>
        <v>Std_CFLscw-Refl-Dim(15w)_60pInc-r0286</v>
      </c>
      <c r="E654" s="103" t="str">
        <f>IF(LEFT(D654,3)="Std","Base case cost for mix of 60% Incandescent and 40% CFL lamps for CFL TechID: "&amp;INDEX('Measure &amp; Standard CostIDs'!$C$5:$C$177,A654),"&lt;from TechID&gt;")</f>
        <v>Base case cost for mix of 60% Incandescent and 40% CFL lamps for CFL TechID: CFLscw-Refl-Dim(15w)</v>
      </c>
      <c r="F654" s="103" t="s">
        <v>860</v>
      </c>
      <c r="G654" s="103" t="s">
        <v>151</v>
      </c>
      <c r="H654" s="103" t="s">
        <v>861</v>
      </c>
      <c r="I654" s="103" t="s">
        <v>862</v>
      </c>
      <c r="J654" s="103" t="s">
        <v>863</v>
      </c>
      <c r="K654" s="103" t="s">
        <v>864</v>
      </c>
      <c r="L654" s="103" t="s">
        <v>153</v>
      </c>
      <c r="M654" s="103" t="s">
        <v>865</v>
      </c>
      <c r="N654" s="103" t="s">
        <v>866</v>
      </c>
      <c r="O654" s="103" t="str">
        <f t="shared" si="30"/>
        <v/>
      </c>
      <c r="P654" s="103" t="s">
        <v>153</v>
      </c>
      <c r="Q654" s="103" t="s">
        <v>153</v>
      </c>
      <c r="R654" s="103" t="s">
        <v>153</v>
      </c>
      <c r="S654" s="103" t="str">
        <f>INDEX('Measure &amp; Standard CostIDs'!$AK$8:$AK$12,B654)</f>
        <v>Single-pack</v>
      </c>
      <c r="T654" s="103" t="s">
        <v>867</v>
      </c>
      <c r="U654" s="103"/>
      <c r="V654" s="103"/>
      <c r="W654" s="103">
        <f>ROUND(IF(LEFT(D654,3)="Std",VLOOKUP(D654,'Measure &amp; Standard CostIDs'!$S$5:$X$177,1+B654,FALSE),VLOOKUP(D654,'Measure &amp; Standard CostIDs'!$C$5:$H$177,1+B654,FALSE)),2)</f>
        <v>9.2899999999999991</v>
      </c>
      <c r="X654" s="103"/>
      <c r="Y654" s="103"/>
      <c r="Z654" s="103" t="s">
        <v>868</v>
      </c>
      <c r="AA654" s="103" t="s">
        <v>874</v>
      </c>
      <c r="AB654" s="103" t="s">
        <v>153</v>
      </c>
      <c r="AC654" s="103">
        <v>0</v>
      </c>
      <c r="AD654" s="156">
        <v>42005</v>
      </c>
      <c r="AE654" s="103"/>
      <c r="AF654" s="103" t="s">
        <v>870</v>
      </c>
      <c r="AG654" s="103" t="s">
        <v>871</v>
      </c>
      <c r="AH654" s="103" t="s">
        <v>976</v>
      </c>
      <c r="AI654" s="103">
        <v>0</v>
      </c>
      <c r="AJ654" s="103"/>
      <c r="AK654" s="103"/>
      <c r="AL654" s="103"/>
      <c r="AM654" s="103"/>
      <c r="AN654" s="103"/>
      <c r="AO654" s="103" t="str">
        <f t="shared" si="31"/>
        <v>Std_CFLscw-Refl-Dim(15w)_60pInc-r0286Single-pack</v>
      </c>
    </row>
    <row r="655" spans="1:41">
      <c r="A655" s="177">
        <f>IFERROR(MATCH(D655,'Measure &amp; Standard CostIDs'!C$5:C$177,0),MATCH(D655,'Measure &amp; Standard CostIDs'!S$5:S$177,0))</f>
        <v>164</v>
      </c>
      <c r="B655" s="177">
        <f t="shared" si="28"/>
        <v>2</v>
      </c>
      <c r="C655" s="103" t="s">
        <v>153</v>
      </c>
      <c r="D655" s="103" t="str">
        <f t="shared" si="29"/>
        <v>Std_CFLscw-Refl-Dim(16w)_60pInc-r0286</v>
      </c>
      <c r="E655" s="103" t="str">
        <f>IF(LEFT(D655,3)="Std","Base case cost for mix of 60% Incandescent and 40% CFL lamps for CFL TechID: "&amp;INDEX('Measure &amp; Standard CostIDs'!$C$5:$C$177,A655),"&lt;from TechID&gt;")</f>
        <v>Base case cost for mix of 60% Incandescent and 40% CFL lamps for CFL TechID: CFLscw-Refl-Dim(16w)</v>
      </c>
      <c r="F655" s="103" t="s">
        <v>860</v>
      </c>
      <c r="G655" s="103" t="s">
        <v>151</v>
      </c>
      <c r="H655" s="103" t="s">
        <v>861</v>
      </c>
      <c r="I655" s="103" t="s">
        <v>862</v>
      </c>
      <c r="J655" s="103" t="s">
        <v>863</v>
      </c>
      <c r="K655" s="103" t="s">
        <v>864</v>
      </c>
      <c r="L655" s="103" t="s">
        <v>153</v>
      </c>
      <c r="M655" s="103" t="s">
        <v>865</v>
      </c>
      <c r="N655" s="103" t="s">
        <v>866</v>
      </c>
      <c r="O655" s="103" t="str">
        <f t="shared" si="30"/>
        <v/>
      </c>
      <c r="P655" s="103" t="s">
        <v>153</v>
      </c>
      <c r="Q655" s="103" t="s">
        <v>153</v>
      </c>
      <c r="R655" s="103" t="s">
        <v>153</v>
      </c>
      <c r="S655" s="103" t="str">
        <f>INDEX('Measure &amp; Standard CostIDs'!$AK$8:$AK$12,B655)</f>
        <v>Single-pack</v>
      </c>
      <c r="T655" s="103" t="s">
        <v>867</v>
      </c>
      <c r="U655" s="103"/>
      <c r="V655" s="103"/>
      <c r="W655" s="103">
        <f>ROUND(IF(LEFT(D655,3)="Std",VLOOKUP(D655,'Measure &amp; Standard CostIDs'!$S$5:$X$177,1+B655,FALSE),VLOOKUP(D655,'Measure &amp; Standard CostIDs'!$C$5:$H$177,1+B655,FALSE)),2)</f>
        <v>9.3699999999999992</v>
      </c>
      <c r="X655" s="103"/>
      <c r="Y655" s="103"/>
      <c r="Z655" s="103" t="s">
        <v>868</v>
      </c>
      <c r="AA655" s="103" t="s">
        <v>874</v>
      </c>
      <c r="AB655" s="103" t="s">
        <v>153</v>
      </c>
      <c r="AC655" s="103">
        <v>0</v>
      </c>
      <c r="AD655" s="156">
        <v>42005</v>
      </c>
      <c r="AE655" s="103"/>
      <c r="AF655" s="103" t="s">
        <v>870</v>
      </c>
      <c r="AG655" s="103" t="s">
        <v>871</v>
      </c>
      <c r="AH655" s="103" t="s">
        <v>976</v>
      </c>
      <c r="AI655" s="103">
        <v>0</v>
      </c>
      <c r="AJ655" s="103"/>
      <c r="AK655" s="103"/>
      <c r="AL655" s="103"/>
      <c r="AM655" s="103"/>
      <c r="AN655" s="103"/>
      <c r="AO655" s="103" t="str">
        <f t="shared" si="31"/>
        <v>Std_CFLscw-Refl-Dim(16w)_60pInc-r0286Single-pack</v>
      </c>
    </row>
    <row r="656" spans="1:41">
      <c r="A656" s="177">
        <f>IFERROR(MATCH(D656,'Measure &amp; Standard CostIDs'!C$5:C$177,0),MATCH(D656,'Measure &amp; Standard CostIDs'!S$5:S$177,0))</f>
        <v>165</v>
      </c>
      <c r="B656" s="177">
        <f t="shared" ref="B656:B719" si="32">+B326+1</f>
        <v>2</v>
      </c>
      <c r="C656" s="103" t="s">
        <v>153</v>
      </c>
      <c r="D656" s="103" t="str">
        <f t="shared" ref="D656:D719" si="33">+D326</f>
        <v>Std_CFLscw-Refl-Dim(20w)_60pInc-r0286</v>
      </c>
      <c r="E656" s="103" t="str">
        <f>IF(LEFT(D656,3)="Std","Base case cost for mix of 60% Incandescent and 40% CFL lamps for CFL TechID: "&amp;INDEX('Measure &amp; Standard CostIDs'!$C$5:$C$177,A656),"&lt;from TechID&gt;")</f>
        <v>Base case cost for mix of 60% Incandescent and 40% CFL lamps for CFL TechID: CFLscw-Refl-Dim(20w)</v>
      </c>
      <c r="F656" s="103" t="s">
        <v>860</v>
      </c>
      <c r="G656" s="103" t="s">
        <v>151</v>
      </c>
      <c r="H656" s="103" t="s">
        <v>861</v>
      </c>
      <c r="I656" s="103" t="s">
        <v>862</v>
      </c>
      <c r="J656" s="103" t="s">
        <v>863</v>
      </c>
      <c r="K656" s="103" t="s">
        <v>864</v>
      </c>
      <c r="L656" s="103" t="s">
        <v>153</v>
      </c>
      <c r="M656" s="103" t="s">
        <v>865</v>
      </c>
      <c r="N656" s="103" t="s">
        <v>866</v>
      </c>
      <c r="O656" s="103" t="str">
        <f t="shared" si="30"/>
        <v/>
      </c>
      <c r="P656" s="103" t="s">
        <v>153</v>
      </c>
      <c r="Q656" s="103" t="s">
        <v>153</v>
      </c>
      <c r="R656" s="103" t="s">
        <v>153</v>
      </c>
      <c r="S656" s="103" t="str">
        <f>INDEX('Measure &amp; Standard CostIDs'!$AK$8:$AK$12,B656)</f>
        <v>Single-pack</v>
      </c>
      <c r="T656" s="103" t="s">
        <v>867</v>
      </c>
      <c r="U656" s="103"/>
      <c r="V656" s="103"/>
      <c r="W656" s="103">
        <f>ROUND(IF(LEFT(D656,3)="Std",VLOOKUP(D656,'Measure &amp; Standard CostIDs'!$S$5:$X$177,1+B656,FALSE),VLOOKUP(D656,'Measure &amp; Standard CostIDs'!$C$5:$H$177,1+B656,FALSE)),2)</f>
        <v>9.7100000000000009</v>
      </c>
      <c r="X656" s="103"/>
      <c r="Y656" s="103"/>
      <c r="Z656" s="103" t="s">
        <v>868</v>
      </c>
      <c r="AA656" s="103" t="s">
        <v>874</v>
      </c>
      <c r="AB656" s="103" t="s">
        <v>153</v>
      </c>
      <c r="AC656" s="103">
        <v>0</v>
      </c>
      <c r="AD656" s="156">
        <v>42005</v>
      </c>
      <c r="AE656" s="103"/>
      <c r="AF656" s="103" t="s">
        <v>870</v>
      </c>
      <c r="AG656" s="103" t="s">
        <v>871</v>
      </c>
      <c r="AH656" s="103" t="s">
        <v>976</v>
      </c>
      <c r="AI656" s="103">
        <v>0</v>
      </c>
      <c r="AJ656" s="103"/>
      <c r="AK656" s="103"/>
      <c r="AL656" s="103"/>
      <c r="AM656" s="103"/>
      <c r="AN656" s="103"/>
      <c r="AO656" s="103" t="str">
        <f t="shared" si="31"/>
        <v>Std_CFLscw-Refl-Dim(20w)_60pInc-r0286Single-pack</v>
      </c>
    </row>
    <row r="657" spans="1:41">
      <c r="A657" s="177">
        <f>IFERROR(MATCH(D657,'Measure &amp; Standard CostIDs'!C$5:C$177,0),MATCH(D657,'Measure &amp; Standard CostIDs'!S$5:S$177,0))</f>
        <v>166</v>
      </c>
      <c r="B657" s="177">
        <f t="shared" si="32"/>
        <v>2</v>
      </c>
      <c r="C657" s="103" t="s">
        <v>153</v>
      </c>
      <c r="D657" s="103" t="str">
        <f t="shared" si="33"/>
        <v>Std_CFLscw-Refl-Dim(26w)_60pInc-r0286</v>
      </c>
      <c r="E657" s="103" t="str">
        <f>IF(LEFT(D657,3)="Std","Base case cost for mix of 60% Incandescent and 40% CFL lamps for CFL TechID: "&amp;INDEX('Measure &amp; Standard CostIDs'!$C$5:$C$177,A657),"&lt;from TechID&gt;")</f>
        <v>Base case cost for mix of 60% Incandescent and 40% CFL lamps for CFL TechID: CFLscw-Refl-Dim(26w)</v>
      </c>
      <c r="F657" s="103" t="s">
        <v>860</v>
      </c>
      <c r="G657" s="103" t="s">
        <v>151</v>
      </c>
      <c r="H657" s="103" t="s">
        <v>861</v>
      </c>
      <c r="I657" s="103" t="s">
        <v>862</v>
      </c>
      <c r="J657" s="103" t="s">
        <v>863</v>
      </c>
      <c r="K657" s="103" t="s">
        <v>864</v>
      </c>
      <c r="L657" s="103" t="s">
        <v>153</v>
      </c>
      <c r="M657" s="103" t="s">
        <v>865</v>
      </c>
      <c r="N657" s="103" t="s">
        <v>866</v>
      </c>
      <c r="O657" s="103" t="str">
        <f t="shared" si="30"/>
        <v/>
      </c>
      <c r="P657" s="103" t="s">
        <v>153</v>
      </c>
      <c r="Q657" s="103" t="s">
        <v>153</v>
      </c>
      <c r="R657" s="103" t="s">
        <v>153</v>
      </c>
      <c r="S657" s="103" t="str">
        <f>INDEX('Measure &amp; Standard CostIDs'!$AK$8:$AK$12,B657)</f>
        <v>Single-pack</v>
      </c>
      <c r="T657" s="103" t="s">
        <v>867</v>
      </c>
      <c r="U657" s="103"/>
      <c r="V657" s="103"/>
      <c r="W657" s="103">
        <f>ROUND(IF(LEFT(D657,3)="Std",VLOOKUP(D657,'Measure &amp; Standard CostIDs'!$S$5:$X$177,1+B657,FALSE),VLOOKUP(D657,'Measure &amp; Standard CostIDs'!$C$5:$H$177,1+B657,FALSE)),2)</f>
        <v>10.220000000000001</v>
      </c>
      <c r="X657" s="103"/>
      <c r="Y657" s="103"/>
      <c r="Z657" s="103" t="s">
        <v>868</v>
      </c>
      <c r="AA657" s="103" t="s">
        <v>874</v>
      </c>
      <c r="AB657" s="103" t="s">
        <v>153</v>
      </c>
      <c r="AC657" s="103">
        <v>0</v>
      </c>
      <c r="AD657" s="156">
        <v>42005</v>
      </c>
      <c r="AE657" s="103"/>
      <c r="AF657" s="103" t="s">
        <v>870</v>
      </c>
      <c r="AG657" s="103" t="s">
        <v>871</v>
      </c>
      <c r="AH657" s="103" t="s">
        <v>976</v>
      </c>
      <c r="AI657" s="103">
        <v>0</v>
      </c>
      <c r="AJ657" s="103"/>
      <c r="AK657" s="103"/>
      <c r="AL657" s="103"/>
      <c r="AM657" s="103"/>
      <c r="AN657" s="103"/>
      <c r="AO657" s="103" t="str">
        <f t="shared" si="31"/>
        <v>Std_CFLscw-Refl-Dim(26w)_60pInc-r0286Single-pack</v>
      </c>
    </row>
    <row r="658" spans="1:41">
      <c r="A658" s="177">
        <f>IFERROR(MATCH(D658,'Measure &amp; Standard CostIDs'!C$5:C$177,0),MATCH(D658,'Measure &amp; Standard CostIDs'!S$5:S$177,0))</f>
        <v>167</v>
      </c>
      <c r="B658" s="177">
        <f t="shared" si="32"/>
        <v>2</v>
      </c>
      <c r="C658" s="103" t="s">
        <v>153</v>
      </c>
      <c r="D658" s="103" t="str">
        <f t="shared" si="33"/>
        <v>Std_CFLscw-Refl-Ext(13w)_60pInc-r0286</v>
      </c>
      <c r="E658" s="103" t="str">
        <f>IF(LEFT(D658,3)="Std","Base case cost for mix of 60% Incandescent and 40% CFL lamps for CFL TechID: "&amp;INDEX('Measure &amp; Standard CostIDs'!$C$5:$C$177,A658),"&lt;from TechID&gt;")</f>
        <v>Base case cost for mix of 60% Incandescent and 40% CFL lamps for CFL TechID: CFLscw-Refl-Ext(13w)</v>
      </c>
      <c r="F658" s="103" t="s">
        <v>860</v>
      </c>
      <c r="G658" s="103" t="s">
        <v>151</v>
      </c>
      <c r="H658" s="103" t="s">
        <v>861</v>
      </c>
      <c r="I658" s="103" t="s">
        <v>862</v>
      </c>
      <c r="J658" s="103" t="s">
        <v>863</v>
      </c>
      <c r="K658" s="103" t="s">
        <v>864</v>
      </c>
      <c r="L658" s="103" t="s">
        <v>153</v>
      </c>
      <c r="M658" s="103" t="s">
        <v>865</v>
      </c>
      <c r="N658" s="103" t="s">
        <v>866</v>
      </c>
      <c r="O658" s="103" t="str">
        <f t="shared" si="30"/>
        <v/>
      </c>
      <c r="P658" s="103" t="s">
        <v>153</v>
      </c>
      <c r="Q658" s="103" t="s">
        <v>153</v>
      </c>
      <c r="R658" s="103" t="s">
        <v>153</v>
      </c>
      <c r="S658" s="103" t="str">
        <f>INDEX('Measure &amp; Standard CostIDs'!$AK$8:$AK$12,B658)</f>
        <v>Single-pack</v>
      </c>
      <c r="T658" s="103" t="s">
        <v>867</v>
      </c>
      <c r="U658" s="103"/>
      <c r="V658" s="103"/>
      <c r="W658" s="103">
        <f>ROUND(IF(LEFT(D658,3)="Std",VLOOKUP(D658,'Measure &amp; Standard CostIDs'!$S$5:$X$177,1+B658,FALSE),VLOOKUP(D658,'Measure &amp; Standard CostIDs'!$C$5:$H$177,1+B658,FALSE)),2)</f>
        <v>7.5</v>
      </c>
      <c r="X658" s="103"/>
      <c r="Y658" s="103"/>
      <c r="Z658" s="103" t="s">
        <v>868</v>
      </c>
      <c r="AA658" s="103" t="s">
        <v>874</v>
      </c>
      <c r="AB658" s="103" t="s">
        <v>153</v>
      </c>
      <c r="AC658" s="103">
        <v>0</v>
      </c>
      <c r="AD658" s="156">
        <v>42005</v>
      </c>
      <c r="AE658" s="103"/>
      <c r="AF658" s="103" t="s">
        <v>870</v>
      </c>
      <c r="AG658" s="103" t="s">
        <v>871</v>
      </c>
      <c r="AH658" s="103" t="s">
        <v>976</v>
      </c>
      <c r="AI658" s="103">
        <v>0</v>
      </c>
      <c r="AJ658" s="103"/>
      <c r="AK658" s="103"/>
      <c r="AL658" s="103"/>
      <c r="AM658" s="103"/>
      <c r="AN658" s="103"/>
      <c r="AO658" s="103" t="str">
        <f t="shared" si="31"/>
        <v>Std_CFLscw-Refl-Ext(13w)_60pInc-r0286Single-pack</v>
      </c>
    </row>
    <row r="659" spans="1:41">
      <c r="A659" s="177">
        <f>IFERROR(MATCH(D659,'Measure &amp; Standard CostIDs'!C$5:C$177,0),MATCH(D659,'Measure &amp; Standard CostIDs'!S$5:S$177,0))</f>
        <v>168</v>
      </c>
      <c r="B659" s="177">
        <f t="shared" si="32"/>
        <v>2</v>
      </c>
      <c r="C659" s="103" t="s">
        <v>153</v>
      </c>
      <c r="D659" s="103" t="str">
        <f t="shared" si="33"/>
        <v>Std_CFLscw-Refl-Ext(14w)_60pInc-r0286</v>
      </c>
      <c r="E659" s="103" t="str">
        <f>IF(LEFT(D659,3)="Std","Base case cost for mix of 60% Incandescent and 40% CFL lamps for CFL TechID: "&amp;INDEX('Measure &amp; Standard CostIDs'!$C$5:$C$177,A659),"&lt;from TechID&gt;")</f>
        <v>Base case cost for mix of 60% Incandescent and 40% CFL lamps for CFL TechID: CFLscw-Refl-Ext(14w)</v>
      </c>
      <c r="F659" s="103" t="s">
        <v>860</v>
      </c>
      <c r="G659" s="103" t="s">
        <v>151</v>
      </c>
      <c r="H659" s="103" t="s">
        <v>861</v>
      </c>
      <c r="I659" s="103" t="s">
        <v>862</v>
      </c>
      <c r="J659" s="103" t="s">
        <v>863</v>
      </c>
      <c r="K659" s="103" t="s">
        <v>864</v>
      </c>
      <c r="L659" s="103" t="s">
        <v>153</v>
      </c>
      <c r="M659" s="103" t="s">
        <v>865</v>
      </c>
      <c r="N659" s="103" t="s">
        <v>866</v>
      </c>
      <c r="O659" s="103" t="str">
        <f t="shared" si="30"/>
        <v/>
      </c>
      <c r="P659" s="103" t="s">
        <v>153</v>
      </c>
      <c r="Q659" s="103" t="s">
        <v>153</v>
      </c>
      <c r="R659" s="103" t="s">
        <v>153</v>
      </c>
      <c r="S659" s="103" t="str">
        <f>INDEX('Measure &amp; Standard CostIDs'!$AK$8:$AK$12,B659)</f>
        <v>Single-pack</v>
      </c>
      <c r="T659" s="103" t="s">
        <v>867</v>
      </c>
      <c r="U659" s="103"/>
      <c r="V659" s="103"/>
      <c r="W659" s="103">
        <f>ROUND(IF(LEFT(D659,3)="Std",VLOOKUP(D659,'Measure &amp; Standard CostIDs'!$S$5:$X$177,1+B659,FALSE),VLOOKUP(D659,'Measure &amp; Standard CostIDs'!$C$5:$H$177,1+B659,FALSE)),2)</f>
        <v>7.59</v>
      </c>
      <c r="X659" s="103"/>
      <c r="Y659" s="103"/>
      <c r="Z659" s="103" t="s">
        <v>868</v>
      </c>
      <c r="AA659" s="103" t="s">
        <v>874</v>
      </c>
      <c r="AB659" s="103" t="s">
        <v>153</v>
      </c>
      <c r="AC659" s="103">
        <v>0</v>
      </c>
      <c r="AD659" s="156">
        <v>42005</v>
      </c>
      <c r="AE659" s="103"/>
      <c r="AF659" s="103" t="s">
        <v>870</v>
      </c>
      <c r="AG659" s="103" t="s">
        <v>871</v>
      </c>
      <c r="AH659" s="103" t="s">
        <v>976</v>
      </c>
      <c r="AI659" s="103">
        <v>0</v>
      </c>
      <c r="AJ659" s="103"/>
      <c r="AK659" s="103"/>
      <c r="AL659" s="103"/>
      <c r="AM659" s="103"/>
      <c r="AN659" s="103"/>
      <c r="AO659" s="103" t="str">
        <f t="shared" si="31"/>
        <v>Std_CFLscw-Refl-Ext(14w)_60pInc-r0286Single-pack</v>
      </c>
    </row>
    <row r="660" spans="1:41">
      <c r="A660" s="177">
        <f>IFERROR(MATCH(D660,'Measure &amp; Standard CostIDs'!C$5:C$177,0),MATCH(D660,'Measure &amp; Standard CostIDs'!S$5:S$177,0))</f>
        <v>169</v>
      </c>
      <c r="B660" s="177">
        <f t="shared" si="32"/>
        <v>2</v>
      </c>
      <c r="C660" s="103" t="s">
        <v>153</v>
      </c>
      <c r="D660" s="103" t="str">
        <f t="shared" si="33"/>
        <v>Std_CFLscw-Refl-Ext(15w)_60pInc-r0286</v>
      </c>
      <c r="E660" s="103" t="str">
        <f>IF(LEFT(D660,3)="Std","Base case cost for mix of 60% Incandescent and 40% CFL lamps for CFL TechID: "&amp;INDEX('Measure &amp; Standard CostIDs'!$C$5:$C$177,A660),"&lt;from TechID&gt;")</f>
        <v>Base case cost for mix of 60% Incandescent and 40% CFL lamps for CFL TechID: CFLscw-Refl-Ext(15w)</v>
      </c>
      <c r="F660" s="103" t="s">
        <v>860</v>
      </c>
      <c r="G660" s="103" t="s">
        <v>151</v>
      </c>
      <c r="H660" s="103" t="s">
        <v>861</v>
      </c>
      <c r="I660" s="103" t="s">
        <v>862</v>
      </c>
      <c r="J660" s="103" t="s">
        <v>863</v>
      </c>
      <c r="K660" s="103" t="s">
        <v>864</v>
      </c>
      <c r="L660" s="103" t="s">
        <v>153</v>
      </c>
      <c r="M660" s="103" t="s">
        <v>865</v>
      </c>
      <c r="N660" s="103" t="s">
        <v>866</v>
      </c>
      <c r="O660" s="103" t="str">
        <f t="shared" si="30"/>
        <v/>
      </c>
      <c r="P660" s="103" t="s">
        <v>153</v>
      </c>
      <c r="Q660" s="103" t="s">
        <v>153</v>
      </c>
      <c r="R660" s="103" t="s">
        <v>153</v>
      </c>
      <c r="S660" s="103" t="str">
        <f>INDEX('Measure &amp; Standard CostIDs'!$AK$8:$AK$12,B660)</f>
        <v>Single-pack</v>
      </c>
      <c r="T660" s="103" t="s">
        <v>867</v>
      </c>
      <c r="U660" s="103"/>
      <c r="V660" s="103"/>
      <c r="W660" s="103">
        <f>ROUND(IF(LEFT(D660,3)="Std",VLOOKUP(D660,'Measure &amp; Standard CostIDs'!$S$5:$X$177,1+B660,FALSE),VLOOKUP(D660,'Measure &amp; Standard CostIDs'!$C$5:$H$177,1+B660,FALSE)),2)</f>
        <v>7.67</v>
      </c>
      <c r="X660" s="103"/>
      <c r="Y660" s="103"/>
      <c r="Z660" s="103" t="s">
        <v>868</v>
      </c>
      <c r="AA660" s="103" t="s">
        <v>874</v>
      </c>
      <c r="AB660" s="103" t="s">
        <v>153</v>
      </c>
      <c r="AC660" s="103">
        <v>0</v>
      </c>
      <c r="AD660" s="156">
        <v>42005</v>
      </c>
      <c r="AE660" s="103"/>
      <c r="AF660" s="103" t="s">
        <v>870</v>
      </c>
      <c r="AG660" s="103" t="s">
        <v>871</v>
      </c>
      <c r="AH660" s="103" t="s">
        <v>976</v>
      </c>
      <c r="AI660" s="103">
        <v>0</v>
      </c>
      <c r="AJ660" s="103"/>
      <c r="AK660" s="103"/>
      <c r="AL660" s="103"/>
      <c r="AM660" s="103"/>
      <c r="AN660" s="103"/>
      <c r="AO660" s="103" t="str">
        <f t="shared" si="31"/>
        <v>Std_CFLscw-Refl-Ext(15w)_60pInc-r0286Single-pack</v>
      </c>
    </row>
    <row r="661" spans="1:41">
      <c r="A661" s="177">
        <f>IFERROR(MATCH(D661,'Measure &amp; Standard CostIDs'!C$5:C$177,0),MATCH(D661,'Measure &amp; Standard CostIDs'!S$5:S$177,0))</f>
        <v>170</v>
      </c>
      <c r="B661" s="177">
        <f t="shared" si="32"/>
        <v>2</v>
      </c>
      <c r="C661" s="103" t="s">
        <v>153</v>
      </c>
      <c r="D661" s="103" t="str">
        <f t="shared" si="33"/>
        <v>Std_CFLscw-Refl-Ext(16w)_60pInc-r0286</v>
      </c>
      <c r="E661" s="103" t="str">
        <f>IF(LEFT(D661,3)="Std","Base case cost for mix of 60% Incandescent and 40% CFL lamps for CFL TechID: "&amp;INDEX('Measure &amp; Standard CostIDs'!$C$5:$C$177,A661),"&lt;from TechID&gt;")</f>
        <v>Base case cost for mix of 60% Incandescent and 40% CFL lamps for CFL TechID: CFLscw-Refl-Ext(16w)</v>
      </c>
      <c r="F661" s="103" t="s">
        <v>860</v>
      </c>
      <c r="G661" s="103" t="s">
        <v>151</v>
      </c>
      <c r="H661" s="103" t="s">
        <v>861</v>
      </c>
      <c r="I661" s="103" t="s">
        <v>862</v>
      </c>
      <c r="J661" s="103" t="s">
        <v>863</v>
      </c>
      <c r="K661" s="103" t="s">
        <v>864</v>
      </c>
      <c r="L661" s="103" t="s">
        <v>153</v>
      </c>
      <c r="M661" s="103" t="s">
        <v>865</v>
      </c>
      <c r="N661" s="103" t="s">
        <v>866</v>
      </c>
      <c r="O661" s="103" t="str">
        <f t="shared" si="30"/>
        <v/>
      </c>
      <c r="P661" s="103" t="s">
        <v>153</v>
      </c>
      <c r="Q661" s="103" t="s">
        <v>153</v>
      </c>
      <c r="R661" s="103" t="s">
        <v>153</v>
      </c>
      <c r="S661" s="103" t="str">
        <f>INDEX('Measure &amp; Standard CostIDs'!$AK$8:$AK$12,B661)</f>
        <v>Single-pack</v>
      </c>
      <c r="T661" s="103" t="s">
        <v>867</v>
      </c>
      <c r="U661" s="103"/>
      <c r="V661" s="103"/>
      <c r="W661" s="103">
        <f>ROUND(IF(LEFT(D661,3)="Std",VLOOKUP(D661,'Measure &amp; Standard CostIDs'!$S$5:$X$177,1+B661,FALSE),VLOOKUP(D661,'Measure &amp; Standard CostIDs'!$C$5:$H$177,1+B661,FALSE)),2)</f>
        <v>7.75</v>
      </c>
      <c r="X661" s="103"/>
      <c r="Y661" s="103"/>
      <c r="Z661" s="103" t="s">
        <v>868</v>
      </c>
      <c r="AA661" s="103" t="s">
        <v>874</v>
      </c>
      <c r="AB661" s="103" t="s">
        <v>153</v>
      </c>
      <c r="AC661" s="103">
        <v>0</v>
      </c>
      <c r="AD661" s="156">
        <v>42005</v>
      </c>
      <c r="AE661" s="103"/>
      <c r="AF661" s="103" t="s">
        <v>870</v>
      </c>
      <c r="AG661" s="103" t="s">
        <v>871</v>
      </c>
      <c r="AH661" s="103" t="s">
        <v>976</v>
      </c>
      <c r="AI661" s="103">
        <v>0</v>
      </c>
      <c r="AJ661" s="103"/>
      <c r="AK661" s="103"/>
      <c r="AL661" s="103"/>
      <c r="AM661" s="103"/>
      <c r="AN661" s="103"/>
      <c r="AO661" s="103" t="str">
        <f t="shared" si="31"/>
        <v>Std_CFLscw-Refl-Ext(16w)_60pInc-r0286Single-pack</v>
      </c>
    </row>
    <row r="662" spans="1:41">
      <c r="A662" s="177">
        <f>IFERROR(MATCH(D662,'Measure &amp; Standard CostIDs'!C$5:C$177,0),MATCH(D662,'Measure &amp; Standard CostIDs'!S$5:S$177,0))</f>
        <v>171</v>
      </c>
      <c r="B662" s="177">
        <f t="shared" si="32"/>
        <v>2</v>
      </c>
      <c r="C662" s="103" t="s">
        <v>153</v>
      </c>
      <c r="D662" s="103" t="str">
        <f t="shared" si="33"/>
        <v>Std_CFLscw-Refl-Ext(18w)_60pInc-r0286</v>
      </c>
      <c r="E662" s="103" t="str">
        <f>IF(LEFT(D662,3)="Std","Base case cost for mix of 60% Incandescent and 40% CFL lamps for CFL TechID: "&amp;INDEX('Measure &amp; Standard CostIDs'!$C$5:$C$177,A662),"&lt;from TechID&gt;")</f>
        <v>Base case cost for mix of 60% Incandescent and 40% CFL lamps for CFL TechID: CFLscw-Refl-Ext(18w)</v>
      </c>
      <c r="F662" s="103" t="s">
        <v>860</v>
      </c>
      <c r="G662" s="103" t="s">
        <v>151</v>
      </c>
      <c r="H662" s="103" t="s">
        <v>861</v>
      </c>
      <c r="I662" s="103" t="s">
        <v>862</v>
      </c>
      <c r="J662" s="103" t="s">
        <v>863</v>
      </c>
      <c r="K662" s="103" t="s">
        <v>864</v>
      </c>
      <c r="L662" s="103" t="s">
        <v>153</v>
      </c>
      <c r="M662" s="103" t="s">
        <v>865</v>
      </c>
      <c r="N662" s="103" t="s">
        <v>866</v>
      </c>
      <c r="O662" s="103" t="str">
        <f t="shared" si="30"/>
        <v/>
      </c>
      <c r="P662" s="103" t="s">
        <v>153</v>
      </c>
      <c r="Q662" s="103" t="s">
        <v>153</v>
      </c>
      <c r="R662" s="103" t="s">
        <v>153</v>
      </c>
      <c r="S662" s="103" t="str">
        <f>INDEX('Measure &amp; Standard CostIDs'!$AK$8:$AK$12,B662)</f>
        <v>Single-pack</v>
      </c>
      <c r="T662" s="103" t="s">
        <v>867</v>
      </c>
      <c r="U662" s="103"/>
      <c r="V662" s="103"/>
      <c r="W662" s="103">
        <f>ROUND(IF(LEFT(D662,3)="Std",VLOOKUP(D662,'Measure &amp; Standard CostIDs'!$S$5:$X$177,1+B662,FALSE),VLOOKUP(D662,'Measure &amp; Standard CostIDs'!$C$5:$H$177,1+B662,FALSE)),2)</f>
        <v>7.93</v>
      </c>
      <c r="X662" s="103"/>
      <c r="Y662" s="103"/>
      <c r="Z662" s="103" t="s">
        <v>868</v>
      </c>
      <c r="AA662" s="103" t="s">
        <v>874</v>
      </c>
      <c r="AB662" s="103" t="s">
        <v>153</v>
      </c>
      <c r="AC662" s="103">
        <v>0</v>
      </c>
      <c r="AD662" s="156">
        <v>42005</v>
      </c>
      <c r="AE662" s="103"/>
      <c r="AF662" s="103" t="s">
        <v>870</v>
      </c>
      <c r="AG662" s="103" t="s">
        <v>871</v>
      </c>
      <c r="AH662" s="103" t="s">
        <v>976</v>
      </c>
      <c r="AI662" s="103">
        <v>0</v>
      </c>
      <c r="AJ662" s="103"/>
      <c r="AK662" s="103"/>
      <c r="AL662" s="103"/>
      <c r="AM662" s="103"/>
      <c r="AN662" s="103"/>
      <c r="AO662" s="103" t="str">
        <f t="shared" si="31"/>
        <v>Std_CFLscw-Refl-Ext(18w)_60pInc-r0286Single-pack</v>
      </c>
    </row>
    <row r="663" spans="1:41">
      <c r="A663" s="177">
        <f>IFERROR(MATCH(D663,'Measure &amp; Standard CostIDs'!C$5:C$177,0),MATCH(D663,'Measure &amp; Standard CostIDs'!S$5:S$177,0))</f>
        <v>172</v>
      </c>
      <c r="B663" s="177">
        <f t="shared" si="32"/>
        <v>2</v>
      </c>
      <c r="C663" s="103" t="s">
        <v>153</v>
      </c>
      <c r="D663" s="103" t="str">
        <f t="shared" si="33"/>
        <v>Std_CFLscw-Refl-Ext(20w)_60pInc-r0286</v>
      </c>
      <c r="E663" s="103" t="str">
        <f>IF(LEFT(D663,3)="Std","Base case cost for mix of 60% Incandescent and 40% CFL lamps for CFL TechID: "&amp;INDEX('Measure &amp; Standard CostIDs'!$C$5:$C$177,A663),"&lt;from TechID&gt;")</f>
        <v>Base case cost for mix of 60% Incandescent and 40% CFL lamps for CFL TechID: CFLscw-Refl-Ext(20w)</v>
      </c>
      <c r="F663" s="103" t="s">
        <v>860</v>
      </c>
      <c r="G663" s="103" t="s">
        <v>151</v>
      </c>
      <c r="H663" s="103" t="s">
        <v>861</v>
      </c>
      <c r="I663" s="103" t="s">
        <v>862</v>
      </c>
      <c r="J663" s="103" t="s">
        <v>863</v>
      </c>
      <c r="K663" s="103" t="s">
        <v>864</v>
      </c>
      <c r="L663" s="103" t="s">
        <v>153</v>
      </c>
      <c r="M663" s="103" t="s">
        <v>865</v>
      </c>
      <c r="N663" s="103" t="s">
        <v>866</v>
      </c>
      <c r="O663" s="103" t="str">
        <f t="shared" si="30"/>
        <v/>
      </c>
      <c r="P663" s="103" t="s">
        <v>153</v>
      </c>
      <c r="Q663" s="103" t="s">
        <v>153</v>
      </c>
      <c r="R663" s="103" t="s">
        <v>153</v>
      </c>
      <c r="S663" s="103" t="str">
        <f>INDEX('Measure &amp; Standard CostIDs'!$AK$8:$AK$12,B663)</f>
        <v>Single-pack</v>
      </c>
      <c r="T663" s="103" t="s">
        <v>867</v>
      </c>
      <c r="U663" s="103"/>
      <c r="V663" s="103"/>
      <c r="W663" s="103">
        <f>ROUND(IF(LEFT(D663,3)="Std",VLOOKUP(D663,'Measure &amp; Standard CostIDs'!$S$5:$X$177,1+B663,FALSE),VLOOKUP(D663,'Measure &amp; Standard CostIDs'!$C$5:$H$177,1+B663,FALSE)),2)</f>
        <v>8.1</v>
      </c>
      <c r="X663" s="103"/>
      <c r="Y663" s="103"/>
      <c r="Z663" s="103" t="s">
        <v>868</v>
      </c>
      <c r="AA663" s="103" t="s">
        <v>874</v>
      </c>
      <c r="AB663" s="103" t="s">
        <v>153</v>
      </c>
      <c r="AC663" s="103">
        <v>0</v>
      </c>
      <c r="AD663" s="156">
        <v>42005</v>
      </c>
      <c r="AE663" s="103"/>
      <c r="AF663" s="103" t="s">
        <v>870</v>
      </c>
      <c r="AG663" s="103" t="s">
        <v>871</v>
      </c>
      <c r="AH663" s="103" t="s">
        <v>976</v>
      </c>
      <c r="AI663" s="103">
        <v>0</v>
      </c>
      <c r="AJ663" s="103"/>
      <c r="AK663" s="103"/>
      <c r="AL663" s="103"/>
      <c r="AM663" s="103"/>
      <c r="AN663" s="103"/>
      <c r="AO663" s="103" t="str">
        <f t="shared" si="31"/>
        <v>Std_CFLscw-Refl-Ext(20w)_60pInc-r0286Single-pack</v>
      </c>
    </row>
    <row r="664" spans="1:41">
      <c r="A664" s="177">
        <f>IFERROR(MATCH(D664,'Measure &amp; Standard CostIDs'!C$5:C$177,0),MATCH(D664,'Measure &amp; Standard CostIDs'!S$5:S$177,0))</f>
        <v>173</v>
      </c>
      <c r="B664" s="177">
        <f t="shared" si="32"/>
        <v>2</v>
      </c>
      <c r="C664" s="103" t="s">
        <v>153</v>
      </c>
      <c r="D664" s="103" t="str">
        <f t="shared" si="33"/>
        <v>Std_CFLscw-Refl-Ext(23w)_60pInc-r0286</v>
      </c>
      <c r="E664" s="103" t="str">
        <f>IF(LEFT(D664,3)="Std","Base case cost for mix of 60% Incandescent and 40% CFL lamps for CFL TechID: "&amp;INDEX('Measure &amp; Standard CostIDs'!$C$5:$C$177,A664),"&lt;from TechID&gt;")</f>
        <v>Base case cost for mix of 60% Incandescent and 40% CFL lamps for CFL TechID: CFLscw-Refl-Ext(23w)</v>
      </c>
      <c r="F664" s="103" t="s">
        <v>860</v>
      </c>
      <c r="G664" s="103" t="s">
        <v>151</v>
      </c>
      <c r="H664" s="103" t="s">
        <v>861</v>
      </c>
      <c r="I664" s="103" t="s">
        <v>862</v>
      </c>
      <c r="J664" s="103" t="s">
        <v>863</v>
      </c>
      <c r="K664" s="103" t="s">
        <v>864</v>
      </c>
      <c r="L664" s="103" t="s">
        <v>153</v>
      </c>
      <c r="M664" s="103" t="s">
        <v>865</v>
      </c>
      <c r="N664" s="103" t="s">
        <v>866</v>
      </c>
      <c r="O664" s="103" t="str">
        <f t="shared" si="30"/>
        <v/>
      </c>
      <c r="P664" s="103" t="s">
        <v>153</v>
      </c>
      <c r="Q664" s="103" t="s">
        <v>153</v>
      </c>
      <c r="R664" s="103" t="s">
        <v>153</v>
      </c>
      <c r="S664" s="103" t="str">
        <f>INDEX('Measure &amp; Standard CostIDs'!$AK$8:$AK$12,B664)</f>
        <v>Single-pack</v>
      </c>
      <c r="T664" s="103" t="s">
        <v>867</v>
      </c>
      <c r="U664" s="103"/>
      <c r="V664" s="103"/>
      <c r="W664" s="103">
        <f>ROUND(IF(LEFT(D664,3)="Std",VLOOKUP(D664,'Measure &amp; Standard CostIDs'!$S$5:$X$177,1+B664,FALSE),VLOOKUP(D664,'Measure &amp; Standard CostIDs'!$C$5:$H$177,1+B664,FALSE)),2)</f>
        <v>8.35</v>
      </c>
      <c r="X664" s="103"/>
      <c r="Y664" s="103"/>
      <c r="Z664" s="103" t="s">
        <v>868</v>
      </c>
      <c r="AA664" s="103" t="s">
        <v>874</v>
      </c>
      <c r="AB664" s="103" t="s">
        <v>153</v>
      </c>
      <c r="AC664" s="103">
        <v>0</v>
      </c>
      <c r="AD664" s="156">
        <v>42005</v>
      </c>
      <c r="AE664" s="103"/>
      <c r="AF664" s="103" t="s">
        <v>870</v>
      </c>
      <c r="AG664" s="103" t="s">
        <v>871</v>
      </c>
      <c r="AH664" s="103" t="s">
        <v>976</v>
      </c>
      <c r="AI664" s="103">
        <v>0</v>
      </c>
      <c r="AJ664" s="103"/>
      <c r="AK664" s="103"/>
      <c r="AL664" s="103"/>
      <c r="AM664" s="103"/>
      <c r="AN664" s="103"/>
      <c r="AO664" s="103" t="str">
        <f t="shared" si="31"/>
        <v>Std_CFLscw-Refl-Ext(23w)_60pInc-r0286Single-pack</v>
      </c>
    </row>
    <row r="665" spans="1:41">
      <c r="A665" s="177">
        <f>IFERROR(MATCH(D665,'Measure &amp; Standard CostIDs'!C$5:C$177,0),MATCH(D665,'Measure &amp; Standard CostIDs'!S$5:S$177,0))</f>
        <v>1</v>
      </c>
      <c r="B665" s="177">
        <f t="shared" si="32"/>
        <v>3</v>
      </c>
      <c r="C665" s="103" t="s">
        <v>153</v>
      </c>
      <c r="D665" s="103" t="str">
        <f t="shared" si="33"/>
        <v>CFLscw(10w)</v>
      </c>
      <c r="E665" s="103" t="str">
        <f>IF(LEFT(D665,3)="Std","Base case cost for mix of 60% Incandescent and 40% CFL lamps for CFL TechID: "&amp;INDEX('Measure &amp; Standard CostIDs'!$C$5:$C$177,A665),"&lt;from TechID&gt;")</f>
        <v>&lt;from TechID&gt;</v>
      </c>
      <c r="F665" s="103" t="s">
        <v>860</v>
      </c>
      <c r="G665" s="103" t="s">
        <v>151</v>
      </c>
      <c r="H665" s="103" t="s">
        <v>861</v>
      </c>
      <c r="I665" s="103" t="s">
        <v>862</v>
      </c>
      <c r="J665" s="103" t="s">
        <v>863</v>
      </c>
      <c r="K665" s="103" t="s">
        <v>864</v>
      </c>
      <c r="L665" s="103" t="s">
        <v>153</v>
      </c>
      <c r="M665" s="103" t="s">
        <v>865</v>
      </c>
      <c r="N665" s="103" t="s">
        <v>866</v>
      </c>
      <c r="O665" s="103" t="str">
        <f t="shared" si="30"/>
        <v>CFLscw(10w)</v>
      </c>
      <c r="P665" s="103" t="s">
        <v>153</v>
      </c>
      <c r="Q665" s="103" t="s">
        <v>153</v>
      </c>
      <c r="R665" s="103" t="s">
        <v>153</v>
      </c>
      <c r="S665" s="103" t="str">
        <f>INDEX('Measure &amp; Standard CostIDs'!$AK$8:$AK$12,B665)</f>
        <v>Two-pack</v>
      </c>
      <c r="T665" s="103" t="s">
        <v>867</v>
      </c>
      <c r="U665" s="103"/>
      <c r="V665" s="103"/>
      <c r="W665" s="103">
        <f>ROUND(IF(LEFT(D665,3)="Std",VLOOKUP(D665,'Measure &amp; Standard CostIDs'!$S$5:$X$177,1+B665,FALSE),VLOOKUP(D665,'Measure &amp; Standard CostIDs'!$C$5:$H$177,1+B665,FALSE)),2)</f>
        <v>2.84</v>
      </c>
      <c r="X665" s="103"/>
      <c r="Y665" s="103"/>
      <c r="Z665" s="103" t="s">
        <v>868</v>
      </c>
      <c r="AA665" s="103" t="s">
        <v>874</v>
      </c>
      <c r="AB665" s="103" t="s">
        <v>153</v>
      </c>
      <c r="AC665" s="103">
        <v>0</v>
      </c>
      <c r="AD665" s="156">
        <v>42005</v>
      </c>
      <c r="AE665" s="103"/>
      <c r="AF665" s="103" t="s">
        <v>870</v>
      </c>
      <c r="AG665" s="103" t="s">
        <v>871</v>
      </c>
      <c r="AH665" s="103" t="s">
        <v>976</v>
      </c>
      <c r="AI665" s="103">
        <v>0</v>
      </c>
      <c r="AJ665" s="103"/>
      <c r="AK665" s="103"/>
      <c r="AL665" s="103"/>
      <c r="AM665" s="103"/>
      <c r="AN665" s="103"/>
      <c r="AO665" s="103" t="str">
        <f t="shared" si="31"/>
        <v>CFLscw(10w)Two-pack</v>
      </c>
    </row>
    <row r="666" spans="1:41">
      <c r="A666" s="177">
        <f>IFERROR(MATCH(D666,'Measure &amp; Standard CostIDs'!C$5:C$177,0),MATCH(D666,'Measure &amp; Standard CostIDs'!S$5:S$177,0))</f>
        <v>2</v>
      </c>
      <c r="B666" s="177">
        <f t="shared" si="32"/>
        <v>3</v>
      </c>
      <c r="C666" s="103" t="s">
        <v>153</v>
      </c>
      <c r="D666" s="103" t="str">
        <f t="shared" si="33"/>
        <v>CFLscw(11w)</v>
      </c>
      <c r="E666" s="103" t="str">
        <f>IF(LEFT(D666,3)="Std","Base case cost for mix of 60% Incandescent and 40% CFL lamps for CFL TechID: "&amp;INDEX('Measure &amp; Standard CostIDs'!$C$5:$C$177,A666),"&lt;from TechID&gt;")</f>
        <v>&lt;from TechID&gt;</v>
      </c>
      <c r="F666" s="103" t="s">
        <v>860</v>
      </c>
      <c r="G666" s="103" t="s">
        <v>151</v>
      </c>
      <c r="H666" s="103" t="s">
        <v>861</v>
      </c>
      <c r="I666" s="103" t="s">
        <v>862</v>
      </c>
      <c r="J666" s="103" t="s">
        <v>863</v>
      </c>
      <c r="K666" s="103" t="s">
        <v>864</v>
      </c>
      <c r="L666" s="103" t="s">
        <v>153</v>
      </c>
      <c r="M666" s="103" t="s">
        <v>865</v>
      </c>
      <c r="N666" s="103" t="s">
        <v>866</v>
      </c>
      <c r="O666" s="103" t="str">
        <f t="shared" si="30"/>
        <v>CFLscw(11w)</v>
      </c>
      <c r="P666" s="103" t="s">
        <v>153</v>
      </c>
      <c r="Q666" s="103" t="s">
        <v>153</v>
      </c>
      <c r="R666" s="103" t="s">
        <v>153</v>
      </c>
      <c r="S666" s="103" t="str">
        <f>INDEX('Measure &amp; Standard CostIDs'!$AK$8:$AK$12,B666)</f>
        <v>Two-pack</v>
      </c>
      <c r="T666" s="103" t="s">
        <v>867</v>
      </c>
      <c r="U666" s="103"/>
      <c r="V666" s="103"/>
      <c r="W666" s="103">
        <f>ROUND(IF(LEFT(D666,3)="Std",VLOOKUP(D666,'Measure &amp; Standard CostIDs'!$S$5:$X$177,1+B666,FALSE),VLOOKUP(D666,'Measure &amp; Standard CostIDs'!$C$5:$H$177,1+B666,FALSE)),2)</f>
        <v>2.9</v>
      </c>
      <c r="X666" s="103"/>
      <c r="Y666" s="103"/>
      <c r="Z666" s="103" t="s">
        <v>868</v>
      </c>
      <c r="AA666" s="103" t="s">
        <v>874</v>
      </c>
      <c r="AB666" s="103" t="s">
        <v>153</v>
      </c>
      <c r="AC666" s="103">
        <v>0</v>
      </c>
      <c r="AD666" s="156">
        <v>42005</v>
      </c>
      <c r="AE666" s="103"/>
      <c r="AF666" s="103" t="s">
        <v>870</v>
      </c>
      <c r="AG666" s="103" t="s">
        <v>871</v>
      </c>
      <c r="AH666" s="103" t="s">
        <v>976</v>
      </c>
      <c r="AI666" s="103">
        <v>0</v>
      </c>
      <c r="AJ666" s="103"/>
      <c r="AK666" s="103"/>
      <c r="AL666" s="103"/>
      <c r="AM666" s="103"/>
      <c r="AN666" s="103"/>
      <c r="AO666" s="103" t="str">
        <f t="shared" si="31"/>
        <v>CFLscw(11w)Two-pack</v>
      </c>
    </row>
    <row r="667" spans="1:41">
      <c r="A667" s="177">
        <f>IFERROR(MATCH(D667,'Measure &amp; Standard CostIDs'!C$5:C$177,0),MATCH(D667,'Measure &amp; Standard CostIDs'!S$5:S$177,0))</f>
        <v>3</v>
      </c>
      <c r="B667" s="177">
        <f t="shared" si="32"/>
        <v>3</v>
      </c>
      <c r="C667" s="103" t="s">
        <v>153</v>
      </c>
      <c r="D667" s="103" t="str">
        <f t="shared" si="33"/>
        <v>CFLscw(120w)</v>
      </c>
      <c r="E667" s="103" t="str">
        <f>IF(LEFT(D667,3)="Std","Base case cost for mix of 60% Incandescent and 40% CFL lamps for CFL TechID: "&amp;INDEX('Measure &amp; Standard CostIDs'!$C$5:$C$177,A667),"&lt;from TechID&gt;")</f>
        <v>&lt;from TechID&gt;</v>
      </c>
      <c r="F667" s="103" t="s">
        <v>860</v>
      </c>
      <c r="G667" s="103" t="s">
        <v>151</v>
      </c>
      <c r="H667" s="103" t="s">
        <v>861</v>
      </c>
      <c r="I667" s="103" t="s">
        <v>862</v>
      </c>
      <c r="J667" s="103" t="s">
        <v>863</v>
      </c>
      <c r="K667" s="103" t="s">
        <v>864</v>
      </c>
      <c r="L667" s="103" t="s">
        <v>153</v>
      </c>
      <c r="M667" s="103" t="s">
        <v>865</v>
      </c>
      <c r="N667" s="103" t="s">
        <v>866</v>
      </c>
      <c r="O667" s="103" t="str">
        <f t="shared" si="30"/>
        <v>CFLscw(120w)</v>
      </c>
      <c r="P667" s="103" t="s">
        <v>153</v>
      </c>
      <c r="Q667" s="103" t="s">
        <v>153</v>
      </c>
      <c r="R667" s="103" t="s">
        <v>153</v>
      </c>
      <c r="S667" s="103" t="str">
        <f>INDEX('Measure &amp; Standard CostIDs'!$AK$8:$AK$12,B667)</f>
        <v>Two-pack</v>
      </c>
      <c r="T667" s="103" t="s">
        <v>867</v>
      </c>
      <c r="U667" s="103"/>
      <c r="V667" s="103"/>
      <c r="W667" s="103">
        <f>ROUND(IF(LEFT(D667,3)="Std",VLOOKUP(D667,'Measure &amp; Standard CostIDs'!$S$5:$X$177,1+B667,FALSE),VLOOKUP(D667,'Measure &amp; Standard CostIDs'!$C$5:$H$177,1+B667,FALSE)),2)</f>
        <v>19.03</v>
      </c>
      <c r="X667" s="103"/>
      <c r="Y667" s="103"/>
      <c r="Z667" s="103" t="s">
        <v>868</v>
      </c>
      <c r="AA667" s="103" t="s">
        <v>874</v>
      </c>
      <c r="AB667" s="103" t="s">
        <v>153</v>
      </c>
      <c r="AC667" s="103">
        <v>0</v>
      </c>
      <c r="AD667" s="156">
        <v>42005</v>
      </c>
      <c r="AE667" s="103"/>
      <c r="AF667" s="103" t="s">
        <v>870</v>
      </c>
      <c r="AG667" s="103" t="s">
        <v>871</v>
      </c>
      <c r="AH667" s="103" t="s">
        <v>976</v>
      </c>
      <c r="AI667" s="103">
        <v>0</v>
      </c>
      <c r="AJ667" s="103"/>
      <c r="AK667" s="103"/>
      <c r="AL667" s="103"/>
      <c r="AM667" s="103"/>
      <c r="AN667" s="103"/>
      <c r="AO667" s="103" t="str">
        <f t="shared" si="31"/>
        <v>CFLscw(120w)Two-pack</v>
      </c>
    </row>
    <row r="668" spans="1:41">
      <c r="A668" s="177">
        <f>IFERROR(MATCH(D668,'Measure &amp; Standard CostIDs'!C$5:C$177,0),MATCH(D668,'Measure &amp; Standard CostIDs'!S$5:S$177,0))</f>
        <v>4</v>
      </c>
      <c r="B668" s="177">
        <f t="shared" si="32"/>
        <v>3</v>
      </c>
      <c r="C668" s="103" t="s">
        <v>153</v>
      </c>
      <c r="D668" s="103" t="str">
        <f t="shared" si="33"/>
        <v>CFLscw(12w)</v>
      </c>
      <c r="E668" s="103" t="str">
        <f>IF(LEFT(D668,3)="Std","Base case cost for mix of 60% Incandescent and 40% CFL lamps for CFL TechID: "&amp;INDEX('Measure &amp; Standard CostIDs'!$C$5:$C$177,A668),"&lt;from TechID&gt;")</f>
        <v>&lt;from TechID&gt;</v>
      </c>
      <c r="F668" s="103" t="s">
        <v>860</v>
      </c>
      <c r="G668" s="103" t="s">
        <v>151</v>
      </c>
      <c r="H668" s="103" t="s">
        <v>861</v>
      </c>
      <c r="I668" s="103" t="s">
        <v>862</v>
      </c>
      <c r="J668" s="103" t="s">
        <v>863</v>
      </c>
      <c r="K668" s="103" t="s">
        <v>864</v>
      </c>
      <c r="L668" s="103" t="s">
        <v>153</v>
      </c>
      <c r="M668" s="103" t="s">
        <v>865</v>
      </c>
      <c r="N668" s="103" t="s">
        <v>866</v>
      </c>
      <c r="O668" s="103" t="str">
        <f t="shared" si="30"/>
        <v>CFLscw(12w)</v>
      </c>
      <c r="P668" s="103" t="s">
        <v>153</v>
      </c>
      <c r="Q668" s="103" t="s">
        <v>153</v>
      </c>
      <c r="R668" s="103" t="s">
        <v>153</v>
      </c>
      <c r="S668" s="103" t="str">
        <f>INDEX('Measure &amp; Standard CostIDs'!$AK$8:$AK$12,B668)</f>
        <v>Two-pack</v>
      </c>
      <c r="T668" s="103" t="s">
        <v>867</v>
      </c>
      <c r="U668" s="103"/>
      <c r="V668" s="103"/>
      <c r="W668" s="103">
        <f>ROUND(IF(LEFT(D668,3)="Std",VLOOKUP(D668,'Measure &amp; Standard CostIDs'!$S$5:$X$177,1+B668,FALSE),VLOOKUP(D668,'Measure &amp; Standard CostIDs'!$C$5:$H$177,1+B668,FALSE)),2)</f>
        <v>2.97</v>
      </c>
      <c r="X668" s="103"/>
      <c r="Y668" s="103"/>
      <c r="Z668" s="103" t="s">
        <v>868</v>
      </c>
      <c r="AA668" s="103" t="s">
        <v>874</v>
      </c>
      <c r="AB668" s="103" t="s">
        <v>153</v>
      </c>
      <c r="AC668" s="103">
        <v>0</v>
      </c>
      <c r="AD668" s="156">
        <v>42005</v>
      </c>
      <c r="AE668" s="103"/>
      <c r="AF668" s="103" t="s">
        <v>870</v>
      </c>
      <c r="AG668" s="103" t="s">
        <v>871</v>
      </c>
      <c r="AH668" s="103" t="s">
        <v>976</v>
      </c>
      <c r="AI668" s="103">
        <v>0</v>
      </c>
      <c r="AJ668" s="103"/>
      <c r="AK668" s="103"/>
      <c r="AL668" s="103"/>
      <c r="AM668" s="103"/>
      <c r="AN668" s="103"/>
      <c r="AO668" s="103" t="str">
        <f t="shared" si="31"/>
        <v>CFLscw(12w)Two-pack</v>
      </c>
    </row>
    <row r="669" spans="1:41">
      <c r="A669" s="177">
        <f>IFERROR(MATCH(D669,'Measure &amp; Standard CostIDs'!C$5:C$177,0),MATCH(D669,'Measure &amp; Standard CostIDs'!S$5:S$177,0))</f>
        <v>5</v>
      </c>
      <c r="B669" s="177">
        <f t="shared" si="32"/>
        <v>3</v>
      </c>
      <c r="C669" s="103" t="s">
        <v>153</v>
      </c>
      <c r="D669" s="103" t="str">
        <f t="shared" si="33"/>
        <v>CFLscw(13w)</v>
      </c>
      <c r="E669" s="103" t="str">
        <f>IF(LEFT(D669,3)="Std","Base case cost for mix of 60% Incandescent and 40% CFL lamps for CFL TechID: "&amp;INDEX('Measure &amp; Standard CostIDs'!$C$5:$C$177,A669),"&lt;from TechID&gt;")</f>
        <v>&lt;from TechID&gt;</v>
      </c>
      <c r="F669" s="103" t="s">
        <v>860</v>
      </c>
      <c r="G669" s="103" t="s">
        <v>151</v>
      </c>
      <c r="H669" s="103" t="s">
        <v>861</v>
      </c>
      <c r="I669" s="103" t="s">
        <v>862</v>
      </c>
      <c r="J669" s="103" t="s">
        <v>863</v>
      </c>
      <c r="K669" s="103" t="s">
        <v>864</v>
      </c>
      <c r="L669" s="103" t="s">
        <v>153</v>
      </c>
      <c r="M669" s="103" t="s">
        <v>865</v>
      </c>
      <c r="N669" s="103" t="s">
        <v>866</v>
      </c>
      <c r="O669" s="103" t="str">
        <f t="shared" si="30"/>
        <v>CFLscw(13w)</v>
      </c>
      <c r="P669" s="103" t="s">
        <v>153</v>
      </c>
      <c r="Q669" s="103" t="s">
        <v>153</v>
      </c>
      <c r="R669" s="103" t="s">
        <v>153</v>
      </c>
      <c r="S669" s="103" t="str">
        <f>INDEX('Measure &amp; Standard CostIDs'!$AK$8:$AK$12,B669)</f>
        <v>Two-pack</v>
      </c>
      <c r="T669" s="103" t="s">
        <v>867</v>
      </c>
      <c r="U669" s="103"/>
      <c r="V669" s="103"/>
      <c r="W669" s="103">
        <f>ROUND(IF(LEFT(D669,3)="Std",VLOOKUP(D669,'Measure &amp; Standard CostIDs'!$S$5:$X$177,1+B669,FALSE),VLOOKUP(D669,'Measure &amp; Standard CostIDs'!$C$5:$H$177,1+B669,FALSE)),2)</f>
        <v>3.04</v>
      </c>
      <c r="X669" s="103"/>
      <c r="Y669" s="103"/>
      <c r="Z669" s="103" t="s">
        <v>868</v>
      </c>
      <c r="AA669" s="103" t="s">
        <v>874</v>
      </c>
      <c r="AB669" s="103" t="s">
        <v>153</v>
      </c>
      <c r="AC669" s="103">
        <v>0</v>
      </c>
      <c r="AD669" s="156">
        <v>42005</v>
      </c>
      <c r="AE669" s="103"/>
      <c r="AF669" s="103" t="s">
        <v>870</v>
      </c>
      <c r="AG669" s="103" t="s">
        <v>871</v>
      </c>
      <c r="AH669" s="103" t="s">
        <v>976</v>
      </c>
      <c r="AI669" s="103">
        <v>0</v>
      </c>
      <c r="AJ669" s="103"/>
      <c r="AK669" s="103"/>
      <c r="AL669" s="103"/>
      <c r="AM669" s="103"/>
      <c r="AN669" s="103"/>
      <c r="AO669" s="103" t="str">
        <f t="shared" si="31"/>
        <v>CFLscw(13w)Two-pack</v>
      </c>
    </row>
    <row r="670" spans="1:41">
      <c r="A670" s="177">
        <f>IFERROR(MATCH(D670,'Measure &amp; Standard CostIDs'!C$5:C$177,0),MATCH(D670,'Measure &amp; Standard CostIDs'!S$5:S$177,0))</f>
        <v>6</v>
      </c>
      <c r="B670" s="177">
        <f t="shared" si="32"/>
        <v>3</v>
      </c>
      <c r="C670" s="103" t="s">
        <v>153</v>
      </c>
      <c r="D670" s="103" t="str">
        <f t="shared" si="33"/>
        <v>CFLscw(14w)</v>
      </c>
      <c r="E670" s="103" t="str">
        <f>IF(LEFT(D670,3)="Std","Base case cost for mix of 60% Incandescent and 40% CFL lamps for CFL TechID: "&amp;INDEX('Measure &amp; Standard CostIDs'!$C$5:$C$177,A670),"&lt;from TechID&gt;")</f>
        <v>&lt;from TechID&gt;</v>
      </c>
      <c r="F670" s="103" t="s">
        <v>860</v>
      </c>
      <c r="G670" s="103" t="s">
        <v>151</v>
      </c>
      <c r="H670" s="103" t="s">
        <v>861</v>
      </c>
      <c r="I670" s="103" t="s">
        <v>862</v>
      </c>
      <c r="J670" s="103" t="s">
        <v>863</v>
      </c>
      <c r="K670" s="103" t="s">
        <v>864</v>
      </c>
      <c r="L670" s="103" t="s">
        <v>153</v>
      </c>
      <c r="M670" s="103" t="s">
        <v>865</v>
      </c>
      <c r="N670" s="103" t="s">
        <v>866</v>
      </c>
      <c r="O670" s="103" t="str">
        <f t="shared" si="30"/>
        <v>CFLscw(14w)</v>
      </c>
      <c r="P670" s="103" t="s">
        <v>153</v>
      </c>
      <c r="Q670" s="103" t="s">
        <v>153</v>
      </c>
      <c r="R670" s="103" t="s">
        <v>153</v>
      </c>
      <c r="S670" s="103" t="str">
        <f>INDEX('Measure &amp; Standard CostIDs'!$AK$8:$AK$12,B670)</f>
        <v>Two-pack</v>
      </c>
      <c r="T670" s="103" t="s">
        <v>867</v>
      </c>
      <c r="U670" s="103"/>
      <c r="V670" s="103"/>
      <c r="W670" s="103">
        <f>ROUND(IF(LEFT(D670,3)="Std",VLOOKUP(D670,'Measure &amp; Standard CostIDs'!$S$5:$X$177,1+B670,FALSE),VLOOKUP(D670,'Measure &amp; Standard CostIDs'!$C$5:$H$177,1+B670,FALSE)),2)</f>
        <v>3.1</v>
      </c>
      <c r="X670" s="103"/>
      <c r="Y670" s="103"/>
      <c r="Z670" s="103" t="s">
        <v>868</v>
      </c>
      <c r="AA670" s="103" t="s">
        <v>874</v>
      </c>
      <c r="AB670" s="103" t="s">
        <v>153</v>
      </c>
      <c r="AC670" s="103">
        <v>0</v>
      </c>
      <c r="AD670" s="156">
        <v>42005</v>
      </c>
      <c r="AE670" s="103"/>
      <c r="AF670" s="103" t="s">
        <v>870</v>
      </c>
      <c r="AG670" s="103" t="s">
        <v>871</v>
      </c>
      <c r="AH670" s="103" t="s">
        <v>976</v>
      </c>
      <c r="AI670" s="103">
        <v>0</v>
      </c>
      <c r="AJ670" s="103"/>
      <c r="AK670" s="103"/>
      <c r="AL670" s="103"/>
      <c r="AM670" s="103"/>
      <c r="AN670" s="103"/>
      <c r="AO670" s="103" t="str">
        <f t="shared" si="31"/>
        <v>CFLscw(14w)Two-pack</v>
      </c>
    </row>
    <row r="671" spans="1:41">
      <c r="A671" s="177">
        <f>IFERROR(MATCH(D671,'Measure &amp; Standard CostIDs'!C$5:C$177,0),MATCH(D671,'Measure &amp; Standard CostIDs'!S$5:S$177,0))</f>
        <v>7</v>
      </c>
      <c r="B671" s="177">
        <f t="shared" si="32"/>
        <v>3</v>
      </c>
      <c r="C671" s="103" t="s">
        <v>153</v>
      </c>
      <c r="D671" s="103" t="str">
        <f t="shared" si="33"/>
        <v>CFLscw(15w)</v>
      </c>
      <c r="E671" s="103" t="str">
        <f>IF(LEFT(D671,3)="Std","Base case cost for mix of 60% Incandescent and 40% CFL lamps for CFL TechID: "&amp;INDEX('Measure &amp; Standard CostIDs'!$C$5:$C$177,A671),"&lt;from TechID&gt;")</f>
        <v>&lt;from TechID&gt;</v>
      </c>
      <c r="F671" s="103" t="s">
        <v>860</v>
      </c>
      <c r="G671" s="103" t="s">
        <v>151</v>
      </c>
      <c r="H671" s="103" t="s">
        <v>861</v>
      </c>
      <c r="I671" s="103" t="s">
        <v>862</v>
      </c>
      <c r="J671" s="103" t="s">
        <v>863</v>
      </c>
      <c r="K671" s="103" t="s">
        <v>864</v>
      </c>
      <c r="L671" s="103" t="s">
        <v>153</v>
      </c>
      <c r="M671" s="103" t="s">
        <v>865</v>
      </c>
      <c r="N671" s="103" t="s">
        <v>866</v>
      </c>
      <c r="O671" s="103" t="str">
        <f t="shared" si="30"/>
        <v>CFLscw(15w)</v>
      </c>
      <c r="P671" s="103" t="s">
        <v>153</v>
      </c>
      <c r="Q671" s="103" t="s">
        <v>153</v>
      </c>
      <c r="R671" s="103" t="s">
        <v>153</v>
      </c>
      <c r="S671" s="103" t="str">
        <f>INDEX('Measure &amp; Standard CostIDs'!$AK$8:$AK$12,B671)</f>
        <v>Two-pack</v>
      </c>
      <c r="T671" s="103" t="s">
        <v>867</v>
      </c>
      <c r="U671" s="103"/>
      <c r="V671" s="103"/>
      <c r="W671" s="103">
        <f>ROUND(IF(LEFT(D671,3)="Std",VLOOKUP(D671,'Measure &amp; Standard CostIDs'!$S$5:$X$177,1+B671,FALSE),VLOOKUP(D671,'Measure &amp; Standard CostIDs'!$C$5:$H$177,1+B671,FALSE)),2)</f>
        <v>3.17</v>
      </c>
      <c r="X671" s="103"/>
      <c r="Y671" s="103"/>
      <c r="Z671" s="103" t="s">
        <v>868</v>
      </c>
      <c r="AA671" s="103" t="s">
        <v>874</v>
      </c>
      <c r="AB671" s="103" t="s">
        <v>153</v>
      </c>
      <c r="AC671" s="103">
        <v>0</v>
      </c>
      <c r="AD671" s="156">
        <v>42005</v>
      </c>
      <c r="AE671" s="103"/>
      <c r="AF671" s="103" t="s">
        <v>870</v>
      </c>
      <c r="AG671" s="103" t="s">
        <v>871</v>
      </c>
      <c r="AH671" s="103" t="s">
        <v>976</v>
      </c>
      <c r="AI671" s="103">
        <v>0</v>
      </c>
      <c r="AJ671" s="103"/>
      <c r="AK671" s="103"/>
      <c r="AL671" s="103"/>
      <c r="AM671" s="103"/>
      <c r="AN671" s="103"/>
      <c r="AO671" s="103" t="str">
        <f t="shared" si="31"/>
        <v>CFLscw(15w)Two-pack</v>
      </c>
    </row>
    <row r="672" spans="1:41">
      <c r="A672" s="177">
        <f>IFERROR(MATCH(D672,'Measure &amp; Standard CostIDs'!C$5:C$177,0),MATCH(D672,'Measure &amp; Standard CostIDs'!S$5:S$177,0))</f>
        <v>8</v>
      </c>
      <c r="B672" s="177">
        <f t="shared" si="32"/>
        <v>3</v>
      </c>
      <c r="C672" s="103" t="s">
        <v>153</v>
      </c>
      <c r="D672" s="103" t="str">
        <f t="shared" si="33"/>
        <v>CFLscw(16w)</v>
      </c>
      <c r="E672" s="103" t="str">
        <f>IF(LEFT(D672,3)="Std","Base case cost for mix of 60% Incandescent and 40% CFL lamps for CFL TechID: "&amp;INDEX('Measure &amp; Standard CostIDs'!$C$5:$C$177,A672),"&lt;from TechID&gt;")</f>
        <v>&lt;from TechID&gt;</v>
      </c>
      <c r="F672" s="103" t="s">
        <v>860</v>
      </c>
      <c r="G672" s="103" t="s">
        <v>151</v>
      </c>
      <c r="H672" s="103" t="s">
        <v>861</v>
      </c>
      <c r="I672" s="103" t="s">
        <v>862</v>
      </c>
      <c r="J672" s="103" t="s">
        <v>863</v>
      </c>
      <c r="K672" s="103" t="s">
        <v>864</v>
      </c>
      <c r="L672" s="103" t="s">
        <v>153</v>
      </c>
      <c r="M672" s="103" t="s">
        <v>865</v>
      </c>
      <c r="N672" s="103" t="s">
        <v>866</v>
      </c>
      <c r="O672" s="103" t="str">
        <f t="shared" si="30"/>
        <v>CFLscw(16w)</v>
      </c>
      <c r="P672" s="103" t="s">
        <v>153</v>
      </c>
      <c r="Q672" s="103" t="s">
        <v>153</v>
      </c>
      <c r="R672" s="103" t="s">
        <v>153</v>
      </c>
      <c r="S672" s="103" t="str">
        <f>INDEX('Measure &amp; Standard CostIDs'!$AK$8:$AK$12,B672)</f>
        <v>Two-pack</v>
      </c>
      <c r="T672" s="103" t="s">
        <v>867</v>
      </c>
      <c r="U672" s="103"/>
      <c r="V672" s="103"/>
      <c r="W672" s="103">
        <f>ROUND(IF(LEFT(D672,3)="Std",VLOOKUP(D672,'Measure &amp; Standard CostIDs'!$S$5:$X$177,1+B672,FALSE),VLOOKUP(D672,'Measure &amp; Standard CostIDs'!$C$5:$H$177,1+B672,FALSE)),2)</f>
        <v>3.23</v>
      </c>
      <c r="X672" s="103"/>
      <c r="Y672" s="103"/>
      <c r="Z672" s="103" t="s">
        <v>868</v>
      </c>
      <c r="AA672" s="103" t="s">
        <v>874</v>
      </c>
      <c r="AB672" s="103" t="s">
        <v>153</v>
      </c>
      <c r="AC672" s="103">
        <v>0</v>
      </c>
      <c r="AD672" s="156">
        <v>42005</v>
      </c>
      <c r="AE672" s="103"/>
      <c r="AF672" s="103" t="s">
        <v>870</v>
      </c>
      <c r="AG672" s="103" t="s">
        <v>871</v>
      </c>
      <c r="AH672" s="103" t="s">
        <v>976</v>
      </c>
      <c r="AI672" s="103">
        <v>0</v>
      </c>
      <c r="AJ672" s="103"/>
      <c r="AK672" s="103"/>
      <c r="AL672" s="103"/>
      <c r="AM672" s="103"/>
      <c r="AN672" s="103"/>
      <c r="AO672" s="103" t="str">
        <f t="shared" si="31"/>
        <v>CFLscw(16w)Two-pack</v>
      </c>
    </row>
    <row r="673" spans="1:41">
      <c r="A673" s="177">
        <f>IFERROR(MATCH(D673,'Measure &amp; Standard CostIDs'!C$5:C$177,0),MATCH(D673,'Measure &amp; Standard CostIDs'!S$5:S$177,0))</f>
        <v>9</v>
      </c>
      <c r="B673" s="177">
        <f t="shared" si="32"/>
        <v>3</v>
      </c>
      <c r="C673" s="103" t="s">
        <v>153</v>
      </c>
      <c r="D673" s="103" t="str">
        <f t="shared" si="33"/>
        <v>CFLscw(17w)</v>
      </c>
      <c r="E673" s="103" t="str">
        <f>IF(LEFT(D673,3)="Std","Base case cost for mix of 60% Incandescent and 40% CFL lamps for CFL TechID: "&amp;INDEX('Measure &amp; Standard CostIDs'!$C$5:$C$177,A673),"&lt;from TechID&gt;")</f>
        <v>&lt;from TechID&gt;</v>
      </c>
      <c r="F673" s="103" t="s">
        <v>860</v>
      </c>
      <c r="G673" s="103" t="s">
        <v>151</v>
      </c>
      <c r="H673" s="103" t="s">
        <v>861</v>
      </c>
      <c r="I673" s="103" t="s">
        <v>862</v>
      </c>
      <c r="J673" s="103" t="s">
        <v>863</v>
      </c>
      <c r="K673" s="103" t="s">
        <v>864</v>
      </c>
      <c r="L673" s="103" t="s">
        <v>153</v>
      </c>
      <c r="M673" s="103" t="s">
        <v>865</v>
      </c>
      <c r="N673" s="103" t="s">
        <v>866</v>
      </c>
      <c r="O673" s="103" t="str">
        <f t="shared" si="30"/>
        <v>CFLscw(17w)</v>
      </c>
      <c r="P673" s="103" t="s">
        <v>153</v>
      </c>
      <c r="Q673" s="103" t="s">
        <v>153</v>
      </c>
      <c r="R673" s="103" t="s">
        <v>153</v>
      </c>
      <c r="S673" s="103" t="str">
        <f>INDEX('Measure &amp; Standard CostIDs'!$AK$8:$AK$12,B673)</f>
        <v>Two-pack</v>
      </c>
      <c r="T673" s="103" t="s">
        <v>867</v>
      </c>
      <c r="U673" s="103"/>
      <c r="V673" s="103"/>
      <c r="W673" s="103">
        <f>ROUND(IF(LEFT(D673,3)="Std",VLOOKUP(D673,'Measure &amp; Standard CostIDs'!$S$5:$X$177,1+B673,FALSE),VLOOKUP(D673,'Measure &amp; Standard CostIDs'!$C$5:$H$177,1+B673,FALSE)),2)</f>
        <v>3.3</v>
      </c>
      <c r="X673" s="103"/>
      <c r="Y673" s="103"/>
      <c r="Z673" s="103" t="s">
        <v>868</v>
      </c>
      <c r="AA673" s="103" t="s">
        <v>874</v>
      </c>
      <c r="AB673" s="103" t="s">
        <v>153</v>
      </c>
      <c r="AC673" s="103">
        <v>0</v>
      </c>
      <c r="AD673" s="156">
        <v>42005</v>
      </c>
      <c r="AE673" s="103"/>
      <c r="AF673" s="103" t="s">
        <v>870</v>
      </c>
      <c r="AG673" s="103" t="s">
        <v>871</v>
      </c>
      <c r="AH673" s="103" t="s">
        <v>976</v>
      </c>
      <c r="AI673" s="103">
        <v>0</v>
      </c>
      <c r="AJ673" s="103"/>
      <c r="AK673" s="103"/>
      <c r="AL673" s="103"/>
      <c r="AM673" s="103"/>
      <c r="AN673" s="103"/>
      <c r="AO673" s="103" t="str">
        <f t="shared" si="31"/>
        <v>CFLscw(17w)Two-pack</v>
      </c>
    </row>
    <row r="674" spans="1:41">
      <c r="A674" s="177">
        <f>IFERROR(MATCH(D674,'Measure &amp; Standard CostIDs'!C$5:C$177,0),MATCH(D674,'Measure &amp; Standard CostIDs'!S$5:S$177,0))</f>
        <v>10</v>
      </c>
      <c r="B674" s="177">
        <f t="shared" si="32"/>
        <v>3</v>
      </c>
      <c r="C674" s="103" t="s">
        <v>153</v>
      </c>
      <c r="D674" s="103" t="str">
        <f t="shared" si="33"/>
        <v>CFLscw(18w)</v>
      </c>
      <c r="E674" s="103" t="str">
        <f>IF(LEFT(D674,3)="Std","Base case cost for mix of 60% Incandescent and 40% CFL lamps for CFL TechID: "&amp;INDEX('Measure &amp; Standard CostIDs'!$C$5:$C$177,A674),"&lt;from TechID&gt;")</f>
        <v>&lt;from TechID&gt;</v>
      </c>
      <c r="F674" s="103" t="s">
        <v>860</v>
      </c>
      <c r="G674" s="103" t="s">
        <v>151</v>
      </c>
      <c r="H674" s="103" t="s">
        <v>861</v>
      </c>
      <c r="I674" s="103" t="s">
        <v>862</v>
      </c>
      <c r="J674" s="103" t="s">
        <v>863</v>
      </c>
      <c r="K674" s="103" t="s">
        <v>864</v>
      </c>
      <c r="L674" s="103" t="s">
        <v>153</v>
      </c>
      <c r="M674" s="103" t="s">
        <v>865</v>
      </c>
      <c r="N674" s="103" t="s">
        <v>866</v>
      </c>
      <c r="O674" s="103" t="str">
        <f t="shared" si="30"/>
        <v>CFLscw(18w)</v>
      </c>
      <c r="P674" s="103" t="s">
        <v>153</v>
      </c>
      <c r="Q674" s="103" t="s">
        <v>153</v>
      </c>
      <c r="R674" s="103" t="s">
        <v>153</v>
      </c>
      <c r="S674" s="103" t="str">
        <f>INDEX('Measure &amp; Standard CostIDs'!$AK$8:$AK$12,B674)</f>
        <v>Two-pack</v>
      </c>
      <c r="T674" s="103" t="s">
        <v>867</v>
      </c>
      <c r="U674" s="103"/>
      <c r="V674" s="103"/>
      <c r="W674" s="103">
        <f>ROUND(IF(LEFT(D674,3)="Std",VLOOKUP(D674,'Measure &amp; Standard CostIDs'!$S$5:$X$177,1+B674,FALSE),VLOOKUP(D674,'Measure &amp; Standard CostIDs'!$C$5:$H$177,1+B674,FALSE)),2)</f>
        <v>3.37</v>
      </c>
      <c r="X674" s="103"/>
      <c r="Y674" s="103"/>
      <c r="Z674" s="103" t="s">
        <v>868</v>
      </c>
      <c r="AA674" s="103" t="s">
        <v>874</v>
      </c>
      <c r="AB674" s="103" t="s">
        <v>153</v>
      </c>
      <c r="AC674" s="103">
        <v>0</v>
      </c>
      <c r="AD674" s="156">
        <v>42005</v>
      </c>
      <c r="AE674" s="103"/>
      <c r="AF674" s="103" t="s">
        <v>870</v>
      </c>
      <c r="AG674" s="103" t="s">
        <v>871</v>
      </c>
      <c r="AH674" s="103" t="s">
        <v>976</v>
      </c>
      <c r="AI674" s="103">
        <v>0</v>
      </c>
      <c r="AJ674" s="103"/>
      <c r="AK674" s="103"/>
      <c r="AL674" s="103"/>
      <c r="AM674" s="103"/>
      <c r="AN674" s="103"/>
      <c r="AO674" s="103" t="str">
        <f t="shared" si="31"/>
        <v>CFLscw(18w)Two-pack</v>
      </c>
    </row>
    <row r="675" spans="1:41">
      <c r="A675" s="177">
        <f>IFERROR(MATCH(D675,'Measure &amp; Standard CostIDs'!C$5:C$177,0),MATCH(D675,'Measure &amp; Standard CostIDs'!S$5:S$177,0))</f>
        <v>11</v>
      </c>
      <c r="B675" s="177">
        <f t="shared" si="32"/>
        <v>3</v>
      </c>
      <c r="C675" s="103" t="s">
        <v>153</v>
      </c>
      <c r="D675" s="103" t="str">
        <f t="shared" si="33"/>
        <v>CFLscw(19w)</v>
      </c>
      <c r="E675" s="103" t="str">
        <f>IF(LEFT(D675,3)="Std","Base case cost for mix of 60% Incandescent and 40% CFL lamps for CFL TechID: "&amp;INDEX('Measure &amp; Standard CostIDs'!$C$5:$C$177,A675),"&lt;from TechID&gt;")</f>
        <v>&lt;from TechID&gt;</v>
      </c>
      <c r="F675" s="103" t="s">
        <v>860</v>
      </c>
      <c r="G675" s="103" t="s">
        <v>151</v>
      </c>
      <c r="H675" s="103" t="s">
        <v>861</v>
      </c>
      <c r="I675" s="103" t="s">
        <v>862</v>
      </c>
      <c r="J675" s="103" t="s">
        <v>863</v>
      </c>
      <c r="K675" s="103" t="s">
        <v>864</v>
      </c>
      <c r="L675" s="103" t="s">
        <v>153</v>
      </c>
      <c r="M675" s="103" t="s">
        <v>865</v>
      </c>
      <c r="N675" s="103" t="s">
        <v>866</v>
      </c>
      <c r="O675" s="103" t="str">
        <f t="shared" si="30"/>
        <v>CFLscw(19w)</v>
      </c>
      <c r="P675" s="103" t="s">
        <v>153</v>
      </c>
      <c r="Q675" s="103" t="s">
        <v>153</v>
      </c>
      <c r="R675" s="103" t="s">
        <v>153</v>
      </c>
      <c r="S675" s="103" t="str">
        <f>INDEX('Measure &amp; Standard CostIDs'!$AK$8:$AK$12,B675)</f>
        <v>Two-pack</v>
      </c>
      <c r="T675" s="103" t="s">
        <v>867</v>
      </c>
      <c r="U675" s="103"/>
      <c r="V675" s="103"/>
      <c r="W675" s="103">
        <f>ROUND(IF(LEFT(D675,3)="Std",VLOOKUP(D675,'Measure &amp; Standard CostIDs'!$S$5:$X$177,1+B675,FALSE),VLOOKUP(D675,'Measure &amp; Standard CostIDs'!$C$5:$H$177,1+B675,FALSE)),2)</f>
        <v>3.43</v>
      </c>
      <c r="X675" s="103"/>
      <c r="Y675" s="103"/>
      <c r="Z675" s="103" t="s">
        <v>868</v>
      </c>
      <c r="AA675" s="103" t="s">
        <v>874</v>
      </c>
      <c r="AB675" s="103" t="s">
        <v>153</v>
      </c>
      <c r="AC675" s="103">
        <v>0</v>
      </c>
      <c r="AD675" s="156">
        <v>42005</v>
      </c>
      <c r="AE675" s="103"/>
      <c r="AF675" s="103" t="s">
        <v>870</v>
      </c>
      <c r="AG675" s="103" t="s">
        <v>871</v>
      </c>
      <c r="AH675" s="103" t="s">
        <v>976</v>
      </c>
      <c r="AI675" s="103">
        <v>0</v>
      </c>
      <c r="AJ675" s="103"/>
      <c r="AK675" s="103"/>
      <c r="AL675" s="103"/>
      <c r="AM675" s="103"/>
      <c r="AN675" s="103"/>
      <c r="AO675" s="103" t="str">
        <f t="shared" si="31"/>
        <v>CFLscw(19w)Two-pack</v>
      </c>
    </row>
    <row r="676" spans="1:41">
      <c r="A676" s="177">
        <f>IFERROR(MATCH(D676,'Measure &amp; Standard CostIDs'!C$5:C$177,0),MATCH(D676,'Measure &amp; Standard CostIDs'!S$5:S$177,0))</f>
        <v>12</v>
      </c>
      <c r="B676" s="177">
        <f t="shared" si="32"/>
        <v>3</v>
      </c>
      <c r="C676" s="103" t="s">
        <v>153</v>
      </c>
      <c r="D676" s="103" t="str">
        <f t="shared" si="33"/>
        <v>CFLscw(20w)</v>
      </c>
      <c r="E676" s="103" t="str">
        <f>IF(LEFT(D676,3)="Std","Base case cost for mix of 60% Incandescent and 40% CFL lamps for CFL TechID: "&amp;INDEX('Measure &amp; Standard CostIDs'!$C$5:$C$177,A676),"&lt;from TechID&gt;")</f>
        <v>&lt;from TechID&gt;</v>
      </c>
      <c r="F676" s="103" t="s">
        <v>860</v>
      </c>
      <c r="G676" s="103" t="s">
        <v>151</v>
      </c>
      <c r="H676" s="103" t="s">
        <v>861</v>
      </c>
      <c r="I676" s="103" t="s">
        <v>862</v>
      </c>
      <c r="J676" s="103" t="s">
        <v>863</v>
      </c>
      <c r="K676" s="103" t="s">
        <v>864</v>
      </c>
      <c r="L676" s="103" t="s">
        <v>153</v>
      </c>
      <c r="M676" s="103" t="s">
        <v>865</v>
      </c>
      <c r="N676" s="103" t="s">
        <v>866</v>
      </c>
      <c r="O676" s="103" t="str">
        <f t="shared" si="30"/>
        <v>CFLscw(20w)</v>
      </c>
      <c r="P676" s="103" t="s">
        <v>153</v>
      </c>
      <c r="Q676" s="103" t="s">
        <v>153</v>
      </c>
      <c r="R676" s="103" t="s">
        <v>153</v>
      </c>
      <c r="S676" s="103" t="str">
        <f>INDEX('Measure &amp; Standard CostIDs'!$AK$8:$AK$12,B676)</f>
        <v>Two-pack</v>
      </c>
      <c r="T676" s="103" t="s">
        <v>867</v>
      </c>
      <c r="U676" s="103"/>
      <c r="V676" s="103"/>
      <c r="W676" s="103">
        <f>ROUND(IF(LEFT(D676,3)="Std",VLOOKUP(D676,'Measure &amp; Standard CostIDs'!$S$5:$X$177,1+B676,FALSE),VLOOKUP(D676,'Measure &amp; Standard CostIDs'!$C$5:$H$177,1+B676,FALSE)),2)</f>
        <v>3.5</v>
      </c>
      <c r="X676" s="103"/>
      <c r="Y676" s="103"/>
      <c r="Z676" s="103" t="s">
        <v>868</v>
      </c>
      <c r="AA676" s="103" t="s">
        <v>874</v>
      </c>
      <c r="AB676" s="103" t="s">
        <v>153</v>
      </c>
      <c r="AC676" s="103">
        <v>0</v>
      </c>
      <c r="AD676" s="156">
        <v>42005</v>
      </c>
      <c r="AE676" s="103"/>
      <c r="AF676" s="103" t="s">
        <v>870</v>
      </c>
      <c r="AG676" s="103" t="s">
        <v>871</v>
      </c>
      <c r="AH676" s="103" t="s">
        <v>976</v>
      </c>
      <c r="AI676" s="103">
        <v>0</v>
      </c>
      <c r="AJ676" s="103"/>
      <c r="AK676" s="103"/>
      <c r="AL676" s="103"/>
      <c r="AM676" s="103"/>
      <c r="AN676" s="103"/>
      <c r="AO676" s="103" t="str">
        <f t="shared" si="31"/>
        <v>CFLscw(20w)Two-pack</v>
      </c>
    </row>
    <row r="677" spans="1:41">
      <c r="A677" s="177">
        <f>IFERROR(MATCH(D677,'Measure &amp; Standard CostIDs'!C$5:C$177,0),MATCH(D677,'Measure &amp; Standard CostIDs'!S$5:S$177,0))</f>
        <v>13</v>
      </c>
      <c r="B677" s="177">
        <f t="shared" si="32"/>
        <v>3</v>
      </c>
      <c r="C677" s="103" t="s">
        <v>153</v>
      </c>
      <c r="D677" s="103" t="str">
        <f t="shared" si="33"/>
        <v>CFLscw(21w)</v>
      </c>
      <c r="E677" s="103" t="str">
        <f>IF(LEFT(D677,3)="Std","Base case cost for mix of 60% Incandescent and 40% CFL lamps for CFL TechID: "&amp;INDEX('Measure &amp; Standard CostIDs'!$C$5:$C$177,A677),"&lt;from TechID&gt;")</f>
        <v>&lt;from TechID&gt;</v>
      </c>
      <c r="F677" s="103" t="s">
        <v>860</v>
      </c>
      <c r="G677" s="103" t="s">
        <v>151</v>
      </c>
      <c r="H677" s="103" t="s">
        <v>861</v>
      </c>
      <c r="I677" s="103" t="s">
        <v>862</v>
      </c>
      <c r="J677" s="103" t="s">
        <v>863</v>
      </c>
      <c r="K677" s="103" t="s">
        <v>864</v>
      </c>
      <c r="L677" s="103" t="s">
        <v>153</v>
      </c>
      <c r="M677" s="103" t="s">
        <v>865</v>
      </c>
      <c r="N677" s="103" t="s">
        <v>866</v>
      </c>
      <c r="O677" s="103" t="str">
        <f t="shared" si="30"/>
        <v>CFLscw(21w)</v>
      </c>
      <c r="P677" s="103" t="s">
        <v>153</v>
      </c>
      <c r="Q677" s="103" t="s">
        <v>153</v>
      </c>
      <c r="R677" s="103" t="s">
        <v>153</v>
      </c>
      <c r="S677" s="103" t="str">
        <f>INDEX('Measure &amp; Standard CostIDs'!$AK$8:$AK$12,B677)</f>
        <v>Two-pack</v>
      </c>
      <c r="T677" s="103" t="s">
        <v>867</v>
      </c>
      <c r="U677" s="103"/>
      <c r="V677" s="103"/>
      <c r="W677" s="103">
        <f>ROUND(IF(LEFT(D677,3)="Std",VLOOKUP(D677,'Measure &amp; Standard CostIDs'!$S$5:$X$177,1+B677,FALSE),VLOOKUP(D677,'Measure &amp; Standard CostIDs'!$C$5:$H$177,1+B677,FALSE)),2)</f>
        <v>3.57</v>
      </c>
      <c r="X677" s="103"/>
      <c r="Y677" s="103"/>
      <c r="Z677" s="103" t="s">
        <v>868</v>
      </c>
      <c r="AA677" s="103" t="s">
        <v>874</v>
      </c>
      <c r="AB677" s="103" t="s">
        <v>153</v>
      </c>
      <c r="AC677" s="103">
        <v>0</v>
      </c>
      <c r="AD677" s="156">
        <v>42005</v>
      </c>
      <c r="AE677" s="103"/>
      <c r="AF677" s="103" t="s">
        <v>870</v>
      </c>
      <c r="AG677" s="103" t="s">
        <v>871</v>
      </c>
      <c r="AH677" s="103" t="s">
        <v>976</v>
      </c>
      <c r="AI677" s="103">
        <v>0</v>
      </c>
      <c r="AJ677" s="103"/>
      <c r="AK677" s="103"/>
      <c r="AL677" s="103"/>
      <c r="AM677" s="103"/>
      <c r="AN677" s="103"/>
      <c r="AO677" s="103" t="str">
        <f t="shared" si="31"/>
        <v>CFLscw(21w)Two-pack</v>
      </c>
    </row>
    <row r="678" spans="1:41">
      <c r="A678" s="177">
        <f>IFERROR(MATCH(D678,'Measure &amp; Standard CostIDs'!C$5:C$177,0),MATCH(D678,'Measure &amp; Standard CostIDs'!S$5:S$177,0))</f>
        <v>14</v>
      </c>
      <c r="B678" s="177">
        <f t="shared" si="32"/>
        <v>3</v>
      </c>
      <c r="C678" s="103" t="s">
        <v>153</v>
      </c>
      <c r="D678" s="103" t="str">
        <f t="shared" si="33"/>
        <v>CFLscw(22w)</v>
      </c>
      <c r="E678" s="103" t="str">
        <f>IF(LEFT(D678,3)="Std","Base case cost for mix of 60% Incandescent and 40% CFL lamps for CFL TechID: "&amp;INDEX('Measure &amp; Standard CostIDs'!$C$5:$C$177,A678),"&lt;from TechID&gt;")</f>
        <v>&lt;from TechID&gt;</v>
      </c>
      <c r="F678" s="103" t="s">
        <v>860</v>
      </c>
      <c r="G678" s="103" t="s">
        <v>151</v>
      </c>
      <c r="H678" s="103" t="s">
        <v>861</v>
      </c>
      <c r="I678" s="103" t="s">
        <v>862</v>
      </c>
      <c r="J678" s="103" t="s">
        <v>863</v>
      </c>
      <c r="K678" s="103" t="s">
        <v>864</v>
      </c>
      <c r="L678" s="103" t="s">
        <v>153</v>
      </c>
      <c r="M678" s="103" t="s">
        <v>865</v>
      </c>
      <c r="N678" s="103" t="s">
        <v>866</v>
      </c>
      <c r="O678" s="103" t="str">
        <f t="shared" si="30"/>
        <v>CFLscw(22w)</v>
      </c>
      <c r="P678" s="103" t="s">
        <v>153</v>
      </c>
      <c r="Q678" s="103" t="s">
        <v>153</v>
      </c>
      <c r="R678" s="103" t="s">
        <v>153</v>
      </c>
      <c r="S678" s="103" t="str">
        <f>INDEX('Measure &amp; Standard CostIDs'!$AK$8:$AK$12,B678)</f>
        <v>Two-pack</v>
      </c>
      <c r="T678" s="103" t="s">
        <v>867</v>
      </c>
      <c r="U678" s="103"/>
      <c r="V678" s="103"/>
      <c r="W678" s="103">
        <f>ROUND(IF(LEFT(D678,3)="Std",VLOOKUP(D678,'Measure &amp; Standard CostIDs'!$S$5:$X$177,1+B678,FALSE),VLOOKUP(D678,'Measure &amp; Standard CostIDs'!$C$5:$H$177,1+B678,FALSE)),2)</f>
        <v>3.63</v>
      </c>
      <c r="X678" s="103"/>
      <c r="Y678" s="103"/>
      <c r="Z678" s="103" t="s">
        <v>868</v>
      </c>
      <c r="AA678" s="103" t="s">
        <v>874</v>
      </c>
      <c r="AB678" s="103" t="s">
        <v>153</v>
      </c>
      <c r="AC678" s="103">
        <v>0</v>
      </c>
      <c r="AD678" s="156">
        <v>42005</v>
      </c>
      <c r="AE678" s="103"/>
      <c r="AF678" s="103" t="s">
        <v>870</v>
      </c>
      <c r="AG678" s="103" t="s">
        <v>871</v>
      </c>
      <c r="AH678" s="103" t="s">
        <v>976</v>
      </c>
      <c r="AI678" s="103">
        <v>0</v>
      </c>
      <c r="AJ678" s="103"/>
      <c r="AK678" s="103"/>
      <c r="AL678" s="103"/>
      <c r="AM678" s="103"/>
      <c r="AN678" s="103"/>
      <c r="AO678" s="103" t="str">
        <f t="shared" si="31"/>
        <v>CFLscw(22w)Two-pack</v>
      </c>
    </row>
    <row r="679" spans="1:41">
      <c r="A679" s="177">
        <f>IFERROR(MATCH(D679,'Measure &amp; Standard CostIDs'!C$5:C$177,0),MATCH(D679,'Measure &amp; Standard CostIDs'!S$5:S$177,0))</f>
        <v>15</v>
      </c>
      <c r="B679" s="177">
        <f t="shared" si="32"/>
        <v>3</v>
      </c>
      <c r="C679" s="103" t="s">
        <v>153</v>
      </c>
      <c r="D679" s="103" t="str">
        <f t="shared" si="33"/>
        <v>CFLscw(23w)</v>
      </c>
      <c r="E679" s="103" t="str">
        <f>IF(LEFT(D679,3)="Std","Base case cost for mix of 60% Incandescent and 40% CFL lamps for CFL TechID: "&amp;INDEX('Measure &amp; Standard CostIDs'!$C$5:$C$177,A679),"&lt;from TechID&gt;")</f>
        <v>&lt;from TechID&gt;</v>
      </c>
      <c r="F679" s="103" t="s">
        <v>860</v>
      </c>
      <c r="G679" s="103" t="s">
        <v>151</v>
      </c>
      <c r="H679" s="103" t="s">
        <v>861</v>
      </c>
      <c r="I679" s="103" t="s">
        <v>862</v>
      </c>
      <c r="J679" s="103" t="s">
        <v>863</v>
      </c>
      <c r="K679" s="103" t="s">
        <v>864</v>
      </c>
      <c r="L679" s="103" t="s">
        <v>153</v>
      </c>
      <c r="M679" s="103" t="s">
        <v>865</v>
      </c>
      <c r="N679" s="103" t="s">
        <v>866</v>
      </c>
      <c r="O679" s="103" t="str">
        <f t="shared" si="30"/>
        <v>CFLscw(23w)</v>
      </c>
      <c r="P679" s="103" t="s">
        <v>153</v>
      </c>
      <c r="Q679" s="103" t="s">
        <v>153</v>
      </c>
      <c r="R679" s="103" t="s">
        <v>153</v>
      </c>
      <c r="S679" s="103" t="str">
        <f>INDEX('Measure &amp; Standard CostIDs'!$AK$8:$AK$12,B679)</f>
        <v>Two-pack</v>
      </c>
      <c r="T679" s="103" t="s">
        <v>867</v>
      </c>
      <c r="U679" s="103"/>
      <c r="V679" s="103"/>
      <c r="W679" s="103">
        <f>ROUND(IF(LEFT(D679,3)="Std",VLOOKUP(D679,'Measure &amp; Standard CostIDs'!$S$5:$X$177,1+B679,FALSE),VLOOKUP(D679,'Measure &amp; Standard CostIDs'!$C$5:$H$177,1+B679,FALSE)),2)</f>
        <v>3.7</v>
      </c>
      <c r="X679" s="103"/>
      <c r="Y679" s="103"/>
      <c r="Z679" s="103" t="s">
        <v>868</v>
      </c>
      <c r="AA679" s="103" t="s">
        <v>874</v>
      </c>
      <c r="AB679" s="103" t="s">
        <v>153</v>
      </c>
      <c r="AC679" s="103">
        <v>0</v>
      </c>
      <c r="AD679" s="156">
        <v>42005</v>
      </c>
      <c r="AE679" s="103"/>
      <c r="AF679" s="103" t="s">
        <v>870</v>
      </c>
      <c r="AG679" s="103" t="s">
        <v>871</v>
      </c>
      <c r="AH679" s="103" t="s">
        <v>976</v>
      </c>
      <c r="AI679" s="103">
        <v>0</v>
      </c>
      <c r="AJ679" s="103"/>
      <c r="AK679" s="103"/>
      <c r="AL679" s="103"/>
      <c r="AM679" s="103"/>
      <c r="AN679" s="103"/>
      <c r="AO679" s="103" t="str">
        <f t="shared" si="31"/>
        <v>CFLscw(23w)Two-pack</v>
      </c>
    </row>
    <row r="680" spans="1:41">
      <c r="A680" s="177">
        <f>IFERROR(MATCH(D680,'Measure &amp; Standard CostIDs'!C$5:C$177,0),MATCH(D680,'Measure &amp; Standard CostIDs'!S$5:S$177,0))</f>
        <v>16</v>
      </c>
      <c r="B680" s="177">
        <f t="shared" si="32"/>
        <v>3</v>
      </c>
      <c r="C680" s="103" t="s">
        <v>153</v>
      </c>
      <c r="D680" s="103" t="str">
        <f t="shared" si="33"/>
        <v>CFLscw(24w)</v>
      </c>
      <c r="E680" s="103" t="str">
        <f>IF(LEFT(D680,3)="Std","Base case cost for mix of 60% Incandescent and 40% CFL lamps for CFL TechID: "&amp;INDEX('Measure &amp; Standard CostIDs'!$C$5:$C$177,A680),"&lt;from TechID&gt;")</f>
        <v>&lt;from TechID&gt;</v>
      </c>
      <c r="F680" s="103" t="s">
        <v>860</v>
      </c>
      <c r="G680" s="103" t="s">
        <v>151</v>
      </c>
      <c r="H680" s="103" t="s">
        <v>861</v>
      </c>
      <c r="I680" s="103" t="s">
        <v>862</v>
      </c>
      <c r="J680" s="103" t="s">
        <v>863</v>
      </c>
      <c r="K680" s="103" t="s">
        <v>864</v>
      </c>
      <c r="L680" s="103" t="s">
        <v>153</v>
      </c>
      <c r="M680" s="103" t="s">
        <v>865</v>
      </c>
      <c r="N680" s="103" t="s">
        <v>866</v>
      </c>
      <c r="O680" s="103" t="str">
        <f t="shared" si="30"/>
        <v>CFLscw(24w)</v>
      </c>
      <c r="P680" s="103" t="s">
        <v>153</v>
      </c>
      <c r="Q680" s="103" t="s">
        <v>153</v>
      </c>
      <c r="R680" s="103" t="s">
        <v>153</v>
      </c>
      <c r="S680" s="103" t="str">
        <f>INDEX('Measure &amp; Standard CostIDs'!$AK$8:$AK$12,B680)</f>
        <v>Two-pack</v>
      </c>
      <c r="T680" s="103" t="s">
        <v>867</v>
      </c>
      <c r="U680" s="103"/>
      <c r="V680" s="103"/>
      <c r="W680" s="103">
        <f>ROUND(IF(LEFT(D680,3)="Std",VLOOKUP(D680,'Measure &amp; Standard CostIDs'!$S$5:$X$177,1+B680,FALSE),VLOOKUP(D680,'Measure &amp; Standard CostIDs'!$C$5:$H$177,1+B680,FALSE)),2)</f>
        <v>3.77</v>
      </c>
      <c r="X680" s="103"/>
      <c r="Y680" s="103"/>
      <c r="Z680" s="103" t="s">
        <v>868</v>
      </c>
      <c r="AA680" s="103" t="s">
        <v>874</v>
      </c>
      <c r="AB680" s="103" t="s">
        <v>153</v>
      </c>
      <c r="AC680" s="103">
        <v>0</v>
      </c>
      <c r="AD680" s="156">
        <v>42005</v>
      </c>
      <c r="AE680" s="103"/>
      <c r="AF680" s="103" t="s">
        <v>870</v>
      </c>
      <c r="AG680" s="103" t="s">
        <v>871</v>
      </c>
      <c r="AH680" s="103" t="s">
        <v>976</v>
      </c>
      <c r="AI680" s="103">
        <v>0</v>
      </c>
      <c r="AJ680" s="103"/>
      <c r="AK680" s="103"/>
      <c r="AL680" s="103"/>
      <c r="AM680" s="103"/>
      <c r="AN680" s="103"/>
      <c r="AO680" s="103" t="str">
        <f t="shared" si="31"/>
        <v>CFLscw(24w)Two-pack</v>
      </c>
    </row>
    <row r="681" spans="1:41">
      <c r="A681" s="177">
        <f>IFERROR(MATCH(D681,'Measure &amp; Standard CostIDs'!C$5:C$177,0),MATCH(D681,'Measure &amp; Standard CostIDs'!S$5:S$177,0))</f>
        <v>17</v>
      </c>
      <c r="B681" s="177">
        <f t="shared" si="32"/>
        <v>3</v>
      </c>
      <c r="C681" s="103" t="s">
        <v>153</v>
      </c>
      <c r="D681" s="103" t="str">
        <f t="shared" si="33"/>
        <v>CFLscw(25w)</v>
      </c>
      <c r="E681" s="103" t="str">
        <f>IF(LEFT(D681,3)="Std","Base case cost for mix of 60% Incandescent and 40% CFL lamps for CFL TechID: "&amp;INDEX('Measure &amp; Standard CostIDs'!$C$5:$C$177,A681),"&lt;from TechID&gt;")</f>
        <v>&lt;from TechID&gt;</v>
      </c>
      <c r="F681" s="103" t="s">
        <v>860</v>
      </c>
      <c r="G681" s="103" t="s">
        <v>151</v>
      </c>
      <c r="H681" s="103" t="s">
        <v>861</v>
      </c>
      <c r="I681" s="103" t="s">
        <v>862</v>
      </c>
      <c r="J681" s="103" t="s">
        <v>863</v>
      </c>
      <c r="K681" s="103" t="s">
        <v>864</v>
      </c>
      <c r="L681" s="103" t="s">
        <v>153</v>
      </c>
      <c r="M681" s="103" t="s">
        <v>865</v>
      </c>
      <c r="N681" s="103" t="s">
        <v>866</v>
      </c>
      <c r="O681" s="103" t="str">
        <f t="shared" si="30"/>
        <v>CFLscw(25w)</v>
      </c>
      <c r="P681" s="103" t="s">
        <v>153</v>
      </c>
      <c r="Q681" s="103" t="s">
        <v>153</v>
      </c>
      <c r="R681" s="103" t="s">
        <v>153</v>
      </c>
      <c r="S681" s="103" t="str">
        <f>INDEX('Measure &amp; Standard CostIDs'!$AK$8:$AK$12,B681)</f>
        <v>Two-pack</v>
      </c>
      <c r="T681" s="103" t="s">
        <v>867</v>
      </c>
      <c r="U681" s="103"/>
      <c r="V681" s="103"/>
      <c r="W681" s="103">
        <f>ROUND(IF(LEFT(D681,3)="Std",VLOOKUP(D681,'Measure &amp; Standard CostIDs'!$S$5:$X$177,1+B681,FALSE),VLOOKUP(D681,'Measure &amp; Standard CostIDs'!$C$5:$H$177,1+B681,FALSE)),2)</f>
        <v>3.83</v>
      </c>
      <c r="X681" s="103"/>
      <c r="Y681" s="103"/>
      <c r="Z681" s="103" t="s">
        <v>868</v>
      </c>
      <c r="AA681" s="103" t="s">
        <v>874</v>
      </c>
      <c r="AB681" s="103" t="s">
        <v>153</v>
      </c>
      <c r="AC681" s="103">
        <v>0</v>
      </c>
      <c r="AD681" s="156">
        <v>42005</v>
      </c>
      <c r="AE681" s="103"/>
      <c r="AF681" s="103" t="s">
        <v>870</v>
      </c>
      <c r="AG681" s="103" t="s">
        <v>871</v>
      </c>
      <c r="AH681" s="103" t="s">
        <v>976</v>
      </c>
      <c r="AI681" s="103">
        <v>0</v>
      </c>
      <c r="AJ681" s="103"/>
      <c r="AK681" s="103"/>
      <c r="AL681" s="103"/>
      <c r="AM681" s="103"/>
      <c r="AN681" s="103"/>
      <c r="AO681" s="103" t="str">
        <f t="shared" si="31"/>
        <v>CFLscw(25w)Two-pack</v>
      </c>
    </row>
    <row r="682" spans="1:41">
      <c r="A682" s="177">
        <f>IFERROR(MATCH(D682,'Measure &amp; Standard CostIDs'!C$5:C$177,0),MATCH(D682,'Measure &amp; Standard CostIDs'!S$5:S$177,0))</f>
        <v>18</v>
      </c>
      <c r="B682" s="177">
        <f t="shared" si="32"/>
        <v>3</v>
      </c>
      <c r="C682" s="103" t="s">
        <v>153</v>
      </c>
      <c r="D682" s="103" t="str">
        <f t="shared" si="33"/>
        <v>CFLscw(26w)</v>
      </c>
      <c r="E682" s="103" t="str">
        <f>IF(LEFT(D682,3)="Std","Base case cost for mix of 60% Incandescent and 40% CFL lamps for CFL TechID: "&amp;INDEX('Measure &amp; Standard CostIDs'!$C$5:$C$177,A682),"&lt;from TechID&gt;")</f>
        <v>&lt;from TechID&gt;</v>
      </c>
      <c r="F682" s="103" t="s">
        <v>860</v>
      </c>
      <c r="G682" s="103" t="s">
        <v>151</v>
      </c>
      <c r="H682" s="103" t="s">
        <v>861</v>
      </c>
      <c r="I682" s="103" t="s">
        <v>862</v>
      </c>
      <c r="J682" s="103" t="s">
        <v>863</v>
      </c>
      <c r="K682" s="103" t="s">
        <v>864</v>
      </c>
      <c r="L682" s="103" t="s">
        <v>153</v>
      </c>
      <c r="M682" s="103" t="s">
        <v>865</v>
      </c>
      <c r="N682" s="103" t="s">
        <v>866</v>
      </c>
      <c r="O682" s="103" t="str">
        <f t="shared" si="30"/>
        <v>CFLscw(26w)</v>
      </c>
      <c r="P682" s="103" t="s">
        <v>153</v>
      </c>
      <c r="Q682" s="103" t="s">
        <v>153</v>
      </c>
      <c r="R682" s="103" t="s">
        <v>153</v>
      </c>
      <c r="S682" s="103" t="str">
        <f>INDEX('Measure &amp; Standard CostIDs'!$AK$8:$AK$12,B682)</f>
        <v>Two-pack</v>
      </c>
      <c r="T682" s="103" t="s">
        <v>867</v>
      </c>
      <c r="U682" s="103"/>
      <c r="V682" s="103"/>
      <c r="W682" s="103">
        <f>ROUND(IF(LEFT(D682,3)="Std",VLOOKUP(D682,'Measure &amp; Standard CostIDs'!$S$5:$X$177,1+B682,FALSE),VLOOKUP(D682,'Measure &amp; Standard CostIDs'!$C$5:$H$177,1+B682,FALSE)),2)</f>
        <v>3.99</v>
      </c>
      <c r="X682" s="103"/>
      <c r="Y682" s="103"/>
      <c r="Z682" s="103" t="s">
        <v>868</v>
      </c>
      <c r="AA682" s="103" t="s">
        <v>874</v>
      </c>
      <c r="AB682" s="103" t="s">
        <v>153</v>
      </c>
      <c r="AC682" s="103">
        <v>0</v>
      </c>
      <c r="AD682" s="156">
        <v>42005</v>
      </c>
      <c r="AE682" s="103"/>
      <c r="AF682" s="103" t="s">
        <v>870</v>
      </c>
      <c r="AG682" s="103" t="s">
        <v>871</v>
      </c>
      <c r="AH682" s="103" t="s">
        <v>976</v>
      </c>
      <c r="AI682" s="103">
        <v>0</v>
      </c>
      <c r="AJ682" s="103"/>
      <c r="AK682" s="103"/>
      <c r="AL682" s="103"/>
      <c r="AM682" s="103"/>
      <c r="AN682" s="103"/>
      <c r="AO682" s="103" t="str">
        <f t="shared" si="31"/>
        <v>CFLscw(26w)Two-pack</v>
      </c>
    </row>
    <row r="683" spans="1:41">
      <c r="A683" s="177">
        <f>IFERROR(MATCH(D683,'Measure &amp; Standard CostIDs'!C$5:C$177,0),MATCH(D683,'Measure &amp; Standard CostIDs'!S$5:S$177,0))</f>
        <v>19</v>
      </c>
      <c r="B683" s="177">
        <f t="shared" si="32"/>
        <v>3</v>
      </c>
      <c r="C683" s="103" t="s">
        <v>153</v>
      </c>
      <c r="D683" s="103" t="str">
        <f t="shared" si="33"/>
        <v>CFLscw(27w)</v>
      </c>
      <c r="E683" s="103" t="str">
        <f>IF(LEFT(D683,3)="Std","Base case cost for mix of 60% Incandescent and 40% CFL lamps for CFL TechID: "&amp;INDEX('Measure &amp; Standard CostIDs'!$C$5:$C$177,A683),"&lt;from TechID&gt;")</f>
        <v>&lt;from TechID&gt;</v>
      </c>
      <c r="F683" s="103" t="s">
        <v>860</v>
      </c>
      <c r="G683" s="103" t="s">
        <v>151</v>
      </c>
      <c r="H683" s="103" t="s">
        <v>861</v>
      </c>
      <c r="I683" s="103" t="s">
        <v>862</v>
      </c>
      <c r="J683" s="103" t="s">
        <v>863</v>
      </c>
      <c r="K683" s="103" t="s">
        <v>864</v>
      </c>
      <c r="L683" s="103" t="s">
        <v>153</v>
      </c>
      <c r="M683" s="103" t="s">
        <v>865</v>
      </c>
      <c r="N683" s="103" t="s">
        <v>866</v>
      </c>
      <c r="O683" s="103" t="str">
        <f t="shared" si="30"/>
        <v>CFLscw(27w)</v>
      </c>
      <c r="P683" s="103" t="s">
        <v>153</v>
      </c>
      <c r="Q683" s="103" t="s">
        <v>153</v>
      </c>
      <c r="R683" s="103" t="s">
        <v>153</v>
      </c>
      <c r="S683" s="103" t="str">
        <f>INDEX('Measure &amp; Standard CostIDs'!$AK$8:$AK$12,B683)</f>
        <v>Two-pack</v>
      </c>
      <c r="T683" s="103" t="s">
        <v>867</v>
      </c>
      <c r="U683" s="103"/>
      <c r="V683" s="103"/>
      <c r="W683" s="103">
        <f>ROUND(IF(LEFT(D683,3)="Std",VLOOKUP(D683,'Measure &amp; Standard CostIDs'!$S$5:$X$177,1+B683,FALSE),VLOOKUP(D683,'Measure &amp; Standard CostIDs'!$C$5:$H$177,1+B683,FALSE)),2)</f>
        <v>4.1500000000000004</v>
      </c>
      <c r="X683" s="103"/>
      <c r="Y683" s="103"/>
      <c r="Z683" s="103" t="s">
        <v>868</v>
      </c>
      <c r="AA683" s="103" t="s">
        <v>874</v>
      </c>
      <c r="AB683" s="103" t="s">
        <v>153</v>
      </c>
      <c r="AC683" s="103">
        <v>0</v>
      </c>
      <c r="AD683" s="156">
        <v>42005</v>
      </c>
      <c r="AE683" s="103"/>
      <c r="AF683" s="103" t="s">
        <v>870</v>
      </c>
      <c r="AG683" s="103" t="s">
        <v>871</v>
      </c>
      <c r="AH683" s="103" t="s">
        <v>976</v>
      </c>
      <c r="AI683" s="103">
        <v>0</v>
      </c>
      <c r="AJ683" s="103"/>
      <c r="AK683" s="103"/>
      <c r="AL683" s="103"/>
      <c r="AM683" s="103"/>
      <c r="AN683" s="103"/>
      <c r="AO683" s="103" t="str">
        <f t="shared" si="31"/>
        <v>CFLscw(27w)Two-pack</v>
      </c>
    </row>
    <row r="684" spans="1:41">
      <c r="A684" s="177">
        <f>IFERROR(MATCH(D684,'Measure &amp; Standard CostIDs'!C$5:C$177,0),MATCH(D684,'Measure &amp; Standard CostIDs'!S$5:S$177,0))</f>
        <v>20</v>
      </c>
      <c r="B684" s="177">
        <f t="shared" si="32"/>
        <v>3</v>
      </c>
      <c r="C684" s="103" t="s">
        <v>153</v>
      </c>
      <c r="D684" s="103" t="str">
        <f t="shared" si="33"/>
        <v>CFLscw(28w)</v>
      </c>
      <c r="E684" s="103" t="str">
        <f>IF(LEFT(D684,3)="Std","Base case cost for mix of 60% Incandescent and 40% CFL lamps for CFL TechID: "&amp;INDEX('Measure &amp; Standard CostIDs'!$C$5:$C$177,A684),"&lt;from TechID&gt;")</f>
        <v>&lt;from TechID&gt;</v>
      </c>
      <c r="F684" s="103" t="s">
        <v>860</v>
      </c>
      <c r="G684" s="103" t="s">
        <v>151</v>
      </c>
      <c r="H684" s="103" t="s">
        <v>861</v>
      </c>
      <c r="I684" s="103" t="s">
        <v>862</v>
      </c>
      <c r="J684" s="103" t="s">
        <v>863</v>
      </c>
      <c r="K684" s="103" t="s">
        <v>864</v>
      </c>
      <c r="L684" s="103" t="s">
        <v>153</v>
      </c>
      <c r="M684" s="103" t="s">
        <v>865</v>
      </c>
      <c r="N684" s="103" t="s">
        <v>866</v>
      </c>
      <c r="O684" s="103" t="str">
        <f t="shared" si="30"/>
        <v>CFLscw(28w)</v>
      </c>
      <c r="P684" s="103" t="s">
        <v>153</v>
      </c>
      <c r="Q684" s="103" t="s">
        <v>153</v>
      </c>
      <c r="R684" s="103" t="s">
        <v>153</v>
      </c>
      <c r="S684" s="103" t="str">
        <f>INDEX('Measure &amp; Standard CostIDs'!$AK$8:$AK$12,B684)</f>
        <v>Two-pack</v>
      </c>
      <c r="T684" s="103" t="s">
        <v>867</v>
      </c>
      <c r="U684" s="103"/>
      <c r="V684" s="103"/>
      <c r="W684" s="103">
        <f>ROUND(IF(LEFT(D684,3)="Std",VLOOKUP(D684,'Measure &amp; Standard CostIDs'!$S$5:$X$177,1+B684,FALSE),VLOOKUP(D684,'Measure &amp; Standard CostIDs'!$C$5:$H$177,1+B684,FALSE)),2)</f>
        <v>4.3099999999999996</v>
      </c>
      <c r="X684" s="103"/>
      <c r="Y684" s="103"/>
      <c r="Z684" s="103" t="s">
        <v>868</v>
      </c>
      <c r="AA684" s="103" t="s">
        <v>874</v>
      </c>
      <c r="AB684" s="103" t="s">
        <v>153</v>
      </c>
      <c r="AC684" s="103">
        <v>0</v>
      </c>
      <c r="AD684" s="156">
        <v>42005</v>
      </c>
      <c r="AE684" s="103"/>
      <c r="AF684" s="103" t="s">
        <v>870</v>
      </c>
      <c r="AG684" s="103" t="s">
        <v>871</v>
      </c>
      <c r="AH684" s="103" t="s">
        <v>976</v>
      </c>
      <c r="AI684" s="103">
        <v>0</v>
      </c>
      <c r="AJ684" s="103"/>
      <c r="AK684" s="103"/>
      <c r="AL684" s="103"/>
      <c r="AM684" s="103"/>
      <c r="AN684" s="103"/>
      <c r="AO684" s="103" t="str">
        <f t="shared" si="31"/>
        <v>CFLscw(28w)Two-pack</v>
      </c>
    </row>
    <row r="685" spans="1:41">
      <c r="A685" s="177">
        <f>IFERROR(MATCH(D685,'Measure &amp; Standard CostIDs'!C$5:C$177,0),MATCH(D685,'Measure &amp; Standard CostIDs'!S$5:S$177,0))</f>
        <v>21</v>
      </c>
      <c r="B685" s="177">
        <f t="shared" si="32"/>
        <v>3</v>
      </c>
      <c r="C685" s="103" t="s">
        <v>153</v>
      </c>
      <c r="D685" s="103" t="str">
        <f t="shared" si="33"/>
        <v>CFLscw(29w)</v>
      </c>
      <c r="E685" s="103" t="str">
        <f>IF(LEFT(D685,3)="Std","Base case cost for mix of 60% Incandescent and 40% CFL lamps for CFL TechID: "&amp;INDEX('Measure &amp; Standard CostIDs'!$C$5:$C$177,A685),"&lt;from TechID&gt;")</f>
        <v>&lt;from TechID&gt;</v>
      </c>
      <c r="F685" s="103" t="s">
        <v>860</v>
      </c>
      <c r="G685" s="103" t="s">
        <v>151</v>
      </c>
      <c r="H685" s="103" t="s">
        <v>861</v>
      </c>
      <c r="I685" s="103" t="s">
        <v>862</v>
      </c>
      <c r="J685" s="103" t="s">
        <v>863</v>
      </c>
      <c r="K685" s="103" t="s">
        <v>864</v>
      </c>
      <c r="L685" s="103" t="s">
        <v>153</v>
      </c>
      <c r="M685" s="103" t="s">
        <v>865</v>
      </c>
      <c r="N685" s="103" t="s">
        <v>866</v>
      </c>
      <c r="O685" s="103" t="str">
        <f t="shared" si="30"/>
        <v>CFLscw(29w)</v>
      </c>
      <c r="P685" s="103" t="s">
        <v>153</v>
      </c>
      <c r="Q685" s="103" t="s">
        <v>153</v>
      </c>
      <c r="R685" s="103" t="s">
        <v>153</v>
      </c>
      <c r="S685" s="103" t="str">
        <f>INDEX('Measure &amp; Standard CostIDs'!$AK$8:$AK$12,B685)</f>
        <v>Two-pack</v>
      </c>
      <c r="T685" s="103" t="s">
        <v>867</v>
      </c>
      <c r="U685" s="103"/>
      <c r="V685" s="103"/>
      <c r="W685" s="103">
        <f>ROUND(IF(LEFT(D685,3)="Std",VLOOKUP(D685,'Measure &amp; Standard CostIDs'!$S$5:$X$177,1+B685,FALSE),VLOOKUP(D685,'Measure &amp; Standard CostIDs'!$C$5:$H$177,1+B685,FALSE)),2)</f>
        <v>4.47</v>
      </c>
      <c r="X685" s="103"/>
      <c r="Y685" s="103"/>
      <c r="Z685" s="103" t="s">
        <v>868</v>
      </c>
      <c r="AA685" s="103" t="s">
        <v>874</v>
      </c>
      <c r="AB685" s="103" t="s">
        <v>153</v>
      </c>
      <c r="AC685" s="103">
        <v>0</v>
      </c>
      <c r="AD685" s="156">
        <v>42005</v>
      </c>
      <c r="AE685" s="103"/>
      <c r="AF685" s="103" t="s">
        <v>870</v>
      </c>
      <c r="AG685" s="103" t="s">
        <v>871</v>
      </c>
      <c r="AH685" s="103" t="s">
        <v>976</v>
      </c>
      <c r="AI685" s="103">
        <v>0</v>
      </c>
      <c r="AJ685" s="103"/>
      <c r="AK685" s="103"/>
      <c r="AL685" s="103"/>
      <c r="AM685" s="103"/>
      <c r="AN685" s="103"/>
      <c r="AO685" s="103" t="str">
        <f t="shared" si="31"/>
        <v>CFLscw(29w)Two-pack</v>
      </c>
    </row>
    <row r="686" spans="1:41">
      <c r="A686" s="177">
        <f>IFERROR(MATCH(D686,'Measure &amp; Standard CostIDs'!C$5:C$177,0),MATCH(D686,'Measure &amp; Standard CostIDs'!S$5:S$177,0))</f>
        <v>22</v>
      </c>
      <c r="B686" s="177">
        <f t="shared" si="32"/>
        <v>3</v>
      </c>
      <c r="C686" s="103" t="s">
        <v>153</v>
      </c>
      <c r="D686" s="103" t="str">
        <f t="shared" si="33"/>
        <v>CFLscw(30w)</v>
      </c>
      <c r="E686" s="103" t="str">
        <f>IF(LEFT(D686,3)="Std","Base case cost for mix of 60% Incandescent and 40% CFL lamps for CFL TechID: "&amp;INDEX('Measure &amp; Standard CostIDs'!$C$5:$C$177,A686),"&lt;from TechID&gt;")</f>
        <v>&lt;from TechID&gt;</v>
      </c>
      <c r="F686" s="103" t="s">
        <v>860</v>
      </c>
      <c r="G686" s="103" t="s">
        <v>151</v>
      </c>
      <c r="H686" s="103" t="s">
        <v>861</v>
      </c>
      <c r="I686" s="103" t="s">
        <v>862</v>
      </c>
      <c r="J686" s="103" t="s">
        <v>863</v>
      </c>
      <c r="K686" s="103" t="s">
        <v>864</v>
      </c>
      <c r="L686" s="103" t="s">
        <v>153</v>
      </c>
      <c r="M686" s="103" t="s">
        <v>865</v>
      </c>
      <c r="N686" s="103" t="s">
        <v>866</v>
      </c>
      <c r="O686" s="103" t="str">
        <f t="shared" si="30"/>
        <v>CFLscw(30w)</v>
      </c>
      <c r="P686" s="103" t="s">
        <v>153</v>
      </c>
      <c r="Q686" s="103" t="s">
        <v>153</v>
      </c>
      <c r="R686" s="103" t="s">
        <v>153</v>
      </c>
      <c r="S686" s="103" t="str">
        <f>INDEX('Measure &amp; Standard CostIDs'!$AK$8:$AK$12,B686)</f>
        <v>Two-pack</v>
      </c>
      <c r="T686" s="103" t="s">
        <v>867</v>
      </c>
      <c r="U686" s="103"/>
      <c r="V686" s="103"/>
      <c r="W686" s="103">
        <f>ROUND(IF(LEFT(D686,3)="Std",VLOOKUP(D686,'Measure &amp; Standard CostIDs'!$S$5:$X$177,1+B686,FALSE),VLOOKUP(D686,'Measure &amp; Standard CostIDs'!$C$5:$H$177,1+B686,FALSE)),2)</f>
        <v>4.63</v>
      </c>
      <c r="X686" s="103"/>
      <c r="Y686" s="103"/>
      <c r="Z686" s="103" t="s">
        <v>868</v>
      </c>
      <c r="AA686" s="103" t="s">
        <v>874</v>
      </c>
      <c r="AB686" s="103" t="s">
        <v>153</v>
      </c>
      <c r="AC686" s="103">
        <v>0</v>
      </c>
      <c r="AD686" s="156">
        <v>42005</v>
      </c>
      <c r="AE686" s="103"/>
      <c r="AF686" s="103" t="s">
        <v>870</v>
      </c>
      <c r="AG686" s="103" t="s">
        <v>871</v>
      </c>
      <c r="AH686" s="103" t="s">
        <v>976</v>
      </c>
      <c r="AI686" s="103">
        <v>0</v>
      </c>
      <c r="AJ686" s="103"/>
      <c r="AK686" s="103"/>
      <c r="AL686" s="103"/>
      <c r="AM686" s="103"/>
      <c r="AN686" s="103"/>
      <c r="AO686" s="103" t="str">
        <f t="shared" si="31"/>
        <v>CFLscw(30w)Two-pack</v>
      </c>
    </row>
    <row r="687" spans="1:41">
      <c r="A687" s="177">
        <f>IFERROR(MATCH(D687,'Measure &amp; Standard CostIDs'!C$5:C$177,0),MATCH(D687,'Measure &amp; Standard CostIDs'!S$5:S$177,0))</f>
        <v>23</v>
      </c>
      <c r="B687" s="177">
        <f t="shared" si="32"/>
        <v>3</v>
      </c>
      <c r="C687" s="103" t="s">
        <v>153</v>
      </c>
      <c r="D687" s="103" t="str">
        <f t="shared" si="33"/>
        <v>CFLscw(31w)</v>
      </c>
      <c r="E687" s="103" t="str">
        <f>IF(LEFT(D687,3)="Std","Base case cost for mix of 60% Incandescent and 40% CFL lamps for CFL TechID: "&amp;INDEX('Measure &amp; Standard CostIDs'!$C$5:$C$177,A687),"&lt;from TechID&gt;")</f>
        <v>&lt;from TechID&gt;</v>
      </c>
      <c r="F687" s="103" t="s">
        <v>860</v>
      </c>
      <c r="G687" s="103" t="s">
        <v>151</v>
      </c>
      <c r="H687" s="103" t="s">
        <v>861</v>
      </c>
      <c r="I687" s="103" t="s">
        <v>862</v>
      </c>
      <c r="J687" s="103" t="s">
        <v>863</v>
      </c>
      <c r="K687" s="103" t="s">
        <v>864</v>
      </c>
      <c r="L687" s="103" t="s">
        <v>153</v>
      </c>
      <c r="M687" s="103" t="s">
        <v>865</v>
      </c>
      <c r="N687" s="103" t="s">
        <v>866</v>
      </c>
      <c r="O687" s="103" t="str">
        <f t="shared" si="30"/>
        <v>CFLscw(31w)</v>
      </c>
      <c r="P687" s="103" t="s">
        <v>153</v>
      </c>
      <c r="Q687" s="103" t="s">
        <v>153</v>
      </c>
      <c r="R687" s="103" t="s">
        <v>153</v>
      </c>
      <c r="S687" s="103" t="str">
        <f>INDEX('Measure &amp; Standard CostIDs'!$AK$8:$AK$12,B687)</f>
        <v>Two-pack</v>
      </c>
      <c r="T687" s="103" t="s">
        <v>867</v>
      </c>
      <c r="U687" s="103"/>
      <c r="V687" s="103"/>
      <c r="W687" s="103">
        <f>ROUND(IF(LEFT(D687,3)="Std",VLOOKUP(D687,'Measure &amp; Standard CostIDs'!$S$5:$X$177,1+B687,FALSE),VLOOKUP(D687,'Measure &amp; Standard CostIDs'!$C$5:$H$177,1+B687,FALSE)),2)</f>
        <v>4.79</v>
      </c>
      <c r="X687" s="103"/>
      <c r="Y687" s="103"/>
      <c r="Z687" s="103" t="s">
        <v>868</v>
      </c>
      <c r="AA687" s="103" t="s">
        <v>874</v>
      </c>
      <c r="AB687" s="103" t="s">
        <v>153</v>
      </c>
      <c r="AC687" s="103">
        <v>0</v>
      </c>
      <c r="AD687" s="156">
        <v>42005</v>
      </c>
      <c r="AE687" s="103"/>
      <c r="AF687" s="103" t="s">
        <v>870</v>
      </c>
      <c r="AG687" s="103" t="s">
        <v>871</v>
      </c>
      <c r="AH687" s="103" t="s">
        <v>976</v>
      </c>
      <c r="AI687" s="103">
        <v>0</v>
      </c>
      <c r="AJ687" s="103"/>
      <c r="AK687" s="103"/>
      <c r="AL687" s="103"/>
      <c r="AM687" s="103"/>
      <c r="AN687" s="103"/>
      <c r="AO687" s="103" t="str">
        <f t="shared" si="31"/>
        <v>CFLscw(31w)Two-pack</v>
      </c>
    </row>
    <row r="688" spans="1:41">
      <c r="A688" s="177">
        <f>IFERROR(MATCH(D688,'Measure &amp; Standard CostIDs'!C$5:C$177,0),MATCH(D688,'Measure &amp; Standard CostIDs'!S$5:S$177,0))</f>
        <v>24</v>
      </c>
      <c r="B688" s="177">
        <f t="shared" si="32"/>
        <v>3</v>
      </c>
      <c r="C688" s="103" t="s">
        <v>153</v>
      </c>
      <c r="D688" s="103" t="str">
        <f t="shared" si="33"/>
        <v>CFLscw(32w)</v>
      </c>
      <c r="E688" s="103" t="str">
        <f>IF(LEFT(D688,3)="Std","Base case cost for mix of 60% Incandescent and 40% CFL lamps for CFL TechID: "&amp;INDEX('Measure &amp; Standard CostIDs'!$C$5:$C$177,A688),"&lt;from TechID&gt;")</f>
        <v>&lt;from TechID&gt;</v>
      </c>
      <c r="F688" s="103" t="s">
        <v>860</v>
      </c>
      <c r="G688" s="103" t="s">
        <v>151</v>
      </c>
      <c r="H688" s="103" t="s">
        <v>861</v>
      </c>
      <c r="I688" s="103" t="s">
        <v>862</v>
      </c>
      <c r="J688" s="103" t="s">
        <v>863</v>
      </c>
      <c r="K688" s="103" t="s">
        <v>864</v>
      </c>
      <c r="L688" s="103" t="s">
        <v>153</v>
      </c>
      <c r="M688" s="103" t="s">
        <v>865</v>
      </c>
      <c r="N688" s="103" t="s">
        <v>866</v>
      </c>
      <c r="O688" s="103" t="str">
        <f t="shared" si="30"/>
        <v>CFLscw(32w)</v>
      </c>
      <c r="P688" s="103" t="s">
        <v>153</v>
      </c>
      <c r="Q688" s="103" t="s">
        <v>153</v>
      </c>
      <c r="R688" s="103" t="s">
        <v>153</v>
      </c>
      <c r="S688" s="103" t="str">
        <f>INDEX('Measure &amp; Standard CostIDs'!$AK$8:$AK$12,B688)</f>
        <v>Two-pack</v>
      </c>
      <c r="T688" s="103" t="s">
        <v>867</v>
      </c>
      <c r="U688" s="103"/>
      <c r="V688" s="103"/>
      <c r="W688" s="103">
        <f>ROUND(IF(LEFT(D688,3)="Std",VLOOKUP(D688,'Measure &amp; Standard CostIDs'!$S$5:$X$177,1+B688,FALSE),VLOOKUP(D688,'Measure &amp; Standard CostIDs'!$C$5:$H$177,1+B688,FALSE)),2)</f>
        <v>4.95</v>
      </c>
      <c r="X688" s="103"/>
      <c r="Y688" s="103"/>
      <c r="Z688" s="103" t="s">
        <v>868</v>
      </c>
      <c r="AA688" s="103" t="s">
        <v>874</v>
      </c>
      <c r="AB688" s="103" t="s">
        <v>153</v>
      </c>
      <c r="AC688" s="103">
        <v>0</v>
      </c>
      <c r="AD688" s="156">
        <v>42005</v>
      </c>
      <c r="AE688" s="103"/>
      <c r="AF688" s="103" t="s">
        <v>870</v>
      </c>
      <c r="AG688" s="103" t="s">
        <v>871</v>
      </c>
      <c r="AH688" s="103" t="s">
        <v>976</v>
      </c>
      <c r="AI688" s="103">
        <v>0</v>
      </c>
      <c r="AJ688" s="103"/>
      <c r="AK688" s="103"/>
      <c r="AL688" s="103"/>
      <c r="AM688" s="103"/>
      <c r="AN688" s="103"/>
      <c r="AO688" s="103" t="str">
        <f t="shared" si="31"/>
        <v>CFLscw(32w)Two-pack</v>
      </c>
    </row>
    <row r="689" spans="1:41">
      <c r="A689" s="177">
        <f>IFERROR(MATCH(D689,'Measure &amp; Standard CostIDs'!C$5:C$177,0),MATCH(D689,'Measure &amp; Standard CostIDs'!S$5:S$177,0))</f>
        <v>25</v>
      </c>
      <c r="B689" s="177">
        <f t="shared" si="32"/>
        <v>3</v>
      </c>
      <c r="C689" s="103" t="s">
        <v>153</v>
      </c>
      <c r="D689" s="103" t="str">
        <f t="shared" si="33"/>
        <v>CFLscw(33w)</v>
      </c>
      <c r="E689" s="103" t="str">
        <f>IF(LEFT(D689,3)="Std","Base case cost for mix of 60% Incandescent and 40% CFL lamps for CFL TechID: "&amp;INDEX('Measure &amp; Standard CostIDs'!$C$5:$C$177,A689),"&lt;from TechID&gt;")</f>
        <v>&lt;from TechID&gt;</v>
      </c>
      <c r="F689" s="103" t="s">
        <v>860</v>
      </c>
      <c r="G689" s="103" t="s">
        <v>151</v>
      </c>
      <c r="H689" s="103" t="s">
        <v>861</v>
      </c>
      <c r="I689" s="103" t="s">
        <v>862</v>
      </c>
      <c r="J689" s="103" t="s">
        <v>863</v>
      </c>
      <c r="K689" s="103" t="s">
        <v>864</v>
      </c>
      <c r="L689" s="103" t="s">
        <v>153</v>
      </c>
      <c r="M689" s="103" t="s">
        <v>865</v>
      </c>
      <c r="N689" s="103" t="s">
        <v>866</v>
      </c>
      <c r="O689" s="103" t="str">
        <f t="shared" si="30"/>
        <v>CFLscw(33w)</v>
      </c>
      <c r="P689" s="103" t="s">
        <v>153</v>
      </c>
      <c r="Q689" s="103" t="s">
        <v>153</v>
      </c>
      <c r="R689" s="103" t="s">
        <v>153</v>
      </c>
      <c r="S689" s="103" t="str">
        <f>INDEX('Measure &amp; Standard CostIDs'!$AK$8:$AK$12,B689)</f>
        <v>Two-pack</v>
      </c>
      <c r="T689" s="103" t="s">
        <v>867</v>
      </c>
      <c r="U689" s="103"/>
      <c r="V689" s="103"/>
      <c r="W689" s="103">
        <f>ROUND(IF(LEFT(D689,3)="Std",VLOOKUP(D689,'Measure &amp; Standard CostIDs'!$S$5:$X$177,1+B689,FALSE),VLOOKUP(D689,'Measure &amp; Standard CostIDs'!$C$5:$H$177,1+B689,FALSE)),2)</f>
        <v>5.1100000000000003</v>
      </c>
      <c r="X689" s="103"/>
      <c r="Y689" s="103"/>
      <c r="Z689" s="103" t="s">
        <v>868</v>
      </c>
      <c r="AA689" s="103" t="s">
        <v>874</v>
      </c>
      <c r="AB689" s="103" t="s">
        <v>153</v>
      </c>
      <c r="AC689" s="103">
        <v>0</v>
      </c>
      <c r="AD689" s="156">
        <v>42005</v>
      </c>
      <c r="AE689" s="103"/>
      <c r="AF689" s="103" t="s">
        <v>870</v>
      </c>
      <c r="AG689" s="103" t="s">
        <v>871</v>
      </c>
      <c r="AH689" s="103" t="s">
        <v>976</v>
      </c>
      <c r="AI689" s="103">
        <v>0</v>
      </c>
      <c r="AJ689" s="103"/>
      <c r="AK689" s="103"/>
      <c r="AL689" s="103"/>
      <c r="AM689" s="103"/>
      <c r="AN689" s="103"/>
      <c r="AO689" s="103" t="str">
        <f t="shared" si="31"/>
        <v>CFLscw(33w)Two-pack</v>
      </c>
    </row>
    <row r="690" spans="1:41">
      <c r="A690" s="177">
        <f>IFERROR(MATCH(D690,'Measure &amp; Standard CostIDs'!C$5:C$177,0),MATCH(D690,'Measure &amp; Standard CostIDs'!S$5:S$177,0))</f>
        <v>26</v>
      </c>
      <c r="B690" s="177">
        <f t="shared" si="32"/>
        <v>3</v>
      </c>
      <c r="C690" s="103" t="s">
        <v>153</v>
      </c>
      <c r="D690" s="103" t="str">
        <f t="shared" si="33"/>
        <v>CFLscw(36w)</v>
      </c>
      <c r="E690" s="103" t="str">
        <f>IF(LEFT(D690,3)="Std","Base case cost for mix of 60% Incandescent and 40% CFL lamps for CFL TechID: "&amp;INDEX('Measure &amp; Standard CostIDs'!$C$5:$C$177,A690),"&lt;from TechID&gt;")</f>
        <v>&lt;from TechID&gt;</v>
      </c>
      <c r="F690" s="103" t="s">
        <v>860</v>
      </c>
      <c r="G690" s="103" t="s">
        <v>151</v>
      </c>
      <c r="H690" s="103" t="s">
        <v>861</v>
      </c>
      <c r="I690" s="103" t="s">
        <v>862</v>
      </c>
      <c r="J690" s="103" t="s">
        <v>863</v>
      </c>
      <c r="K690" s="103" t="s">
        <v>864</v>
      </c>
      <c r="L690" s="103" t="s">
        <v>153</v>
      </c>
      <c r="M690" s="103" t="s">
        <v>865</v>
      </c>
      <c r="N690" s="103" t="s">
        <v>866</v>
      </c>
      <c r="O690" s="103" t="str">
        <f t="shared" si="30"/>
        <v>CFLscw(36w)</v>
      </c>
      <c r="P690" s="103" t="s">
        <v>153</v>
      </c>
      <c r="Q690" s="103" t="s">
        <v>153</v>
      </c>
      <c r="R690" s="103" t="s">
        <v>153</v>
      </c>
      <c r="S690" s="103" t="str">
        <f>INDEX('Measure &amp; Standard CostIDs'!$AK$8:$AK$12,B690)</f>
        <v>Two-pack</v>
      </c>
      <c r="T690" s="103" t="s">
        <v>867</v>
      </c>
      <c r="U690" s="103"/>
      <c r="V690" s="103"/>
      <c r="W690" s="103">
        <f>ROUND(IF(LEFT(D690,3)="Std",VLOOKUP(D690,'Measure &amp; Standard CostIDs'!$S$5:$X$177,1+B690,FALSE),VLOOKUP(D690,'Measure &amp; Standard CostIDs'!$C$5:$H$177,1+B690,FALSE)),2)</f>
        <v>5.59</v>
      </c>
      <c r="X690" s="103"/>
      <c r="Y690" s="103"/>
      <c r="Z690" s="103" t="s">
        <v>868</v>
      </c>
      <c r="AA690" s="103" t="s">
        <v>874</v>
      </c>
      <c r="AB690" s="103" t="s">
        <v>153</v>
      </c>
      <c r="AC690" s="103">
        <v>0</v>
      </c>
      <c r="AD690" s="156">
        <v>42005</v>
      </c>
      <c r="AE690" s="103"/>
      <c r="AF690" s="103" t="s">
        <v>870</v>
      </c>
      <c r="AG690" s="103" t="s">
        <v>871</v>
      </c>
      <c r="AH690" s="103" t="s">
        <v>976</v>
      </c>
      <c r="AI690" s="103">
        <v>0</v>
      </c>
      <c r="AJ690" s="103"/>
      <c r="AK690" s="103"/>
      <c r="AL690" s="103"/>
      <c r="AM690" s="103"/>
      <c r="AN690" s="103"/>
      <c r="AO690" s="103" t="str">
        <f t="shared" si="31"/>
        <v>CFLscw(36w)Two-pack</v>
      </c>
    </row>
    <row r="691" spans="1:41">
      <c r="A691" s="177">
        <f>IFERROR(MATCH(D691,'Measure &amp; Standard CostIDs'!C$5:C$177,0),MATCH(D691,'Measure &amp; Standard CostIDs'!S$5:S$177,0))</f>
        <v>27</v>
      </c>
      <c r="B691" s="177">
        <f t="shared" si="32"/>
        <v>3</v>
      </c>
      <c r="C691" s="103" t="s">
        <v>153</v>
      </c>
      <c r="D691" s="103" t="str">
        <f t="shared" si="33"/>
        <v>CFLscw(38w)</v>
      </c>
      <c r="E691" s="103" t="str">
        <f>IF(LEFT(D691,3)="Std","Base case cost for mix of 60% Incandescent and 40% CFL lamps for CFL TechID: "&amp;INDEX('Measure &amp; Standard CostIDs'!$C$5:$C$177,A691),"&lt;from TechID&gt;")</f>
        <v>&lt;from TechID&gt;</v>
      </c>
      <c r="F691" s="103" t="s">
        <v>860</v>
      </c>
      <c r="G691" s="103" t="s">
        <v>151</v>
      </c>
      <c r="H691" s="103" t="s">
        <v>861</v>
      </c>
      <c r="I691" s="103" t="s">
        <v>862</v>
      </c>
      <c r="J691" s="103" t="s">
        <v>863</v>
      </c>
      <c r="K691" s="103" t="s">
        <v>864</v>
      </c>
      <c r="L691" s="103" t="s">
        <v>153</v>
      </c>
      <c r="M691" s="103" t="s">
        <v>865</v>
      </c>
      <c r="N691" s="103" t="s">
        <v>866</v>
      </c>
      <c r="O691" s="103" t="str">
        <f t="shared" si="30"/>
        <v>CFLscw(38w)</v>
      </c>
      <c r="P691" s="103" t="s">
        <v>153</v>
      </c>
      <c r="Q691" s="103" t="s">
        <v>153</v>
      </c>
      <c r="R691" s="103" t="s">
        <v>153</v>
      </c>
      <c r="S691" s="103" t="str">
        <f>INDEX('Measure &amp; Standard CostIDs'!$AK$8:$AK$12,B691)</f>
        <v>Two-pack</v>
      </c>
      <c r="T691" s="103" t="s">
        <v>867</v>
      </c>
      <c r="U691" s="103"/>
      <c r="V691" s="103"/>
      <c r="W691" s="103">
        <f>ROUND(IF(LEFT(D691,3)="Std",VLOOKUP(D691,'Measure &amp; Standard CostIDs'!$S$5:$X$177,1+B691,FALSE),VLOOKUP(D691,'Measure &amp; Standard CostIDs'!$C$5:$H$177,1+B691,FALSE)),2)</f>
        <v>5.91</v>
      </c>
      <c r="X691" s="103"/>
      <c r="Y691" s="103"/>
      <c r="Z691" s="103" t="s">
        <v>868</v>
      </c>
      <c r="AA691" s="103" t="s">
        <v>874</v>
      </c>
      <c r="AB691" s="103" t="s">
        <v>153</v>
      </c>
      <c r="AC691" s="103">
        <v>0</v>
      </c>
      <c r="AD691" s="156">
        <v>42005</v>
      </c>
      <c r="AE691" s="103"/>
      <c r="AF691" s="103" t="s">
        <v>870</v>
      </c>
      <c r="AG691" s="103" t="s">
        <v>871</v>
      </c>
      <c r="AH691" s="103" t="s">
        <v>976</v>
      </c>
      <c r="AI691" s="103">
        <v>0</v>
      </c>
      <c r="AJ691" s="103"/>
      <c r="AK691" s="103"/>
      <c r="AL691" s="103"/>
      <c r="AM691" s="103"/>
      <c r="AN691" s="103"/>
      <c r="AO691" s="103" t="str">
        <f t="shared" si="31"/>
        <v>CFLscw(38w)Two-pack</v>
      </c>
    </row>
    <row r="692" spans="1:41">
      <c r="A692" s="177">
        <f>IFERROR(MATCH(D692,'Measure &amp; Standard CostIDs'!C$5:C$177,0),MATCH(D692,'Measure &amp; Standard CostIDs'!S$5:S$177,0))</f>
        <v>28</v>
      </c>
      <c r="B692" s="177">
        <f t="shared" si="32"/>
        <v>3</v>
      </c>
      <c r="C692" s="103" t="s">
        <v>153</v>
      </c>
      <c r="D692" s="103" t="str">
        <f t="shared" si="33"/>
        <v>CFLscw(39w)</v>
      </c>
      <c r="E692" s="103" t="str">
        <f>IF(LEFT(D692,3)="Std","Base case cost for mix of 60% Incandescent and 40% CFL lamps for CFL TechID: "&amp;INDEX('Measure &amp; Standard CostIDs'!$C$5:$C$177,A692),"&lt;from TechID&gt;")</f>
        <v>&lt;from TechID&gt;</v>
      </c>
      <c r="F692" s="103" t="s">
        <v>860</v>
      </c>
      <c r="G692" s="103" t="s">
        <v>151</v>
      </c>
      <c r="H692" s="103" t="s">
        <v>861</v>
      </c>
      <c r="I692" s="103" t="s">
        <v>862</v>
      </c>
      <c r="J692" s="103" t="s">
        <v>863</v>
      </c>
      <c r="K692" s="103" t="s">
        <v>864</v>
      </c>
      <c r="L692" s="103" t="s">
        <v>153</v>
      </c>
      <c r="M692" s="103" t="s">
        <v>865</v>
      </c>
      <c r="N692" s="103" t="s">
        <v>866</v>
      </c>
      <c r="O692" s="103" t="str">
        <f t="shared" si="30"/>
        <v>CFLscw(39w)</v>
      </c>
      <c r="P692" s="103" t="s">
        <v>153</v>
      </c>
      <c r="Q692" s="103" t="s">
        <v>153</v>
      </c>
      <c r="R692" s="103" t="s">
        <v>153</v>
      </c>
      <c r="S692" s="103" t="str">
        <f>INDEX('Measure &amp; Standard CostIDs'!$AK$8:$AK$12,B692)</f>
        <v>Two-pack</v>
      </c>
      <c r="T692" s="103" t="s">
        <v>867</v>
      </c>
      <c r="U692" s="103"/>
      <c r="V692" s="103"/>
      <c r="W692" s="103">
        <f>ROUND(IF(LEFT(D692,3)="Std",VLOOKUP(D692,'Measure &amp; Standard CostIDs'!$S$5:$X$177,1+B692,FALSE),VLOOKUP(D692,'Measure &amp; Standard CostIDs'!$C$5:$H$177,1+B692,FALSE)),2)</f>
        <v>6.07</v>
      </c>
      <c r="X692" s="103"/>
      <c r="Y692" s="103"/>
      <c r="Z692" s="103" t="s">
        <v>868</v>
      </c>
      <c r="AA692" s="103" t="s">
        <v>874</v>
      </c>
      <c r="AB692" s="103" t="s">
        <v>153</v>
      </c>
      <c r="AC692" s="103">
        <v>0</v>
      </c>
      <c r="AD692" s="156">
        <v>42005</v>
      </c>
      <c r="AE692" s="103"/>
      <c r="AF692" s="103" t="s">
        <v>870</v>
      </c>
      <c r="AG692" s="103" t="s">
        <v>871</v>
      </c>
      <c r="AH692" s="103" t="s">
        <v>976</v>
      </c>
      <c r="AI692" s="103">
        <v>0</v>
      </c>
      <c r="AJ692" s="103"/>
      <c r="AK692" s="103"/>
      <c r="AL692" s="103"/>
      <c r="AM692" s="103"/>
      <c r="AN692" s="103"/>
      <c r="AO692" s="103" t="str">
        <f t="shared" si="31"/>
        <v>CFLscw(39w)Two-pack</v>
      </c>
    </row>
    <row r="693" spans="1:41">
      <c r="A693" s="177">
        <f>IFERROR(MATCH(D693,'Measure &amp; Standard CostIDs'!C$5:C$177,0),MATCH(D693,'Measure &amp; Standard CostIDs'!S$5:S$177,0))</f>
        <v>29</v>
      </c>
      <c r="B693" s="177">
        <f t="shared" si="32"/>
        <v>3</v>
      </c>
      <c r="C693" s="103" t="s">
        <v>153</v>
      </c>
      <c r="D693" s="103" t="str">
        <f t="shared" si="33"/>
        <v>CFLscw(3w)</v>
      </c>
      <c r="E693" s="103" t="str">
        <f>IF(LEFT(D693,3)="Std","Base case cost for mix of 60% Incandescent and 40% CFL lamps for CFL TechID: "&amp;INDEX('Measure &amp; Standard CostIDs'!$C$5:$C$177,A693),"&lt;from TechID&gt;")</f>
        <v>&lt;from TechID&gt;</v>
      </c>
      <c r="F693" s="103" t="s">
        <v>860</v>
      </c>
      <c r="G693" s="103" t="s">
        <v>151</v>
      </c>
      <c r="H693" s="103" t="s">
        <v>861</v>
      </c>
      <c r="I693" s="103" t="s">
        <v>862</v>
      </c>
      <c r="J693" s="103" t="s">
        <v>863</v>
      </c>
      <c r="K693" s="103" t="s">
        <v>864</v>
      </c>
      <c r="L693" s="103" t="s">
        <v>153</v>
      </c>
      <c r="M693" s="103" t="s">
        <v>865</v>
      </c>
      <c r="N693" s="103" t="s">
        <v>866</v>
      </c>
      <c r="O693" s="103" t="str">
        <f t="shared" si="30"/>
        <v>CFLscw(3w)</v>
      </c>
      <c r="P693" s="103" t="s">
        <v>153</v>
      </c>
      <c r="Q693" s="103" t="s">
        <v>153</v>
      </c>
      <c r="R693" s="103" t="s">
        <v>153</v>
      </c>
      <c r="S693" s="103" t="str">
        <f>INDEX('Measure &amp; Standard CostIDs'!$AK$8:$AK$12,B693)</f>
        <v>Two-pack</v>
      </c>
      <c r="T693" s="103" t="s">
        <v>867</v>
      </c>
      <c r="U693" s="103"/>
      <c r="V693" s="103"/>
      <c r="W693" s="103">
        <f>ROUND(IF(LEFT(D693,3)="Std",VLOOKUP(D693,'Measure &amp; Standard CostIDs'!$S$5:$X$177,1+B693,FALSE),VLOOKUP(D693,'Measure &amp; Standard CostIDs'!$C$5:$H$177,1+B693,FALSE)),2)</f>
        <v>2.37</v>
      </c>
      <c r="X693" s="103"/>
      <c r="Y693" s="103"/>
      <c r="Z693" s="103" t="s">
        <v>868</v>
      </c>
      <c r="AA693" s="103" t="s">
        <v>874</v>
      </c>
      <c r="AB693" s="103" t="s">
        <v>153</v>
      </c>
      <c r="AC693" s="103">
        <v>0</v>
      </c>
      <c r="AD693" s="156">
        <v>42005</v>
      </c>
      <c r="AE693" s="103"/>
      <c r="AF693" s="103" t="s">
        <v>870</v>
      </c>
      <c r="AG693" s="103" t="s">
        <v>871</v>
      </c>
      <c r="AH693" s="103" t="s">
        <v>976</v>
      </c>
      <c r="AI693" s="103">
        <v>0</v>
      </c>
      <c r="AJ693" s="103"/>
      <c r="AK693" s="103"/>
      <c r="AL693" s="103"/>
      <c r="AM693" s="103"/>
      <c r="AN693" s="103"/>
      <c r="AO693" s="103" t="str">
        <f t="shared" si="31"/>
        <v>CFLscw(3w)Two-pack</v>
      </c>
    </row>
    <row r="694" spans="1:41">
      <c r="A694" s="177">
        <f>IFERROR(MATCH(D694,'Measure &amp; Standard CostIDs'!C$5:C$177,0),MATCH(D694,'Measure &amp; Standard CostIDs'!S$5:S$177,0))</f>
        <v>30</v>
      </c>
      <c r="B694" s="177">
        <f t="shared" si="32"/>
        <v>3</v>
      </c>
      <c r="C694" s="103" t="s">
        <v>153</v>
      </c>
      <c r="D694" s="103" t="str">
        <f t="shared" si="33"/>
        <v>CFLscw(40w)</v>
      </c>
      <c r="E694" s="103" t="str">
        <f>IF(LEFT(D694,3)="Std","Base case cost for mix of 60% Incandescent and 40% CFL lamps for CFL TechID: "&amp;INDEX('Measure &amp; Standard CostIDs'!$C$5:$C$177,A694),"&lt;from TechID&gt;")</f>
        <v>&lt;from TechID&gt;</v>
      </c>
      <c r="F694" s="103" t="s">
        <v>860</v>
      </c>
      <c r="G694" s="103" t="s">
        <v>151</v>
      </c>
      <c r="H694" s="103" t="s">
        <v>861</v>
      </c>
      <c r="I694" s="103" t="s">
        <v>862</v>
      </c>
      <c r="J694" s="103" t="s">
        <v>863</v>
      </c>
      <c r="K694" s="103" t="s">
        <v>864</v>
      </c>
      <c r="L694" s="103" t="s">
        <v>153</v>
      </c>
      <c r="M694" s="103" t="s">
        <v>865</v>
      </c>
      <c r="N694" s="103" t="s">
        <v>866</v>
      </c>
      <c r="O694" s="103" t="str">
        <f t="shared" si="30"/>
        <v>CFLscw(40w)</v>
      </c>
      <c r="P694" s="103" t="s">
        <v>153</v>
      </c>
      <c r="Q694" s="103" t="s">
        <v>153</v>
      </c>
      <c r="R694" s="103" t="s">
        <v>153</v>
      </c>
      <c r="S694" s="103" t="str">
        <f>INDEX('Measure &amp; Standard CostIDs'!$AK$8:$AK$12,B694)</f>
        <v>Two-pack</v>
      </c>
      <c r="T694" s="103" t="s">
        <v>867</v>
      </c>
      <c r="U694" s="103"/>
      <c r="V694" s="103"/>
      <c r="W694" s="103">
        <f>ROUND(IF(LEFT(D694,3)="Std",VLOOKUP(D694,'Measure &amp; Standard CostIDs'!$S$5:$X$177,1+B694,FALSE),VLOOKUP(D694,'Measure &amp; Standard CostIDs'!$C$5:$H$177,1+B694,FALSE)),2)</f>
        <v>6.23</v>
      </c>
      <c r="X694" s="103"/>
      <c r="Y694" s="103"/>
      <c r="Z694" s="103" t="s">
        <v>868</v>
      </c>
      <c r="AA694" s="103" t="s">
        <v>874</v>
      </c>
      <c r="AB694" s="103" t="s">
        <v>153</v>
      </c>
      <c r="AC694" s="103">
        <v>0</v>
      </c>
      <c r="AD694" s="156">
        <v>42005</v>
      </c>
      <c r="AE694" s="103"/>
      <c r="AF694" s="103" t="s">
        <v>870</v>
      </c>
      <c r="AG694" s="103" t="s">
        <v>871</v>
      </c>
      <c r="AH694" s="103" t="s">
        <v>976</v>
      </c>
      <c r="AI694" s="103">
        <v>0</v>
      </c>
      <c r="AJ694" s="103"/>
      <c r="AK694" s="103"/>
      <c r="AL694" s="103"/>
      <c r="AM694" s="103"/>
      <c r="AN694" s="103"/>
      <c r="AO694" s="103" t="str">
        <f t="shared" si="31"/>
        <v>CFLscw(40w)Two-pack</v>
      </c>
    </row>
    <row r="695" spans="1:41">
      <c r="A695" s="177">
        <f>IFERROR(MATCH(D695,'Measure &amp; Standard CostIDs'!C$5:C$177,0),MATCH(D695,'Measure &amp; Standard CostIDs'!S$5:S$177,0))</f>
        <v>31</v>
      </c>
      <c r="B695" s="177">
        <f t="shared" si="32"/>
        <v>3</v>
      </c>
      <c r="C695" s="103" t="s">
        <v>153</v>
      </c>
      <c r="D695" s="103" t="str">
        <f t="shared" si="33"/>
        <v>CFLscw(42w)</v>
      </c>
      <c r="E695" s="103" t="str">
        <f>IF(LEFT(D695,3)="Std","Base case cost for mix of 60% Incandescent and 40% CFL lamps for CFL TechID: "&amp;INDEX('Measure &amp; Standard CostIDs'!$C$5:$C$177,A695),"&lt;from TechID&gt;")</f>
        <v>&lt;from TechID&gt;</v>
      </c>
      <c r="F695" s="103" t="s">
        <v>860</v>
      </c>
      <c r="G695" s="103" t="s">
        <v>151</v>
      </c>
      <c r="H695" s="103" t="s">
        <v>861</v>
      </c>
      <c r="I695" s="103" t="s">
        <v>862</v>
      </c>
      <c r="J695" s="103" t="s">
        <v>863</v>
      </c>
      <c r="K695" s="103" t="s">
        <v>864</v>
      </c>
      <c r="L695" s="103" t="s">
        <v>153</v>
      </c>
      <c r="M695" s="103" t="s">
        <v>865</v>
      </c>
      <c r="N695" s="103" t="s">
        <v>866</v>
      </c>
      <c r="O695" s="103" t="str">
        <f t="shared" si="30"/>
        <v>CFLscw(42w)</v>
      </c>
      <c r="P695" s="103" t="s">
        <v>153</v>
      </c>
      <c r="Q695" s="103" t="s">
        <v>153</v>
      </c>
      <c r="R695" s="103" t="s">
        <v>153</v>
      </c>
      <c r="S695" s="103" t="str">
        <f>INDEX('Measure &amp; Standard CostIDs'!$AK$8:$AK$12,B695)</f>
        <v>Two-pack</v>
      </c>
      <c r="T695" s="103" t="s">
        <v>867</v>
      </c>
      <c r="U695" s="103"/>
      <c r="V695" s="103"/>
      <c r="W695" s="103">
        <f>ROUND(IF(LEFT(D695,3)="Std",VLOOKUP(D695,'Measure &amp; Standard CostIDs'!$S$5:$X$177,1+B695,FALSE),VLOOKUP(D695,'Measure &amp; Standard CostIDs'!$C$5:$H$177,1+B695,FALSE)),2)</f>
        <v>6.55</v>
      </c>
      <c r="X695" s="103"/>
      <c r="Y695" s="103"/>
      <c r="Z695" s="103" t="s">
        <v>868</v>
      </c>
      <c r="AA695" s="103" t="s">
        <v>874</v>
      </c>
      <c r="AB695" s="103" t="s">
        <v>153</v>
      </c>
      <c r="AC695" s="103">
        <v>0</v>
      </c>
      <c r="AD695" s="156">
        <v>42005</v>
      </c>
      <c r="AE695" s="103"/>
      <c r="AF695" s="103" t="s">
        <v>870</v>
      </c>
      <c r="AG695" s="103" t="s">
        <v>871</v>
      </c>
      <c r="AH695" s="103" t="s">
        <v>976</v>
      </c>
      <c r="AI695" s="103">
        <v>0</v>
      </c>
      <c r="AJ695" s="103"/>
      <c r="AK695" s="103"/>
      <c r="AL695" s="103"/>
      <c r="AM695" s="103"/>
      <c r="AN695" s="103"/>
      <c r="AO695" s="103" t="str">
        <f t="shared" si="31"/>
        <v>CFLscw(42w)Two-pack</v>
      </c>
    </row>
    <row r="696" spans="1:41">
      <c r="A696" s="177">
        <f>IFERROR(MATCH(D696,'Measure &amp; Standard CostIDs'!C$5:C$177,0),MATCH(D696,'Measure &amp; Standard CostIDs'!S$5:S$177,0))</f>
        <v>32</v>
      </c>
      <c r="B696" s="177">
        <f t="shared" si="32"/>
        <v>3</v>
      </c>
      <c r="C696" s="103" t="s">
        <v>153</v>
      </c>
      <c r="D696" s="103" t="str">
        <f t="shared" si="33"/>
        <v>CFLscw(44w)</v>
      </c>
      <c r="E696" s="103" t="str">
        <f>IF(LEFT(D696,3)="Std","Base case cost for mix of 60% Incandescent and 40% CFL lamps for CFL TechID: "&amp;INDEX('Measure &amp; Standard CostIDs'!$C$5:$C$177,A696),"&lt;from TechID&gt;")</f>
        <v>&lt;from TechID&gt;</v>
      </c>
      <c r="F696" s="103" t="s">
        <v>860</v>
      </c>
      <c r="G696" s="103" t="s">
        <v>151</v>
      </c>
      <c r="H696" s="103" t="s">
        <v>861</v>
      </c>
      <c r="I696" s="103" t="s">
        <v>862</v>
      </c>
      <c r="J696" s="103" t="s">
        <v>863</v>
      </c>
      <c r="K696" s="103" t="s">
        <v>864</v>
      </c>
      <c r="L696" s="103" t="s">
        <v>153</v>
      </c>
      <c r="M696" s="103" t="s">
        <v>865</v>
      </c>
      <c r="N696" s="103" t="s">
        <v>866</v>
      </c>
      <c r="O696" s="103" t="str">
        <f t="shared" si="30"/>
        <v>CFLscw(44w)</v>
      </c>
      <c r="P696" s="103" t="s">
        <v>153</v>
      </c>
      <c r="Q696" s="103" t="s">
        <v>153</v>
      </c>
      <c r="R696" s="103" t="s">
        <v>153</v>
      </c>
      <c r="S696" s="103" t="str">
        <f>INDEX('Measure &amp; Standard CostIDs'!$AK$8:$AK$12,B696)</f>
        <v>Two-pack</v>
      </c>
      <c r="T696" s="103" t="s">
        <v>867</v>
      </c>
      <c r="U696" s="103"/>
      <c r="V696" s="103"/>
      <c r="W696" s="103">
        <f>ROUND(IF(LEFT(D696,3)="Std",VLOOKUP(D696,'Measure &amp; Standard CostIDs'!$S$5:$X$177,1+B696,FALSE),VLOOKUP(D696,'Measure &amp; Standard CostIDs'!$C$5:$H$177,1+B696,FALSE)),2)</f>
        <v>6.87</v>
      </c>
      <c r="X696" s="103"/>
      <c r="Y696" s="103"/>
      <c r="Z696" s="103" t="s">
        <v>868</v>
      </c>
      <c r="AA696" s="103" t="s">
        <v>874</v>
      </c>
      <c r="AB696" s="103" t="s">
        <v>153</v>
      </c>
      <c r="AC696" s="103">
        <v>0</v>
      </c>
      <c r="AD696" s="156">
        <v>42005</v>
      </c>
      <c r="AE696" s="103"/>
      <c r="AF696" s="103" t="s">
        <v>870</v>
      </c>
      <c r="AG696" s="103" t="s">
        <v>871</v>
      </c>
      <c r="AH696" s="103" t="s">
        <v>976</v>
      </c>
      <c r="AI696" s="103">
        <v>0</v>
      </c>
      <c r="AJ696" s="103"/>
      <c r="AK696" s="103"/>
      <c r="AL696" s="103"/>
      <c r="AM696" s="103"/>
      <c r="AN696" s="103"/>
      <c r="AO696" s="103" t="str">
        <f t="shared" si="31"/>
        <v>CFLscw(44w)Two-pack</v>
      </c>
    </row>
    <row r="697" spans="1:41">
      <c r="A697" s="177">
        <f>IFERROR(MATCH(D697,'Measure &amp; Standard CostIDs'!C$5:C$177,0),MATCH(D697,'Measure &amp; Standard CostIDs'!S$5:S$177,0))</f>
        <v>33</v>
      </c>
      <c r="B697" s="177">
        <f t="shared" si="32"/>
        <v>3</v>
      </c>
      <c r="C697" s="103" t="s">
        <v>153</v>
      </c>
      <c r="D697" s="103" t="str">
        <f t="shared" si="33"/>
        <v>CFLscw(45w)</v>
      </c>
      <c r="E697" s="103" t="str">
        <f>IF(LEFT(D697,3)="Std","Base case cost for mix of 60% Incandescent and 40% CFL lamps for CFL TechID: "&amp;INDEX('Measure &amp; Standard CostIDs'!$C$5:$C$177,A697),"&lt;from TechID&gt;")</f>
        <v>&lt;from TechID&gt;</v>
      </c>
      <c r="F697" s="103" t="s">
        <v>860</v>
      </c>
      <c r="G697" s="103" t="s">
        <v>151</v>
      </c>
      <c r="H697" s="103" t="s">
        <v>861</v>
      </c>
      <c r="I697" s="103" t="s">
        <v>862</v>
      </c>
      <c r="J697" s="103" t="s">
        <v>863</v>
      </c>
      <c r="K697" s="103" t="s">
        <v>864</v>
      </c>
      <c r="L697" s="103" t="s">
        <v>153</v>
      </c>
      <c r="M697" s="103" t="s">
        <v>865</v>
      </c>
      <c r="N697" s="103" t="s">
        <v>866</v>
      </c>
      <c r="O697" s="103" t="str">
        <f t="shared" si="30"/>
        <v>CFLscw(45w)</v>
      </c>
      <c r="P697" s="103" t="s">
        <v>153</v>
      </c>
      <c r="Q697" s="103" t="s">
        <v>153</v>
      </c>
      <c r="R697" s="103" t="s">
        <v>153</v>
      </c>
      <c r="S697" s="103" t="str">
        <f>INDEX('Measure &amp; Standard CostIDs'!$AK$8:$AK$12,B697)</f>
        <v>Two-pack</v>
      </c>
      <c r="T697" s="103" t="s">
        <v>867</v>
      </c>
      <c r="U697" s="103"/>
      <c r="V697" s="103"/>
      <c r="W697" s="103">
        <f>ROUND(IF(LEFT(D697,3)="Std",VLOOKUP(D697,'Measure &amp; Standard CostIDs'!$S$5:$X$177,1+B697,FALSE),VLOOKUP(D697,'Measure &amp; Standard CostIDs'!$C$5:$H$177,1+B697,FALSE)),2)</f>
        <v>7.03</v>
      </c>
      <c r="X697" s="103"/>
      <c r="Y697" s="103"/>
      <c r="Z697" s="103" t="s">
        <v>868</v>
      </c>
      <c r="AA697" s="103" t="s">
        <v>874</v>
      </c>
      <c r="AB697" s="103" t="s">
        <v>153</v>
      </c>
      <c r="AC697" s="103">
        <v>0</v>
      </c>
      <c r="AD697" s="156">
        <v>42005</v>
      </c>
      <c r="AE697" s="103"/>
      <c r="AF697" s="103" t="s">
        <v>870</v>
      </c>
      <c r="AG697" s="103" t="s">
        <v>871</v>
      </c>
      <c r="AH697" s="103" t="s">
        <v>976</v>
      </c>
      <c r="AI697" s="103">
        <v>0</v>
      </c>
      <c r="AJ697" s="103"/>
      <c r="AK697" s="103"/>
      <c r="AL697" s="103"/>
      <c r="AM697" s="103"/>
      <c r="AN697" s="103"/>
      <c r="AO697" s="103" t="str">
        <f t="shared" si="31"/>
        <v>CFLscw(45w)Two-pack</v>
      </c>
    </row>
    <row r="698" spans="1:41">
      <c r="A698" s="177">
        <f>IFERROR(MATCH(D698,'Measure &amp; Standard CostIDs'!C$5:C$177,0),MATCH(D698,'Measure &amp; Standard CostIDs'!S$5:S$177,0))</f>
        <v>34</v>
      </c>
      <c r="B698" s="177">
        <f t="shared" si="32"/>
        <v>3</v>
      </c>
      <c r="C698" s="103" t="s">
        <v>153</v>
      </c>
      <c r="D698" s="103" t="str">
        <f t="shared" si="33"/>
        <v>CFLscw(48w)</v>
      </c>
      <c r="E698" s="103" t="str">
        <f>IF(LEFT(D698,3)="Std","Base case cost for mix of 60% Incandescent and 40% CFL lamps for CFL TechID: "&amp;INDEX('Measure &amp; Standard CostIDs'!$C$5:$C$177,A698),"&lt;from TechID&gt;")</f>
        <v>&lt;from TechID&gt;</v>
      </c>
      <c r="F698" s="103" t="s">
        <v>860</v>
      </c>
      <c r="G698" s="103" t="s">
        <v>151</v>
      </c>
      <c r="H698" s="103" t="s">
        <v>861</v>
      </c>
      <c r="I698" s="103" t="s">
        <v>862</v>
      </c>
      <c r="J698" s="103" t="s">
        <v>863</v>
      </c>
      <c r="K698" s="103" t="s">
        <v>864</v>
      </c>
      <c r="L698" s="103" t="s">
        <v>153</v>
      </c>
      <c r="M698" s="103" t="s">
        <v>865</v>
      </c>
      <c r="N698" s="103" t="s">
        <v>866</v>
      </c>
      <c r="O698" s="103" t="str">
        <f t="shared" si="30"/>
        <v>CFLscw(48w)</v>
      </c>
      <c r="P698" s="103" t="s">
        <v>153</v>
      </c>
      <c r="Q698" s="103" t="s">
        <v>153</v>
      </c>
      <c r="R698" s="103" t="s">
        <v>153</v>
      </c>
      <c r="S698" s="103" t="str">
        <f>INDEX('Measure &amp; Standard CostIDs'!$AK$8:$AK$12,B698)</f>
        <v>Two-pack</v>
      </c>
      <c r="T698" s="103" t="s">
        <v>867</v>
      </c>
      <c r="U698" s="103"/>
      <c r="V698" s="103"/>
      <c r="W698" s="103">
        <f>ROUND(IF(LEFT(D698,3)="Std",VLOOKUP(D698,'Measure &amp; Standard CostIDs'!$S$5:$X$177,1+B698,FALSE),VLOOKUP(D698,'Measure &amp; Standard CostIDs'!$C$5:$H$177,1+B698,FALSE)),2)</f>
        <v>7.51</v>
      </c>
      <c r="X698" s="103"/>
      <c r="Y698" s="103"/>
      <c r="Z698" s="103" t="s">
        <v>868</v>
      </c>
      <c r="AA698" s="103" t="s">
        <v>874</v>
      </c>
      <c r="AB698" s="103" t="s">
        <v>153</v>
      </c>
      <c r="AC698" s="103">
        <v>0</v>
      </c>
      <c r="AD698" s="156">
        <v>42005</v>
      </c>
      <c r="AE698" s="103"/>
      <c r="AF698" s="103" t="s">
        <v>870</v>
      </c>
      <c r="AG698" s="103" t="s">
        <v>871</v>
      </c>
      <c r="AH698" s="103" t="s">
        <v>976</v>
      </c>
      <c r="AI698" s="103">
        <v>0</v>
      </c>
      <c r="AJ698" s="103"/>
      <c r="AK698" s="103"/>
      <c r="AL698" s="103"/>
      <c r="AM698" s="103"/>
      <c r="AN698" s="103"/>
      <c r="AO698" s="103" t="str">
        <f t="shared" si="31"/>
        <v>CFLscw(48w)Two-pack</v>
      </c>
    </row>
    <row r="699" spans="1:41">
      <c r="A699" s="177">
        <f>IFERROR(MATCH(D699,'Measure &amp; Standard CostIDs'!C$5:C$177,0),MATCH(D699,'Measure &amp; Standard CostIDs'!S$5:S$177,0))</f>
        <v>35</v>
      </c>
      <c r="B699" s="177">
        <f t="shared" si="32"/>
        <v>3</v>
      </c>
      <c r="C699" s="103" t="s">
        <v>153</v>
      </c>
      <c r="D699" s="103" t="str">
        <f t="shared" si="33"/>
        <v>CFLscw(4w)</v>
      </c>
      <c r="E699" s="103" t="str">
        <f>IF(LEFT(D699,3)="Std","Base case cost for mix of 60% Incandescent and 40% CFL lamps for CFL TechID: "&amp;INDEX('Measure &amp; Standard CostIDs'!$C$5:$C$177,A699),"&lt;from TechID&gt;")</f>
        <v>&lt;from TechID&gt;</v>
      </c>
      <c r="F699" s="103" t="s">
        <v>860</v>
      </c>
      <c r="G699" s="103" t="s">
        <v>151</v>
      </c>
      <c r="H699" s="103" t="s">
        <v>861</v>
      </c>
      <c r="I699" s="103" t="s">
        <v>862</v>
      </c>
      <c r="J699" s="103" t="s">
        <v>863</v>
      </c>
      <c r="K699" s="103" t="s">
        <v>864</v>
      </c>
      <c r="L699" s="103" t="s">
        <v>153</v>
      </c>
      <c r="M699" s="103" t="s">
        <v>865</v>
      </c>
      <c r="N699" s="103" t="s">
        <v>866</v>
      </c>
      <c r="O699" s="103" t="str">
        <f t="shared" si="30"/>
        <v>CFLscw(4w)</v>
      </c>
      <c r="P699" s="103" t="s">
        <v>153</v>
      </c>
      <c r="Q699" s="103" t="s">
        <v>153</v>
      </c>
      <c r="R699" s="103" t="s">
        <v>153</v>
      </c>
      <c r="S699" s="103" t="str">
        <f>INDEX('Measure &amp; Standard CostIDs'!$AK$8:$AK$12,B699)</f>
        <v>Two-pack</v>
      </c>
      <c r="T699" s="103" t="s">
        <v>867</v>
      </c>
      <c r="U699" s="103"/>
      <c r="V699" s="103"/>
      <c r="W699" s="103">
        <f>ROUND(IF(LEFT(D699,3)="Std",VLOOKUP(D699,'Measure &amp; Standard CostIDs'!$S$5:$X$177,1+B699,FALSE),VLOOKUP(D699,'Measure &amp; Standard CostIDs'!$C$5:$H$177,1+B699,FALSE)),2)</f>
        <v>2.44</v>
      </c>
      <c r="X699" s="103"/>
      <c r="Y699" s="103"/>
      <c r="Z699" s="103" t="s">
        <v>868</v>
      </c>
      <c r="AA699" s="103" t="s">
        <v>874</v>
      </c>
      <c r="AB699" s="103" t="s">
        <v>153</v>
      </c>
      <c r="AC699" s="103">
        <v>0</v>
      </c>
      <c r="AD699" s="156">
        <v>42005</v>
      </c>
      <c r="AE699" s="103"/>
      <c r="AF699" s="103" t="s">
        <v>870</v>
      </c>
      <c r="AG699" s="103" t="s">
        <v>871</v>
      </c>
      <c r="AH699" s="103" t="s">
        <v>976</v>
      </c>
      <c r="AI699" s="103">
        <v>0</v>
      </c>
      <c r="AJ699" s="103"/>
      <c r="AK699" s="103"/>
      <c r="AL699" s="103"/>
      <c r="AM699" s="103"/>
      <c r="AN699" s="103"/>
      <c r="AO699" s="103" t="str">
        <f t="shared" si="31"/>
        <v>CFLscw(4w)Two-pack</v>
      </c>
    </row>
    <row r="700" spans="1:41">
      <c r="A700" s="177">
        <f>IFERROR(MATCH(D700,'Measure &amp; Standard CostIDs'!C$5:C$177,0),MATCH(D700,'Measure &amp; Standard CostIDs'!S$5:S$177,0))</f>
        <v>36</v>
      </c>
      <c r="B700" s="177">
        <f t="shared" si="32"/>
        <v>3</v>
      </c>
      <c r="C700" s="103" t="s">
        <v>153</v>
      </c>
      <c r="D700" s="103" t="str">
        <f t="shared" si="33"/>
        <v>CFLscw(50w)</v>
      </c>
      <c r="E700" s="103" t="str">
        <f>IF(LEFT(D700,3)="Std","Base case cost for mix of 60% Incandescent and 40% CFL lamps for CFL TechID: "&amp;INDEX('Measure &amp; Standard CostIDs'!$C$5:$C$177,A700),"&lt;from TechID&gt;")</f>
        <v>&lt;from TechID&gt;</v>
      </c>
      <c r="F700" s="103" t="s">
        <v>860</v>
      </c>
      <c r="G700" s="103" t="s">
        <v>151</v>
      </c>
      <c r="H700" s="103" t="s">
        <v>861</v>
      </c>
      <c r="I700" s="103" t="s">
        <v>862</v>
      </c>
      <c r="J700" s="103" t="s">
        <v>863</v>
      </c>
      <c r="K700" s="103" t="s">
        <v>864</v>
      </c>
      <c r="L700" s="103" t="s">
        <v>153</v>
      </c>
      <c r="M700" s="103" t="s">
        <v>865</v>
      </c>
      <c r="N700" s="103" t="s">
        <v>866</v>
      </c>
      <c r="O700" s="103" t="str">
        <f t="shared" si="30"/>
        <v>CFLscw(50w)</v>
      </c>
      <c r="P700" s="103" t="s">
        <v>153</v>
      </c>
      <c r="Q700" s="103" t="s">
        <v>153</v>
      </c>
      <c r="R700" s="103" t="s">
        <v>153</v>
      </c>
      <c r="S700" s="103" t="str">
        <f>INDEX('Measure &amp; Standard CostIDs'!$AK$8:$AK$12,B700)</f>
        <v>Two-pack</v>
      </c>
      <c r="T700" s="103" t="s">
        <v>867</v>
      </c>
      <c r="U700" s="103"/>
      <c r="V700" s="103"/>
      <c r="W700" s="103">
        <f>ROUND(IF(LEFT(D700,3)="Std",VLOOKUP(D700,'Measure &amp; Standard CostIDs'!$S$5:$X$177,1+B700,FALSE),VLOOKUP(D700,'Measure &amp; Standard CostIDs'!$C$5:$H$177,1+B700,FALSE)),2)</f>
        <v>7.83</v>
      </c>
      <c r="X700" s="103"/>
      <c r="Y700" s="103"/>
      <c r="Z700" s="103" t="s">
        <v>868</v>
      </c>
      <c r="AA700" s="103" t="s">
        <v>874</v>
      </c>
      <c r="AB700" s="103" t="s">
        <v>153</v>
      </c>
      <c r="AC700" s="103">
        <v>0</v>
      </c>
      <c r="AD700" s="156">
        <v>42005</v>
      </c>
      <c r="AE700" s="103"/>
      <c r="AF700" s="103" t="s">
        <v>870</v>
      </c>
      <c r="AG700" s="103" t="s">
        <v>871</v>
      </c>
      <c r="AH700" s="103" t="s">
        <v>976</v>
      </c>
      <c r="AI700" s="103">
        <v>0</v>
      </c>
      <c r="AJ700" s="103"/>
      <c r="AK700" s="103"/>
      <c r="AL700" s="103"/>
      <c r="AM700" s="103"/>
      <c r="AN700" s="103"/>
      <c r="AO700" s="103" t="str">
        <f t="shared" si="31"/>
        <v>CFLscw(50w)Two-pack</v>
      </c>
    </row>
    <row r="701" spans="1:41">
      <c r="A701" s="177">
        <f>IFERROR(MATCH(D701,'Measure &amp; Standard CostIDs'!C$5:C$177,0),MATCH(D701,'Measure &amp; Standard CostIDs'!S$5:S$177,0))</f>
        <v>37</v>
      </c>
      <c r="B701" s="177">
        <f t="shared" si="32"/>
        <v>3</v>
      </c>
      <c r="C701" s="103" t="s">
        <v>153</v>
      </c>
      <c r="D701" s="103" t="str">
        <f t="shared" si="33"/>
        <v>CFLscw(52w)</v>
      </c>
      <c r="E701" s="103" t="str">
        <f>IF(LEFT(D701,3)="Std","Base case cost for mix of 60% Incandescent and 40% CFL lamps for CFL TechID: "&amp;INDEX('Measure &amp; Standard CostIDs'!$C$5:$C$177,A701),"&lt;from TechID&gt;")</f>
        <v>&lt;from TechID&gt;</v>
      </c>
      <c r="F701" s="103" t="s">
        <v>860</v>
      </c>
      <c r="G701" s="103" t="s">
        <v>151</v>
      </c>
      <c r="H701" s="103" t="s">
        <v>861</v>
      </c>
      <c r="I701" s="103" t="s">
        <v>862</v>
      </c>
      <c r="J701" s="103" t="s">
        <v>863</v>
      </c>
      <c r="K701" s="103" t="s">
        <v>864</v>
      </c>
      <c r="L701" s="103" t="s">
        <v>153</v>
      </c>
      <c r="M701" s="103" t="s">
        <v>865</v>
      </c>
      <c r="N701" s="103" t="s">
        <v>866</v>
      </c>
      <c r="O701" s="103" t="str">
        <f t="shared" si="30"/>
        <v>CFLscw(52w)</v>
      </c>
      <c r="P701" s="103" t="s">
        <v>153</v>
      </c>
      <c r="Q701" s="103" t="s">
        <v>153</v>
      </c>
      <c r="R701" s="103" t="s">
        <v>153</v>
      </c>
      <c r="S701" s="103" t="str">
        <f>INDEX('Measure &amp; Standard CostIDs'!$AK$8:$AK$12,B701)</f>
        <v>Two-pack</v>
      </c>
      <c r="T701" s="103" t="s">
        <v>867</v>
      </c>
      <c r="U701" s="103"/>
      <c r="V701" s="103"/>
      <c r="W701" s="103">
        <f>ROUND(IF(LEFT(D701,3)="Std",VLOOKUP(D701,'Measure &amp; Standard CostIDs'!$S$5:$X$177,1+B701,FALSE),VLOOKUP(D701,'Measure &amp; Standard CostIDs'!$C$5:$H$177,1+B701,FALSE)),2)</f>
        <v>8.15</v>
      </c>
      <c r="X701" s="103"/>
      <c r="Y701" s="103"/>
      <c r="Z701" s="103" t="s">
        <v>868</v>
      </c>
      <c r="AA701" s="103" t="s">
        <v>874</v>
      </c>
      <c r="AB701" s="103" t="s">
        <v>153</v>
      </c>
      <c r="AC701" s="103">
        <v>0</v>
      </c>
      <c r="AD701" s="156">
        <v>42005</v>
      </c>
      <c r="AE701" s="103"/>
      <c r="AF701" s="103" t="s">
        <v>870</v>
      </c>
      <c r="AG701" s="103" t="s">
        <v>871</v>
      </c>
      <c r="AH701" s="103" t="s">
        <v>976</v>
      </c>
      <c r="AI701" s="103">
        <v>0</v>
      </c>
      <c r="AJ701" s="103"/>
      <c r="AK701" s="103"/>
      <c r="AL701" s="103"/>
      <c r="AM701" s="103"/>
      <c r="AN701" s="103"/>
      <c r="AO701" s="103" t="str">
        <f t="shared" si="31"/>
        <v>CFLscw(52w)Two-pack</v>
      </c>
    </row>
    <row r="702" spans="1:41">
      <c r="A702" s="177">
        <f>IFERROR(MATCH(D702,'Measure &amp; Standard CostIDs'!C$5:C$177,0),MATCH(D702,'Measure &amp; Standard CostIDs'!S$5:S$177,0))</f>
        <v>38</v>
      </c>
      <c r="B702" s="177">
        <f t="shared" si="32"/>
        <v>3</v>
      </c>
      <c r="C702" s="103" t="s">
        <v>153</v>
      </c>
      <c r="D702" s="103" t="str">
        <f t="shared" si="33"/>
        <v>CFLscw(55w)</v>
      </c>
      <c r="E702" s="103" t="str">
        <f>IF(LEFT(D702,3)="Std","Base case cost for mix of 60% Incandescent and 40% CFL lamps for CFL TechID: "&amp;INDEX('Measure &amp; Standard CostIDs'!$C$5:$C$177,A702),"&lt;from TechID&gt;")</f>
        <v>&lt;from TechID&gt;</v>
      </c>
      <c r="F702" s="103" t="s">
        <v>860</v>
      </c>
      <c r="G702" s="103" t="s">
        <v>151</v>
      </c>
      <c r="H702" s="103" t="s">
        <v>861</v>
      </c>
      <c r="I702" s="103" t="s">
        <v>862</v>
      </c>
      <c r="J702" s="103" t="s">
        <v>863</v>
      </c>
      <c r="K702" s="103" t="s">
        <v>864</v>
      </c>
      <c r="L702" s="103" t="s">
        <v>153</v>
      </c>
      <c r="M702" s="103" t="s">
        <v>865</v>
      </c>
      <c r="N702" s="103" t="s">
        <v>866</v>
      </c>
      <c r="O702" s="103" t="str">
        <f t="shared" si="30"/>
        <v>CFLscw(55w)</v>
      </c>
      <c r="P702" s="103" t="s">
        <v>153</v>
      </c>
      <c r="Q702" s="103" t="s">
        <v>153</v>
      </c>
      <c r="R702" s="103" t="s">
        <v>153</v>
      </c>
      <c r="S702" s="103" t="str">
        <f>INDEX('Measure &amp; Standard CostIDs'!$AK$8:$AK$12,B702)</f>
        <v>Two-pack</v>
      </c>
      <c r="T702" s="103" t="s">
        <v>867</v>
      </c>
      <c r="U702" s="103"/>
      <c r="V702" s="103"/>
      <c r="W702" s="103">
        <f>ROUND(IF(LEFT(D702,3)="Std",VLOOKUP(D702,'Measure &amp; Standard CostIDs'!$S$5:$X$177,1+B702,FALSE),VLOOKUP(D702,'Measure &amp; Standard CostIDs'!$C$5:$H$177,1+B702,FALSE)),2)</f>
        <v>8.6300000000000008</v>
      </c>
      <c r="X702" s="103"/>
      <c r="Y702" s="103"/>
      <c r="Z702" s="103" t="s">
        <v>868</v>
      </c>
      <c r="AA702" s="103" t="s">
        <v>874</v>
      </c>
      <c r="AB702" s="103" t="s">
        <v>153</v>
      </c>
      <c r="AC702" s="103">
        <v>0</v>
      </c>
      <c r="AD702" s="156">
        <v>42005</v>
      </c>
      <c r="AE702" s="103"/>
      <c r="AF702" s="103" t="s">
        <v>870</v>
      </c>
      <c r="AG702" s="103" t="s">
        <v>871</v>
      </c>
      <c r="AH702" s="103" t="s">
        <v>976</v>
      </c>
      <c r="AI702" s="103">
        <v>0</v>
      </c>
      <c r="AJ702" s="103"/>
      <c r="AK702" s="103"/>
      <c r="AL702" s="103"/>
      <c r="AM702" s="103"/>
      <c r="AN702" s="103"/>
      <c r="AO702" s="103" t="str">
        <f t="shared" si="31"/>
        <v>CFLscw(55w)Two-pack</v>
      </c>
    </row>
    <row r="703" spans="1:41">
      <c r="A703" s="177">
        <f>IFERROR(MATCH(D703,'Measure &amp; Standard CostIDs'!C$5:C$177,0),MATCH(D703,'Measure &amp; Standard CostIDs'!S$5:S$177,0))</f>
        <v>39</v>
      </c>
      <c r="B703" s="177">
        <f t="shared" si="32"/>
        <v>3</v>
      </c>
      <c r="C703" s="103" t="s">
        <v>153</v>
      </c>
      <c r="D703" s="103" t="str">
        <f t="shared" si="33"/>
        <v>CFLscw(5w)</v>
      </c>
      <c r="E703" s="103" t="str">
        <f>IF(LEFT(D703,3)="Std","Base case cost for mix of 60% Incandescent and 40% CFL lamps for CFL TechID: "&amp;INDEX('Measure &amp; Standard CostIDs'!$C$5:$C$177,A703),"&lt;from TechID&gt;")</f>
        <v>&lt;from TechID&gt;</v>
      </c>
      <c r="F703" s="103" t="s">
        <v>860</v>
      </c>
      <c r="G703" s="103" t="s">
        <v>151</v>
      </c>
      <c r="H703" s="103" t="s">
        <v>861</v>
      </c>
      <c r="I703" s="103" t="s">
        <v>862</v>
      </c>
      <c r="J703" s="103" t="s">
        <v>863</v>
      </c>
      <c r="K703" s="103" t="s">
        <v>864</v>
      </c>
      <c r="L703" s="103" t="s">
        <v>153</v>
      </c>
      <c r="M703" s="103" t="s">
        <v>865</v>
      </c>
      <c r="N703" s="103" t="s">
        <v>866</v>
      </c>
      <c r="O703" s="103" t="str">
        <f t="shared" si="30"/>
        <v>CFLscw(5w)</v>
      </c>
      <c r="P703" s="103" t="s">
        <v>153</v>
      </c>
      <c r="Q703" s="103" t="s">
        <v>153</v>
      </c>
      <c r="R703" s="103" t="s">
        <v>153</v>
      </c>
      <c r="S703" s="103" t="str">
        <f>INDEX('Measure &amp; Standard CostIDs'!$AK$8:$AK$12,B703)</f>
        <v>Two-pack</v>
      </c>
      <c r="T703" s="103" t="s">
        <v>867</v>
      </c>
      <c r="U703" s="103"/>
      <c r="V703" s="103"/>
      <c r="W703" s="103">
        <f>ROUND(IF(LEFT(D703,3)="Std",VLOOKUP(D703,'Measure &amp; Standard CostIDs'!$S$5:$X$177,1+B703,FALSE),VLOOKUP(D703,'Measure &amp; Standard CostIDs'!$C$5:$H$177,1+B703,FALSE)),2)</f>
        <v>2.5</v>
      </c>
      <c r="X703" s="103"/>
      <c r="Y703" s="103"/>
      <c r="Z703" s="103" t="s">
        <v>868</v>
      </c>
      <c r="AA703" s="103" t="s">
        <v>874</v>
      </c>
      <c r="AB703" s="103" t="s">
        <v>153</v>
      </c>
      <c r="AC703" s="103">
        <v>0</v>
      </c>
      <c r="AD703" s="156">
        <v>42005</v>
      </c>
      <c r="AE703" s="103"/>
      <c r="AF703" s="103" t="s">
        <v>870</v>
      </c>
      <c r="AG703" s="103" t="s">
        <v>871</v>
      </c>
      <c r="AH703" s="103" t="s">
        <v>976</v>
      </c>
      <c r="AI703" s="103">
        <v>0</v>
      </c>
      <c r="AJ703" s="103"/>
      <c r="AK703" s="103"/>
      <c r="AL703" s="103"/>
      <c r="AM703" s="103"/>
      <c r="AN703" s="103"/>
      <c r="AO703" s="103" t="str">
        <f t="shared" si="31"/>
        <v>CFLscw(5w)Two-pack</v>
      </c>
    </row>
    <row r="704" spans="1:41">
      <c r="A704" s="177">
        <f>IFERROR(MATCH(D704,'Measure &amp; Standard CostIDs'!C$5:C$177,0),MATCH(D704,'Measure &amp; Standard CostIDs'!S$5:S$177,0))</f>
        <v>40</v>
      </c>
      <c r="B704" s="177">
        <f t="shared" si="32"/>
        <v>3</v>
      </c>
      <c r="C704" s="103" t="s">
        <v>153</v>
      </c>
      <c r="D704" s="103" t="str">
        <f t="shared" si="33"/>
        <v>CFLscw(68w)</v>
      </c>
      <c r="E704" s="103" t="str">
        <f>IF(LEFT(D704,3)="Std","Base case cost for mix of 60% Incandescent and 40% CFL lamps for CFL TechID: "&amp;INDEX('Measure &amp; Standard CostIDs'!$C$5:$C$177,A704),"&lt;from TechID&gt;")</f>
        <v>&lt;from TechID&gt;</v>
      </c>
      <c r="F704" s="103" t="s">
        <v>860</v>
      </c>
      <c r="G704" s="103" t="s">
        <v>151</v>
      </c>
      <c r="H704" s="103" t="s">
        <v>861</v>
      </c>
      <c r="I704" s="103" t="s">
        <v>862</v>
      </c>
      <c r="J704" s="103" t="s">
        <v>863</v>
      </c>
      <c r="K704" s="103" t="s">
        <v>864</v>
      </c>
      <c r="L704" s="103" t="s">
        <v>153</v>
      </c>
      <c r="M704" s="103" t="s">
        <v>865</v>
      </c>
      <c r="N704" s="103" t="s">
        <v>866</v>
      </c>
      <c r="O704" s="103" t="str">
        <f t="shared" si="30"/>
        <v>CFLscw(68w)</v>
      </c>
      <c r="P704" s="103" t="s">
        <v>153</v>
      </c>
      <c r="Q704" s="103" t="s">
        <v>153</v>
      </c>
      <c r="R704" s="103" t="s">
        <v>153</v>
      </c>
      <c r="S704" s="103" t="str">
        <f>INDEX('Measure &amp; Standard CostIDs'!$AK$8:$AK$12,B704)</f>
        <v>Two-pack</v>
      </c>
      <c r="T704" s="103" t="s">
        <v>867</v>
      </c>
      <c r="U704" s="103"/>
      <c r="V704" s="103"/>
      <c r="W704" s="103">
        <f>ROUND(IF(LEFT(D704,3)="Std",VLOOKUP(D704,'Measure &amp; Standard CostIDs'!$S$5:$X$177,1+B704,FALSE),VLOOKUP(D704,'Measure &amp; Standard CostIDs'!$C$5:$H$177,1+B704,FALSE)),2)</f>
        <v>10.71</v>
      </c>
      <c r="X704" s="103"/>
      <c r="Y704" s="103"/>
      <c r="Z704" s="103" t="s">
        <v>868</v>
      </c>
      <c r="AA704" s="103" t="s">
        <v>874</v>
      </c>
      <c r="AB704" s="103" t="s">
        <v>153</v>
      </c>
      <c r="AC704" s="103">
        <v>0</v>
      </c>
      <c r="AD704" s="156">
        <v>42005</v>
      </c>
      <c r="AE704" s="103"/>
      <c r="AF704" s="103" t="s">
        <v>870</v>
      </c>
      <c r="AG704" s="103" t="s">
        <v>871</v>
      </c>
      <c r="AH704" s="103" t="s">
        <v>976</v>
      </c>
      <c r="AI704" s="103">
        <v>0</v>
      </c>
      <c r="AJ704" s="103"/>
      <c r="AK704" s="103"/>
      <c r="AL704" s="103"/>
      <c r="AM704" s="103"/>
      <c r="AN704" s="103"/>
      <c r="AO704" s="103" t="str">
        <f t="shared" si="31"/>
        <v>CFLscw(68w)Two-pack</v>
      </c>
    </row>
    <row r="705" spans="1:41">
      <c r="A705" s="177">
        <f>IFERROR(MATCH(D705,'Measure &amp; Standard CostIDs'!C$5:C$177,0),MATCH(D705,'Measure &amp; Standard CostIDs'!S$5:S$177,0))</f>
        <v>41</v>
      </c>
      <c r="B705" s="177">
        <f t="shared" si="32"/>
        <v>3</v>
      </c>
      <c r="C705" s="103" t="s">
        <v>153</v>
      </c>
      <c r="D705" s="103" t="str">
        <f t="shared" si="33"/>
        <v>CFLscw(69w)</v>
      </c>
      <c r="E705" s="103" t="str">
        <f>IF(LEFT(D705,3)="Std","Base case cost for mix of 60% Incandescent and 40% CFL lamps for CFL TechID: "&amp;INDEX('Measure &amp; Standard CostIDs'!$C$5:$C$177,A705),"&lt;from TechID&gt;")</f>
        <v>&lt;from TechID&gt;</v>
      </c>
      <c r="F705" s="103" t="s">
        <v>860</v>
      </c>
      <c r="G705" s="103" t="s">
        <v>151</v>
      </c>
      <c r="H705" s="103" t="s">
        <v>861</v>
      </c>
      <c r="I705" s="103" t="s">
        <v>862</v>
      </c>
      <c r="J705" s="103" t="s">
        <v>863</v>
      </c>
      <c r="K705" s="103" t="s">
        <v>864</v>
      </c>
      <c r="L705" s="103" t="s">
        <v>153</v>
      </c>
      <c r="M705" s="103" t="s">
        <v>865</v>
      </c>
      <c r="N705" s="103" t="s">
        <v>866</v>
      </c>
      <c r="O705" s="103" t="str">
        <f t="shared" si="30"/>
        <v>CFLscw(69w)</v>
      </c>
      <c r="P705" s="103" t="s">
        <v>153</v>
      </c>
      <c r="Q705" s="103" t="s">
        <v>153</v>
      </c>
      <c r="R705" s="103" t="s">
        <v>153</v>
      </c>
      <c r="S705" s="103" t="str">
        <f>INDEX('Measure &amp; Standard CostIDs'!$AK$8:$AK$12,B705)</f>
        <v>Two-pack</v>
      </c>
      <c r="T705" s="103" t="s">
        <v>867</v>
      </c>
      <c r="U705" s="103"/>
      <c r="V705" s="103"/>
      <c r="W705" s="103">
        <f>ROUND(IF(LEFT(D705,3)="Std",VLOOKUP(D705,'Measure &amp; Standard CostIDs'!$S$5:$X$177,1+B705,FALSE),VLOOKUP(D705,'Measure &amp; Standard CostIDs'!$C$5:$H$177,1+B705,FALSE)),2)</f>
        <v>10.87</v>
      </c>
      <c r="X705" s="103"/>
      <c r="Y705" s="103"/>
      <c r="Z705" s="103" t="s">
        <v>868</v>
      </c>
      <c r="AA705" s="103" t="s">
        <v>874</v>
      </c>
      <c r="AB705" s="103" t="s">
        <v>153</v>
      </c>
      <c r="AC705" s="103">
        <v>0</v>
      </c>
      <c r="AD705" s="156">
        <v>42005</v>
      </c>
      <c r="AE705" s="103"/>
      <c r="AF705" s="103" t="s">
        <v>870</v>
      </c>
      <c r="AG705" s="103" t="s">
        <v>871</v>
      </c>
      <c r="AH705" s="103" t="s">
        <v>976</v>
      </c>
      <c r="AI705" s="103">
        <v>0</v>
      </c>
      <c r="AJ705" s="103"/>
      <c r="AK705" s="103"/>
      <c r="AL705" s="103"/>
      <c r="AM705" s="103"/>
      <c r="AN705" s="103"/>
      <c r="AO705" s="103" t="str">
        <f t="shared" si="31"/>
        <v>CFLscw(69w)Two-pack</v>
      </c>
    </row>
    <row r="706" spans="1:41">
      <c r="A706" s="177">
        <f>IFERROR(MATCH(D706,'Measure &amp; Standard CostIDs'!C$5:C$177,0),MATCH(D706,'Measure &amp; Standard CostIDs'!S$5:S$177,0))</f>
        <v>42</v>
      </c>
      <c r="B706" s="177">
        <f t="shared" si="32"/>
        <v>3</v>
      </c>
      <c r="C706" s="103" t="s">
        <v>153</v>
      </c>
      <c r="D706" s="103" t="str">
        <f t="shared" si="33"/>
        <v>CFLscw(6w)</v>
      </c>
      <c r="E706" s="103" t="str">
        <f>IF(LEFT(D706,3)="Std","Base case cost for mix of 60% Incandescent and 40% CFL lamps for CFL TechID: "&amp;INDEX('Measure &amp; Standard CostIDs'!$C$5:$C$177,A706),"&lt;from TechID&gt;")</f>
        <v>&lt;from TechID&gt;</v>
      </c>
      <c r="F706" s="103" t="s">
        <v>860</v>
      </c>
      <c r="G706" s="103" t="s">
        <v>151</v>
      </c>
      <c r="H706" s="103" t="s">
        <v>861</v>
      </c>
      <c r="I706" s="103" t="s">
        <v>862</v>
      </c>
      <c r="J706" s="103" t="s">
        <v>863</v>
      </c>
      <c r="K706" s="103" t="s">
        <v>864</v>
      </c>
      <c r="L706" s="103" t="s">
        <v>153</v>
      </c>
      <c r="M706" s="103" t="s">
        <v>865</v>
      </c>
      <c r="N706" s="103" t="s">
        <v>866</v>
      </c>
      <c r="O706" s="103" t="str">
        <f t="shared" si="30"/>
        <v>CFLscw(6w)</v>
      </c>
      <c r="P706" s="103" t="s">
        <v>153</v>
      </c>
      <c r="Q706" s="103" t="s">
        <v>153</v>
      </c>
      <c r="R706" s="103" t="s">
        <v>153</v>
      </c>
      <c r="S706" s="103" t="str">
        <f>INDEX('Measure &amp; Standard CostIDs'!$AK$8:$AK$12,B706)</f>
        <v>Two-pack</v>
      </c>
      <c r="T706" s="103" t="s">
        <v>867</v>
      </c>
      <c r="U706" s="103"/>
      <c r="V706" s="103"/>
      <c r="W706" s="103">
        <f>ROUND(IF(LEFT(D706,3)="Std",VLOOKUP(D706,'Measure &amp; Standard CostIDs'!$S$5:$X$177,1+B706,FALSE),VLOOKUP(D706,'Measure &amp; Standard CostIDs'!$C$5:$H$177,1+B706,FALSE)),2)</f>
        <v>2.57</v>
      </c>
      <c r="X706" s="103"/>
      <c r="Y706" s="103"/>
      <c r="Z706" s="103" t="s">
        <v>868</v>
      </c>
      <c r="AA706" s="103" t="s">
        <v>874</v>
      </c>
      <c r="AB706" s="103" t="s">
        <v>153</v>
      </c>
      <c r="AC706" s="103">
        <v>0</v>
      </c>
      <c r="AD706" s="156">
        <v>42005</v>
      </c>
      <c r="AE706" s="103"/>
      <c r="AF706" s="103" t="s">
        <v>870</v>
      </c>
      <c r="AG706" s="103" t="s">
        <v>871</v>
      </c>
      <c r="AH706" s="103" t="s">
        <v>976</v>
      </c>
      <c r="AI706" s="103">
        <v>0</v>
      </c>
      <c r="AJ706" s="103"/>
      <c r="AK706" s="103"/>
      <c r="AL706" s="103"/>
      <c r="AM706" s="103"/>
      <c r="AN706" s="103"/>
      <c r="AO706" s="103" t="str">
        <f t="shared" si="31"/>
        <v>CFLscw(6w)Two-pack</v>
      </c>
    </row>
    <row r="707" spans="1:41">
      <c r="A707" s="177">
        <f>IFERROR(MATCH(D707,'Measure &amp; Standard CostIDs'!C$5:C$177,0),MATCH(D707,'Measure &amp; Standard CostIDs'!S$5:S$177,0))</f>
        <v>43</v>
      </c>
      <c r="B707" s="177">
        <f t="shared" si="32"/>
        <v>3</v>
      </c>
      <c r="C707" s="103" t="s">
        <v>153</v>
      </c>
      <c r="D707" s="103" t="str">
        <f t="shared" si="33"/>
        <v>CFLscw(7w)</v>
      </c>
      <c r="E707" s="103" t="str">
        <f>IF(LEFT(D707,3)="Std","Base case cost for mix of 60% Incandescent and 40% CFL lamps for CFL TechID: "&amp;INDEX('Measure &amp; Standard CostIDs'!$C$5:$C$177,A707),"&lt;from TechID&gt;")</f>
        <v>&lt;from TechID&gt;</v>
      </c>
      <c r="F707" s="103" t="s">
        <v>860</v>
      </c>
      <c r="G707" s="103" t="s">
        <v>151</v>
      </c>
      <c r="H707" s="103" t="s">
        <v>861</v>
      </c>
      <c r="I707" s="103" t="s">
        <v>862</v>
      </c>
      <c r="J707" s="103" t="s">
        <v>863</v>
      </c>
      <c r="K707" s="103" t="s">
        <v>864</v>
      </c>
      <c r="L707" s="103" t="s">
        <v>153</v>
      </c>
      <c r="M707" s="103" t="s">
        <v>865</v>
      </c>
      <c r="N707" s="103" t="s">
        <v>866</v>
      </c>
      <c r="O707" s="103" t="str">
        <f t="shared" si="30"/>
        <v>CFLscw(7w)</v>
      </c>
      <c r="P707" s="103" t="s">
        <v>153</v>
      </c>
      <c r="Q707" s="103" t="s">
        <v>153</v>
      </c>
      <c r="R707" s="103" t="s">
        <v>153</v>
      </c>
      <c r="S707" s="103" t="str">
        <f>INDEX('Measure &amp; Standard CostIDs'!$AK$8:$AK$12,B707)</f>
        <v>Two-pack</v>
      </c>
      <c r="T707" s="103" t="s">
        <v>867</v>
      </c>
      <c r="U707" s="103"/>
      <c r="V707" s="103"/>
      <c r="W707" s="103">
        <f>ROUND(IF(LEFT(D707,3)="Std",VLOOKUP(D707,'Measure &amp; Standard CostIDs'!$S$5:$X$177,1+B707,FALSE),VLOOKUP(D707,'Measure &amp; Standard CostIDs'!$C$5:$H$177,1+B707,FALSE)),2)</f>
        <v>2.64</v>
      </c>
      <c r="X707" s="103"/>
      <c r="Y707" s="103"/>
      <c r="Z707" s="103" t="s">
        <v>868</v>
      </c>
      <c r="AA707" s="103" t="s">
        <v>874</v>
      </c>
      <c r="AB707" s="103" t="s">
        <v>153</v>
      </c>
      <c r="AC707" s="103">
        <v>0</v>
      </c>
      <c r="AD707" s="156">
        <v>42005</v>
      </c>
      <c r="AE707" s="103"/>
      <c r="AF707" s="103" t="s">
        <v>870</v>
      </c>
      <c r="AG707" s="103" t="s">
        <v>871</v>
      </c>
      <c r="AH707" s="103" t="s">
        <v>976</v>
      </c>
      <c r="AI707" s="103">
        <v>0</v>
      </c>
      <c r="AJ707" s="103"/>
      <c r="AK707" s="103"/>
      <c r="AL707" s="103"/>
      <c r="AM707" s="103"/>
      <c r="AN707" s="103"/>
      <c r="AO707" s="103" t="str">
        <f t="shared" si="31"/>
        <v>CFLscw(7w)Two-pack</v>
      </c>
    </row>
    <row r="708" spans="1:41">
      <c r="A708" s="177">
        <f>IFERROR(MATCH(D708,'Measure &amp; Standard CostIDs'!C$5:C$177,0),MATCH(D708,'Measure &amp; Standard CostIDs'!S$5:S$177,0))</f>
        <v>44</v>
      </c>
      <c r="B708" s="177">
        <f t="shared" si="32"/>
        <v>3</v>
      </c>
      <c r="C708" s="103" t="s">
        <v>153</v>
      </c>
      <c r="D708" s="103" t="str">
        <f t="shared" si="33"/>
        <v>CFLscw(84w)</v>
      </c>
      <c r="E708" s="103" t="str">
        <f>IF(LEFT(D708,3)="Std","Base case cost for mix of 60% Incandescent and 40% CFL lamps for CFL TechID: "&amp;INDEX('Measure &amp; Standard CostIDs'!$C$5:$C$177,A708),"&lt;from TechID&gt;")</f>
        <v>&lt;from TechID&gt;</v>
      </c>
      <c r="F708" s="103" t="s">
        <v>860</v>
      </c>
      <c r="G708" s="103" t="s">
        <v>151</v>
      </c>
      <c r="H708" s="103" t="s">
        <v>861</v>
      </c>
      <c r="I708" s="103" t="s">
        <v>862</v>
      </c>
      <c r="J708" s="103" t="s">
        <v>863</v>
      </c>
      <c r="K708" s="103" t="s">
        <v>864</v>
      </c>
      <c r="L708" s="103" t="s">
        <v>153</v>
      </c>
      <c r="M708" s="103" t="s">
        <v>865</v>
      </c>
      <c r="N708" s="103" t="s">
        <v>866</v>
      </c>
      <c r="O708" s="103" t="str">
        <f t="shared" si="30"/>
        <v>CFLscw(84w)</v>
      </c>
      <c r="P708" s="103" t="s">
        <v>153</v>
      </c>
      <c r="Q708" s="103" t="s">
        <v>153</v>
      </c>
      <c r="R708" s="103" t="s">
        <v>153</v>
      </c>
      <c r="S708" s="103" t="str">
        <f>INDEX('Measure &amp; Standard CostIDs'!$AK$8:$AK$12,B708)</f>
        <v>Two-pack</v>
      </c>
      <c r="T708" s="103" t="s">
        <v>867</v>
      </c>
      <c r="U708" s="103"/>
      <c r="V708" s="103"/>
      <c r="W708" s="103">
        <f>ROUND(IF(LEFT(D708,3)="Std",VLOOKUP(D708,'Measure &amp; Standard CostIDs'!$S$5:$X$177,1+B708,FALSE),VLOOKUP(D708,'Measure &amp; Standard CostIDs'!$C$5:$H$177,1+B708,FALSE)),2)</f>
        <v>13.27</v>
      </c>
      <c r="X708" s="103"/>
      <c r="Y708" s="103"/>
      <c r="Z708" s="103" t="s">
        <v>868</v>
      </c>
      <c r="AA708" s="103" t="s">
        <v>874</v>
      </c>
      <c r="AB708" s="103" t="s">
        <v>153</v>
      </c>
      <c r="AC708" s="103">
        <v>0</v>
      </c>
      <c r="AD708" s="156">
        <v>42005</v>
      </c>
      <c r="AE708" s="103"/>
      <c r="AF708" s="103" t="s">
        <v>870</v>
      </c>
      <c r="AG708" s="103" t="s">
        <v>871</v>
      </c>
      <c r="AH708" s="103" t="s">
        <v>976</v>
      </c>
      <c r="AI708" s="103">
        <v>0</v>
      </c>
      <c r="AJ708" s="103"/>
      <c r="AK708" s="103"/>
      <c r="AL708" s="103"/>
      <c r="AM708" s="103"/>
      <c r="AN708" s="103"/>
      <c r="AO708" s="103" t="str">
        <f t="shared" si="31"/>
        <v>CFLscw(84w)Two-pack</v>
      </c>
    </row>
    <row r="709" spans="1:41">
      <c r="A709" s="177">
        <f>IFERROR(MATCH(D709,'Measure &amp; Standard CostIDs'!C$5:C$177,0),MATCH(D709,'Measure &amp; Standard CostIDs'!S$5:S$177,0))</f>
        <v>45</v>
      </c>
      <c r="B709" s="177">
        <f t="shared" si="32"/>
        <v>3</v>
      </c>
      <c r="C709" s="103" t="s">
        <v>153</v>
      </c>
      <c r="D709" s="103" t="str">
        <f t="shared" si="33"/>
        <v>CFLscw(85w)</v>
      </c>
      <c r="E709" s="103" t="str">
        <f>IF(LEFT(D709,3)="Std","Base case cost for mix of 60% Incandescent and 40% CFL lamps for CFL TechID: "&amp;INDEX('Measure &amp; Standard CostIDs'!$C$5:$C$177,A709),"&lt;from TechID&gt;")</f>
        <v>&lt;from TechID&gt;</v>
      </c>
      <c r="F709" s="103" t="s">
        <v>860</v>
      </c>
      <c r="G709" s="103" t="s">
        <v>151</v>
      </c>
      <c r="H709" s="103" t="s">
        <v>861</v>
      </c>
      <c r="I709" s="103" t="s">
        <v>862</v>
      </c>
      <c r="J709" s="103" t="s">
        <v>863</v>
      </c>
      <c r="K709" s="103" t="s">
        <v>864</v>
      </c>
      <c r="L709" s="103" t="s">
        <v>153</v>
      </c>
      <c r="M709" s="103" t="s">
        <v>865</v>
      </c>
      <c r="N709" s="103" t="s">
        <v>866</v>
      </c>
      <c r="O709" s="103" t="str">
        <f t="shared" si="30"/>
        <v>CFLscw(85w)</v>
      </c>
      <c r="P709" s="103" t="s">
        <v>153</v>
      </c>
      <c r="Q709" s="103" t="s">
        <v>153</v>
      </c>
      <c r="R709" s="103" t="s">
        <v>153</v>
      </c>
      <c r="S709" s="103" t="str">
        <f>INDEX('Measure &amp; Standard CostIDs'!$AK$8:$AK$12,B709)</f>
        <v>Two-pack</v>
      </c>
      <c r="T709" s="103" t="s">
        <v>867</v>
      </c>
      <c r="U709" s="103"/>
      <c r="V709" s="103"/>
      <c r="W709" s="103">
        <f>ROUND(IF(LEFT(D709,3)="Std",VLOOKUP(D709,'Measure &amp; Standard CostIDs'!$S$5:$X$177,1+B709,FALSE),VLOOKUP(D709,'Measure &amp; Standard CostIDs'!$C$5:$H$177,1+B709,FALSE)),2)</f>
        <v>13.43</v>
      </c>
      <c r="X709" s="103"/>
      <c r="Y709" s="103"/>
      <c r="Z709" s="103" t="s">
        <v>868</v>
      </c>
      <c r="AA709" s="103" t="s">
        <v>874</v>
      </c>
      <c r="AB709" s="103" t="s">
        <v>153</v>
      </c>
      <c r="AC709" s="103">
        <v>0</v>
      </c>
      <c r="AD709" s="156">
        <v>42005</v>
      </c>
      <c r="AE709" s="103"/>
      <c r="AF709" s="103" t="s">
        <v>870</v>
      </c>
      <c r="AG709" s="103" t="s">
        <v>871</v>
      </c>
      <c r="AH709" s="103" t="s">
        <v>976</v>
      </c>
      <c r="AI709" s="103">
        <v>0</v>
      </c>
      <c r="AJ709" s="103"/>
      <c r="AK709" s="103"/>
      <c r="AL709" s="103"/>
      <c r="AM709" s="103"/>
      <c r="AN709" s="103"/>
      <c r="AO709" s="103" t="str">
        <f t="shared" si="31"/>
        <v>CFLscw(85w)Two-pack</v>
      </c>
    </row>
    <row r="710" spans="1:41">
      <c r="A710" s="177">
        <f>IFERROR(MATCH(D710,'Measure &amp; Standard CostIDs'!C$5:C$177,0),MATCH(D710,'Measure &amp; Standard CostIDs'!S$5:S$177,0))</f>
        <v>46</v>
      </c>
      <c r="B710" s="177">
        <f t="shared" si="32"/>
        <v>3</v>
      </c>
      <c r="C710" s="103" t="s">
        <v>153</v>
      </c>
      <c r="D710" s="103" t="str">
        <f t="shared" si="33"/>
        <v>CFLscw(8w)</v>
      </c>
      <c r="E710" s="103" t="str">
        <f>IF(LEFT(D710,3)="Std","Base case cost for mix of 60% Incandescent and 40% CFL lamps for CFL TechID: "&amp;INDEX('Measure &amp; Standard CostIDs'!$C$5:$C$177,A710),"&lt;from TechID&gt;")</f>
        <v>&lt;from TechID&gt;</v>
      </c>
      <c r="F710" s="103" t="s">
        <v>860</v>
      </c>
      <c r="G710" s="103" t="s">
        <v>151</v>
      </c>
      <c r="H710" s="103" t="s">
        <v>861</v>
      </c>
      <c r="I710" s="103" t="s">
        <v>862</v>
      </c>
      <c r="J710" s="103" t="s">
        <v>863</v>
      </c>
      <c r="K710" s="103" t="s">
        <v>864</v>
      </c>
      <c r="L710" s="103" t="s">
        <v>153</v>
      </c>
      <c r="M710" s="103" t="s">
        <v>865</v>
      </c>
      <c r="N710" s="103" t="s">
        <v>866</v>
      </c>
      <c r="O710" s="103" t="str">
        <f t="shared" ref="O710:O773" si="34">IF(LEFT(D710,3)="Std","",D710)</f>
        <v>CFLscw(8w)</v>
      </c>
      <c r="P710" s="103" t="s">
        <v>153</v>
      </c>
      <c r="Q710" s="103" t="s">
        <v>153</v>
      </c>
      <c r="R710" s="103" t="s">
        <v>153</v>
      </c>
      <c r="S710" s="103" t="str">
        <f>INDEX('Measure &amp; Standard CostIDs'!$AK$8:$AK$12,B710)</f>
        <v>Two-pack</v>
      </c>
      <c r="T710" s="103" t="s">
        <v>867</v>
      </c>
      <c r="U710" s="103"/>
      <c r="V710" s="103"/>
      <c r="W710" s="103">
        <f>ROUND(IF(LEFT(D710,3)="Std",VLOOKUP(D710,'Measure &amp; Standard CostIDs'!$S$5:$X$177,1+B710,FALSE),VLOOKUP(D710,'Measure &amp; Standard CostIDs'!$C$5:$H$177,1+B710,FALSE)),2)</f>
        <v>2.7</v>
      </c>
      <c r="X710" s="103"/>
      <c r="Y710" s="103"/>
      <c r="Z710" s="103" t="s">
        <v>868</v>
      </c>
      <c r="AA710" s="103" t="s">
        <v>874</v>
      </c>
      <c r="AB710" s="103" t="s">
        <v>153</v>
      </c>
      <c r="AC710" s="103">
        <v>0</v>
      </c>
      <c r="AD710" s="156">
        <v>42005</v>
      </c>
      <c r="AE710" s="103"/>
      <c r="AF710" s="103" t="s">
        <v>870</v>
      </c>
      <c r="AG710" s="103" t="s">
        <v>871</v>
      </c>
      <c r="AH710" s="103" t="s">
        <v>976</v>
      </c>
      <c r="AI710" s="103">
        <v>0</v>
      </c>
      <c r="AJ710" s="103"/>
      <c r="AK710" s="103"/>
      <c r="AL710" s="103"/>
      <c r="AM710" s="103"/>
      <c r="AN710" s="103"/>
      <c r="AO710" s="103" t="str">
        <f t="shared" ref="AO710:AO773" si="35">D710&amp;S710</f>
        <v>CFLscw(8w)Two-pack</v>
      </c>
    </row>
    <row r="711" spans="1:41">
      <c r="A711" s="177">
        <f>IFERROR(MATCH(D711,'Measure &amp; Standard CostIDs'!C$5:C$177,0),MATCH(D711,'Measure &amp; Standard CostIDs'!S$5:S$177,0))</f>
        <v>47</v>
      </c>
      <c r="B711" s="177">
        <f t="shared" si="32"/>
        <v>3</v>
      </c>
      <c r="C711" s="103" t="s">
        <v>153</v>
      </c>
      <c r="D711" s="103" t="str">
        <f t="shared" si="33"/>
        <v>CFLscw(9w)</v>
      </c>
      <c r="E711" s="103" t="str">
        <f>IF(LEFT(D711,3)="Std","Base case cost for mix of 60% Incandescent and 40% CFL lamps for CFL TechID: "&amp;INDEX('Measure &amp; Standard CostIDs'!$C$5:$C$177,A711),"&lt;from TechID&gt;")</f>
        <v>&lt;from TechID&gt;</v>
      </c>
      <c r="F711" s="103" t="s">
        <v>860</v>
      </c>
      <c r="G711" s="103" t="s">
        <v>151</v>
      </c>
      <c r="H711" s="103" t="s">
        <v>861</v>
      </c>
      <c r="I711" s="103" t="s">
        <v>862</v>
      </c>
      <c r="J711" s="103" t="s">
        <v>863</v>
      </c>
      <c r="K711" s="103" t="s">
        <v>864</v>
      </c>
      <c r="L711" s="103" t="s">
        <v>153</v>
      </c>
      <c r="M711" s="103" t="s">
        <v>865</v>
      </c>
      <c r="N711" s="103" t="s">
        <v>866</v>
      </c>
      <c r="O711" s="103" t="str">
        <f t="shared" si="34"/>
        <v>CFLscw(9w)</v>
      </c>
      <c r="P711" s="103" t="s">
        <v>153</v>
      </c>
      <c r="Q711" s="103" t="s">
        <v>153</v>
      </c>
      <c r="R711" s="103" t="s">
        <v>153</v>
      </c>
      <c r="S711" s="103" t="str">
        <f>INDEX('Measure &amp; Standard CostIDs'!$AK$8:$AK$12,B711)</f>
        <v>Two-pack</v>
      </c>
      <c r="T711" s="103" t="s">
        <v>867</v>
      </c>
      <c r="U711" s="103"/>
      <c r="V711" s="103"/>
      <c r="W711" s="103">
        <f>ROUND(IF(LEFT(D711,3)="Std",VLOOKUP(D711,'Measure &amp; Standard CostIDs'!$S$5:$X$177,1+B711,FALSE),VLOOKUP(D711,'Measure &amp; Standard CostIDs'!$C$5:$H$177,1+B711,FALSE)),2)</f>
        <v>2.77</v>
      </c>
      <c r="X711" s="103"/>
      <c r="Y711" s="103"/>
      <c r="Z711" s="103" t="s">
        <v>868</v>
      </c>
      <c r="AA711" s="103" t="s">
        <v>874</v>
      </c>
      <c r="AB711" s="103" t="s">
        <v>153</v>
      </c>
      <c r="AC711" s="103">
        <v>0</v>
      </c>
      <c r="AD711" s="156">
        <v>42005</v>
      </c>
      <c r="AE711" s="103"/>
      <c r="AF711" s="103" t="s">
        <v>870</v>
      </c>
      <c r="AG711" s="103" t="s">
        <v>871</v>
      </c>
      <c r="AH711" s="103" t="s">
        <v>976</v>
      </c>
      <c r="AI711" s="103">
        <v>0</v>
      </c>
      <c r="AJ711" s="103"/>
      <c r="AK711" s="103"/>
      <c r="AL711" s="103"/>
      <c r="AM711" s="103"/>
      <c r="AN711" s="103"/>
      <c r="AO711" s="103" t="str">
        <f t="shared" si="35"/>
        <v>CFLscw(9w)Two-pack</v>
      </c>
    </row>
    <row r="712" spans="1:41">
      <c r="A712" s="177">
        <f>IFERROR(MATCH(D712,'Measure &amp; Standard CostIDs'!C$5:C$177,0),MATCH(D712,'Measure &amp; Standard CostIDs'!S$5:S$177,0))</f>
        <v>48</v>
      </c>
      <c r="B712" s="177">
        <f t="shared" si="32"/>
        <v>3</v>
      </c>
      <c r="C712" s="103" t="s">
        <v>153</v>
      </c>
      <c r="D712" s="103" t="str">
        <f t="shared" si="33"/>
        <v>CFLscw-3way(13w)</v>
      </c>
      <c r="E712" s="103" t="str">
        <f>IF(LEFT(D712,3)="Std","Base case cost for mix of 60% Incandescent and 40% CFL lamps for CFL TechID: "&amp;INDEX('Measure &amp; Standard CostIDs'!$C$5:$C$177,A712),"&lt;from TechID&gt;")</f>
        <v>&lt;from TechID&gt;</v>
      </c>
      <c r="F712" s="103" t="s">
        <v>860</v>
      </c>
      <c r="G712" s="103" t="s">
        <v>151</v>
      </c>
      <c r="H712" s="103" t="s">
        <v>861</v>
      </c>
      <c r="I712" s="103" t="s">
        <v>862</v>
      </c>
      <c r="J712" s="103" t="s">
        <v>863</v>
      </c>
      <c r="K712" s="103" t="s">
        <v>864</v>
      </c>
      <c r="L712" s="103" t="s">
        <v>153</v>
      </c>
      <c r="M712" s="103" t="s">
        <v>865</v>
      </c>
      <c r="N712" s="103" t="s">
        <v>866</v>
      </c>
      <c r="O712" s="103" t="str">
        <f t="shared" si="34"/>
        <v>CFLscw-3way(13w)</v>
      </c>
      <c r="P712" s="103" t="s">
        <v>153</v>
      </c>
      <c r="Q712" s="103" t="s">
        <v>153</v>
      </c>
      <c r="R712" s="103" t="s">
        <v>153</v>
      </c>
      <c r="S712" s="103" t="str">
        <f>INDEX('Measure &amp; Standard CostIDs'!$AK$8:$AK$12,B712)</f>
        <v>Two-pack</v>
      </c>
      <c r="T712" s="103" t="s">
        <v>867</v>
      </c>
      <c r="U712" s="103"/>
      <c r="V712" s="103"/>
      <c r="W712" s="103">
        <f>ROUND(IF(LEFT(D712,3)="Std",VLOOKUP(D712,'Measure &amp; Standard CostIDs'!$S$5:$X$177,1+B712,FALSE),VLOOKUP(D712,'Measure &amp; Standard CostIDs'!$C$5:$H$177,1+B712,FALSE)),2)</f>
        <v>9.7899999999999991</v>
      </c>
      <c r="X712" s="103"/>
      <c r="Y712" s="103"/>
      <c r="Z712" s="103" t="s">
        <v>868</v>
      </c>
      <c r="AA712" s="103" t="s">
        <v>874</v>
      </c>
      <c r="AB712" s="103" t="s">
        <v>153</v>
      </c>
      <c r="AC712" s="103">
        <v>0</v>
      </c>
      <c r="AD712" s="156">
        <v>42005</v>
      </c>
      <c r="AE712" s="103"/>
      <c r="AF712" s="103" t="s">
        <v>870</v>
      </c>
      <c r="AG712" s="103" t="s">
        <v>871</v>
      </c>
      <c r="AH712" s="103" t="s">
        <v>976</v>
      </c>
      <c r="AI712" s="103">
        <v>0</v>
      </c>
      <c r="AJ712" s="103"/>
      <c r="AK712" s="103"/>
      <c r="AL712" s="103"/>
      <c r="AM712" s="103"/>
      <c r="AN712" s="103"/>
      <c r="AO712" s="103" t="str">
        <f t="shared" si="35"/>
        <v>CFLscw-3way(13w)Two-pack</v>
      </c>
    </row>
    <row r="713" spans="1:41">
      <c r="A713" s="177">
        <f>IFERROR(MATCH(D713,'Measure &amp; Standard CostIDs'!C$5:C$177,0),MATCH(D713,'Measure &amp; Standard CostIDs'!S$5:S$177,0))</f>
        <v>49</v>
      </c>
      <c r="B713" s="177">
        <f t="shared" si="32"/>
        <v>3</v>
      </c>
      <c r="C713" s="103" t="s">
        <v>153</v>
      </c>
      <c r="D713" s="103" t="str">
        <f t="shared" si="33"/>
        <v>CFLscw-3way(15w)</v>
      </c>
      <c r="E713" s="103" t="str">
        <f>IF(LEFT(D713,3)="Std","Base case cost for mix of 60% Incandescent and 40% CFL lamps for CFL TechID: "&amp;INDEX('Measure &amp; Standard CostIDs'!$C$5:$C$177,A713),"&lt;from TechID&gt;")</f>
        <v>&lt;from TechID&gt;</v>
      </c>
      <c r="F713" s="103" t="s">
        <v>860</v>
      </c>
      <c r="G713" s="103" t="s">
        <v>151</v>
      </c>
      <c r="H713" s="103" t="s">
        <v>861</v>
      </c>
      <c r="I713" s="103" t="s">
        <v>862</v>
      </c>
      <c r="J713" s="103" t="s">
        <v>863</v>
      </c>
      <c r="K713" s="103" t="s">
        <v>864</v>
      </c>
      <c r="L713" s="103" t="s">
        <v>153</v>
      </c>
      <c r="M713" s="103" t="s">
        <v>865</v>
      </c>
      <c r="N713" s="103" t="s">
        <v>866</v>
      </c>
      <c r="O713" s="103" t="str">
        <f t="shared" si="34"/>
        <v>CFLscw-3way(15w)</v>
      </c>
      <c r="P713" s="103" t="s">
        <v>153</v>
      </c>
      <c r="Q713" s="103" t="s">
        <v>153</v>
      </c>
      <c r="R713" s="103" t="s">
        <v>153</v>
      </c>
      <c r="S713" s="103" t="str">
        <f>INDEX('Measure &amp; Standard CostIDs'!$AK$8:$AK$12,B713)</f>
        <v>Two-pack</v>
      </c>
      <c r="T713" s="103" t="s">
        <v>867</v>
      </c>
      <c r="U713" s="103"/>
      <c r="V713" s="103"/>
      <c r="W713" s="103">
        <f>ROUND(IF(LEFT(D713,3)="Std",VLOOKUP(D713,'Measure &amp; Standard CostIDs'!$S$5:$X$177,1+B713,FALSE),VLOOKUP(D713,'Measure &amp; Standard CostIDs'!$C$5:$H$177,1+B713,FALSE)),2)</f>
        <v>9.92</v>
      </c>
      <c r="X713" s="103"/>
      <c r="Y713" s="103"/>
      <c r="Z713" s="103" t="s">
        <v>868</v>
      </c>
      <c r="AA713" s="103" t="s">
        <v>874</v>
      </c>
      <c r="AB713" s="103" t="s">
        <v>153</v>
      </c>
      <c r="AC713" s="103">
        <v>0</v>
      </c>
      <c r="AD713" s="156">
        <v>42005</v>
      </c>
      <c r="AE713" s="103"/>
      <c r="AF713" s="103" t="s">
        <v>870</v>
      </c>
      <c r="AG713" s="103" t="s">
        <v>871</v>
      </c>
      <c r="AH713" s="103" t="s">
        <v>976</v>
      </c>
      <c r="AI713" s="103">
        <v>0</v>
      </c>
      <c r="AJ713" s="103"/>
      <c r="AK713" s="103"/>
      <c r="AL713" s="103"/>
      <c r="AM713" s="103"/>
      <c r="AN713" s="103"/>
      <c r="AO713" s="103" t="str">
        <f t="shared" si="35"/>
        <v>CFLscw-3way(15w)Two-pack</v>
      </c>
    </row>
    <row r="714" spans="1:41">
      <c r="A714" s="177">
        <f>IFERROR(MATCH(D714,'Measure &amp; Standard CostIDs'!C$5:C$177,0),MATCH(D714,'Measure &amp; Standard CostIDs'!S$5:S$177,0))</f>
        <v>50</v>
      </c>
      <c r="B714" s="177">
        <f t="shared" si="32"/>
        <v>3</v>
      </c>
      <c r="C714" s="103" t="s">
        <v>153</v>
      </c>
      <c r="D714" s="103" t="str">
        <f t="shared" si="33"/>
        <v>CFLscw-3way(16w)</v>
      </c>
      <c r="E714" s="103" t="str">
        <f>IF(LEFT(D714,3)="Std","Base case cost for mix of 60% Incandescent and 40% CFL lamps for CFL TechID: "&amp;INDEX('Measure &amp; Standard CostIDs'!$C$5:$C$177,A714),"&lt;from TechID&gt;")</f>
        <v>&lt;from TechID&gt;</v>
      </c>
      <c r="F714" s="103" t="s">
        <v>860</v>
      </c>
      <c r="G714" s="103" t="s">
        <v>151</v>
      </c>
      <c r="H714" s="103" t="s">
        <v>861</v>
      </c>
      <c r="I714" s="103" t="s">
        <v>862</v>
      </c>
      <c r="J714" s="103" t="s">
        <v>863</v>
      </c>
      <c r="K714" s="103" t="s">
        <v>864</v>
      </c>
      <c r="L714" s="103" t="s">
        <v>153</v>
      </c>
      <c r="M714" s="103" t="s">
        <v>865</v>
      </c>
      <c r="N714" s="103" t="s">
        <v>866</v>
      </c>
      <c r="O714" s="103" t="str">
        <f t="shared" si="34"/>
        <v>CFLscw-3way(16w)</v>
      </c>
      <c r="P714" s="103" t="s">
        <v>153</v>
      </c>
      <c r="Q714" s="103" t="s">
        <v>153</v>
      </c>
      <c r="R714" s="103" t="s">
        <v>153</v>
      </c>
      <c r="S714" s="103" t="str">
        <f>INDEX('Measure &amp; Standard CostIDs'!$AK$8:$AK$12,B714)</f>
        <v>Two-pack</v>
      </c>
      <c r="T714" s="103" t="s">
        <v>867</v>
      </c>
      <c r="U714" s="103"/>
      <c r="V714" s="103"/>
      <c r="W714" s="103">
        <f>ROUND(IF(LEFT(D714,3)="Std",VLOOKUP(D714,'Measure &amp; Standard CostIDs'!$S$5:$X$177,1+B714,FALSE),VLOOKUP(D714,'Measure &amp; Standard CostIDs'!$C$5:$H$177,1+B714,FALSE)),2)</f>
        <v>9.99</v>
      </c>
      <c r="X714" s="103"/>
      <c r="Y714" s="103"/>
      <c r="Z714" s="103" t="s">
        <v>868</v>
      </c>
      <c r="AA714" s="103" t="s">
        <v>874</v>
      </c>
      <c r="AB714" s="103" t="s">
        <v>153</v>
      </c>
      <c r="AC714" s="103">
        <v>0</v>
      </c>
      <c r="AD714" s="156">
        <v>42005</v>
      </c>
      <c r="AE714" s="103"/>
      <c r="AF714" s="103" t="s">
        <v>870</v>
      </c>
      <c r="AG714" s="103" t="s">
        <v>871</v>
      </c>
      <c r="AH714" s="103" t="s">
        <v>976</v>
      </c>
      <c r="AI714" s="103">
        <v>0</v>
      </c>
      <c r="AJ714" s="103"/>
      <c r="AK714" s="103"/>
      <c r="AL714" s="103"/>
      <c r="AM714" s="103"/>
      <c r="AN714" s="103"/>
      <c r="AO714" s="103" t="str">
        <f t="shared" si="35"/>
        <v>CFLscw-3way(16w)Two-pack</v>
      </c>
    </row>
    <row r="715" spans="1:41">
      <c r="A715" s="177">
        <f>IFERROR(MATCH(D715,'Measure &amp; Standard CostIDs'!C$5:C$177,0),MATCH(D715,'Measure &amp; Standard CostIDs'!S$5:S$177,0))</f>
        <v>51</v>
      </c>
      <c r="B715" s="177">
        <f t="shared" si="32"/>
        <v>3</v>
      </c>
      <c r="C715" s="103" t="s">
        <v>153</v>
      </c>
      <c r="D715" s="103" t="str">
        <f t="shared" si="33"/>
        <v>CFLscw-3way(17w)</v>
      </c>
      <c r="E715" s="103" t="str">
        <f>IF(LEFT(D715,3)="Std","Base case cost for mix of 60% Incandescent and 40% CFL lamps for CFL TechID: "&amp;INDEX('Measure &amp; Standard CostIDs'!$C$5:$C$177,A715),"&lt;from TechID&gt;")</f>
        <v>&lt;from TechID&gt;</v>
      </c>
      <c r="F715" s="103" t="s">
        <v>860</v>
      </c>
      <c r="G715" s="103" t="s">
        <v>151</v>
      </c>
      <c r="H715" s="103" t="s">
        <v>861</v>
      </c>
      <c r="I715" s="103" t="s">
        <v>862</v>
      </c>
      <c r="J715" s="103" t="s">
        <v>863</v>
      </c>
      <c r="K715" s="103" t="s">
        <v>864</v>
      </c>
      <c r="L715" s="103" t="s">
        <v>153</v>
      </c>
      <c r="M715" s="103" t="s">
        <v>865</v>
      </c>
      <c r="N715" s="103" t="s">
        <v>866</v>
      </c>
      <c r="O715" s="103" t="str">
        <f t="shared" si="34"/>
        <v>CFLscw-3way(17w)</v>
      </c>
      <c r="P715" s="103" t="s">
        <v>153</v>
      </c>
      <c r="Q715" s="103" t="s">
        <v>153</v>
      </c>
      <c r="R715" s="103" t="s">
        <v>153</v>
      </c>
      <c r="S715" s="103" t="str">
        <f>INDEX('Measure &amp; Standard CostIDs'!$AK$8:$AK$12,B715)</f>
        <v>Two-pack</v>
      </c>
      <c r="T715" s="103" t="s">
        <v>867</v>
      </c>
      <c r="U715" s="103"/>
      <c r="V715" s="103"/>
      <c r="W715" s="103">
        <f>ROUND(IF(LEFT(D715,3)="Std",VLOOKUP(D715,'Measure &amp; Standard CostIDs'!$S$5:$X$177,1+B715,FALSE),VLOOKUP(D715,'Measure &amp; Standard CostIDs'!$C$5:$H$177,1+B715,FALSE)),2)</f>
        <v>10.050000000000001</v>
      </c>
      <c r="X715" s="103"/>
      <c r="Y715" s="103"/>
      <c r="Z715" s="103" t="s">
        <v>868</v>
      </c>
      <c r="AA715" s="103" t="s">
        <v>874</v>
      </c>
      <c r="AB715" s="103" t="s">
        <v>153</v>
      </c>
      <c r="AC715" s="103">
        <v>0</v>
      </c>
      <c r="AD715" s="156">
        <v>42005</v>
      </c>
      <c r="AE715" s="103"/>
      <c r="AF715" s="103" t="s">
        <v>870</v>
      </c>
      <c r="AG715" s="103" t="s">
        <v>871</v>
      </c>
      <c r="AH715" s="103" t="s">
        <v>976</v>
      </c>
      <c r="AI715" s="103">
        <v>0</v>
      </c>
      <c r="AJ715" s="103"/>
      <c r="AK715" s="103"/>
      <c r="AL715" s="103"/>
      <c r="AM715" s="103"/>
      <c r="AN715" s="103"/>
      <c r="AO715" s="103" t="str">
        <f t="shared" si="35"/>
        <v>CFLscw-3way(17w)Two-pack</v>
      </c>
    </row>
    <row r="716" spans="1:41">
      <c r="A716" s="177">
        <f>IFERROR(MATCH(D716,'Measure &amp; Standard CostIDs'!C$5:C$177,0),MATCH(D716,'Measure &amp; Standard CostIDs'!S$5:S$177,0))</f>
        <v>52</v>
      </c>
      <c r="B716" s="177">
        <f t="shared" si="32"/>
        <v>3</v>
      </c>
      <c r="C716" s="103" t="s">
        <v>153</v>
      </c>
      <c r="D716" s="103" t="str">
        <f t="shared" si="33"/>
        <v>CFLscw-3way(18w)</v>
      </c>
      <c r="E716" s="103" t="str">
        <f>IF(LEFT(D716,3)="Std","Base case cost for mix of 60% Incandescent and 40% CFL lamps for CFL TechID: "&amp;INDEX('Measure &amp; Standard CostIDs'!$C$5:$C$177,A716),"&lt;from TechID&gt;")</f>
        <v>&lt;from TechID&gt;</v>
      </c>
      <c r="F716" s="103" t="s">
        <v>860</v>
      </c>
      <c r="G716" s="103" t="s">
        <v>151</v>
      </c>
      <c r="H716" s="103" t="s">
        <v>861</v>
      </c>
      <c r="I716" s="103" t="s">
        <v>862</v>
      </c>
      <c r="J716" s="103" t="s">
        <v>863</v>
      </c>
      <c r="K716" s="103" t="s">
        <v>864</v>
      </c>
      <c r="L716" s="103" t="s">
        <v>153</v>
      </c>
      <c r="M716" s="103" t="s">
        <v>865</v>
      </c>
      <c r="N716" s="103" t="s">
        <v>866</v>
      </c>
      <c r="O716" s="103" t="str">
        <f t="shared" si="34"/>
        <v>CFLscw-3way(18w)</v>
      </c>
      <c r="P716" s="103" t="s">
        <v>153</v>
      </c>
      <c r="Q716" s="103" t="s">
        <v>153</v>
      </c>
      <c r="R716" s="103" t="s">
        <v>153</v>
      </c>
      <c r="S716" s="103" t="str">
        <f>INDEX('Measure &amp; Standard CostIDs'!$AK$8:$AK$12,B716)</f>
        <v>Two-pack</v>
      </c>
      <c r="T716" s="103" t="s">
        <v>867</v>
      </c>
      <c r="U716" s="103"/>
      <c r="V716" s="103"/>
      <c r="W716" s="103">
        <f>ROUND(IF(LEFT(D716,3)="Std",VLOOKUP(D716,'Measure &amp; Standard CostIDs'!$S$5:$X$177,1+B716,FALSE),VLOOKUP(D716,'Measure &amp; Standard CostIDs'!$C$5:$H$177,1+B716,FALSE)),2)</f>
        <v>10.119999999999999</v>
      </c>
      <c r="X716" s="103"/>
      <c r="Y716" s="103"/>
      <c r="Z716" s="103" t="s">
        <v>868</v>
      </c>
      <c r="AA716" s="103" t="s">
        <v>874</v>
      </c>
      <c r="AB716" s="103" t="s">
        <v>153</v>
      </c>
      <c r="AC716" s="103">
        <v>0</v>
      </c>
      <c r="AD716" s="156">
        <v>42005</v>
      </c>
      <c r="AE716" s="103"/>
      <c r="AF716" s="103" t="s">
        <v>870</v>
      </c>
      <c r="AG716" s="103" t="s">
        <v>871</v>
      </c>
      <c r="AH716" s="103" t="s">
        <v>976</v>
      </c>
      <c r="AI716" s="103">
        <v>0</v>
      </c>
      <c r="AJ716" s="103"/>
      <c r="AK716" s="103"/>
      <c r="AL716" s="103"/>
      <c r="AM716" s="103"/>
      <c r="AN716" s="103"/>
      <c r="AO716" s="103" t="str">
        <f t="shared" si="35"/>
        <v>CFLscw-3way(18w)Two-pack</v>
      </c>
    </row>
    <row r="717" spans="1:41">
      <c r="A717" s="177">
        <f>IFERROR(MATCH(D717,'Measure &amp; Standard CostIDs'!C$5:C$177,0),MATCH(D717,'Measure &amp; Standard CostIDs'!S$5:S$177,0))</f>
        <v>53</v>
      </c>
      <c r="B717" s="177">
        <f t="shared" si="32"/>
        <v>3</v>
      </c>
      <c r="C717" s="103" t="s">
        <v>153</v>
      </c>
      <c r="D717" s="103" t="str">
        <f t="shared" si="33"/>
        <v>CFLscw-3way(19w)</v>
      </c>
      <c r="E717" s="103" t="str">
        <f>IF(LEFT(D717,3)="Std","Base case cost for mix of 60% Incandescent and 40% CFL lamps for CFL TechID: "&amp;INDEX('Measure &amp; Standard CostIDs'!$C$5:$C$177,A717),"&lt;from TechID&gt;")</f>
        <v>&lt;from TechID&gt;</v>
      </c>
      <c r="F717" s="103" t="s">
        <v>860</v>
      </c>
      <c r="G717" s="103" t="s">
        <v>151</v>
      </c>
      <c r="H717" s="103" t="s">
        <v>861</v>
      </c>
      <c r="I717" s="103" t="s">
        <v>862</v>
      </c>
      <c r="J717" s="103" t="s">
        <v>863</v>
      </c>
      <c r="K717" s="103" t="s">
        <v>864</v>
      </c>
      <c r="L717" s="103" t="s">
        <v>153</v>
      </c>
      <c r="M717" s="103" t="s">
        <v>865</v>
      </c>
      <c r="N717" s="103" t="s">
        <v>866</v>
      </c>
      <c r="O717" s="103" t="str">
        <f t="shared" si="34"/>
        <v>CFLscw-3way(19w)</v>
      </c>
      <c r="P717" s="103" t="s">
        <v>153</v>
      </c>
      <c r="Q717" s="103" t="s">
        <v>153</v>
      </c>
      <c r="R717" s="103" t="s">
        <v>153</v>
      </c>
      <c r="S717" s="103" t="str">
        <f>INDEX('Measure &amp; Standard CostIDs'!$AK$8:$AK$12,B717)</f>
        <v>Two-pack</v>
      </c>
      <c r="T717" s="103" t="s">
        <v>867</v>
      </c>
      <c r="U717" s="103"/>
      <c r="V717" s="103"/>
      <c r="W717" s="103">
        <f>ROUND(IF(LEFT(D717,3)="Std",VLOOKUP(D717,'Measure &amp; Standard CostIDs'!$S$5:$X$177,1+B717,FALSE),VLOOKUP(D717,'Measure &amp; Standard CostIDs'!$C$5:$H$177,1+B717,FALSE)),2)</f>
        <v>10.18</v>
      </c>
      <c r="X717" s="103"/>
      <c r="Y717" s="103"/>
      <c r="Z717" s="103" t="s">
        <v>868</v>
      </c>
      <c r="AA717" s="103" t="s">
        <v>874</v>
      </c>
      <c r="AB717" s="103" t="s">
        <v>153</v>
      </c>
      <c r="AC717" s="103">
        <v>0</v>
      </c>
      <c r="AD717" s="156">
        <v>42005</v>
      </c>
      <c r="AE717" s="103"/>
      <c r="AF717" s="103" t="s">
        <v>870</v>
      </c>
      <c r="AG717" s="103" t="s">
        <v>871</v>
      </c>
      <c r="AH717" s="103" t="s">
        <v>976</v>
      </c>
      <c r="AI717" s="103">
        <v>0</v>
      </c>
      <c r="AJ717" s="103"/>
      <c r="AK717" s="103"/>
      <c r="AL717" s="103"/>
      <c r="AM717" s="103"/>
      <c r="AN717" s="103"/>
      <c r="AO717" s="103" t="str">
        <f t="shared" si="35"/>
        <v>CFLscw-3way(19w)Two-pack</v>
      </c>
    </row>
    <row r="718" spans="1:41">
      <c r="A718" s="177">
        <f>IFERROR(MATCH(D718,'Measure &amp; Standard CostIDs'!C$5:C$177,0),MATCH(D718,'Measure &amp; Standard CostIDs'!S$5:S$177,0))</f>
        <v>54</v>
      </c>
      <c r="B718" s="177">
        <f t="shared" si="32"/>
        <v>3</v>
      </c>
      <c r="C718" s="103" t="s">
        <v>153</v>
      </c>
      <c r="D718" s="103" t="str">
        <f t="shared" si="33"/>
        <v>CFLscw-3way(20w)</v>
      </c>
      <c r="E718" s="103" t="str">
        <f>IF(LEFT(D718,3)="Std","Base case cost for mix of 60% Incandescent and 40% CFL lamps for CFL TechID: "&amp;INDEX('Measure &amp; Standard CostIDs'!$C$5:$C$177,A718),"&lt;from TechID&gt;")</f>
        <v>&lt;from TechID&gt;</v>
      </c>
      <c r="F718" s="103" t="s">
        <v>860</v>
      </c>
      <c r="G718" s="103" t="s">
        <v>151</v>
      </c>
      <c r="H718" s="103" t="s">
        <v>861</v>
      </c>
      <c r="I718" s="103" t="s">
        <v>862</v>
      </c>
      <c r="J718" s="103" t="s">
        <v>863</v>
      </c>
      <c r="K718" s="103" t="s">
        <v>864</v>
      </c>
      <c r="L718" s="103" t="s">
        <v>153</v>
      </c>
      <c r="M718" s="103" t="s">
        <v>865</v>
      </c>
      <c r="N718" s="103" t="s">
        <v>866</v>
      </c>
      <c r="O718" s="103" t="str">
        <f t="shared" si="34"/>
        <v>CFLscw-3way(20w)</v>
      </c>
      <c r="P718" s="103" t="s">
        <v>153</v>
      </c>
      <c r="Q718" s="103" t="s">
        <v>153</v>
      </c>
      <c r="R718" s="103" t="s">
        <v>153</v>
      </c>
      <c r="S718" s="103" t="str">
        <f>INDEX('Measure &amp; Standard CostIDs'!$AK$8:$AK$12,B718)</f>
        <v>Two-pack</v>
      </c>
      <c r="T718" s="103" t="s">
        <v>867</v>
      </c>
      <c r="U718" s="103"/>
      <c r="V718" s="103"/>
      <c r="W718" s="103">
        <f>ROUND(IF(LEFT(D718,3)="Std",VLOOKUP(D718,'Measure &amp; Standard CostIDs'!$S$5:$X$177,1+B718,FALSE),VLOOKUP(D718,'Measure &amp; Standard CostIDs'!$C$5:$H$177,1+B718,FALSE)),2)</f>
        <v>10.25</v>
      </c>
      <c r="X718" s="103"/>
      <c r="Y718" s="103"/>
      <c r="Z718" s="103" t="s">
        <v>868</v>
      </c>
      <c r="AA718" s="103" t="s">
        <v>874</v>
      </c>
      <c r="AB718" s="103" t="s">
        <v>153</v>
      </c>
      <c r="AC718" s="103">
        <v>0</v>
      </c>
      <c r="AD718" s="156">
        <v>42005</v>
      </c>
      <c r="AE718" s="103"/>
      <c r="AF718" s="103" t="s">
        <v>870</v>
      </c>
      <c r="AG718" s="103" t="s">
        <v>871</v>
      </c>
      <c r="AH718" s="103" t="s">
        <v>976</v>
      </c>
      <c r="AI718" s="103">
        <v>0</v>
      </c>
      <c r="AJ718" s="103"/>
      <c r="AK718" s="103"/>
      <c r="AL718" s="103"/>
      <c r="AM718" s="103"/>
      <c r="AN718" s="103"/>
      <c r="AO718" s="103" t="str">
        <f t="shared" si="35"/>
        <v>CFLscw-3way(20w)Two-pack</v>
      </c>
    </row>
    <row r="719" spans="1:41">
      <c r="A719" s="177">
        <f>IFERROR(MATCH(D719,'Measure &amp; Standard CostIDs'!C$5:C$177,0),MATCH(D719,'Measure &amp; Standard CostIDs'!S$5:S$177,0))</f>
        <v>55</v>
      </c>
      <c r="B719" s="177">
        <f t="shared" si="32"/>
        <v>3</v>
      </c>
      <c r="C719" s="103" t="s">
        <v>153</v>
      </c>
      <c r="D719" s="103" t="str">
        <f t="shared" si="33"/>
        <v>CFLscw-3way(21w)</v>
      </c>
      <c r="E719" s="103" t="str">
        <f>IF(LEFT(D719,3)="Std","Base case cost for mix of 60% Incandescent and 40% CFL lamps for CFL TechID: "&amp;INDEX('Measure &amp; Standard CostIDs'!$C$5:$C$177,A719),"&lt;from TechID&gt;")</f>
        <v>&lt;from TechID&gt;</v>
      </c>
      <c r="F719" s="103" t="s">
        <v>860</v>
      </c>
      <c r="G719" s="103" t="s">
        <v>151</v>
      </c>
      <c r="H719" s="103" t="s">
        <v>861</v>
      </c>
      <c r="I719" s="103" t="s">
        <v>862</v>
      </c>
      <c r="J719" s="103" t="s">
        <v>863</v>
      </c>
      <c r="K719" s="103" t="s">
        <v>864</v>
      </c>
      <c r="L719" s="103" t="s">
        <v>153</v>
      </c>
      <c r="M719" s="103" t="s">
        <v>865</v>
      </c>
      <c r="N719" s="103" t="s">
        <v>866</v>
      </c>
      <c r="O719" s="103" t="str">
        <f t="shared" si="34"/>
        <v>CFLscw-3way(21w)</v>
      </c>
      <c r="P719" s="103" t="s">
        <v>153</v>
      </c>
      <c r="Q719" s="103" t="s">
        <v>153</v>
      </c>
      <c r="R719" s="103" t="s">
        <v>153</v>
      </c>
      <c r="S719" s="103" t="str">
        <f>INDEX('Measure &amp; Standard CostIDs'!$AK$8:$AK$12,B719)</f>
        <v>Two-pack</v>
      </c>
      <c r="T719" s="103" t="s">
        <v>867</v>
      </c>
      <c r="U719" s="103"/>
      <c r="V719" s="103"/>
      <c r="W719" s="103">
        <f>ROUND(IF(LEFT(D719,3)="Std",VLOOKUP(D719,'Measure &amp; Standard CostIDs'!$S$5:$X$177,1+B719,FALSE),VLOOKUP(D719,'Measure &amp; Standard CostIDs'!$C$5:$H$177,1+B719,FALSE)),2)</f>
        <v>10.32</v>
      </c>
      <c r="X719" s="103"/>
      <c r="Y719" s="103"/>
      <c r="Z719" s="103" t="s">
        <v>868</v>
      </c>
      <c r="AA719" s="103" t="s">
        <v>874</v>
      </c>
      <c r="AB719" s="103" t="s">
        <v>153</v>
      </c>
      <c r="AC719" s="103">
        <v>0</v>
      </c>
      <c r="AD719" s="156">
        <v>42005</v>
      </c>
      <c r="AE719" s="103"/>
      <c r="AF719" s="103" t="s">
        <v>870</v>
      </c>
      <c r="AG719" s="103" t="s">
        <v>871</v>
      </c>
      <c r="AH719" s="103" t="s">
        <v>976</v>
      </c>
      <c r="AI719" s="103">
        <v>0</v>
      </c>
      <c r="AJ719" s="103"/>
      <c r="AK719" s="103"/>
      <c r="AL719" s="103"/>
      <c r="AM719" s="103"/>
      <c r="AN719" s="103"/>
      <c r="AO719" s="103" t="str">
        <f t="shared" si="35"/>
        <v>CFLscw-3way(21w)Two-pack</v>
      </c>
    </row>
    <row r="720" spans="1:41">
      <c r="A720" s="177">
        <f>IFERROR(MATCH(D720,'Measure &amp; Standard CostIDs'!C$5:C$177,0),MATCH(D720,'Measure &amp; Standard CostIDs'!S$5:S$177,0))</f>
        <v>56</v>
      </c>
      <c r="B720" s="177">
        <f t="shared" ref="B720:B783" si="36">+B390+1</f>
        <v>3</v>
      </c>
      <c r="C720" s="103" t="s">
        <v>153</v>
      </c>
      <c r="D720" s="103" t="str">
        <f t="shared" ref="D720:D783" si="37">+D390</f>
        <v>CFLscw-3way(22w)</v>
      </c>
      <c r="E720" s="103" t="str">
        <f>IF(LEFT(D720,3)="Std","Base case cost for mix of 60% Incandescent and 40% CFL lamps for CFL TechID: "&amp;INDEX('Measure &amp; Standard CostIDs'!$C$5:$C$177,A720),"&lt;from TechID&gt;")</f>
        <v>&lt;from TechID&gt;</v>
      </c>
      <c r="F720" s="103" t="s">
        <v>860</v>
      </c>
      <c r="G720" s="103" t="s">
        <v>151</v>
      </c>
      <c r="H720" s="103" t="s">
        <v>861</v>
      </c>
      <c r="I720" s="103" t="s">
        <v>862</v>
      </c>
      <c r="J720" s="103" t="s">
        <v>863</v>
      </c>
      <c r="K720" s="103" t="s">
        <v>864</v>
      </c>
      <c r="L720" s="103" t="s">
        <v>153</v>
      </c>
      <c r="M720" s="103" t="s">
        <v>865</v>
      </c>
      <c r="N720" s="103" t="s">
        <v>866</v>
      </c>
      <c r="O720" s="103" t="str">
        <f t="shared" si="34"/>
        <v>CFLscw-3way(22w)</v>
      </c>
      <c r="P720" s="103" t="s">
        <v>153</v>
      </c>
      <c r="Q720" s="103" t="s">
        <v>153</v>
      </c>
      <c r="R720" s="103" t="s">
        <v>153</v>
      </c>
      <c r="S720" s="103" t="str">
        <f>INDEX('Measure &amp; Standard CostIDs'!$AK$8:$AK$12,B720)</f>
        <v>Two-pack</v>
      </c>
      <c r="T720" s="103" t="s">
        <v>867</v>
      </c>
      <c r="U720" s="103"/>
      <c r="V720" s="103"/>
      <c r="W720" s="103">
        <f>ROUND(IF(LEFT(D720,3)="Std",VLOOKUP(D720,'Measure &amp; Standard CostIDs'!$S$5:$X$177,1+B720,FALSE),VLOOKUP(D720,'Measure &amp; Standard CostIDs'!$C$5:$H$177,1+B720,FALSE)),2)</f>
        <v>10.38</v>
      </c>
      <c r="X720" s="103"/>
      <c r="Y720" s="103"/>
      <c r="Z720" s="103" t="s">
        <v>868</v>
      </c>
      <c r="AA720" s="103" t="s">
        <v>874</v>
      </c>
      <c r="AB720" s="103" t="s">
        <v>153</v>
      </c>
      <c r="AC720" s="103">
        <v>0</v>
      </c>
      <c r="AD720" s="156">
        <v>42005</v>
      </c>
      <c r="AE720" s="103"/>
      <c r="AF720" s="103" t="s">
        <v>870</v>
      </c>
      <c r="AG720" s="103" t="s">
        <v>871</v>
      </c>
      <c r="AH720" s="103" t="s">
        <v>976</v>
      </c>
      <c r="AI720" s="103">
        <v>0</v>
      </c>
      <c r="AJ720" s="103"/>
      <c r="AK720" s="103"/>
      <c r="AL720" s="103"/>
      <c r="AM720" s="103"/>
      <c r="AN720" s="103"/>
      <c r="AO720" s="103" t="str">
        <f t="shared" si="35"/>
        <v>CFLscw-3way(22w)Two-pack</v>
      </c>
    </row>
    <row r="721" spans="1:41">
      <c r="A721" s="177">
        <f>IFERROR(MATCH(D721,'Measure &amp; Standard CostIDs'!C$5:C$177,0),MATCH(D721,'Measure &amp; Standard CostIDs'!S$5:S$177,0))</f>
        <v>57</v>
      </c>
      <c r="B721" s="177">
        <f t="shared" si="36"/>
        <v>3</v>
      </c>
      <c r="C721" s="103" t="s">
        <v>153</v>
      </c>
      <c r="D721" s="103" t="str">
        <f t="shared" si="37"/>
        <v>CFLscw-3way(23w)</v>
      </c>
      <c r="E721" s="103" t="str">
        <f>IF(LEFT(D721,3)="Std","Base case cost for mix of 60% Incandescent and 40% CFL lamps for CFL TechID: "&amp;INDEX('Measure &amp; Standard CostIDs'!$C$5:$C$177,A721),"&lt;from TechID&gt;")</f>
        <v>&lt;from TechID&gt;</v>
      </c>
      <c r="F721" s="103" t="s">
        <v>860</v>
      </c>
      <c r="G721" s="103" t="s">
        <v>151</v>
      </c>
      <c r="H721" s="103" t="s">
        <v>861</v>
      </c>
      <c r="I721" s="103" t="s">
        <v>862</v>
      </c>
      <c r="J721" s="103" t="s">
        <v>863</v>
      </c>
      <c r="K721" s="103" t="s">
        <v>864</v>
      </c>
      <c r="L721" s="103" t="s">
        <v>153</v>
      </c>
      <c r="M721" s="103" t="s">
        <v>865</v>
      </c>
      <c r="N721" s="103" t="s">
        <v>866</v>
      </c>
      <c r="O721" s="103" t="str">
        <f t="shared" si="34"/>
        <v>CFLscw-3way(23w)</v>
      </c>
      <c r="P721" s="103" t="s">
        <v>153</v>
      </c>
      <c r="Q721" s="103" t="s">
        <v>153</v>
      </c>
      <c r="R721" s="103" t="s">
        <v>153</v>
      </c>
      <c r="S721" s="103" t="str">
        <f>INDEX('Measure &amp; Standard CostIDs'!$AK$8:$AK$12,B721)</f>
        <v>Two-pack</v>
      </c>
      <c r="T721" s="103" t="s">
        <v>867</v>
      </c>
      <c r="U721" s="103"/>
      <c r="V721" s="103"/>
      <c r="W721" s="103">
        <f>ROUND(IF(LEFT(D721,3)="Std",VLOOKUP(D721,'Measure &amp; Standard CostIDs'!$S$5:$X$177,1+B721,FALSE),VLOOKUP(D721,'Measure &amp; Standard CostIDs'!$C$5:$H$177,1+B721,FALSE)),2)</f>
        <v>10.45</v>
      </c>
      <c r="X721" s="103"/>
      <c r="Y721" s="103"/>
      <c r="Z721" s="103" t="s">
        <v>868</v>
      </c>
      <c r="AA721" s="103" t="s">
        <v>874</v>
      </c>
      <c r="AB721" s="103" t="s">
        <v>153</v>
      </c>
      <c r="AC721" s="103">
        <v>0</v>
      </c>
      <c r="AD721" s="156">
        <v>42005</v>
      </c>
      <c r="AE721" s="103"/>
      <c r="AF721" s="103" t="s">
        <v>870</v>
      </c>
      <c r="AG721" s="103" t="s">
        <v>871</v>
      </c>
      <c r="AH721" s="103" t="s">
        <v>976</v>
      </c>
      <c r="AI721" s="103">
        <v>0</v>
      </c>
      <c r="AJ721" s="103"/>
      <c r="AK721" s="103"/>
      <c r="AL721" s="103"/>
      <c r="AM721" s="103"/>
      <c r="AN721" s="103"/>
      <c r="AO721" s="103" t="str">
        <f t="shared" si="35"/>
        <v>CFLscw-3way(23w)Two-pack</v>
      </c>
    </row>
    <row r="722" spans="1:41">
      <c r="A722" s="177">
        <f>IFERROR(MATCH(D722,'Measure &amp; Standard CostIDs'!C$5:C$177,0),MATCH(D722,'Measure &amp; Standard CostIDs'!S$5:S$177,0))</f>
        <v>58</v>
      </c>
      <c r="B722" s="177">
        <f t="shared" si="36"/>
        <v>3</v>
      </c>
      <c r="C722" s="103" t="s">
        <v>153</v>
      </c>
      <c r="D722" s="103" t="str">
        <f t="shared" si="37"/>
        <v>CFLscw-3way(24w)</v>
      </c>
      <c r="E722" s="103" t="str">
        <f>IF(LEFT(D722,3)="Std","Base case cost for mix of 60% Incandescent and 40% CFL lamps for CFL TechID: "&amp;INDEX('Measure &amp; Standard CostIDs'!$C$5:$C$177,A722),"&lt;from TechID&gt;")</f>
        <v>&lt;from TechID&gt;</v>
      </c>
      <c r="F722" s="103" t="s">
        <v>860</v>
      </c>
      <c r="G722" s="103" t="s">
        <v>151</v>
      </c>
      <c r="H722" s="103" t="s">
        <v>861</v>
      </c>
      <c r="I722" s="103" t="s">
        <v>862</v>
      </c>
      <c r="J722" s="103" t="s">
        <v>863</v>
      </c>
      <c r="K722" s="103" t="s">
        <v>864</v>
      </c>
      <c r="L722" s="103" t="s">
        <v>153</v>
      </c>
      <c r="M722" s="103" t="s">
        <v>865</v>
      </c>
      <c r="N722" s="103" t="s">
        <v>866</v>
      </c>
      <c r="O722" s="103" t="str">
        <f t="shared" si="34"/>
        <v>CFLscw-3way(24w)</v>
      </c>
      <c r="P722" s="103" t="s">
        <v>153</v>
      </c>
      <c r="Q722" s="103" t="s">
        <v>153</v>
      </c>
      <c r="R722" s="103" t="s">
        <v>153</v>
      </c>
      <c r="S722" s="103" t="str">
        <f>INDEX('Measure &amp; Standard CostIDs'!$AK$8:$AK$12,B722)</f>
        <v>Two-pack</v>
      </c>
      <c r="T722" s="103" t="s">
        <v>867</v>
      </c>
      <c r="U722" s="103"/>
      <c r="V722" s="103"/>
      <c r="W722" s="103">
        <f>ROUND(IF(LEFT(D722,3)="Std",VLOOKUP(D722,'Measure &amp; Standard CostIDs'!$S$5:$X$177,1+B722,FALSE),VLOOKUP(D722,'Measure &amp; Standard CostIDs'!$C$5:$H$177,1+B722,FALSE)),2)</f>
        <v>10.52</v>
      </c>
      <c r="X722" s="103"/>
      <c r="Y722" s="103"/>
      <c r="Z722" s="103" t="s">
        <v>868</v>
      </c>
      <c r="AA722" s="103" t="s">
        <v>874</v>
      </c>
      <c r="AB722" s="103" t="s">
        <v>153</v>
      </c>
      <c r="AC722" s="103">
        <v>0</v>
      </c>
      <c r="AD722" s="156">
        <v>42005</v>
      </c>
      <c r="AE722" s="103"/>
      <c r="AF722" s="103" t="s">
        <v>870</v>
      </c>
      <c r="AG722" s="103" t="s">
        <v>871</v>
      </c>
      <c r="AH722" s="103" t="s">
        <v>976</v>
      </c>
      <c r="AI722" s="103">
        <v>0</v>
      </c>
      <c r="AJ722" s="103"/>
      <c r="AK722" s="103"/>
      <c r="AL722" s="103"/>
      <c r="AM722" s="103"/>
      <c r="AN722" s="103"/>
      <c r="AO722" s="103" t="str">
        <f t="shared" si="35"/>
        <v>CFLscw-3way(24w)Two-pack</v>
      </c>
    </row>
    <row r="723" spans="1:41">
      <c r="A723" s="177">
        <f>IFERROR(MATCH(D723,'Measure &amp; Standard CostIDs'!C$5:C$177,0),MATCH(D723,'Measure &amp; Standard CostIDs'!S$5:S$177,0))</f>
        <v>59</v>
      </c>
      <c r="B723" s="177">
        <f t="shared" si="36"/>
        <v>3</v>
      </c>
      <c r="C723" s="103" t="s">
        <v>153</v>
      </c>
      <c r="D723" s="103" t="str">
        <f t="shared" si="37"/>
        <v>CFLscw-3way(25w)</v>
      </c>
      <c r="E723" s="103" t="str">
        <f>IF(LEFT(D723,3)="Std","Base case cost for mix of 60% Incandescent and 40% CFL lamps for CFL TechID: "&amp;INDEX('Measure &amp; Standard CostIDs'!$C$5:$C$177,A723),"&lt;from TechID&gt;")</f>
        <v>&lt;from TechID&gt;</v>
      </c>
      <c r="F723" s="103" t="s">
        <v>860</v>
      </c>
      <c r="G723" s="103" t="s">
        <v>151</v>
      </c>
      <c r="H723" s="103" t="s">
        <v>861</v>
      </c>
      <c r="I723" s="103" t="s">
        <v>862</v>
      </c>
      <c r="J723" s="103" t="s">
        <v>863</v>
      </c>
      <c r="K723" s="103" t="s">
        <v>864</v>
      </c>
      <c r="L723" s="103" t="s">
        <v>153</v>
      </c>
      <c r="M723" s="103" t="s">
        <v>865</v>
      </c>
      <c r="N723" s="103" t="s">
        <v>866</v>
      </c>
      <c r="O723" s="103" t="str">
        <f t="shared" si="34"/>
        <v>CFLscw-3way(25w)</v>
      </c>
      <c r="P723" s="103" t="s">
        <v>153</v>
      </c>
      <c r="Q723" s="103" t="s">
        <v>153</v>
      </c>
      <c r="R723" s="103" t="s">
        <v>153</v>
      </c>
      <c r="S723" s="103" t="str">
        <f>INDEX('Measure &amp; Standard CostIDs'!$AK$8:$AK$12,B723)</f>
        <v>Two-pack</v>
      </c>
      <c r="T723" s="103" t="s">
        <v>867</v>
      </c>
      <c r="U723" s="103"/>
      <c r="V723" s="103"/>
      <c r="W723" s="103">
        <f>ROUND(IF(LEFT(D723,3)="Std",VLOOKUP(D723,'Measure &amp; Standard CostIDs'!$S$5:$X$177,1+B723,FALSE),VLOOKUP(D723,'Measure &amp; Standard CostIDs'!$C$5:$H$177,1+B723,FALSE)),2)</f>
        <v>10.58</v>
      </c>
      <c r="X723" s="103"/>
      <c r="Y723" s="103"/>
      <c r="Z723" s="103" t="s">
        <v>868</v>
      </c>
      <c r="AA723" s="103" t="s">
        <v>874</v>
      </c>
      <c r="AB723" s="103" t="s">
        <v>153</v>
      </c>
      <c r="AC723" s="103">
        <v>0</v>
      </c>
      <c r="AD723" s="156">
        <v>42005</v>
      </c>
      <c r="AE723" s="103"/>
      <c r="AF723" s="103" t="s">
        <v>870</v>
      </c>
      <c r="AG723" s="103" t="s">
        <v>871</v>
      </c>
      <c r="AH723" s="103" t="s">
        <v>976</v>
      </c>
      <c r="AI723" s="103">
        <v>0</v>
      </c>
      <c r="AJ723" s="103"/>
      <c r="AK723" s="103"/>
      <c r="AL723" s="103"/>
      <c r="AM723" s="103"/>
      <c r="AN723" s="103"/>
      <c r="AO723" s="103" t="str">
        <f t="shared" si="35"/>
        <v>CFLscw-3way(25w)Two-pack</v>
      </c>
    </row>
    <row r="724" spans="1:41">
      <c r="A724" s="177">
        <f>IFERROR(MATCH(D724,'Measure &amp; Standard CostIDs'!C$5:C$177,0),MATCH(D724,'Measure &amp; Standard CostIDs'!S$5:S$177,0))</f>
        <v>60</v>
      </c>
      <c r="B724" s="177">
        <f t="shared" si="36"/>
        <v>3</v>
      </c>
      <c r="C724" s="103" t="s">
        <v>153</v>
      </c>
      <c r="D724" s="103" t="str">
        <f t="shared" si="37"/>
        <v>CFLscw-3way(26w)</v>
      </c>
      <c r="E724" s="103" t="str">
        <f>IF(LEFT(D724,3)="Std","Base case cost for mix of 60% Incandescent and 40% CFL lamps for CFL TechID: "&amp;INDEX('Measure &amp; Standard CostIDs'!$C$5:$C$177,A724),"&lt;from TechID&gt;")</f>
        <v>&lt;from TechID&gt;</v>
      </c>
      <c r="F724" s="103" t="s">
        <v>860</v>
      </c>
      <c r="G724" s="103" t="s">
        <v>151</v>
      </c>
      <c r="H724" s="103" t="s">
        <v>861</v>
      </c>
      <c r="I724" s="103" t="s">
        <v>862</v>
      </c>
      <c r="J724" s="103" t="s">
        <v>863</v>
      </c>
      <c r="K724" s="103" t="s">
        <v>864</v>
      </c>
      <c r="L724" s="103" t="s">
        <v>153</v>
      </c>
      <c r="M724" s="103" t="s">
        <v>865</v>
      </c>
      <c r="N724" s="103" t="s">
        <v>866</v>
      </c>
      <c r="O724" s="103" t="str">
        <f t="shared" si="34"/>
        <v>CFLscw-3way(26w)</v>
      </c>
      <c r="P724" s="103" t="s">
        <v>153</v>
      </c>
      <c r="Q724" s="103" t="s">
        <v>153</v>
      </c>
      <c r="R724" s="103" t="s">
        <v>153</v>
      </c>
      <c r="S724" s="103" t="str">
        <f>INDEX('Measure &amp; Standard CostIDs'!$AK$8:$AK$12,B724)</f>
        <v>Two-pack</v>
      </c>
      <c r="T724" s="103" t="s">
        <v>867</v>
      </c>
      <c r="U724" s="103"/>
      <c r="V724" s="103"/>
      <c r="W724" s="103">
        <f>ROUND(IF(LEFT(D724,3)="Std",VLOOKUP(D724,'Measure &amp; Standard CostIDs'!$S$5:$X$177,1+B724,FALSE),VLOOKUP(D724,'Measure &amp; Standard CostIDs'!$C$5:$H$177,1+B724,FALSE)),2)</f>
        <v>10.74</v>
      </c>
      <c r="X724" s="103"/>
      <c r="Y724" s="103"/>
      <c r="Z724" s="103" t="s">
        <v>868</v>
      </c>
      <c r="AA724" s="103" t="s">
        <v>874</v>
      </c>
      <c r="AB724" s="103" t="s">
        <v>153</v>
      </c>
      <c r="AC724" s="103">
        <v>0</v>
      </c>
      <c r="AD724" s="156">
        <v>42005</v>
      </c>
      <c r="AE724" s="103"/>
      <c r="AF724" s="103" t="s">
        <v>870</v>
      </c>
      <c r="AG724" s="103" t="s">
        <v>871</v>
      </c>
      <c r="AH724" s="103" t="s">
        <v>976</v>
      </c>
      <c r="AI724" s="103">
        <v>0</v>
      </c>
      <c r="AJ724" s="103"/>
      <c r="AK724" s="103"/>
      <c r="AL724" s="103"/>
      <c r="AM724" s="103"/>
      <c r="AN724" s="103"/>
      <c r="AO724" s="103" t="str">
        <f t="shared" si="35"/>
        <v>CFLscw-3way(26w)Two-pack</v>
      </c>
    </row>
    <row r="725" spans="1:41">
      <c r="A725" s="177">
        <f>IFERROR(MATCH(D725,'Measure &amp; Standard CostIDs'!C$5:C$177,0),MATCH(D725,'Measure &amp; Standard CostIDs'!S$5:S$177,0))</f>
        <v>61</v>
      </c>
      <c r="B725" s="177">
        <f t="shared" si="36"/>
        <v>3</v>
      </c>
      <c r="C725" s="103" t="s">
        <v>153</v>
      </c>
      <c r="D725" s="103" t="str">
        <f t="shared" si="37"/>
        <v>CFLscw-3way(27w)</v>
      </c>
      <c r="E725" s="103" t="str">
        <f>IF(LEFT(D725,3)="Std","Base case cost for mix of 60% Incandescent and 40% CFL lamps for CFL TechID: "&amp;INDEX('Measure &amp; Standard CostIDs'!$C$5:$C$177,A725),"&lt;from TechID&gt;")</f>
        <v>&lt;from TechID&gt;</v>
      </c>
      <c r="F725" s="103" t="s">
        <v>860</v>
      </c>
      <c r="G725" s="103" t="s">
        <v>151</v>
      </c>
      <c r="H725" s="103" t="s">
        <v>861</v>
      </c>
      <c r="I725" s="103" t="s">
        <v>862</v>
      </c>
      <c r="J725" s="103" t="s">
        <v>863</v>
      </c>
      <c r="K725" s="103" t="s">
        <v>864</v>
      </c>
      <c r="L725" s="103" t="s">
        <v>153</v>
      </c>
      <c r="M725" s="103" t="s">
        <v>865</v>
      </c>
      <c r="N725" s="103" t="s">
        <v>866</v>
      </c>
      <c r="O725" s="103" t="str">
        <f t="shared" si="34"/>
        <v>CFLscw-3way(27w)</v>
      </c>
      <c r="P725" s="103" t="s">
        <v>153</v>
      </c>
      <c r="Q725" s="103" t="s">
        <v>153</v>
      </c>
      <c r="R725" s="103" t="s">
        <v>153</v>
      </c>
      <c r="S725" s="103" t="str">
        <f>INDEX('Measure &amp; Standard CostIDs'!$AK$8:$AK$12,B725)</f>
        <v>Two-pack</v>
      </c>
      <c r="T725" s="103" t="s">
        <v>867</v>
      </c>
      <c r="U725" s="103"/>
      <c r="V725" s="103"/>
      <c r="W725" s="103">
        <f>ROUND(IF(LEFT(D725,3)="Std",VLOOKUP(D725,'Measure &amp; Standard CostIDs'!$S$5:$X$177,1+B725,FALSE),VLOOKUP(D725,'Measure &amp; Standard CostIDs'!$C$5:$H$177,1+B725,FALSE)),2)</f>
        <v>10.9</v>
      </c>
      <c r="X725" s="103"/>
      <c r="Y725" s="103"/>
      <c r="Z725" s="103" t="s">
        <v>868</v>
      </c>
      <c r="AA725" s="103" t="s">
        <v>874</v>
      </c>
      <c r="AB725" s="103" t="s">
        <v>153</v>
      </c>
      <c r="AC725" s="103">
        <v>0</v>
      </c>
      <c r="AD725" s="156">
        <v>42005</v>
      </c>
      <c r="AE725" s="103"/>
      <c r="AF725" s="103" t="s">
        <v>870</v>
      </c>
      <c r="AG725" s="103" t="s">
        <v>871</v>
      </c>
      <c r="AH725" s="103" t="s">
        <v>976</v>
      </c>
      <c r="AI725" s="103">
        <v>0</v>
      </c>
      <c r="AJ725" s="103"/>
      <c r="AK725" s="103"/>
      <c r="AL725" s="103"/>
      <c r="AM725" s="103"/>
      <c r="AN725" s="103"/>
      <c r="AO725" s="103" t="str">
        <f t="shared" si="35"/>
        <v>CFLscw-3way(27w)Two-pack</v>
      </c>
    </row>
    <row r="726" spans="1:41">
      <c r="A726" s="177">
        <f>IFERROR(MATCH(D726,'Measure &amp; Standard CostIDs'!C$5:C$177,0),MATCH(D726,'Measure &amp; Standard CostIDs'!S$5:S$177,0))</f>
        <v>62</v>
      </c>
      <c r="B726" s="177">
        <f t="shared" si="36"/>
        <v>3</v>
      </c>
      <c r="C726" s="103" t="s">
        <v>153</v>
      </c>
      <c r="D726" s="103" t="str">
        <f t="shared" si="37"/>
        <v>CFLscw-3way(28w)</v>
      </c>
      <c r="E726" s="103" t="str">
        <f>IF(LEFT(D726,3)="Std","Base case cost for mix of 60% Incandescent and 40% CFL lamps for CFL TechID: "&amp;INDEX('Measure &amp; Standard CostIDs'!$C$5:$C$177,A726),"&lt;from TechID&gt;")</f>
        <v>&lt;from TechID&gt;</v>
      </c>
      <c r="F726" s="103" t="s">
        <v>860</v>
      </c>
      <c r="G726" s="103" t="s">
        <v>151</v>
      </c>
      <c r="H726" s="103" t="s">
        <v>861</v>
      </c>
      <c r="I726" s="103" t="s">
        <v>862</v>
      </c>
      <c r="J726" s="103" t="s">
        <v>863</v>
      </c>
      <c r="K726" s="103" t="s">
        <v>864</v>
      </c>
      <c r="L726" s="103" t="s">
        <v>153</v>
      </c>
      <c r="M726" s="103" t="s">
        <v>865</v>
      </c>
      <c r="N726" s="103" t="s">
        <v>866</v>
      </c>
      <c r="O726" s="103" t="str">
        <f t="shared" si="34"/>
        <v>CFLscw-3way(28w)</v>
      </c>
      <c r="P726" s="103" t="s">
        <v>153</v>
      </c>
      <c r="Q726" s="103" t="s">
        <v>153</v>
      </c>
      <c r="R726" s="103" t="s">
        <v>153</v>
      </c>
      <c r="S726" s="103" t="str">
        <f>INDEX('Measure &amp; Standard CostIDs'!$AK$8:$AK$12,B726)</f>
        <v>Two-pack</v>
      </c>
      <c r="T726" s="103" t="s">
        <v>867</v>
      </c>
      <c r="U726" s="103"/>
      <c r="V726" s="103"/>
      <c r="W726" s="103">
        <f>ROUND(IF(LEFT(D726,3)="Std",VLOOKUP(D726,'Measure &amp; Standard CostIDs'!$S$5:$X$177,1+B726,FALSE),VLOOKUP(D726,'Measure &amp; Standard CostIDs'!$C$5:$H$177,1+B726,FALSE)),2)</f>
        <v>11.06</v>
      </c>
      <c r="X726" s="103"/>
      <c r="Y726" s="103"/>
      <c r="Z726" s="103" t="s">
        <v>868</v>
      </c>
      <c r="AA726" s="103" t="s">
        <v>874</v>
      </c>
      <c r="AB726" s="103" t="s">
        <v>153</v>
      </c>
      <c r="AC726" s="103">
        <v>0</v>
      </c>
      <c r="AD726" s="156">
        <v>42005</v>
      </c>
      <c r="AE726" s="103"/>
      <c r="AF726" s="103" t="s">
        <v>870</v>
      </c>
      <c r="AG726" s="103" t="s">
        <v>871</v>
      </c>
      <c r="AH726" s="103" t="s">
        <v>976</v>
      </c>
      <c r="AI726" s="103">
        <v>0</v>
      </c>
      <c r="AJ726" s="103"/>
      <c r="AK726" s="103"/>
      <c r="AL726" s="103"/>
      <c r="AM726" s="103"/>
      <c r="AN726" s="103"/>
      <c r="AO726" s="103" t="str">
        <f t="shared" si="35"/>
        <v>CFLscw-3way(28w)Two-pack</v>
      </c>
    </row>
    <row r="727" spans="1:41">
      <c r="A727" s="177">
        <f>IFERROR(MATCH(D727,'Measure &amp; Standard CostIDs'!C$5:C$177,0),MATCH(D727,'Measure &amp; Standard CostIDs'!S$5:S$177,0))</f>
        <v>63</v>
      </c>
      <c r="B727" s="177">
        <f t="shared" si="36"/>
        <v>3</v>
      </c>
      <c r="C727" s="103" t="s">
        <v>153</v>
      </c>
      <c r="D727" s="103" t="str">
        <f t="shared" si="37"/>
        <v>CFLscw-3way(29w)</v>
      </c>
      <c r="E727" s="103" t="str">
        <f>IF(LEFT(D727,3)="Std","Base case cost for mix of 60% Incandescent and 40% CFL lamps for CFL TechID: "&amp;INDEX('Measure &amp; Standard CostIDs'!$C$5:$C$177,A727),"&lt;from TechID&gt;")</f>
        <v>&lt;from TechID&gt;</v>
      </c>
      <c r="F727" s="103" t="s">
        <v>860</v>
      </c>
      <c r="G727" s="103" t="s">
        <v>151</v>
      </c>
      <c r="H727" s="103" t="s">
        <v>861</v>
      </c>
      <c r="I727" s="103" t="s">
        <v>862</v>
      </c>
      <c r="J727" s="103" t="s">
        <v>863</v>
      </c>
      <c r="K727" s="103" t="s">
        <v>864</v>
      </c>
      <c r="L727" s="103" t="s">
        <v>153</v>
      </c>
      <c r="M727" s="103" t="s">
        <v>865</v>
      </c>
      <c r="N727" s="103" t="s">
        <v>866</v>
      </c>
      <c r="O727" s="103" t="str">
        <f t="shared" si="34"/>
        <v>CFLscw-3way(29w)</v>
      </c>
      <c r="P727" s="103" t="s">
        <v>153</v>
      </c>
      <c r="Q727" s="103" t="s">
        <v>153</v>
      </c>
      <c r="R727" s="103" t="s">
        <v>153</v>
      </c>
      <c r="S727" s="103" t="str">
        <f>INDEX('Measure &amp; Standard CostIDs'!$AK$8:$AK$12,B727)</f>
        <v>Two-pack</v>
      </c>
      <c r="T727" s="103" t="s">
        <v>867</v>
      </c>
      <c r="U727" s="103"/>
      <c r="V727" s="103"/>
      <c r="W727" s="103">
        <f>ROUND(IF(LEFT(D727,3)="Std",VLOOKUP(D727,'Measure &amp; Standard CostIDs'!$S$5:$X$177,1+B727,FALSE),VLOOKUP(D727,'Measure &amp; Standard CostIDs'!$C$5:$H$177,1+B727,FALSE)),2)</f>
        <v>11.22</v>
      </c>
      <c r="X727" s="103"/>
      <c r="Y727" s="103"/>
      <c r="Z727" s="103" t="s">
        <v>868</v>
      </c>
      <c r="AA727" s="103" t="s">
        <v>874</v>
      </c>
      <c r="AB727" s="103" t="s">
        <v>153</v>
      </c>
      <c r="AC727" s="103">
        <v>0</v>
      </c>
      <c r="AD727" s="156">
        <v>42005</v>
      </c>
      <c r="AE727" s="103"/>
      <c r="AF727" s="103" t="s">
        <v>870</v>
      </c>
      <c r="AG727" s="103" t="s">
        <v>871</v>
      </c>
      <c r="AH727" s="103" t="s">
        <v>976</v>
      </c>
      <c r="AI727" s="103">
        <v>0</v>
      </c>
      <c r="AJ727" s="103"/>
      <c r="AK727" s="103"/>
      <c r="AL727" s="103"/>
      <c r="AM727" s="103"/>
      <c r="AN727" s="103"/>
      <c r="AO727" s="103" t="str">
        <f t="shared" si="35"/>
        <v>CFLscw-3way(29w)Two-pack</v>
      </c>
    </row>
    <row r="728" spans="1:41">
      <c r="A728" s="177">
        <f>IFERROR(MATCH(D728,'Measure &amp; Standard CostIDs'!C$5:C$177,0),MATCH(D728,'Measure &amp; Standard CostIDs'!S$5:S$177,0))</f>
        <v>64</v>
      </c>
      <c r="B728" s="177">
        <f t="shared" si="36"/>
        <v>3</v>
      </c>
      <c r="C728" s="103" t="s">
        <v>153</v>
      </c>
      <c r="D728" s="103" t="str">
        <f t="shared" si="37"/>
        <v>CFLscw-3way(30w)</v>
      </c>
      <c r="E728" s="103" t="str">
        <f>IF(LEFT(D728,3)="Std","Base case cost for mix of 60% Incandescent and 40% CFL lamps for CFL TechID: "&amp;INDEX('Measure &amp; Standard CostIDs'!$C$5:$C$177,A728),"&lt;from TechID&gt;")</f>
        <v>&lt;from TechID&gt;</v>
      </c>
      <c r="F728" s="103" t="s">
        <v>860</v>
      </c>
      <c r="G728" s="103" t="s">
        <v>151</v>
      </c>
      <c r="H728" s="103" t="s">
        <v>861</v>
      </c>
      <c r="I728" s="103" t="s">
        <v>862</v>
      </c>
      <c r="J728" s="103" t="s">
        <v>863</v>
      </c>
      <c r="K728" s="103" t="s">
        <v>864</v>
      </c>
      <c r="L728" s="103" t="s">
        <v>153</v>
      </c>
      <c r="M728" s="103" t="s">
        <v>865</v>
      </c>
      <c r="N728" s="103" t="s">
        <v>866</v>
      </c>
      <c r="O728" s="103" t="str">
        <f t="shared" si="34"/>
        <v>CFLscw-3way(30w)</v>
      </c>
      <c r="P728" s="103" t="s">
        <v>153</v>
      </c>
      <c r="Q728" s="103" t="s">
        <v>153</v>
      </c>
      <c r="R728" s="103" t="s">
        <v>153</v>
      </c>
      <c r="S728" s="103" t="str">
        <f>INDEX('Measure &amp; Standard CostIDs'!$AK$8:$AK$12,B728)</f>
        <v>Two-pack</v>
      </c>
      <c r="T728" s="103" t="s">
        <v>867</v>
      </c>
      <c r="U728" s="103"/>
      <c r="V728" s="103"/>
      <c r="W728" s="103">
        <f>ROUND(IF(LEFT(D728,3)="Std",VLOOKUP(D728,'Measure &amp; Standard CostIDs'!$S$5:$X$177,1+B728,FALSE),VLOOKUP(D728,'Measure &amp; Standard CostIDs'!$C$5:$H$177,1+B728,FALSE)),2)</f>
        <v>11.38</v>
      </c>
      <c r="X728" s="103"/>
      <c r="Y728" s="103"/>
      <c r="Z728" s="103" t="s">
        <v>868</v>
      </c>
      <c r="AA728" s="103" t="s">
        <v>874</v>
      </c>
      <c r="AB728" s="103" t="s">
        <v>153</v>
      </c>
      <c r="AC728" s="103">
        <v>0</v>
      </c>
      <c r="AD728" s="156">
        <v>42005</v>
      </c>
      <c r="AE728" s="103"/>
      <c r="AF728" s="103" t="s">
        <v>870</v>
      </c>
      <c r="AG728" s="103" t="s">
        <v>871</v>
      </c>
      <c r="AH728" s="103" t="s">
        <v>976</v>
      </c>
      <c r="AI728" s="103">
        <v>0</v>
      </c>
      <c r="AJ728" s="103"/>
      <c r="AK728" s="103"/>
      <c r="AL728" s="103"/>
      <c r="AM728" s="103"/>
      <c r="AN728" s="103"/>
      <c r="AO728" s="103" t="str">
        <f t="shared" si="35"/>
        <v>CFLscw-3way(30w)Two-pack</v>
      </c>
    </row>
    <row r="729" spans="1:41">
      <c r="A729" s="177">
        <f>IFERROR(MATCH(D729,'Measure &amp; Standard CostIDs'!C$5:C$177,0),MATCH(D729,'Measure &amp; Standard CostIDs'!S$5:S$177,0))</f>
        <v>65</v>
      </c>
      <c r="B729" s="177">
        <f t="shared" si="36"/>
        <v>3</v>
      </c>
      <c r="C729" s="103" t="s">
        <v>153</v>
      </c>
      <c r="D729" s="103" t="str">
        <f t="shared" si="37"/>
        <v>CFLscw-3way(31w)</v>
      </c>
      <c r="E729" s="103" t="str">
        <f>IF(LEFT(D729,3)="Std","Base case cost for mix of 60% Incandescent and 40% CFL lamps for CFL TechID: "&amp;INDEX('Measure &amp; Standard CostIDs'!$C$5:$C$177,A729),"&lt;from TechID&gt;")</f>
        <v>&lt;from TechID&gt;</v>
      </c>
      <c r="F729" s="103" t="s">
        <v>860</v>
      </c>
      <c r="G729" s="103" t="s">
        <v>151</v>
      </c>
      <c r="H729" s="103" t="s">
        <v>861</v>
      </c>
      <c r="I729" s="103" t="s">
        <v>862</v>
      </c>
      <c r="J729" s="103" t="s">
        <v>863</v>
      </c>
      <c r="K729" s="103" t="s">
        <v>864</v>
      </c>
      <c r="L729" s="103" t="s">
        <v>153</v>
      </c>
      <c r="M729" s="103" t="s">
        <v>865</v>
      </c>
      <c r="N729" s="103" t="s">
        <v>866</v>
      </c>
      <c r="O729" s="103" t="str">
        <f t="shared" si="34"/>
        <v>CFLscw-3way(31w)</v>
      </c>
      <c r="P729" s="103" t="s">
        <v>153</v>
      </c>
      <c r="Q729" s="103" t="s">
        <v>153</v>
      </c>
      <c r="R729" s="103" t="s">
        <v>153</v>
      </c>
      <c r="S729" s="103" t="str">
        <f>INDEX('Measure &amp; Standard CostIDs'!$AK$8:$AK$12,B729)</f>
        <v>Two-pack</v>
      </c>
      <c r="T729" s="103" t="s">
        <v>867</v>
      </c>
      <c r="U729" s="103"/>
      <c r="V729" s="103"/>
      <c r="W729" s="103">
        <f>ROUND(IF(LEFT(D729,3)="Std",VLOOKUP(D729,'Measure &amp; Standard CostIDs'!$S$5:$X$177,1+B729,FALSE),VLOOKUP(D729,'Measure &amp; Standard CostIDs'!$C$5:$H$177,1+B729,FALSE)),2)</f>
        <v>11.54</v>
      </c>
      <c r="X729" s="103"/>
      <c r="Y729" s="103"/>
      <c r="Z729" s="103" t="s">
        <v>868</v>
      </c>
      <c r="AA729" s="103" t="s">
        <v>874</v>
      </c>
      <c r="AB729" s="103" t="s">
        <v>153</v>
      </c>
      <c r="AC729" s="103">
        <v>0</v>
      </c>
      <c r="AD729" s="156">
        <v>42005</v>
      </c>
      <c r="AE729" s="103"/>
      <c r="AF729" s="103" t="s">
        <v>870</v>
      </c>
      <c r="AG729" s="103" t="s">
        <v>871</v>
      </c>
      <c r="AH729" s="103" t="s">
        <v>976</v>
      </c>
      <c r="AI729" s="103">
        <v>0</v>
      </c>
      <c r="AJ729" s="103"/>
      <c r="AK729" s="103"/>
      <c r="AL729" s="103"/>
      <c r="AM729" s="103"/>
      <c r="AN729" s="103"/>
      <c r="AO729" s="103" t="str">
        <f t="shared" si="35"/>
        <v>CFLscw-3way(31w)Two-pack</v>
      </c>
    </row>
    <row r="730" spans="1:41">
      <c r="A730" s="177">
        <f>IFERROR(MATCH(D730,'Measure &amp; Standard CostIDs'!C$5:C$177,0),MATCH(D730,'Measure &amp; Standard CostIDs'!S$5:S$177,0))</f>
        <v>66</v>
      </c>
      <c r="B730" s="177">
        <f t="shared" si="36"/>
        <v>3</v>
      </c>
      <c r="C730" s="103" t="s">
        <v>153</v>
      </c>
      <c r="D730" s="103" t="str">
        <f t="shared" si="37"/>
        <v>CFLscw-3way(32w)</v>
      </c>
      <c r="E730" s="103" t="str">
        <f>IF(LEFT(D730,3)="Std","Base case cost for mix of 60% Incandescent and 40% CFL lamps for CFL TechID: "&amp;INDEX('Measure &amp; Standard CostIDs'!$C$5:$C$177,A730),"&lt;from TechID&gt;")</f>
        <v>&lt;from TechID&gt;</v>
      </c>
      <c r="F730" s="103" t="s">
        <v>860</v>
      </c>
      <c r="G730" s="103" t="s">
        <v>151</v>
      </c>
      <c r="H730" s="103" t="s">
        <v>861</v>
      </c>
      <c r="I730" s="103" t="s">
        <v>862</v>
      </c>
      <c r="J730" s="103" t="s">
        <v>863</v>
      </c>
      <c r="K730" s="103" t="s">
        <v>864</v>
      </c>
      <c r="L730" s="103" t="s">
        <v>153</v>
      </c>
      <c r="M730" s="103" t="s">
        <v>865</v>
      </c>
      <c r="N730" s="103" t="s">
        <v>866</v>
      </c>
      <c r="O730" s="103" t="str">
        <f t="shared" si="34"/>
        <v>CFLscw-3way(32w)</v>
      </c>
      <c r="P730" s="103" t="s">
        <v>153</v>
      </c>
      <c r="Q730" s="103" t="s">
        <v>153</v>
      </c>
      <c r="R730" s="103" t="s">
        <v>153</v>
      </c>
      <c r="S730" s="103" t="str">
        <f>INDEX('Measure &amp; Standard CostIDs'!$AK$8:$AK$12,B730)</f>
        <v>Two-pack</v>
      </c>
      <c r="T730" s="103" t="s">
        <v>867</v>
      </c>
      <c r="U730" s="103"/>
      <c r="V730" s="103"/>
      <c r="W730" s="103">
        <f>ROUND(IF(LEFT(D730,3)="Std",VLOOKUP(D730,'Measure &amp; Standard CostIDs'!$S$5:$X$177,1+B730,FALSE),VLOOKUP(D730,'Measure &amp; Standard CostIDs'!$C$5:$H$177,1+B730,FALSE)),2)</f>
        <v>11.7</v>
      </c>
      <c r="X730" s="103"/>
      <c r="Y730" s="103"/>
      <c r="Z730" s="103" t="s">
        <v>868</v>
      </c>
      <c r="AA730" s="103" t="s">
        <v>874</v>
      </c>
      <c r="AB730" s="103" t="s">
        <v>153</v>
      </c>
      <c r="AC730" s="103">
        <v>0</v>
      </c>
      <c r="AD730" s="156">
        <v>42005</v>
      </c>
      <c r="AE730" s="103"/>
      <c r="AF730" s="103" t="s">
        <v>870</v>
      </c>
      <c r="AG730" s="103" t="s">
        <v>871</v>
      </c>
      <c r="AH730" s="103" t="s">
        <v>976</v>
      </c>
      <c r="AI730" s="103">
        <v>0</v>
      </c>
      <c r="AJ730" s="103"/>
      <c r="AK730" s="103"/>
      <c r="AL730" s="103"/>
      <c r="AM730" s="103"/>
      <c r="AN730" s="103"/>
      <c r="AO730" s="103" t="str">
        <f t="shared" si="35"/>
        <v>CFLscw-3way(32w)Two-pack</v>
      </c>
    </row>
    <row r="731" spans="1:41">
      <c r="A731" s="177">
        <f>IFERROR(MATCH(D731,'Measure &amp; Standard CostIDs'!C$5:C$177,0),MATCH(D731,'Measure &amp; Standard CostIDs'!S$5:S$177,0))</f>
        <v>67</v>
      </c>
      <c r="B731" s="177">
        <f t="shared" si="36"/>
        <v>3</v>
      </c>
      <c r="C731" s="103" t="s">
        <v>153</v>
      </c>
      <c r="D731" s="103" t="str">
        <f t="shared" si="37"/>
        <v>CFLscw-3way(33w)</v>
      </c>
      <c r="E731" s="103" t="str">
        <f>IF(LEFT(D731,3)="Std","Base case cost for mix of 60% Incandescent and 40% CFL lamps for CFL TechID: "&amp;INDEX('Measure &amp; Standard CostIDs'!$C$5:$C$177,A731),"&lt;from TechID&gt;")</f>
        <v>&lt;from TechID&gt;</v>
      </c>
      <c r="F731" s="103" t="s">
        <v>860</v>
      </c>
      <c r="G731" s="103" t="s">
        <v>151</v>
      </c>
      <c r="H731" s="103" t="s">
        <v>861</v>
      </c>
      <c r="I731" s="103" t="s">
        <v>862</v>
      </c>
      <c r="J731" s="103" t="s">
        <v>863</v>
      </c>
      <c r="K731" s="103" t="s">
        <v>864</v>
      </c>
      <c r="L731" s="103" t="s">
        <v>153</v>
      </c>
      <c r="M731" s="103" t="s">
        <v>865</v>
      </c>
      <c r="N731" s="103" t="s">
        <v>866</v>
      </c>
      <c r="O731" s="103" t="str">
        <f t="shared" si="34"/>
        <v>CFLscw-3way(33w)</v>
      </c>
      <c r="P731" s="103" t="s">
        <v>153</v>
      </c>
      <c r="Q731" s="103" t="s">
        <v>153</v>
      </c>
      <c r="R731" s="103" t="s">
        <v>153</v>
      </c>
      <c r="S731" s="103" t="str">
        <f>INDEX('Measure &amp; Standard CostIDs'!$AK$8:$AK$12,B731)</f>
        <v>Two-pack</v>
      </c>
      <c r="T731" s="103" t="s">
        <v>867</v>
      </c>
      <c r="U731" s="103"/>
      <c r="V731" s="103"/>
      <c r="W731" s="103">
        <f>ROUND(IF(LEFT(D731,3)="Std",VLOOKUP(D731,'Measure &amp; Standard CostIDs'!$S$5:$X$177,1+B731,FALSE),VLOOKUP(D731,'Measure &amp; Standard CostIDs'!$C$5:$H$177,1+B731,FALSE)),2)</f>
        <v>11.86</v>
      </c>
      <c r="X731" s="103"/>
      <c r="Y731" s="103"/>
      <c r="Z731" s="103" t="s">
        <v>868</v>
      </c>
      <c r="AA731" s="103" t="s">
        <v>874</v>
      </c>
      <c r="AB731" s="103" t="s">
        <v>153</v>
      </c>
      <c r="AC731" s="103">
        <v>0</v>
      </c>
      <c r="AD731" s="156">
        <v>42005</v>
      </c>
      <c r="AE731" s="103"/>
      <c r="AF731" s="103" t="s">
        <v>870</v>
      </c>
      <c r="AG731" s="103" t="s">
        <v>871</v>
      </c>
      <c r="AH731" s="103" t="s">
        <v>976</v>
      </c>
      <c r="AI731" s="103">
        <v>0</v>
      </c>
      <c r="AJ731" s="103"/>
      <c r="AK731" s="103"/>
      <c r="AL731" s="103"/>
      <c r="AM731" s="103"/>
      <c r="AN731" s="103"/>
      <c r="AO731" s="103" t="str">
        <f t="shared" si="35"/>
        <v>CFLscw-3way(33w)Two-pack</v>
      </c>
    </row>
    <row r="732" spans="1:41">
      <c r="A732" s="177">
        <f>IFERROR(MATCH(D732,'Measure &amp; Standard CostIDs'!C$5:C$177,0),MATCH(D732,'Measure &amp; Standard CostIDs'!S$5:S$177,0))</f>
        <v>68</v>
      </c>
      <c r="B732" s="177">
        <f t="shared" si="36"/>
        <v>3</v>
      </c>
      <c r="C732" s="103" t="s">
        <v>153</v>
      </c>
      <c r="D732" s="103" t="str">
        <f t="shared" si="37"/>
        <v>CFLscw-3way(40w)</v>
      </c>
      <c r="E732" s="103" t="str">
        <f>IF(LEFT(D732,3)="Std","Base case cost for mix of 60% Incandescent and 40% CFL lamps for CFL TechID: "&amp;INDEX('Measure &amp; Standard CostIDs'!$C$5:$C$177,A732),"&lt;from TechID&gt;")</f>
        <v>&lt;from TechID&gt;</v>
      </c>
      <c r="F732" s="103" t="s">
        <v>860</v>
      </c>
      <c r="G732" s="103" t="s">
        <v>151</v>
      </c>
      <c r="H732" s="103" t="s">
        <v>861</v>
      </c>
      <c r="I732" s="103" t="s">
        <v>862</v>
      </c>
      <c r="J732" s="103" t="s">
        <v>863</v>
      </c>
      <c r="K732" s="103" t="s">
        <v>864</v>
      </c>
      <c r="L732" s="103" t="s">
        <v>153</v>
      </c>
      <c r="M732" s="103" t="s">
        <v>865</v>
      </c>
      <c r="N732" s="103" t="s">
        <v>866</v>
      </c>
      <c r="O732" s="103" t="str">
        <f t="shared" si="34"/>
        <v>CFLscw-3way(40w)</v>
      </c>
      <c r="P732" s="103" t="s">
        <v>153</v>
      </c>
      <c r="Q732" s="103" t="s">
        <v>153</v>
      </c>
      <c r="R732" s="103" t="s">
        <v>153</v>
      </c>
      <c r="S732" s="103" t="str">
        <f>INDEX('Measure &amp; Standard CostIDs'!$AK$8:$AK$12,B732)</f>
        <v>Two-pack</v>
      </c>
      <c r="T732" s="103" t="s">
        <v>867</v>
      </c>
      <c r="U732" s="103"/>
      <c r="V732" s="103"/>
      <c r="W732" s="103">
        <f>ROUND(IF(LEFT(D732,3)="Std",VLOOKUP(D732,'Measure &amp; Standard CostIDs'!$S$5:$X$177,1+B732,FALSE),VLOOKUP(D732,'Measure &amp; Standard CostIDs'!$C$5:$H$177,1+B732,FALSE)),2)</f>
        <v>12.98</v>
      </c>
      <c r="X732" s="103"/>
      <c r="Y732" s="103"/>
      <c r="Z732" s="103" t="s">
        <v>868</v>
      </c>
      <c r="AA732" s="103" t="s">
        <v>874</v>
      </c>
      <c r="AB732" s="103" t="s">
        <v>153</v>
      </c>
      <c r="AC732" s="103">
        <v>0</v>
      </c>
      <c r="AD732" s="156">
        <v>42005</v>
      </c>
      <c r="AE732" s="103"/>
      <c r="AF732" s="103" t="s">
        <v>870</v>
      </c>
      <c r="AG732" s="103" t="s">
        <v>871</v>
      </c>
      <c r="AH732" s="103" t="s">
        <v>976</v>
      </c>
      <c r="AI732" s="103">
        <v>0</v>
      </c>
      <c r="AJ732" s="103"/>
      <c r="AK732" s="103"/>
      <c r="AL732" s="103"/>
      <c r="AM732" s="103"/>
      <c r="AN732" s="103"/>
      <c r="AO732" s="103" t="str">
        <f t="shared" si="35"/>
        <v>CFLscw-3way(40w)Two-pack</v>
      </c>
    </row>
    <row r="733" spans="1:41">
      <c r="A733" s="177">
        <f>IFERROR(MATCH(D733,'Measure &amp; Standard CostIDs'!C$5:C$177,0),MATCH(D733,'Measure &amp; Standard CostIDs'!S$5:S$177,0))</f>
        <v>69</v>
      </c>
      <c r="B733" s="177">
        <f t="shared" si="36"/>
        <v>3</v>
      </c>
      <c r="C733" s="103" t="s">
        <v>153</v>
      </c>
      <c r="D733" s="103" t="str">
        <f t="shared" si="37"/>
        <v>CFLscw-3way(42w)</v>
      </c>
      <c r="E733" s="103" t="str">
        <f>IF(LEFT(D733,3)="Std","Base case cost for mix of 60% Incandescent and 40% CFL lamps for CFL TechID: "&amp;INDEX('Measure &amp; Standard CostIDs'!$C$5:$C$177,A733),"&lt;from TechID&gt;")</f>
        <v>&lt;from TechID&gt;</v>
      </c>
      <c r="F733" s="103" t="s">
        <v>860</v>
      </c>
      <c r="G733" s="103" t="s">
        <v>151</v>
      </c>
      <c r="H733" s="103" t="s">
        <v>861</v>
      </c>
      <c r="I733" s="103" t="s">
        <v>862</v>
      </c>
      <c r="J733" s="103" t="s">
        <v>863</v>
      </c>
      <c r="K733" s="103" t="s">
        <v>864</v>
      </c>
      <c r="L733" s="103" t="s">
        <v>153</v>
      </c>
      <c r="M733" s="103" t="s">
        <v>865</v>
      </c>
      <c r="N733" s="103" t="s">
        <v>866</v>
      </c>
      <c r="O733" s="103" t="str">
        <f t="shared" si="34"/>
        <v>CFLscw-3way(42w)</v>
      </c>
      <c r="P733" s="103" t="s">
        <v>153</v>
      </c>
      <c r="Q733" s="103" t="s">
        <v>153</v>
      </c>
      <c r="R733" s="103" t="s">
        <v>153</v>
      </c>
      <c r="S733" s="103" t="str">
        <f>INDEX('Measure &amp; Standard CostIDs'!$AK$8:$AK$12,B733)</f>
        <v>Two-pack</v>
      </c>
      <c r="T733" s="103" t="s">
        <v>867</v>
      </c>
      <c r="U733" s="103"/>
      <c r="V733" s="103"/>
      <c r="W733" s="103">
        <f>ROUND(IF(LEFT(D733,3)="Std",VLOOKUP(D733,'Measure &amp; Standard CostIDs'!$S$5:$X$177,1+B733,FALSE),VLOOKUP(D733,'Measure &amp; Standard CostIDs'!$C$5:$H$177,1+B733,FALSE)),2)</f>
        <v>13.3</v>
      </c>
      <c r="X733" s="103"/>
      <c r="Y733" s="103"/>
      <c r="Z733" s="103" t="s">
        <v>868</v>
      </c>
      <c r="AA733" s="103" t="s">
        <v>874</v>
      </c>
      <c r="AB733" s="103" t="s">
        <v>153</v>
      </c>
      <c r="AC733" s="103">
        <v>0</v>
      </c>
      <c r="AD733" s="156">
        <v>42005</v>
      </c>
      <c r="AE733" s="103"/>
      <c r="AF733" s="103" t="s">
        <v>870</v>
      </c>
      <c r="AG733" s="103" t="s">
        <v>871</v>
      </c>
      <c r="AH733" s="103" t="s">
        <v>976</v>
      </c>
      <c r="AI733" s="103">
        <v>0</v>
      </c>
      <c r="AJ733" s="103"/>
      <c r="AK733" s="103"/>
      <c r="AL733" s="103"/>
      <c r="AM733" s="103"/>
      <c r="AN733" s="103"/>
      <c r="AO733" s="103" t="str">
        <f t="shared" si="35"/>
        <v>CFLscw-3way(42w)Two-pack</v>
      </c>
    </row>
    <row r="734" spans="1:41">
      <c r="A734" s="177">
        <f>IFERROR(MATCH(D734,'Measure &amp; Standard CostIDs'!C$5:C$177,0),MATCH(D734,'Measure &amp; Standard CostIDs'!S$5:S$177,0))</f>
        <v>70</v>
      </c>
      <c r="B734" s="177">
        <f t="shared" si="36"/>
        <v>3</v>
      </c>
      <c r="C734" s="103" t="s">
        <v>153</v>
      </c>
      <c r="D734" s="103" t="str">
        <f t="shared" si="37"/>
        <v>CFLscw-A(10w)</v>
      </c>
      <c r="E734" s="103" t="str">
        <f>IF(LEFT(D734,3)="Std","Base case cost for mix of 60% Incandescent and 40% CFL lamps for CFL TechID: "&amp;INDEX('Measure &amp; Standard CostIDs'!$C$5:$C$177,A734),"&lt;from TechID&gt;")</f>
        <v>&lt;from TechID&gt;</v>
      </c>
      <c r="F734" s="103" t="s">
        <v>860</v>
      </c>
      <c r="G734" s="103" t="s">
        <v>151</v>
      </c>
      <c r="H734" s="103" t="s">
        <v>861</v>
      </c>
      <c r="I734" s="103" t="s">
        <v>862</v>
      </c>
      <c r="J734" s="103" t="s">
        <v>863</v>
      </c>
      <c r="K734" s="103" t="s">
        <v>864</v>
      </c>
      <c r="L734" s="103" t="s">
        <v>153</v>
      </c>
      <c r="M734" s="103" t="s">
        <v>865</v>
      </c>
      <c r="N734" s="103" t="s">
        <v>866</v>
      </c>
      <c r="O734" s="103" t="str">
        <f t="shared" si="34"/>
        <v>CFLscw-A(10w)</v>
      </c>
      <c r="P734" s="103" t="s">
        <v>153</v>
      </c>
      <c r="Q734" s="103" t="s">
        <v>153</v>
      </c>
      <c r="R734" s="103" t="s">
        <v>153</v>
      </c>
      <c r="S734" s="103" t="str">
        <f>INDEX('Measure &amp; Standard CostIDs'!$AK$8:$AK$12,B734)</f>
        <v>Two-pack</v>
      </c>
      <c r="T734" s="103" t="s">
        <v>867</v>
      </c>
      <c r="U734" s="103"/>
      <c r="V734" s="103"/>
      <c r="W734" s="103">
        <f>ROUND(IF(LEFT(D734,3)="Std",VLOOKUP(D734,'Measure &amp; Standard CostIDs'!$S$5:$X$177,1+B734,FALSE),VLOOKUP(D734,'Measure &amp; Standard CostIDs'!$C$5:$H$177,1+B734,FALSE)),2)</f>
        <v>4.68</v>
      </c>
      <c r="X734" s="103"/>
      <c r="Y734" s="103"/>
      <c r="Z734" s="103" t="s">
        <v>868</v>
      </c>
      <c r="AA734" s="103" t="s">
        <v>874</v>
      </c>
      <c r="AB734" s="103" t="s">
        <v>153</v>
      </c>
      <c r="AC734" s="103">
        <v>0</v>
      </c>
      <c r="AD734" s="156">
        <v>42005</v>
      </c>
      <c r="AE734" s="103"/>
      <c r="AF734" s="103" t="s">
        <v>870</v>
      </c>
      <c r="AG734" s="103" t="s">
        <v>871</v>
      </c>
      <c r="AH734" s="103" t="s">
        <v>976</v>
      </c>
      <c r="AI734" s="103">
        <v>0</v>
      </c>
      <c r="AJ734" s="103"/>
      <c r="AK734" s="103"/>
      <c r="AL734" s="103"/>
      <c r="AM734" s="103"/>
      <c r="AN734" s="103"/>
      <c r="AO734" s="103" t="str">
        <f t="shared" si="35"/>
        <v>CFLscw-A(10w)Two-pack</v>
      </c>
    </row>
    <row r="735" spans="1:41">
      <c r="A735" s="177">
        <f>IFERROR(MATCH(D735,'Measure &amp; Standard CostIDs'!C$5:C$177,0),MATCH(D735,'Measure &amp; Standard CostIDs'!S$5:S$177,0))</f>
        <v>71</v>
      </c>
      <c r="B735" s="177">
        <f t="shared" si="36"/>
        <v>3</v>
      </c>
      <c r="C735" s="103" t="s">
        <v>153</v>
      </c>
      <c r="D735" s="103" t="str">
        <f t="shared" si="37"/>
        <v>CFLscw-A(11w)</v>
      </c>
      <c r="E735" s="103" t="str">
        <f>IF(LEFT(D735,3)="Std","Base case cost for mix of 60% Incandescent and 40% CFL lamps for CFL TechID: "&amp;INDEX('Measure &amp; Standard CostIDs'!$C$5:$C$177,A735),"&lt;from TechID&gt;")</f>
        <v>&lt;from TechID&gt;</v>
      </c>
      <c r="F735" s="103" t="s">
        <v>860</v>
      </c>
      <c r="G735" s="103" t="s">
        <v>151</v>
      </c>
      <c r="H735" s="103" t="s">
        <v>861</v>
      </c>
      <c r="I735" s="103" t="s">
        <v>862</v>
      </c>
      <c r="J735" s="103" t="s">
        <v>863</v>
      </c>
      <c r="K735" s="103" t="s">
        <v>864</v>
      </c>
      <c r="L735" s="103" t="s">
        <v>153</v>
      </c>
      <c r="M735" s="103" t="s">
        <v>865</v>
      </c>
      <c r="N735" s="103" t="s">
        <v>866</v>
      </c>
      <c r="O735" s="103" t="str">
        <f t="shared" si="34"/>
        <v>CFLscw-A(11w)</v>
      </c>
      <c r="P735" s="103" t="s">
        <v>153</v>
      </c>
      <c r="Q735" s="103" t="s">
        <v>153</v>
      </c>
      <c r="R735" s="103" t="s">
        <v>153</v>
      </c>
      <c r="S735" s="103" t="str">
        <f>INDEX('Measure &amp; Standard CostIDs'!$AK$8:$AK$12,B735)</f>
        <v>Two-pack</v>
      </c>
      <c r="T735" s="103" t="s">
        <v>867</v>
      </c>
      <c r="U735" s="103"/>
      <c r="V735" s="103"/>
      <c r="W735" s="103">
        <f>ROUND(IF(LEFT(D735,3)="Std",VLOOKUP(D735,'Measure &amp; Standard CostIDs'!$S$5:$X$177,1+B735,FALSE),VLOOKUP(D735,'Measure &amp; Standard CostIDs'!$C$5:$H$177,1+B735,FALSE)),2)</f>
        <v>4.74</v>
      </c>
      <c r="X735" s="103"/>
      <c r="Y735" s="103"/>
      <c r="Z735" s="103" t="s">
        <v>868</v>
      </c>
      <c r="AA735" s="103" t="s">
        <v>874</v>
      </c>
      <c r="AB735" s="103" t="s">
        <v>153</v>
      </c>
      <c r="AC735" s="103">
        <v>0</v>
      </c>
      <c r="AD735" s="156">
        <v>42005</v>
      </c>
      <c r="AE735" s="103"/>
      <c r="AF735" s="103" t="s">
        <v>870</v>
      </c>
      <c r="AG735" s="103" t="s">
        <v>871</v>
      </c>
      <c r="AH735" s="103" t="s">
        <v>976</v>
      </c>
      <c r="AI735" s="103">
        <v>0</v>
      </c>
      <c r="AJ735" s="103"/>
      <c r="AK735" s="103"/>
      <c r="AL735" s="103"/>
      <c r="AM735" s="103"/>
      <c r="AN735" s="103"/>
      <c r="AO735" s="103" t="str">
        <f t="shared" si="35"/>
        <v>CFLscw-A(11w)Two-pack</v>
      </c>
    </row>
    <row r="736" spans="1:41">
      <c r="A736" s="177">
        <f>IFERROR(MATCH(D736,'Measure &amp; Standard CostIDs'!C$5:C$177,0),MATCH(D736,'Measure &amp; Standard CostIDs'!S$5:S$177,0))</f>
        <v>72</v>
      </c>
      <c r="B736" s="177">
        <f t="shared" si="36"/>
        <v>3</v>
      </c>
      <c r="C736" s="103" t="s">
        <v>153</v>
      </c>
      <c r="D736" s="103" t="str">
        <f t="shared" si="37"/>
        <v>CFLscw-A(12w)</v>
      </c>
      <c r="E736" s="103" t="str">
        <f>IF(LEFT(D736,3)="Std","Base case cost for mix of 60% Incandescent and 40% CFL lamps for CFL TechID: "&amp;INDEX('Measure &amp; Standard CostIDs'!$C$5:$C$177,A736),"&lt;from TechID&gt;")</f>
        <v>&lt;from TechID&gt;</v>
      </c>
      <c r="F736" s="103" t="s">
        <v>860</v>
      </c>
      <c r="G736" s="103" t="s">
        <v>151</v>
      </c>
      <c r="H736" s="103" t="s">
        <v>861</v>
      </c>
      <c r="I736" s="103" t="s">
        <v>862</v>
      </c>
      <c r="J736" s="103" t="s">
        <v>863</v>
      </c>
      <c r="K736" s="103" t="s">
        <v>864</v>
      </c>
      <c r="L736" s="103" t="s">
        <v>153</v>
      </c>
      <c r="M736" s="103" t="s">
        <v>865</v>
      </c>
      <c r="N736" s="103" t="s">
        <v>866</v>
      </c>
      <c r="O736" s="103" t="str">
        <f t="shared" si="34"/>
        <v>CFLscw-A(12w)</v>
      </c>
      <c r="P736" s="103" t="s">
        <v>153</v>
      </c>
      <c r="Q736" s="103" t="s">
        <v>153</v>
      </c>
      <c r="R736" s="103" t="s">
        <v>153</v>
      </c>
      <c r="S736" s="103" t="str">
        <f>INDEX('Measure &amp; Standard CostIDs'!$AK$8:$AK$12,B736)</f>
        <v>Two-pack</v>
      </c>
      <c r="T736" s="103" t="s">
        <v>867</v>
      </c>
      <c r="U736" s="103"/>
      <c r="V736" s="103"/>
      <c r="W736" s="103">
        <f>ROUND(IF(LEFT(D736,3)="Std",VLOOKUP(D736,'Measure &amp; Standard CostIDs'!$S$5:$X$177,1+B736,FALSE),VLOOKUP(D736,'Measure &amp; Standard CostIDs'!$C$5:$H$177,1+B736,FALSE)),2)</f>
        <v>4.8099999999999996</v>
      </c>
      <c r="X736" s="103"/>
      <c r="Y736" s="103"/>
      <c r="Z736" s="103" t="s">
        <v>868</v>
      </c>
      <c r="AA736" s="103" t="s">
        <v>874</v>
      </c>
      <c r="AB736" s="103" t="s">
        <v>153</v>
      </c>
      <c r="AC736" s="103">
        <v>0</v>
      </c>
      <c r="AD736" s="156">
        <v>42005</v>
      </c>
      <c r="AE736" s="103"/>
      <c r="AF736" s="103" t="s">
        <v>870</v>
      </c>
      <c r="AG736" s="103" t="s">
        <v>871</v>
      </c>
      <c r="AH736" s="103" t="s">
        <v>976</v>
      </c>
      <c r="AI736" s="103">
        <v>0</v>
      </c>
      <c r="AJ736" s="103"/>
      <c r="AK736" s="103"/>
      <c r="AL736" s="103"/>
      <c r="AM736" s="103"/>
      <c r="AN736" s="103"/>
      <c r="AO736" s="103" t="str">
        <f t="shared" si="35"/>
        <v>CFLscw-A(12w)Two-pack</v>
      </c>
    </row>
    <row r="737" spans="1:41">
      <c r="A737" s="177">
        <f>IFERROR(MATCH(D737,'Measure &amp; Standard CostIDs'!C$5:C$177,0),MATCH(D737,'Measure &amp; Standard CostIDs'!S$5:S$177,0))</f>
        <v>73</v>
      </c>
      <c r="B737" s="177">
        <f t="shared" si="36"/>
        <v>3</v>
      </c>
      <c r="C737" s="103" t="s">
        <v>153</v>
      </c>
      <c r="D737" s="103" t="str">
        <f t="shared" si="37"/>
        <v>CFLscw-A(13w)</v>
      </c>
      <c r="E737" s="103" t="str">
        <f>IF(LEFT(D737,3)="Std","Base case cost for mix of 60% Incandescent and 40% CFL lamps for CFL TechID: "&amp;INDEX('Measure &amp; Standard CostIDs'!$C$5:$C$177,A737),"&lt;from TechID&gt;")</f>
        <v>&lt;from TechID&gt;</v>
      </c>
      <c r="F737" s="103" t="s">
        <v>860</v>
      </c>
      <c r="G737" s="103" t="s">
        <v>151</v>
      </c>
      <c r="H737" s="103" t="s">
        <v>861</v>
      </c>
      <c r="I737" s="103" t="s">
        <v>862</v>
      </c>
      <c r="J737" s="103" t="s">
        <v>863</v>
      </c>
      <c r="K737" s="103" t="s">
        <v>864</v>
      </c>
      <c r="L737" s="103" t="s">
        <v>153</v>
      </c>
      <c r="M737" s="103" t="s">
        <v>865</v>
      </c>
      <c r="N737" s="103" t="s">
        <v>866</v>
      </c>
      <c r="O737" s="103" t="str">
        <f t="shared" si="34"/>
        <v>CFLscw-A(13w)</v>
      </c>
      <c r="P737" s="103" t="s">
        <v>153</v>
      </c>
      <c r="Q737" s="103" t="s">
        <v>153</v>
      </c>
      <c r="R737" s="103" t="s">
        <v>153</v>
      </c>
      <c r="S737" s="103" t="str">
        <f>INDEX('Measure &amp; Standard CostIDs'!$AK$8:$AK$12,B737)</f>
        <v>Two-pack</v>
      </c>
      <c r="T737" s="103" t="s">
        <v>867</v>
      </c>
      <c r="U737" s="103"/>
      <c r="V737" s="103"/>
      <c r="W737" s="103">
        <f>ROUND(IF(LEFT(D737,3)="Std",VLOOKUP(D737,'Measure &amp; Standard CostIDs'!$S$5:$X$177,1+B737,FALSE),VLOOKUP(D737,'Measure &amp; Standard CostIDs'!$C$5:$H$177,1+B737,FALSE)),2)</f>
        <v>4.88</v>
      </c>
      <c r="X737" s="103"/>
      <c r="Y737" s="103"/>
      <c r="Z737" s="103" t="s">
        <v>868</v>
      </c>
      <c r="AA737" s="103" t="s">
        <v>874</v>
      </c>
      <c r="AB737" s="103" t="s">
        <v>153</v>
      </c>
      <c r="AC737" s="103">
        <v>0</v>
      </c>
      <c r="AD737" s="156">
        <v>42005</v>
      </c>
      <c r="AE737" s="103"/>
      <c r="AF737" s="103" t="s">
        <v>870</v>
      </c>
      <c r="AG737" s="103" t="s">
        <v>871</v>
      </c>
      <c r="AH737" s="103" t="s">
        <v>976</v>
      </c>
      <c r="AI737" s="103">
        <v>0</v>
      </c>
      <c r="AJ737" s="103"/>
      <c r="AK737" s="103"/>
      <c r="AL737" s="103"/>
      <c r="AM737" s="103"/>
      <c r="AN737" s="103"/>
      <c r="AO737" s="103" t="str">
        <f t="shared" si="35"/>
        <v>CFLscw-A(13w)Two-pack</v>
      </c>
    </row>
    <row r="738" spans="1:41">
      <c r="A738" s="177">
        <f>IFERROR(MATCH(D738,'Measure &amp; Standard CostIDs'!C$5:C$177,0),MATCH(D738,'Measure &amp; Standard CostIDs'!S$5:S$177,0))</f>
        <v>74</v>
      </c>
      <c r="B738" s="177">
        <f t="shared" si="36"/>
        <v>3</v>
      </c>
      <c r="C738" s="103" t="s">
        <v>153</v>
      </c>
      <c r="D738" s="103" t="str">
        <f t="shared" si="37"/>
        <v>CFLscw-A(14w)</v>
      </c>
      <c r="E738" s="103" t="str">
        <f>IF(LEFT(D738,3)="Std","Base case cost for mix of 60% Incandescent and 40% CFL lamps for CFL TechID: "&amp;INDEX('Measure &amp; Standard CostIDs'!$C$5:$C$177,A738),"&lt;from TechID&gt;")</f>
        <v>&lt;from TechID&gt;</v>
      </c>
      <c r="F738" s="103" t="s">
        <v>860</v>
      </c>
      <c r="G738" s="103" t="s">
        <v>151</v>
      </c>
      <c r="H738" s="103" t="s">
        <v>861</v>
      </c>
      <c r="I738" s="103" t="s">
        <v>862</v>
      </c>
      <c r="J738" s="103" t="s">
        <v>863</v>
      </c>
      <c r="K738" s="103" t="s">
        <v>864</v>
      </c>
      <c r="L738" s="103" t="s">
        <v>153</v>
      </c>
      <c r="M738" s="103" t="s">
        <v>865</v>
      </c>
      <c r="N738" s="103" t="s">
        <v>866</v>
      </c>
      <c r="O738" s="103" t="str">
        <f t="shared" si="34"/>
        <v>CFLscw-A(14w)</v>
      </c>
      <c r="P738" s="103" t="s">
        <v>153</v>
      </c>
      <c r="Q738" s="103" t="s">
        <v>153</v>
      </c>
      <c r="R738" s="103" t="s">
        <v>153</v>
      </c>
      <c r="S738" s="103" t="str">
        <f>INDEX('Measure &amp; Standard CostIDs'!$AK$8:$AK$12,B738)</f>
        <v>Two-pack</v>
      </c>
      <c r="T738" s="103" t="s">
        <v>867</v>
      </c>
      <c r="U738" s="103"/>
      <c r="V738" s="103"/>
      <c r="W738" s="103">
        <f>ROUND(IF(LEFT(D738,3)="Std",VLOOKUP(D738,'Measure &amp; Standard CostIDs'!$S$5:$X$177,1+B738,FALSE),VLOOKUP(D738,'Measure &amp; Standard CostIDs'!$C$5:$H$177,1+B738,FALSE)),2)</f>
        <v>4.9400000000000004</v>
      </c>
      <c r="X738" s="103"/>
      <c r="Y738" s="103"/>
      <c r="Z738" s="103" t="s">
        <v>868</v>
      </c>
      <c r="AA738" s="103" t="s">
        <v>874</v>
      </c>
      <c r="AB738" s="103" t="s">
        <v>153</v>
      </c>
      <c r="AC738" s="103">
        <v>0</v>
      </c>
      <c r="AD738" s="156">
        <v>42005</v>
      </c>
      <c r="AE738" s="103"/>
      <c r="AF738" s="103" t="s">
        <v>870</v>
      </c>
      <c r="AG738" s="103" t="s">
        <v>871</v>
      </c>
      <c r="AH738" s="103" t="s">
        <v>976</v>
      </c>
      <c r="AI738" s="103">
        <v>0</v>
      </c>
      <c r="AJ738" s="103"/>
      <c r="AK738" s="103"/>
      <c r="AL738" s="103"/>
      <c r="AM738" s="103"/>
      <c r="AN738" s="103"/>
      <c r="AO738" s="103" t="str">
        <f t="shared" si="35"/>
        <v>CFLscw-A(14w)Two-pack</v>
      </c>
    </row>
    <row r="739" spans="1:41">
      <c r="A739" s="177">
        <f>IFERROR(MATCH(D739,'Measure &amp; Standard CostIDs'!C$5:C$177,0),MATCH(D739,'Measure &amp; Standard CostIDs'!S$5:S$177,0))</f>
        <v>75</v>
      </c>
      <c r="B739" s="177">
        <f t="shared" si="36"/>
        <v>3</v>
      </c>
      <c r="C739" s="103" t="s">
        <v>153</v>
      </c>
      <c r="D739" s="103" t="str">
        <f t="shared" si="37"/>
        <v>CFLscw-A(15w)</v>
      </c>
      <c r="E739" s="103" t="str">
        <f>IF(LEFT(D739,3)="Std","Base case cost for mix of 60% Incandescent and 40% CFL lamps for CFL TechID: "&amp;INDEX('Measure &amp; Standard CostIDs'!$C$5:$C$177,A739),"&lt;from TechID&gt;")</f>
        <v>&lt;from TechID&gt;</v>
      </c>
      <c r="F739" s="103" t="s">
        <v>860</v>
      </c>
      <c r="G739" s="103" t="s">
        <v>151</v>
      </c>
      <c r="H739" s="103" t="s">
        <v>861</v>
      </c>
      <c r="I739" s="103" t="s">
        <v>862</v>
      </c>
      <c r="J739" s="103" t="s">
        <v>863</v>
      </c>
      <c r="K739" s="103" t="s">
        <v>864</v>
      </c>
      <c r="L739" s="103" t="s">
        <v>153</v>
      </c>
      <c r="M739" s="103" t="s">
        <v>865</v>
      </c>
      <c r="N739" s="103" t="s">
        <v>866</v>
      </c>
      <c r="O739" s="103" t="str">
        <f t="shared" si="34"/>
        <v>CFLscw-A(15w)</v>
      </c>
      <c r="P739" s="103" t="s">
        <v>153</v>
      </c>
      <c r="Q739" s="103" t="s">
        <v>153</v>
      </c>
      <c r="R739" s="103" t="s">
        <v>153</v>
      </c>
      <c r="S739" s="103" t="str">
        <f>INDEX('Measure &amp; Standard CostIDs'!$AK$8:$AK$12,B739)</f>
        <v>Two-pack</v>
      </c>
      <c r="T739" s="103" t="s">
        <v>867</v>
      </c>
      <c r="U739" s="103"/>
      <c r="V739" s="103"/>
      <c r="W739" s="103">
        <f>ROUND(IF(LEFT(D739,3)="Std",VLOOKUP(D739,'Measure &amp; Standard CostIDs'!$S$5:$X$177,1+B739,FALSE),VLOOKUP(D739,'Measure &amp; Standard CostIDs'!$C$5:$H$177,1+B739,FALSE)),2)</f>
        <v>5.01</v>
      </c>
      <c r="X739" s="103"/>
      <c r="Y739" s="103"/>
      <c r="Z739" s="103" t="s">
        <v>868</v>
      </c>
      <c r="AA739" s="103" t="s">
        <v>874</v>
      </c>
      <c r="AB739" s="103" t="s">
        <v>153</v>
      </c>
      <c r="AC739" s="103">
        <v>0</v>
      </c>
      <c r="AD739" s="156">
        <v>42005</v>
      </c>
      <c r="AE739" s="103"/>
      <c r="AF739" s="103" t="s">
        <v>870</v>
      </c>
      <c r="AG739" s="103" t="s">
        <v>871</v>
      </c>
      <c r="AH739" s="103" t="s">
        <v>976</v>
      </c>
      <c r="AI739" s="103">
        <v>0</v>
      </c>
      <c r="AJ739" s="103"/>
      <c r="AK739" s="103"/>
      <c r="AL739" s="103"/>
      <c r="AM739" s="103"/>
      <c r="AN739" s="103"/>
      <c r="AO739" s="103" t="str">
        <f t="shared" si="35"/>
        <v>CFLscw-A(15w)Two-pack</v>
      </c>
    </row>
    <row r="740" spans="1:41">
      <c r="A740" s="177">
        <f>IFERROR(MATCH(D740,'Measure &amp; Standard CostIDs'!C$5:C$177,0),MATCH(D740,'Measure &amp; Standard CostIDs'!S$5:S$177,0))</f>
        <v>76</v>
      </c>
      <c r="B740" s="177">
        <f t="shared" si="36"/>
        <v>3</v>
      </c>
      <c r="C740" s="103" t="s">
        <v>153</v>
      </c>
      <c r="D740" s="103" t="str">
        <f t="shared" si="37"/>
        <v>CFLscw-A(16w)</v>
      </c>
      <c r="E740" s="103" t="str">
        <f>IF(LEFT(D740,3)="Std","Base case cost for mix of 60% Incandescent and 40% CFL lamps for CFL TechID: "&amp;INDEX('Measure &amp; Standard CostIDs'!$C$5:$C$177,A740),"&lt;from TechID&gt;")</f>
        <v>&lt;from TechID&gt;</v>
      </c>
      <c r="F740" s="103" t="s">
        <v>860</v>
      </c>
      <c r="G740" s="103" t="s">
        <v>151</v>
      </c>
      <c r="H740" s="103" t="s">
        <v>861</v>
      </c>
      <c r="I740" s="103" t="s">
        <v>862</v>
      </c>
      <c r="J740" s="103" t="s">
        <v>863</v>
      </c>
      <c r="K740" s="103" t="s">
        <v>864</v>
      </c>
      <c r="L740" s="103" t="s">
        <v>153</v>
      </c>
      <c r="M740" s="103" t="s">
        <v>865</v>
      </c>
      <c r="N740" s="103" t="s">
        <v>866</v>
      </c>
      <c r="O740" s="103" t="str">
        <f t="shared" si="34"/>
        <v>CFLscw-A(16w)</v>
      </c>
      <c r="P740" s="103" t="s">
        <v>153</v>
      </c>
      <c r="Q740" s="103" t="s">
        <v>153</v>
      </c>
      <c r="R740" s="103" t="s">
        <v>153</v>
      </c>
      <c r="S740" s="103" t="str">
        <f>INDEX('Measure &amp; Standard CostIDs'!$AK$8:$AK$12,B740)</f>
        <v>Two-pack</v>
      </c>
      <c r="T740" s="103" t="s">
        <v>867</v>
      </c>
      <c r="U740" s="103"/>
      <c r="V740" s="103"/>
      <c r="W740" s="103">
        <f>ROUND(IF(LEFT(D740,3)="Std",VLOOKUP(D740,'Measure &amp; Standard CostIDs'!$S$5:$X$177,1+B740,FALSE),VLOOKUP(D740,'Measure &amp; Standard CostIDs'!$C$5:$H$177,1+B740,FALSE)),2)</f>
        <v>5.08</v>
      </c>
      <c r="X740" s="103"/>
      <c r="Y740" s="103"/>
      <c r="Z740" s="103" t="s">
        <v>868</v>
      </c>
      <c r="AA740" s="103" t="s">
        <v>874</v>
      </c>
      <c r="AB740" s="103" t="s">
        <v>153</v>
      </c>
      <c r="AC740" s="103">
        <v>0</v>
      </c>
      <c r="AD740" s="156">
        <v>42005</v>
      </c>
      <c r="AE740" s="103"/>
      <c r="AF740" s="103" t="s">
        <v>870</v>
      </c>
      <c r="AG740" s="103" t="s">
        <v>871</v>
      </c>
      <c r="AH740" s="103" t="s">
        <v>976</v>
      </c>
      <c r="AI740" s="103">
        <v>0</v>
      </c>
      <c r="AJ740" s="103"/>
      <c r="AK740" s="103"/>
      <c r="AL740" s="103"/>
      <c r="AM740" s="103"/>
      <c r="AN740" s="103"/>
      <c r="AO740" s="103" t="str">
        <f t="shared" si="35"/>
        <v>CFLscw-A(16w)Two-pack</v>
      </c>
    </row>
    <row r="741" spans="1:41">
      <c r="A741" s="177">
        <f>IFERROR(MATCH(D741,'Measure &amp; Standard CostIDs'!C$5:C$177,0),MATCH(D741,'Measure &amp; Standard CostIDs'!S$5:S$177,0))</f>
        <v>77</v>
      </c>
      <c r="B741" s="177">
        <f t="shared" si="36"/>
        <v>3</v>
      </c>
      <c r="C741" s="103" t="s">
        <v>153</v>
      </c>
      <c r="D741" s="103" t="str">
        <f t="shared" si="37"/>
        <v>CFLscw-A(18w)</v>
      </c>
      <c r="E741" s="103" t="str">
        <f>IF(LEFT(D741,3)="Std","Base case cost for mix of 60% Incandescent and 40% CFL lamps for CFL TechID: "&amp;INDEX('Measure &amp; Standard CostIDs'!$C$5:$C$177,A741),"&lt;from TechID&gt;")</f>
        <v>&lt;from TechID&gt;</v>
      </c>
      <c r="F741" s="103" t="s">
        <v>860</v>
      </c>
      <c r="G741" s="103" t="s">
        <v>151</v>
      </c>
      <c r="H741" s="103" t="s">
        <v>861</v>
      </c>
      <c r="I741" s="103" t="s">
        <v>862</v>
      </c>
      <c r="J741" s="103" t="s">
        <v>863</v>
      </c>
      <c r="K741" s="103" t="s">
        <v>864</v>
      </c>
      <c r="L741" s="103" t="s">
        <v>153</v>
      </c>
      <c r="M741" s="103" t="s">
        <v>865</v>
      </c>
      <c r="N741" s="103" t="s">
        <v>866</v>
      </c>
      <c r="O741" s="103" t="str">
        <f t="shared" si="34"/>
        <v>CFLscw-A(18w)</v>
      </c>
      <c r="P741" s="103" t="s">
        <v>153</v>
      </c>
      <c r="Q741" s="103" t="s">
        <v>153</v>
      </c>
      <c r="R741" s="103" t="s">
        <v>153</v>
      </c>
      <c r="S741" s="103" t="str">
        <f>INDEX('Measure &amp; Standard CostIDs'!$AK$8:$AK$12,B741)</f>
        <v>Two-pack</v>
      </c>
      <c r="T741" s="103" t="s">
        <v>867</v>
      </c>
      <c r="U741" s="103"/>
      <c r="V741" s="103"/>
      <c r="W741" s="103">
        <f>ROUND(IF(LEFT(D741,3)="Std",VLOOKUP(D741,'Measure &amp; Standard CostIDs'!$S$5:$X$177,1+B741,FALSE),VLOOKUP(D741,'Measure &amp; Standard CostIDs'!$C$5:$H$177,1+B741,FALSE)),2)</f>
        <v>5.21</v>
      </c>
      <c r="X741" s="103"/>
      <c r="Y741" s="103"/>
      <c r="Z741" s="103" t="s">
        <v>868</v>
      </c>
      <c r="AA741" s="103" t="s">
        <v>874</v>
      </c>
      <c r="AB741" s="103" t="s">
        <v>153</v>
      </c>
      <c r="AC741" s="103">
        <v>0</v>
      </c>
      <c r="AD741" s="156">
        <v>42005</v>
      </c>
      <c r="AE741" s="103"/>
      <c r="AF741" s="103" t="s">
        <v>870</v>
      </c>
      <c r="AG741" s="103" t="s">
        <v>871</v>
      </c>
      <c r="AH741" s="103" t="s">
        <v>976</v>
      </c>
      <c r="AI741" s="103">
        <v>0</v>
      </c>
      <c r="AJ741" s="103"/>
      <c r="AK741" s="103"/>
      <c r="AL741" s="103"/>
      <c r="AM741" s="103"/>
      <c r="AN741" s="103"/>
      <c r="AO741" s="103" t="str">
        <f t="shared" si="35"/>
        <v>CFLscw-A(18w)Two-pack</v>
      </c>
    </row>
    <row r="742" spans="1:41">
      <c r="A742" s="177">
        <f>IFERROR(MATCH(D742,'Measure &amp; Standard CostIDs'!C$5:C$177,0),MATCH(D742,'Measure &amp; Standard CostIDs'!S$5:S$177,0))</f>
        <v>78</v>
      </c>
      <c r="B742" s="177">
        <f t="shared" si="36"/>
        <v>3</v>
      </c>
      <c r="C742" s="103" t="s">
        <v>153</v>
      </c>
      <c r="D742" s="103" t="str">
        <f t="shared" si="37"/>
        <v>CFLscw-A(19w)</v>
      </c>
      <c r="E742" s="103" t="str">
        <f>IF(LEFT(D742,3)="Std","Base case cost for mix of 60% Incandescent and 40% CFL lamps for CFL TechID: "&amp;INDEX('Measure &amp; Standard CostIDs'!$C$5:$C$177,A742),"&lt;from TechID&gt;")</f>
        <v>&lt;from TechID&gt;</v>
      </c>
      <c r="F742" s="103" t="s">
        <v>860</v>
      </c>
      <c r="G742" s="103" t="s">
        <v>151</v>
      </c>
      <c r="H742" s="103" t="s">
        <v>861</v>
      </c>
      <c r="I742" s="103" t="s">
        <v>862</v>
      </c>
      <c r="J742" s="103" t="s">
        <v>863</v>
      </c>
      <c r="K742" s="103" t="s">
        <v>864</v>
      </c>
      <c r="L742" s="103" t="s">
        <v>153</v>
      </c>
      <c r="M742" s="103" t="s">
        <v>865</v>
      </c>
      <c r="N742" s="103" t="s">
        <v>866</v>
      </c>
      <c r="O742" s="103" t="str">
        <f t="shared" si="34"/>
        <v>CFLscw-A(19w)</v>
      </c>
      <c r="P742" s="103" t="s">
        <v>153</v>
      </c>
      <c r="Q742" s="103" t="s">
        <v>153</v>
      </c>
      <c r="R742" s="103" t="s">
        <v>153</v>
      </c>
      <c r="S742" s="103" t="str">
        <f>INDEX('Measure &amp; Standard CostIDs'!$AK$8:$AK$12,B742)</f>
        <v>Two-pack</v>
      </c>
      <c r="T742" s="103" t="s">
        <v>867</v>
      </c>
      <c r="U742" s="103"/>
      <c r="V742" s="103"/>
      <c r="W742" s="103">
        <f>ROUND(IF(LEFT(D742,3)="Std",VLOOKUP(D742,'Measure &amp; Standard CostIDs'!$S$5:$X$177,1+B742,FALSE),VLOOKUP(D742,'Measure &amp; Standard CostIDs'!$C$5:$H$177,1+B742,FALSE)),2)</f>
        <v>5.28</v>
      </c>
      <c r="X742" s="103"/>
      <c r="Y742" s="103"/>
      <c r="Z742" s="103" t="s">
        <v>868</v>
      </c>
      <c r="AA742" s="103" t="s">
        <v>874</v>
      </c>
      <c r="AB742" s="103" t="s">
        <v>153</v>
      </c>
      <c r="AC742" s="103">
        <v>0</v>
      </c>
      <c r="AD742" s="156">
        <v>42005</v>
      </c>
      <c r="AE742" s="103"/>
      <c r="AF742" s="103" t="s">
        <v>870</v>
      </c>
      <c r="AG742" s="103" t="s">
        <v>871</v>
      </c>
      <c r="AH742" s="103" t="s">
        <v>976</v>
      </c>
      <c r="AI742" s="103">
        <v>0</v>
      </c>
      <c r="AJ742" s="103"/>
      <c r="AK742" s="103"/>
      <c r="AL742" s="103"/>
      <c r="AM742" s="103"/>
      <c r="AN742" s="103"/>
      <c r="AO742" s="103" t="str">
        <f t="shared" si="35"/>
        <v>CFLscw-A(19w)Two-pack</v>
      </c>
    </row>
    <row r="743" spans="1:41">
      <c r="A743" s="177">
        <f>IFERROR(MATCH(D743,'Measure &amp; Standard CostIDs'!C$5:C$177,0),MATCH(D743,'Measure &amp; Standard CostIDs'!S$5:S$177,0))</f>
        <v>79</v>
      </c>
      <c r="B743" s="177">
        <f t="shared" si="36"/>
        <v>3</v>
      </c>
      <c r="C743" s="103" t="s">
        <v>153</v>
      </c>
      <c r="D743" s="103" t="str">
        <f t="shared" si="37"/>
        <v>CFLscw-A(20w)</v>
      </c>
      <c r="E743" s="103" t="str">
        <f>IF(LEFT(D743,3)="Std","Base case cost for mix of 60% Incandescent and 40% CFL lamps for CFL TechID: "&amp;INDEX('Measure &amp; Standard CostIDs'!$C$5:$C$177,A743),"&lt;from TechID&gt;")</f>
        <v>&lt;from TechID&gt;</v>
      </c>
      <c r="F743" s="103" t="s">
        <v>860</v>
      </c>
      <c r="G743" s="103" t="s">
        <v>151</v>
      </c>
      <c r="H743" s="103" t="s">
        <v>861</v>
      </c>
      <c r="I743" s="103" t="s">
        <v>862</v>
      </c>
      <c r="J743" s="103" t="s">
        <v>863</v>
      </c>
      <c r="K743" s="103" t="s">
        <v>864</v>
      </c>
      <c r="L743" s="103" t="s">
        <v>153</v>
      </c>
      <c r="M743" s="103" t="s">
        <v>865</v>
      </c>
      <c r="N743" s="103" t="s">
        <v>866</v>
      </c>
      <c r="O743" s="103" t="str">
        <f t="shared" si="34"/>
        <v>CFLscw-A(20w)</v>
      </c>
      <c r="P743" s="103" t="s">
        <v>153</v>
      </c>
      <c r="Q743" s="103" t="s">
        <v>153</v>
      </c>
      <c r="R743" s="103" t="s">
        <v>153</v>
      </c>
      <c r="S743" s="103" t="str">
        <f>INDEX('Measure &amp; Standard CostIDs'!$AK$8:$AK$12,B743)</f>
        <v>Two-pack</v>
      </c>
      <c r="T743" s="103" t="s">
        <v>867</v>
      </c>
      <c r="U743" s="103"/>
      <c r="V743" s="103"/>
      <c r="W743" s="103">
        <f>ROUND(IF(LEFT(D743,3)="Std",VLOOKUP(D743,'Measure &amp; Standard CostIDs'!$S$5:$X$177,1+B743,FALSE),VLOOKUP(D743,'Measure &amp; Standard CostIDs'!$C$5:$H$177,1+B743,FALSE)),2)</f>
        <v>5.34</v>
      </c>
      <c r="X743" s="103"/>
      <c r="Y743" s="103"/>
      <c r="Z743" s="103" t="s">
        <v>868</v>
      </c>
      <c r="AA743" s="103" t="s">
        <v>874</v>
      </c>
      <c r="AB743" s="103" t="s">
        <v>153</v>
      </c>
      <c r="AC743" s="103">
        <v>0</v>
      </c>
      <c r="AD743" s="156">
        <v>42005</v>
      </c>
      <c r="AE743" s="103"/>
      <c r="AF743" s="103" t="s">
        <v>870</v>
      </c>
      <c r="AG743" s="103" t="s">
        <v>871</v>
      </c>
      <c r="AH743" s="103" t="s">
        <v>976</v>
      </c>
      <c r="AI743" s="103">
        <v>0</v>
      </c>
      <c r="AJ743" s="103"/>
      <c r="AK743" s="103"/>
      <c r="AL743" s="103"/>
      <c r="AM743" s="103"/>
      <c r="AN743" s="103"/>
      <c r="AO743" s="103" t="str">
        <f t="shared" si="35"/>
        <v>CFLscw-A(20w)Two-pack</v>
      </c>
    </row>
    <row r="744" spans="1:41">
      <c r="A744" s="177">
        <f>IFERROR(MATCH(D744,'Measure &amp; Standard CostIDs'!C$5:C$177,0),MATCH(D744,'Measure &amp; Standard CostIDs'!S$5:S$177,0))</f>
        <v>80</v>
      </c>
      <c r="B744" s="177">
        <f t="shared" si="36"/>
        <v>3</v>
      </c>
      <c r="C744" s="103" t="s">
        <v>153</v>
      </c>
      <c r="D744" s="103" t="str">
        <f t="shared" si="37"/>
        <v>CFLscw-A(22w)</v>
      </c>
      <c r="E744" s="103" t="str">
        <f>IF(LEFT(D744,3)="Std","Base case cost for mix of 60% Incandescent and 40% CFL lamps for CFL TechID: "&amp;INDEX('Measure &amp; Standard CostIDs'!$C$5:$C$177,A744),"&lt;from TechID&gt;")</f>
        <v>&lt;from TechID&gt;</v>
      </c>
      <c r="F744" s="103" t="s">
        <v>860</v>
      </c>
      <c r="G744" s="103" t="s">
        <v>151</v>
      </c>
      <c r="H744" s="103" t="s">
        <v>861</v>
      </c>
      <c r="I744" s="103" t="s">
        <v>862</v>
      </c>
      <c r="J744" s="103" t="s">
        <v>863</v>
      </c>
      <c r="K744" s="103" t="s">
        <v>864</v>
      </c>
      <c r="L744" s="103" t="s">
        <v>153</v>
      </c>
      <c r="M744" s="103" t="s">
        <v>865</v>
      </c>
      <c r="N744" s="103" t="s">
        <v>866</v>
      </c>
      <c r="O744" s="103" t="str">
        <f t="shared" si="34"/>
        <v>CFLscw-A(22w)</v>
      </c>
      <c r="P744" s="103" t="s">
        <v>153</v>
      </c>
      <c r="Q744" s="103" t="s">
        <v>153</v>
      </c>
      <c r="R744" s="103" t="s">
        <v>153</v>
      </c>
      <c r="S744" s="103" t="str">
        <f>INDEX('Measure &amp; Standard CostIDs'!$AK$8:$AK$12,B744)</f>
        <v>Two-pack</v>
      </c>
      <c r="T744" s="103" t="s">
        <v>867</v>
      </c>
      <c r="U744" s="103"/>
      <c r="V744" s="103"/>
      <c r="W744" s="103">
        <f>ROUND(IF(LEFT(D744,3)="Std",VLOOKUP(D744,'Measure &amp; Standard CostIDs'!$S$5:$X$177,1+B744,FALSE),VLOOKUP(D744,'Measure &amp; Standard CostIDs'!$C$5:$H$177,1+B744,FALSE)),2)</f>
        <v>5.47</v>
      </c>
      <c r="X744" s="103"/>
      <c r="Y744" s="103"/>
      <c r="Z744" s="103" t="s">
        <v>868</v>
      </c>
      <c r="AA744" s="103" t="s">
        <v>874</v>
      </c>
      <c r="AB744" s="103" t="s">
        <v>153</v>
      </c>
      <c r="AC744" s="103">
        <v>0</v>
      </c>
      <c r="AD744" s="156">
        <v>42005</v>
      </c>
      <c r="AE744" s="103"/>
      <c r="AF744" s="103" t="s">
        <v>870</v>
      </c>
      <c r="AG744" s="103" t="s">
        <v>871</v>
      </c>
      <c r="AH744" s="103" t="s">
        <v>976</v>
      </c>
      <c r="AI744" s="103">
        <v>0</v>
      </c>
      <c r="AJ744" s="103"/>
      <c r="AK744" s="103"/>
      <c r="AL744" s="103"/>
      <c r="AM744" s="103"/>
      <c r="AN744" s="103"/>
      <c r="AO744" s="103" t="str">
        <f t="shared" si="35"/>
        <v>CFLscw-A(22w)Two-pack</v>
      </c>
    </row>
    <row r="745" spans="1:41">
      <c r="A745" s="177">
        <f>IFERROR(MATCH(D745,'Measure &amp; Standard CostIDs'!C$5:C$177,0),MATCH(D745,'Measure &amp; Standard CostIDs'!S$5:S$177,0))</f>
        <v>81</v>
      </c>
      <c r="B745" s="177">
        <f t="shared" si="36"/>
        <v>3</v>
      </c>
      <c r="C745" s="103" t="s">
        <v>153</v>
      </c>
      <c r="D745" s="103" t="str">
        <f t="shared" si="37"/>
        <v>CFLscw-A(23w)</v>
      </c>
      <c r="E745" s="103" t="str">
        <f>IF(LEFT(D745,3)="Std","Base case cost for mix of 60% Incandescent and 40% CFL lamps for CFL TechID: "&amp;INDEX('Measure &amp; Standard CostIDs'!$C$5:$C$177,A745),"&lt;from TechID&gt;")</f>
        <v>&lt;from TechID&gt;</v>
      </c>
      <c r="F745" s="103" t="s">
        <v>860</v>
      </c>
      <c r="G745" s="103" t="s">
        <v>151</v>
      </c>
      <c r="H745" s="103" t="s">
        <v>861</v>
      </c>
      <c r="I745" s="103" t="s">
        <v>862</v>
      </c>
      <c r="J745" s="103" t="s">
        <v>863</v>
      </c>
      <c r="K745" s="103" t="s">
        <v>864</v>
      </c>
      <c r="L745" s="103" t="s">
        <v>153</v>
      </c>
      <c r="M745" s="103" t="s">
        <v>865</v>
      </c>
      <c r="N745" s="103" t="s">
        <v>866</v>
      </c>
      <c r="O745" s="103" t="str">
        <f t="shared" si="34"/>
        <v>CFLscw-A(23w)</v>
      </c>
      <c r="P745" s="103" t="s">
        <v>153</v>
      </c>
      <c r="Q745" s="103" t="s">
        <v>153</v>
      </c>
      <c r="R745" s="103" t="s">
        <v>153</v>
      </c>
      <c r="S745" s="103" t="str">
        <f>INDEX('Measure &amp; Standard CostIDs'!$AK$8:$AK$12,B745)</f>
        <v>Two-pack</v>
      </c>
      <c r="T745" s="103" t="s">
        <v>867</v>
      </c>
      <c r="U745" s="103"/>
      <c r="V745" s="103"/>
      <c r="W745" s="103">
        <f>ROUND(IF(LEFT(D745,3)="Std",VLOOKUP(D745,'Measure &amp; Standard CostIDs'!$S$5:$X$177,1+B745,FALSE),VLOOKUP(D745,'Measure &amp; Standard CostIDs'!$C$5:$H$177,1+B745,FALSE)),2)</f>
        <v>5.54</v>
      </c>
      <c r="X745" s="103"/>
      <c r="Y745" s="103"/>
      <c r="Z745" s="103" t="s">
        <v>868</v>
      </c>
      <c r="AA745" s="103" t="s">
        <v>874</v>
      </c>
      <c r="AB745" s="103" t="s">
        <v>153</v>
      </c>
      <c r="AC745" s="103">
        <v>0</v>
      </c>
      <c r="AD745" s="156">
        <v>42005</v>
      </c>
      <c r="AE745" s="103"/>
      <c r="AF745" s="103" t="s">
        <v>870</v>
      </c>
      <c r="AG745" s="103" t="s">
        <v>871</v>
      </c>
      <c r="AH745" s="103" t="s">
        <v>976</v>
      </c>
      <c r="AI745" s="103">
        <v>0</v>
      </c>
      <c r="AJ745" s="103"/>
      <c r="AK745" s="103"/>
      <c r="AL745" s="103"/>
      <c r="AM745" s="103"/>
      <c r="AN745" s="103"/>
      <c r="AO745" s="103" t="str">
        <f t="shared" si="35"/>
        <v>CFLscw-A(23w)Two-pack</v>
      </c>
    </row>
    <row r="746" spans="1:41">
      <c r="A746" s="177">
        <f>IFERROR(MATCH(D746,'Measure &amp; Standard CostIDs'!C$5:C$177,0),MATCH(D746,'Measure &amp; Standard CostIDs'!S$5:S$177,0))</f>
        <v>82</v>
      </c>
      <c r="B746" s="177">
        <f t="shared" si="36"/>
        <v>3</v>
      </c>
      <c r="C746" s="103" t="s">
        <v>153</v>
      </c>
      <c r="D746" s="103" t="str">
        <f t="shared" si="37"/>
        <v>CFLscw-A(24w)</v>
      </c>
      <c r="E746" s="103" t="str">
        <f>IF(LEFT(D746,3)="Std","Base case cost for mix of 60% Incandescent and 40% CFL lamps for CFL TechID: "&amp;INDEX('Measure &amp; Standard CostIDs'!$C$5:$C$177,A746),"&lt;from TechID&gt;")</f>
        <v>&lt;from TechID&gt;</v>
      </c>
      <c r="F746" s="103" t="s">
        <v>860</v>
      </c>
      <c r="G746" s="103" t="s">
        <v>151</v>
      </c>
      <c r="H746" s="103" t="s">
        <v>861</v>
      </c>
      <c r="I746" s="103" t="s">
        <v>862</v>
      </c>
      <c r="J746" s="103" t="s">
        <v>863</v>
      </c>
      <c r="K746" s="103" t="s">
        <v>864</v>
      </c>
      <c r="L746" s="103" t="s">
        <v>153</v>
      </c>
      <c r="M746" s="103" t="s">
        <v>865</v>
      </c>
      <c r="N746" s="103" t="s">
        <v>866</v>
      </c>
      <c r="O746" s="103" t="str">
        <f t="shared" si="34"/>
        <v>CFLscw-A(24w)</v>
      </c>
      <c r="P746" s="103" t="s">
        <v>153</v>
      </c>
      <c r="Q746" s="103" t="s">
        <v>153</v>
      </c>
      <c r="R746" s="103" t="s">
        <v>153</v>
      </c>
      <c r="S746" s="103" t="str">
        <f>INDEX('Measure &amp; Standard CostIDs'!$AK$8:$AK$12,B746)</f>
        <v>Two-pack</v>
      </c>
      <c r="T746" s="103" t="s">
        <v>867</v>
      </c>
      <c r="U746" s="103"/>
      <c r="V746" s="103"/>
      <c r="W746" s="103">
        <f>ROUND(IF(LEFT(D746,3)="Std",VLOOKUP(D746,'Measure &amp; Standard CostIDs'!$S$5:$X$177,1+B746,FALSE),VLOOKUP(D746,'Measure &amp; Standard CostIDs'!$C$5:$H$177,1+B746,FALSE)),2)</f>
        <v>5.61</v>
      </c>
      <c r="X746" s="103"/>
      <c r="Y746" s="103"/>
      <c r="Z746" s="103" t="s">
        <v>868</v>
      </c>
      <c r="AA746" s="103" t="s">
        <v>874</v>
      </c>
      <c r="AB746" s="103" t="s">
        <v>153</v>
      </c>
      <c r="AC746" s="103">
        <v>0</v>
      </c>
      <c r="AD746" s="156">
        <v>42005</v>
      </c>
      <c r="AE746" s="103"/>
      <c r="AF746" s="103" t="s">
        <v>870</v>
      </c>
      <c r="AG746" s="103" t="s">
        <v>871</v>
      </c>
      <c r="AH746" s="103" t="s">
        <v>976</v>
      </c>
      <c r="AI746" s="103">
        <v>0</v>
      </c>
      <c r="AJ746" s="103"/>
      <c r="AK746" s="103"/>
      <c r="AL746" s="103"/>
      <c r="AM746" s="103"/>
      <c r="AN746" s="103"/>
      <c r="AO746" s="103" t="str">
        <f t="shared" si="35"/>
        <v>CFLscw-A(24w)Two-pack</v>
      </c>
    </row>
    <row r="747" spans="1:41">
      <c r="A747" s="177">
        <f>IFERROR(MATCH(D747,'Measure &amp; Standard CostIDs'!C$5:C$177,0),MATCH(D747,'Measure &amp; Standard CostIDs'!S$5:S$177,0))</f>
        <v>83</v>
      </c>
      <c r="B747" s="177">
        <f t="shared" si="36"/>
        <v>3</v>
      </c>
      <c r="C747" s="103" t="s">
        <v>153</v>
      </c>
      <c r="D747" s="103" t="str">
        <f t="shared" si="37"/>
        <v>CFLscw-A(25w)</v>
      </c>
      <c r="E747" s="103" t="str">
        <f>IF(LEFT(D747,3)="Std","Base case cost for mix of 60% Incandescent and 40% CFL lamps for CFL TechID: "&amp;INDEX('Measure &amp; Standard CostIDs'!$C$5:$C$177,A747),"&lt;from TechID&gt;")</f>
        <v>&lt;from TechID&gt;</v>
      </c>
      <c r="F747" s="103" t="s">
        <v>860</v>
      </c>
      <c r="G747" s="103" t="s">
        <v>151</v>
      </c>
      <c r="H747" s="103" t="s">
        <v>861</v>
      </c>
      <c r="I747" s="103" t="s">
        <v>862</v>
      </c>
      <c r="J747" s="103" t="s">
        <v>863</v>
      </c>
      <c r="K747" s="103" t="s">
        <v>864</v>
      </c>
      <c r="L747" s="103" t="s">
        <v>153</v>
      </c>
      <c r="M747" s="103" t="s">
        <v>865</v>
      </c>
      <c r="N747" s="103" t="s">
        <v>866</v>
      </c>
      <c r="O747" s="103" t="str">
        <f t="shared" si="34"/>
        <v>CFLscw-A(25w)</v>
      </c>
      <c r="P747" s="103" t="s">
        <v>153</v>
      </c>
      <c r="Q747" s="103" t="s">
        <v>153</v>
      </c>
      <c r="R747" s="103" t="s">
        <v>153</v>
      </c>
      <c r="S747" s="103" t="str">
        <f>INDEX('Measure &amp; Standard CostIDs'!$AK$8:$AK$12,B747)</f>
        <v>Two-pack</v>
      </c>
      <c r="T747" s="103" t="s">
        <v>867</v>
      </c>
      <c r="U747" s="103"/>
      <c r="V747" s="103"/>
      <c r="W747" s="103">
        <f>ROUND(IF(LEFT(D747,3)="Std",VLOOKUP(D747,'Measure &amp; Standard CostIDs'!$S$5:$X$177,1+B747,FALSE),VLOOKUP(D747,'Measure &amp; Standard CostIDs'!$C$5:$H$177,1+B747,FALSE)),2)</f>
        <v>5.67</v>
      </c>
      <c r="X747" s="103"/>
      <c r="Y747" s="103"/>
      <c r="Z747" s="103" t="s">
        <v>868</v>
      </c>
      <c r="AA747" s="103" t="s">
        <v>874</v>
      </c>
      <c r="AB747" s="103" t="s">
        <v>153</v>
      </c>
      <c r="AC747" s="103">
        <v>0</v>
      </c>
      <c r="AD747" s="156">
        <v>42005</v>
      </c>
      <c r="AE747" s="103"/>
      <c r="AF747" s="103" t="s">
        <v>870</v>
      </c>
      <c r="AG747" s="103" t="s">
        <v>871</v>
      </c>
      <c r="AH747" s="103" t="s">
        <v>976</v>
      </c>
      <c r="AI747" s="103">
        <v>0</v>
      </c>
      <c r="AJ747" s="103"/>
      <c r="AK747" s="103"/>
      <c r="AL747" s="103"/>
      <c r="AM747" s="103"/>
      <c r="AN747" s="103"/>
      <c r="AO747" s="103" t="str">
        <f t="shared" si="35"/>
        <v>CFLscw-A(25w)Two-pack</v>
      </c>
    </row>
    <row r="748" spans="1:41">
      <c r="A748" s="177">
        <f>IFERROR(MATCH(D748,'Measure &amp; Standard CostIDs'!C$5:C$177,0),MATCH(D748,'Measure &amp; Standard CostIDs'!S$5:S$177,0))</f>
        <v>84</v>
      </c>
      <c r="B748" s="177">
        <f t="shared" si="36"/>
        <v>3</v>
      </c>
      <c r="C748" s="103" t="s">
        <v>153</v>
      </c>
      <c r="D748" s="103" t="str">
        <f t="shared" si="37"/>
        <v>CFLscw-A(26w)</v>
      </c>
      <c r="E748" s="103" t="str">
        <f>IF(LEFT(D748,3)="Std","Base case cost for mix of 60% Incandescent and 40% CFL lamps for CFL TechID: "&amp;INDEX('Measure &amp; Standard CostIDs'!$C$5:$C$177,A748),"&lt;from TechID&gt;")</f>
        <v>&lt;from TechID&gt;</v>
      </c>
      <c r="F748" s="103" t="s">
        <v>860</v>
      </c>
      <c r="G748" s="103" t="s">
        <v>151</v>
      </c>
      <c r="H748" s="103" t="s">
        <v>861</v>
      </c>
      <c r="I748" s="103" t="s">
        <v>862</v>
      </c>
      <c r="J748" s="103" t="s">
        <v>863</v>
      </c>
      <c r="K748" s="103" t="s">
        <v>864</v>
      </c>
      <c r="L748" s="103" t="s">
        <v>153</v>
      </c>
      <c r="M748" s="103" t="s">
        <v>865</v>
      </c>
      <c r="N748" s="103" t="s">
        <v>866</v>
      </c>
      <c r="O748" s="103" t="str">
        <f t="shared" si="34"/>
        <v>CFLscw-A(26w)</v>
      </c>
      <c r="P748" s="103" t="s">
        <v>153</v>
      </c>
      <c r="Q748" s="103" t="s">
        <v>153</v>
      </c>
      <c r="R748" s="103" t="s">
        <v>153</v>
      </c>
      <c r="S748" s="103" t="str">
        <f>INDEX('Measure &amp; Standard CostIDs'!$AK$8:$AK$12,B748)</f>
        <v>Two-pack</v>
      </c>
      <c r="T748" s="103" t="s">
        <v>867</v>
      </c>
      <c r="U748" s="103"/>
      <c r="V748" s="103"/>
      <c r="W748" s="103">
        <f>ROUND(IF(LEFT(D748,3)="Std",VLOOKUP(D748,'Measure &amp; Standard CostIDs'!$S$5:$X$177,1+B748,FALSE),VLOOKUP(D748,'Measure &amp; Standard CostIDs'!$C$5:$H$177,1+B748,FALSE)),2)</f>
        <v>5.83</v>
      </c>
      <c r="X748" s="103"/>
      <c r="Y748" s="103"/>
      <c r="Z748" s="103" t="s">
        <v>868</v>
      </c>
      <c r="AA748" s="103" t="s">
        <v>874</v>
      </c>
      <c r="AB748" s="103" t="s">
        <v>153</v>
      </c>
      <c r="AC748" s="103">
        <v>0</v>
      </c>
      <c r="AD748" s="156">
        <v>42005</v>
      </c>
      <c r="AE748" s="103"/>
      <c r="AF748" s="103" t="s">
        <v>870</v>
      </c>
      <c r="AG748" s="103" t="s">
        <v>871</v>
      </c>
      <c r="AH748" s="103" t="s">
        <v>976</v>
      </c>
      <c r="AI748" s="103">
        <v>0</v>
      </c>
      <c r="AJ748" s="103"/>
      <c r="AK748" s="103"/>
      <c r="AL748" s="103"/>
      <c r="AM748" s="103"/>
      <c r="AN748" s="103"/>
      <c r="AO748" s="103" t="str">
        <f t="shared" si="35"/>
        <v>CFLscw-A(26w)Two-pack</v>
      </c>
    </row>
    <row r="749" spans="1:41">
      <c r="A749" s="177">
        <f>IFERROR(MATCH(D749,'Measure &amp; Standard CostIDs'!C$5:C$177,0),MATCH(D749,'Measure &amp; Standard CostIDs'!S$5:S$177,0))</f>
        <v>85</v>
      </c>
      <c r="B749" s="177">
        <f t="shared" si="36"/>
        <v>3</v>
      </c>
      <c r="C749" s="103" t="s">
        <v>153</v>
      </c>
      <c r="D749" s="103" t="str">
        <f t="shared" si="37"/>
        <v>CFLscw-A(27w)</v>
      </c>
      <c r="E749" s="103" t="str">
        <f>IF(LEFT(D749,3)="Std","Base case cost for mix of 60% Incandescent and 40% CFL lamps for CFL TechID: "&amp;INDEX('Measure &amp; Standard CostIDs'!$C$5:$C$177,A749),"&lt;from TechID&gt;")</f>
        <v>&lt;from TechID&gt;</v>
      </c>
      <c r="F749" s="103" t="s">
        <v>860</v>
      </c>
      <c r="G749" s="103" t="s">
        <v>151</v>
      </c>
      <c r="H749" s="103" t="s">
        <v>861</v>
      </c>
      <c r="I749" s="103" t="s">
        <v>862</v>
      </c>
      <c r="J749" s="103" t="s">
        <v>863</v>
      </c>
      <c r="K749" s="103" t="s">
        <v>864</v>
      </c>
      <c r="L749" s="103" t="s">
        <v>153</v>
      </c>
      <c r="M749" s="103" t="s">
        <v>865</v>
      </c>
      <c r="N749" s="103" t="s">
        <v>866</v>
      </c>
      <c r="O749" s="103" t="str">
        <f t="shared" si="34"/>
        <v>CFLscw-A(27w)</v>
      </c>
      <c r="P749" s="103" t="s">
        <v>153</v>
      </c>
      <c r="Q749" s="103" t="s">
        <v>153</v>
      </c>
      <c r="R749" s="103" t="s">
        <v>153</v>
      </c>
      <c r="S749" s="103" t="str">
        <f>INDEX('Measure &amp; Standard CostIDs'!$AK$8:$AK$12,B749)</f>
        <v>Two-pack</v>
      </c>
      <c r="T749" s="103" t="s">
        <v>867</v>
      </c>
      <c r="U749" s="103"/>
      <c r="V749" s="103"/>
      <c r="W749" s="103">
        <f>ROUND(IF(LEFT(D749,3)="Std",VLOOKUP(D749,'Measure &amp; Standard CostIDs'!$S$5:$X$177,1+B749,FALSE),VLOOKUP(D749,'Measure &amp; Standard CostIDs'!$C$5:$H$177,1+B749,FALSE)),2)</f>
        <v>5.99</v>
      </c>
      <c r="X749" s="103"/>
      <c r="Y749" s="103"/>
      <c r="Z749" s="103" t="s">
        <v>868</v>
      </c>
      <c r="AA749" s="103" t="s">
        <v>874</v>
      </c>
      <c r="AB749" s="103" t="s">
        <v>153</v>
      </c>
      <c r="AC749" s="103">
        <v>0</v>
      </c>
      <c r="AD749" s="156">
        <v>42005</v>
      </c>
      <c r="AE749" s="103"/>
      <c r="AF749" s="103" t="s">
        <v>870</v>
      </c>
      <c r="AG749" s="103" t="s">
        <v>871</v>
      </c>
      <c r="AH749" s="103" t="s">
        <v>976</v>
      </c>
      <c r="AI749" s="103">
        <v>0</v>
      </c>
      <c r="AJ749" s="103"/>
      <c r="AK749" s="103"/>
      <c r="AL749" s="103"/>
      <c r="AM749" s="103"/>
      <c r="AN749" s="103"/>
      <c r="AO749" s="103" t="str">
        <f t="shared" si="35"/>
        <v>CFLscw-A(27w)Two-pack</v>
      </c>
    </row>
    <row r="750" spans="1:41">
      <c r="A750" s="177">
        <f>IFERROR(MATCH(D750,'Measure &amp; Standard CostIDs'!C$5:C$177,0),MATCH(D750,'Measure &amp; Standard CostIDs'!S$5:S$177,0))</f>
        <v>86</v>
      </c>
      <c r="B750" s="177">
        <f t="shared" si="36"/>
        <v>3</v>
      </c>
      <c r="C750" s="103" t="s">
        <v>153</v>
      </c>
      <c r="D750" s="103" t="str">
        <f t="shared" si="37"/>
        <v>CFLscw-A(28w)</v>
      </c>
      <c r="E750" s="103" t="str">
        <f>IF(LEFT(D750,3)="Std","Base case cost for mix of 60% Incandescent and 40% CFL lamps for CFL TechID: "&amp;INDEX('Measure &amp; Standard CostIDs'!$C$5:$C$177,A750),"&lt;from TechID&gt;")</f>
        <v>&lt;from TechID&gt;</v>
      </c>
      <c r="F750" s="103" t="s">
        <v>860</v>
      </c>
      <c r="G750" s="103" t="s">
        <v>151</v>
      </c>
      <c r="H750" s="103" t="s">
        <v>861</v>
      </c>
      <c r="I750" s="103" t="s">
        <v>862</v>
      </c>
      <c r="J750" s="103" t="s">
        <v>863</v>
      </c>
      <c r="K750" s="103" t="s">
        <v>864</v>
      </c>
      <c r="L750" s="103" t="s">
        <v>153</v>
      </c>
      <c r="M750" s="103" t="s">
        <v>865</v>
      </c>
      <c r="N750" s="103" t="s">
        <v>866</v>
      </c>
      <c r="O750" s="103" t="str">
        <f t="shared" si="34"/>
        <v>CFLscw-A(28w)</v>
      </c>
      <c r="P750" s="103" t="s">
        <v>153</v>
      </c>
      <c r="Q750" s="103" t="s">
        <v>153</v>
      </c>
      <c r="R750" s="103" t="s">
        <v>153</v>
      </c>
      <c r="S750" s="103" t="str">
        <f>INDEX('Measure &amp; Standard CostIDs'!$AK$8:$AK$12,B750)</f>
        <v>Two-pack</v>
      </c>
      <c r="T750" s="103" t="s">
        <v>867</v>
      </c>
      <c r="U750" s="103"/>
      <c r="V750" s="103"/>
      <c r="W750" s="103">
        <f>ROUND(IF(LEFT(D750,3)="Std",VLOOKUP(D750,'Measure &amp; Standard CostIDs'!$S$5:$X$177,1+B750,FALSE),VLOOKUP(D750,'Measure &amp; Standard CostIDs'!$C$5:$H$177,1+B750,FALSE)),2)</f>
        <v>6.15</v>
      </c>
      <c r="X750" s="103"/>
      <c r="Y750" s="103"/>
      <c r="Z750" s="103" t="s">
        <v>868</v>
      </c>
      <c r="AA750" s="103" t="s">
        <v>874</v>
      </c>
      <c r="AB750" s="103" t="s">
        <v>153</v>
      </c>
      <c r="AC750" s="103">
        <v>0</v>
      </c>
      <c r="AD750" s="156">
        <v>42005</v>
      </c>
      <c r="AE750" s="103"/>
      <c r="AF750" s="103" t="s">
        <v>870</v>
      </c>
      <c r="AG750" s="103" t="s">
        <v>871</v>
      </c>
      <c r="AH750" s="103" t="s">
        <v>976</v>
      </c>
      <c r="AI750" s="103">
        <v>0</v>
      </c>
      <c r="AJ750" s="103"/>
      <c r="AK750" s="103"/>
      <c r="AL750" s="103"/>
      <c r="AM750" s="103"/>
      <c r="AN750" s="103"/>
      <c r="AO750" s="103" t="str">
        <f t="shared" si="35"/>
        <v>CFLscw-A(28w)Two-pack</v>
      </c>
    </row>
    <row r="751" spans="1:41">
      <c r="A751" s="177">
        <f>IFERROR(MATCH(D751,'Measure &amp; Standard CostIDs'!C$5:C$177,0),MATCH(D751,'Measure &amp; Standard CostIDs'!S$5:S$177,0))</f>
        <v>87</v>
      </c>
      <c r="B751" s="177">
        <f t="shared" si="36"/>
        <v>3</v>
      </c>
      <c r="C751" s="103" t="s">
        <v>153</v>
      </c>
      <c r="D751" s="103" t="str">
        <f t="shared" si="37"/>
        <v>CFLscw-A(30w)</v>
      </c>
      <c r="E751" s="103" t="str">
        <f>IF(LEFT(D751,3)="Std","Base case cost for mix of 60% Incandescent and 40% CFL lamps for CFL TechID: "&amp;INDEX('Measure &amp; Standard CostIDs'!$C$5:$C$177,A751),"&lt;from TechID&gt;")</f>
        <v>&lt;from TechID&gt;</v>
      </c>
      <c r="F751" s="103" t="s">
        <v>860</v>
      </c>
      <c r="G751" s="103" t="s">
        <v>151</v>
      </c>
      <c r="H751" s="103" t="s">
        <v>861</v>
      </c>
      <c r="I751" s="103" t="s">
        <v>862</v>
      </c>
      <c r="J751" s="103" t="s">
        <v>863</v>
      </c>
      <c r="K751" s="103" t="s">
        <v>864</v>
      </c>
      <c r="L751" s="103" t="s">
        <v>153</v>
      </c>
      <c r="M751" s="103" t="s">
        <v>865</v>
      </c>
      <c r="N751" s="103" t="s">
        <v>866</v>
      </c>
      <c r="O751" s="103" t="str">
        <f t="shared" si="34"/>
        <v>CFLscw-A(30w)</v>
      </c>
      <c r="P751" s="103" t="s">
        <v>153</v>
      </c>
      <c r="Q751" s="103" t="s">
        <v>153</v>
      </c>
      <c r="R751" s="103" t="s">
        <v>153</v>
      </c>
      <c r="S751" s="103" t="str">
        <f>INDEX('Measure &amp; Standard CostIDs'!$AK$8:$AK$12,B751)</f>
        <v>Two-pack</v>
      </c>
      <c r="T751" s="103" t="s">
        <v>867</v>
      </c>
      <c r="U751" s="103"/>
      <c r="V751" s="103"/>
      <c r="W751" s="103">
        <f>ROUND(IF(LEFT(D751,3)="Std",VLOOKUP(D751,'Measure &amp; Standard CostIDs'!$S$5:$X$177,1+B751,FALSE),VLOOKUP(D751,'Measure &amp; Standard CostIDs'!$C$5:$H$177,1+B751,FALSE)),2)</f>
        <v>6.47</v>
      </c>
      <c r="X751" s="103"/>
      <c r="Y751" s="103"/>
      <c r="Z751" s="103" t="s">
        <v>868</v>
      </c>
      <c r="AA751" s="103" t="s">
        <v>874</v>
      </c>
      <c r="AB751" s="103" t="s">
        <v>153</v>
      </c>
      <c r="AC751" s="103">
        <v>0</v>
      </c>
      <c r="AD751" s="156">
        <v>42005</v>
      </c>
      <c r="AE751" s="103"/>
      <c r="AF751" s="103" t="s">
        <v>870</v>
      </c>
      <c r="AG751" s="103" t="s">
        <v>871</v>
      </c>
      <c r="AH751" s="103" t="s">
        <v>976</v>
      </c>
      <c r="AI751" s="103">
        <v>0</v>
      </c>
      <c r="AJ751" s="103"/>
      <c r="AK751" s="103"/>
      <c r="AL751" s="103"/>
      <c r="AM751" s="103"/>
      <c r="AN751" s="103"/>
      <c r="AO751" s="103" t="str">
        <f t="shared" si="35"/>
        <v>CFLscw-A(30w)Two-pack</v>
      </c>
    </row>
    <row r="752" spans="1:41">
      <c r="A752" s="177">
        <f>IFERROR(MATCH(D752,'Measure &amp; Standard CostIDs'!C$5:C$177,0),MATCH(D752,'Measure &amp; Standard CostIDs'!S$5:S$177,0))</f>
        <v>88</v>
      </c>
      <c r="B752" s="177">
        <f t="shared" si="36"/>
        <v>3</v>
      </c>
      <c r="C752" s="103" t="s">
        <v>153</v>
      </c>
      <c r="D752" s="103" t="str">
        <f t="shared" si="37"/>
        <v>CFLscw-A(32w)</v>
      </c>
      <c r="E752" s="103" t="str">
        <f>IF(LEFT(D752,3)="Std","Base case cost for mix of 60% Incandescent and 40% CFL lamps for CFL TechID: "&amp;INDEX('Measure &amp; Standard CostIDs'!$C$5:$C$177,A752),"&lt;from TechID&gt;")</f>
        <v>&lt;from TechID&gt;</v>
      </c>
      <c r="F752" s="103" t="s">
        <v>860</v>
      </c>
      <c r="G752" s="103" t="s">
        <v>151</v>
      </c>
      <c r="H752" s="103" t="s">
        <v>861</v>
      </c>
      <c r="I752" s="103" t="s">
        <v>862</v>
      </c>
      <c r="J752" s="103" t="s">
        <v>863</v>
      </c>
      <c r="K752" s="103" t="s">
        <v>864</v>
      </c>
      <c r="L752" s="103" t="s">
        <v>153</v>
      </c>
      <c r="M752" s="103" t="s">
        <v>865</v>
      </c>
      <c r="N752" s="103" t="s">
        <v>866</v>
      </c>
      <c r="O752" s="103" t="str">
        <f t="shared" si="34"/>
        <v>CFLscw-A(32w)</v>
      </c>
      <c r="P752" s="103" t="s">
        <v>153</v>
      </c>
      <c r="Q752" s="103" t="s">
        <v>153</v>
      </c>
      <c r="R752" s="103" t="s">
        <v>153</v>
      </c>
      <c r="S752" s="103" t="str">
        <f>INDEX('Measure &amp; Standard CostIDs'!$AK$8:$AK$12,B752)</f>
        <v>Two-pack</v>
      </c>
      <c r="T752" s="103" t="s">
        <v>867</v>
      </c>
      <c r="U752" s="103"/>
      <c r="V752" s="103"/>
      <c r="W752" s="103">
        <f>ROUND(IF(LEFT(D752,3)="Std",VLOOKUP(D752,'Measure &amp; Standard CostIDs'!$S$5:$X$177,1+B752,FALSE),VLOOKUP(D752,'Measure &amp; Standard CostIDs'!$C$5:$H$177,1+B752,FALSE)),2)</f>
        <v>6.79</v>
      </c>
      <c r="X752" s="103"/>
      <c r="Y752" s="103"/>
      <c r="Z752" s="103" t="s">
        <v>868</v>
      </c>
      <c r="AA752" s="103" t="s">
        <v>874</v>
      </c>
      <c r="AB752" s="103" t="s">
        <v>153</v>
      </c>
      <c r="AC752" s="103">
        <v>0</v>
      </c>
      <c r="AD752" s="156">
        <v>42005</v>
      </c>
      <c r="AE752" s="103"/>
      <c r="AF752" s="103" t="s">
        <v>870</v>
      </c>
      <c r="AG752" s="103" t="s">
        <v>871</v>
      </c>
      <c r="AH752" s="103" t="s">
        <v>976</v>
      </c>
      <c r="AI752" s="103">
        <v>0</v>
      </c>
      <c r="AJ752" s="103"/>
      <c r="AK752" s="103"/>
      <c r="AL752" s="103"/>
      <c r="AM752" s="103"/>
      <c r="AN752" s="103"/>
      <c r="AO752" s="103" t="str">
        <f t="shared" si="35"/>
        <v>CFLscw-A(32w)Two-pack</v>
      </c>
    </row>
    <row r="753" spans="1:41">
      <c r="A753" s="177">
        <f>IFERROR(MATCH(D753,'Measure &amp; Standard CostIDs'!C$5:C$177,0),MATCH(D753,'Measure &amp; Standard CostIDs'!S$5:S$177,0))</f>
        <v>89</v>
      </c>
      <c r="B753" s="177">
        <f t="shared" si="36"/>
        <v>3</v>
      </c>
      <c r="C753" s="103" t="s">
        <v>153</v>
      </c>
      <c r="D753" s="103" t="str">
        <f t="shared" si="37"/>
        <v>CFLscw-A(40w)</v>
      </c>
      <c r="E753" s="103" t="str">
        <f>IF(LEFT(D753,3)="Std","Base case cost for mix of 60% Incandescent and 40% CFL lamps for CFL TechID: "&amp;INDEX('Measure &amp; Standard CostIDs'!$C$5:$C$177,A753),"&lt;from TechID&gt;")</f>
        <v>&lt;from TechID&gt;</v>
      </c>
      <c r="F753" s="103" t="s">
        <v>860</v>
      </c>
      <c r="G753" s="103" t="s">
        <v>151</v>
      </c>
      <c r="H753" s="103" t="s">
        <v>861</v>
      </c>
      <c r="I753" s="103" t="s">
        <v>862</v>
      </c>
      <c r="J753" s="103" t="s">
        <v>863</v>
      </c>
      <c r="K753" s="103" t="s">
        <v>864</v>
      </c>
      <c r="L753" s="103" t="s">
        <v>153</v>
      </c>
      <c r="M753" s="103" t="s">
        <v>865</v>
      </c>
      <c r="N753" s="103" t="s">
        <v>866</v>
      </c>
      <c r="O753" s="103" t="str">
        <f t="shared" si="34"/>
        <v>CFLscw-A(40w)</v>
      </c>
      <c r="P753" s="103" t="s">
        <v>153</v>
      </c>
      <c r="Q753" s="103" t="s">
        <v>153</v>
      </c>
      <c r="R753" s="103" t="s">
        <v>153</v>
      </c>
      <c r="S753" s="103" t="str">
        <f>INDEX('Measure &amp; Standard CostIDs'!$AK$8:$AK$12,B753)</f>
        <v>Two-pack</v>
      </c>
      <c r="T753" s="103" t="s">
        <v>867</v>
      </c>
      <c r="U753" s="103"/>
      <c r="V753" s="103"/>
      <c r="W753" s="103">
        <f>ROUND(IF(LEFT(D753,3)="Std",VLOOKUP(D753,'Measure &amp; Standard CostIDs'!$S$5:$X$177,1+B753,FALSE),VLOOKUP(D753,'Measure &amp; Standard CostIDs'!$C$5:$H$177,1+B753,FALSE)),2)</f>
        <v>8.07</v>
      </c>
      <c r="X753" s="103"/>
      <c r="Y753" s="103"/>
      <c r="Z753" s="103" t="s">
        <v>868</v>
      </c>
      <c r="AA753" s="103" t="s">
        <v>874</v>
      </c>
      <c r="AB753" s="103" t="s">
        <v>153</v>
      </c>
      <c r="AC753" s="103">
        <v>0</v>
      </c>
      <c r="AD753" s="156">
        <v>42005</v>
      </c>
      <c r="AE753" s="103"/>
      <c r="AF753" s="103" t="s">
        <v>870</v>
      </c>
      <c r="AG753" s="103" t="s">
        <v>871</v>
      </c>
      <c r="AH753" s="103" t="s">
        <v>976</v>
      </c>
      <c r="AI753" s="103">
        <v>0</v>
      </c>
      <c r="AJ753" s="103"/>
      <c r="AK753" s="103"/>
      <c r="AL753" s="103"/>
      <c r="AM753" s="103"/>
      <c r="AN753" s="103"/>
      <c r="AO753" s="103" t="str">
        <f t="shared" si="35"/>
        <v>CFLscw-A(40w)Two-pack</v>
      </c>
    </row>
    <row r="754" spans="1:41">
      <c r="A754" s="177">
        <f>IFERROR(MATCH(D754,'Measure &amp; Standard CostIDs'!C$5:C$177,0),MATCH(D754,'Measure &amp; Standard CostIDs'!S$5:S$177,0))</f>
        <v>90</v>
      </c>
      <c r="B754" s="177">
        <f t="shared" si="36"/>
        <v>3</v>
      </c>
      <c r="C754" s="103" t="s">
        <v>153</v>
      </c>
      <c r="D754" s="103" t="str">
        <f t="shared" si="37"/>
        <v>CFLscw-A(42w)</v>
      </c>
      <c r="E754" s="103" t="str">
        <f>IF(LEFT(D754,3)="Std","Base case cost for mix of 60% Incandescent and 40% CFL lamps for CFL TechID: "&amp;INDEX('Measure &amp; Standard CostIDs'!$C$5:$C$177,A754),"&lt;from TechID&gt;")</f>
        <v>&lt;from TechID&gt;</v>
      </c>
      <c r="F754" s="103" t="s">
        <v>860</v>
      </c>
      <c r="G754" s="103" t="s">
        <v>151</v>
      </c>
      <c r="H754" s="103" t="s">
        <v>861</v>
      </c>
      <c r="I754" s="103" t="s">
        <v>862</v>
      </c>
      <c r="J754" s="103" t="s">
        <v>863</v>
      </c>
      <c r="K754" s="103" t="s">
        <v>864</v>
      </c>
      <c r="L754" s="103" t="s">
        <v>153</v>
      </c>
      <c r="M754" s="103" t="s">
        <v>865</v>
      </c>
      <c r="N754" s="103" t="s">
        <v>866</v>
      </c>
      <c r="O754" s="103" t="str">
        <f t="shared" si="34"/>
        <v>CFLscw-A(42w)</v>
      </c>
      <c r="P754" s="103" t="s">
        <v>153</v>
      </c>
      <c r="Q754" s="103" t="s">
        <v>153</v>
      </c>
      <c r="R754" s="103" t="s">
        <v>153</v>
      </c>
      <c r="S754" s="103" t="str">
        <f>INDEX('Measure &amp; Standard CostIDs'!$AK$8:$AK$12,B754)</f>
        <v>Two-pack</v>
      </c>
      <c r="T754" s="103" t="s">
        <v>867</v>
      </c>
      <c r="U754" s="103"/>
      <c r="V754" s="103"/>
      <c r="W754" s="103">
        <f>ROUND(IF(LEFT(D754,3)="Std",VLOOKUP(D754,'Measure &amp; Standard CostIDs'!$S$5:$X$177,1+B754,FALSE),VLOOKUP(D754,'Measure &amp; Standard CostIDs'!$C$5:$H$177,1+B754,FALSE)),2)</f>
        <v>8.39</v>
      </c>
      <c r="X754" s="103"/>
      <c r="Y754" s="103"/>
      <c r="Z754" s="103" t="s">
        <v>868</v>
      </c>
      <c r="AA754" s="103" t="s">
        <v>874</v>
      </c>
      <c r="AB754" s="103" t="s">
        <v>153</v>
      </c>
      <c r="AC754" s="103">
        <v>0</v>
      </c>
      <c r="AD754" s="156">
        <v>42005</v>
      </c>
      <c r="AE754" s="103"/>
      <c r="AF754" s="103" t="s">
        <v>870</v>
      </c>
      <c r="AG754" s="103" t="s">
        <v>871</v>
      </c>
      <c r="AH754" s="103" t="s">
        <v>976</v>
      </c>
      <c r="AI754" s="103">
        <v>0</v>
      </c>
      <c r="AJ754" s="103"/>
      <c r="AK754" s="103"/>
      <c r="AL754" s="103"/>
      <c r="AM754" s="103"/>
      <c r="AN754" s="103"/>
      <c r="AO754" s="103" t="str">
        <f t="shared" si="35"/>
        <v>CFLscw-A(42w)Two-pack</v>
      </c>
    </row>
    <row r="755" spans="1:41">
      <c r="A755" s="177">
        <f>IFERROR(MATCH(D755,'Measure &amp; Standard CostIDs'!C$5:C$177,0),MATCH(D755,'Measure &amp; Standard CostIDs'!S$5:S$177,0))</f>
        <v>91</v>
      </c>
      <c r="B755" s="177">
        <f t="shared" si="36"/>
        <v>3</v>
      </c>
      <c r="C755" s="103" t="s">
        <v>153</v>
      </c>
      <c r="D755" s="103" t="str">
        <f t="shared" si="37"/>
        <v>CFLscw-A(45w)</v>
      </c>
      <c r="E755" s="103" t="str">
        <f>IF(LEFT(D755,3)="Std","Base case cost for mix of 60% Incandescent and 40% CFL lamps for CFL TechID: "&amp;INDEX('Measure &amp; Standard CostIDs'!$C$5:$C$177,A755),"&lt;from TechID&gt;")</f>
        <v>&lt;from TechID&gt;</v>
      </c>
      <c r="F755" s="103" t="s">
        <v>860</v>
      </c>
      <c r="G755" s="103" t="s">
        <v>151</v>
      </c>
      <c r="H755" s="103" t="s">
        <v>861</v>
      </c>
      <c r="I755" s="103" t="s">
        <v>862</v>
      </c>
      <c r="J755" s="103" t="s">
        <v>863</v>
      </c>
      <c r="K755" s="103" t="s">
        <v>864</v>
      </c>
      <c r="L755" s="103" t="s">
        <v>153</v>
      </c>
      <c r="M755" s="103" t="s">
        <v>865</v>
      </c>
      <c r="N755" s="103" t="s">
        <v>866</v>
      </c>
      <c r="O755" s="103" t="str">
        <f t="shared" si="34"/>
        <v>CFLscw-A(45w)</v>
      </c>
      <c r="P755" s="103" t="s">
        <v>153</v>
      </c>
      <c r="Q755" s="103" t="s">
        <v>153</v>
      </c>
      <c r="R755" s="103" t="s">
        <v>153</v>
      </c>
      <c r="S755" s="103" t="str">
        <f>INDEX('Measure &amp; Standard CostIDs'!$AK$8:$AK$12,B755)</f>
        <v>Two-pack</v>
      </c>
      <c r="T755" s="103" t="s">
        <v>867</v>
      </c>
      <c r="U755" s="103"/>
      <c r="V755" s="103"/>
      <c r="W755" s="103">
        <f>ROUND(IF(LEFT(D755,3)="Std",VLOOKUP(D755,'Measure &amp; Standard CostIDs'!$S$5:$X$177,1+B755,FALSE),VLOOKUP(D755,'Measure &amp; Standard CostIDs'!$C$5:$H$177,1+B755,FALSE)),2)</f>
        <v>8.8699999999999992</v>
      </c>
      <c r="X755" s="103"/>
      <c r="Y755" s="103"/>
      <c r="Z755" s="103" t="s">
        <v>868</v>
      </c>
      <c r="AA755" s="103" t="s">
        <v>874</v>
      </c>
      <c r="AB755" s="103" t="s">
        <v>153</v>
      </c>
      <c r="AC755" s="103">
        <v>0</v>
      </c>
      <c r="AD755" s="156">
        <v>42005</v>
      </c>
      <c r="AE755" s="103"/>
      <c r="AF755" s="103" t="s">
        <v>870</v>
      </c>
      <c r="AG755" s="103" t="s">
        <v>871</v>
      </c>
      <c r="AH755" s="103" t="s">
        <v>976</v>
      </c>
      <c r="AI755" s="103">
        <v>0</v>
      </c>
      <c r="AJ755" s="103"/>
      <c r="AK755" s="103"/>
      <c r="AL755" s="103"/>
      <c r="AM755" s="103"/>
      <c r="AN755" s="103"/>
      <c r="AO755" s="103" t="str">
        <f t="shared" si="35"/>
        <v>CFLscw-A(45w)Two-pack</v>
      </c>
    </row>
    <row r="756" spans="1:41">
      <c r="A756" s="177">
        <f>IFERROR(MATCH(D756,'Measure &amp; Standard CostIDs'!C$5:C$177,0),MATCH(D756,'Measure &amp; Standard CostIDs'!S$5:S$177,0))</f>
        <v>92</v>
      </c>
      <c r="B756" s="177">
        <f t="shared" si="36"/>
        <v>3</v>
      </c>
      <c r="C756" s="103" t="s">
        <v>153</v>
      </c>
      <c r="D756" s="103" t="str">
        <f t="shared" si="37"/>
        <v>CFLscw-A(55w)</v>
      </c>
      <c r="E756" s="103" t="str">
        <f>IF(LEFT(D756,3)="Std","Base case cost for mix of 60% Incandescent and 40% CFL lamps for CFL TechID: "&amp;INDEX('Measure &amp; Standard CostIDs'!$C$5:$C$177,A756),"&lt;from TechID&gt;")</f>
        <v>&lt;from TechID&gt;</v>
      </c>
      <c r="F756" s="103" t="s">
        <v>860</v>
      </c>
      <c r="G756" s="103" t="s">
        <v>151</v>
      </c>
      <c r="H756" s="103" t="s">
        <v>861</v>
      </c>
      <c r="I756" s="103" t="s">
        <v>862</v>
      </c>
      <c r="J756" s="103" t="s">
        <v>863</v>
      </c>
      <c r="K756" s="103" t="s">
        <v>864</v>
      </c>
      <c r="L756" s="103" t="s">
        <v>153</v>
      </c>
      <c r="M756" s="103" t="s">
        <v>865</v>
      </c>
      <c r="N756" s="103" t="s">
        <v>866</v>
      </c>
      <c r="O756" s="103" t="str">
        <f t="shared" si="34"/>
        <v>CFLscw-A(55w)</v>
      </c>
      <c r="P756" s="103" t="s">
        <v>153</v>
      </c>
      <c r="Q756" s="103" t="s">
        <v>153</v>
      </c>
      <c r="R756" s="103" t="s">
        <v>153</v>
      </c>
      <c r="S756" s="103" t="str">
        <f>INDEX('Measure &amp; Standard CostIDs'!$AK$8:$AK$12,B756)</f>
        <v>Two-pack</v>
      </c>
      <c r="T756" s="103" t="s">
        <v>867</v>
      </c>
      <c r="U756" s="103"/>
      <c r="V756" s="103"/>
      <c r="W756" s="103">
        <f>ROUND(IF(LEFT(D756,3)="Std",VLOOKUP(D756,'Measure &amp; Standard CostIDs'!$S$5:$X$177,1+B756,FALSE),VLOOKUP(D756,'Measure &amp; Standard CostIDs'!$C$5:$H$177,1+B756,FALSE)),2)</f>
        <v>10.47</v>
      </c>
      <c r="X756" s="103"/>
      <c r="Y756" s="103"/>
      <c r="Z756" s="103" t="s">
        <v>868</v>
      </c>
      <c r="AA756" s="103" t="s">
        <v>874</v>
      </c>
      <c r="AB756" s="103" t="s">
        <v>153</v>
      </c>
      <c r="AC756" s="103">
        <v>0</v>
      </c>
      <c r="AD756" s="156">
        <v>42005</v>
      </c>
      <c r="AE756" s="103"/>
      <c r="AF756" s="103" t="s">
        <v>870</v>
      </c>
      <c r="AG756" s="103" t="s">
        <v>871</v>
      </c>
      <c r="AH756" s="103" t="s">
        <v>976</v>
      </c>
      <c r="AI756" s="103">
        <v>0</v>
      </c>
      <c r="AJ756" s="103"/>
      <c r="AK756" s="103"/>
      <c r="AL756" s="103"/>
      <c r="AM756" s="103"/>
      <c r="AN756" s="103"/>
      <c r="AO756" s="103" t="str">
        <f t="shared" si="35"/>
        <v>CFLscw-A(55w)Two-pack</v>
      </c>
    </row>
    <row r="757" spans="1:41">
      <c r="A757" s="177">
        <f>IFERROR(MATCH(D757,'Measure &amp; Standard CostIDs'!C$5:C$177,0),MATCH(D757,'Measure &amp; Standard CostIDs'!S$5:S$177,0))</f>
        <v>93</v>
      </c>
      <c r="B757" s="177">
        <f t="shared" si="36"/>
        <v>3</v>
      </c>
      <c r="C757" s="103" t="s">
        <v>153</v>
      </c>
      <c r="D757" s="103" t="str">
        <f t="shared" si="37"/>
        <v>CFLscw-A(7w)</v>
      </c>
      <c r="E757" s="103" t="str">
        <f>IF(LEFT(D757,3)="Std","Base case cost for mix of 60% Incandescent and 40% CFL lamps for CFL TechID: "&amp;INDEX('Measure &amp; Standard CostIDs'!$C$5:$C$177,A757),"&lt;from TechID&gt;")</f>
        <v>&lt;from TechID&gt;</v>
      </c>
      <c r="F757" s="103" t="s">
        <v>860</v>
      </c>
      <c r="G757" s="103" t="s">
        <v>151</v>
      </c>
      <c r="H757" s="103" t="s">
        <v>861</v>
      </c>
      <c r="I757" s="103" t="s">
        <v>862</v>
      </c>
      <c r="J757" s="103" t="s">
        <v>863</v>
      </c>
      <c r="K757" s="103" t="s">
        <v>864</v>
      </c>
      <c r="L757" s="103" t="s">
        <v>153</v>
      </c>
      <c r="M757" s="103" t="s">
        <v>865</v>
      </c>
      <c r="N757" s="103" t="s">
        <v>866</v>
      </c>
      <c r="O757" s="103" t="str">
        <f t="shared" si="34"/>
        <v>CFLscw-A(7w)</v>
      </c>
      <c r="P757" s="103" t="s">
        <v>153</v>
      </c>
      <c r="Q757" s="103" t="s">
        <v>153</v>
      </c>
      <c r="R757" s="103" t="s">
        <v>153</v>
      </c>
      <c r="S757" s="103" t="str">
        <f>INDEX('Measure &amp; Standard CostIDs'!$AK$8:$AK$12,B757)</f>
        <v>Two-pack</v>
      </c>
      <c r="T757" s="103" t="s">
        <v>867</v>
      </c>
      <c r="U757" s="103"/>
      <c r="V757" s="103"/>
      <c r="W757" s="103">
        <f>ROUND(IF(LEFT(D757,3)="Std",VLOOKUP(D757,'Measure &amp; Standard CostIDs'!$S$5:$X$177,1+B757,FALSE),VLOOKUP(D757,'Measure &amp; Standard CostIDs'!$C$5:$H$177,1+B757,FALSE)),2)</f>
        <v>4.4800000000000004</v>
      </c>
      <c r="X757" s="103"/>
      <c r="Y757" s="103"/>
      <c r="Z757" s="103" t="s">
        <v>868</v>
      </c>
      <c r="AA757" s="103" t="s">
        <v>874</v>
      </c>
      <c r="AB757" s="103" t="s">
        <v>153</v>
      </c>
      <c r="AC757" s="103">
        <v>0</v>
      </c>
      <c r="AD757" s="156">
        <v>42005</v>
      </c>
      <c r="AE757" s="103"/>
      <c r="AF757" s="103" t="s">
        <v>870</v>
      </c>
      <c r="AG757" s="103" t="s">
        <v>871</v>
      </c>
      <c r="AH757" s="103" t="s">
        <v>976</v>
      </c>
      <c r="AI757" s="103">
        <v>0</v>
      </c>
      <c r="AJ757" s="103"/>
      <c r="AK757" s="103"/>
      <c r="AL757" s="103"/>
      <c r="AM757" s="103"/>
      <c r="AN757" s="103"/>
      <c r="AO757" s="103" t="str">
        <f t="shared" si="35"/>
        <v>CFLscw-A(7w)Two-pack</v>
      </c>
    </row>
    <row r="758" spans="1:41">
      <c r="A758" s="177">
        <f>IFERROR(MATCH(D758,'Measure &amp; Standard CostIDs'!C$5:C$177,0),MATCH(D758,'Measure &amp; Standard CostIDs'!S$5:S$177,0))</f>
        <v>94</v>
      </c>
      <c r="B758" s="177">
        <f t="shared" si="36"/>
        <v>3</v>
      </c>
      <c r="C758" s="103" t="s">
        <v>153</v>
      </c>
      <c r="D758" s="103" t="str">
        <f t="shared" si="37"/>
        <v>CFLscw-A(8w)</v>
      </c>
      <c r="E758" s="103" t="str">
        <f>IF(LEFT(D758,3)="Std","Base case cost for mix of 60% Incandescent and 40% CFL lamps for CFL TechID: "&amp;INDEX('Measure &amp; Standard CostIDs'!$C$5:$C$177,A758),"&lt;from TechID&gt;")</f>
        <v>&lt;from TechID&gt;</v>
      </c>
      <c r="F758" s="103" t="s">
        <v>860</v>
      </c>
      <c r="G758" s="103" t="s">
        <v>151</v>
      </c>
      <c r="H758" s="103" t="s">
        <v>861</v>
      </c>
      <c r="I758" s="103" t="s">
        <v>862</v>
      </c>
      <c r="J758" s="103" t="s">
        <v>863</v>
      </c>
      <c r="K758" s="103" t="s">
        <v>864</v>
      </c>
      <c r="L758" s="103" t="s">
        <v>153</v>
      </c>
      <c r="M758" s="103" t="s">
        <v>865</v>
      </c>
      <c r="N758" s="103" t="s">
        <v>866</v>
      </c>
      <c r="O758" s="103" t="str">
        <f t="shared" si="34"/>
        <v>CFLscw-A(8w)</v>
      </c>
      <c r="P758" s="103" t="s">
        <v>153</v>
      </c>
      <c r="Q758" s="103" t="s">
        <v>153</v>
      </c>
      <c r="R758" s="103" t="s">
        <v>153</v>
      </c>
      <c r="S758" s="103" t="str">
        <f>INDEX('Measure &amp; Standard CostIDs'!$AK$8:$AK$12,B758)</f>
        <v>Two-pack</v>
      </c>
      <c r="T758" s="103" t="s">
        <v>867</v>
      </c>
      <c r="U758" s="103"/>
      <c r="V758" s="103"/>
      <c r="W758" s="103">
        <f>ROUND(IF(LEFT(D758,3)="Std",VLOOKUP(D758,'Measure &amp; Standard CostIDs'!$S$5:$X$177,1+B758,FALSE),VLOOKUP(D758,'Measure &amp; Standard CostIDs'!$C$5:$H$177,1+B758,FALSE)),2)</f>
        <v>4.54</v>
      </c>
      <c r="X758" s="103"/>
      <c r="Y758" s="103"/>
      <c r="Z758" s="103" t="s">
        <v>868</v>
      </c>
      <c r="AA758" s="103" t="s">
        <v>874</v>
      </c>
      <c r="AB758" s="103" t="s">
        <v>153</v>
      </c>
      <c r="AC758" s="103">
        <v>0</v>
      </c>
      <c r="AD758" s="156">
        <v>42005</v>
      </c>
      <c r="AE758" s="103"/>
      <c r="AF758" s="103" t="s">
        <v>870</v>
      </c>
      <c r="AG758" s="103" t="s">
        <v>871</v>
      </c>
      <c r="AH758" s="103" t="s">
        <v>976</v>
      </c>
      <c r="AI758" s="103">
        <v>0</v>
      </c>
      <c r="AJ758" s="103"/>
      <c r="AK758" s="103"/>
      <c r="AL758" s="103"/>
      <c r="AM758" s="103"/>
      <c r="AN758" s="103"/>
      <c r="AO758" s="103" t="str">
        <f t="shared" si="35"/>
        <v>CFLscw-A(8w)Two-pack</v>
      </c>
    </row>
    <row r="759" spans="1:41">
      <c r="A759" s="177">
        <f>IFERROR(MATCH(D759,'Measure &amp; Standard CostIDs'!C$5:C$177,0),MATCH(D759,'Measure &amp; Standard CostIDs'!S$5:S$177,0))</f>
        <v>95</v>
      </c>
      <c r="B759" s="177">
        <f t="shared" si="36"/>
        <v>3</v>
      </c>
      <c r="C759" s="103" t="s">
        <v>153</v>
      </c>
      <c r="D759" s="103" t="str">
        <f t="shared" si="37"/>
        <v>CFLscw-A(9w)</v>
      </c>
      <c r="E759" s="103" t="str">
        <f>IF(LEFT(D759,3)="Std","Base case cost for mix of 60% Incandescent and 40% CFL lamps for CFL TechID: "&amp;INDEX('Measure &amp; Standard CostIDs'!$C$5:$C$177,A759),"&lt;from TechID&gt;")</f>
        <v>&lt;from TechID&gt;</v>
      </c>
      <c r="F759" s="103" t="s">
        <v>860</v>
      </c>
      <c r="G759" s="103" t="s">
        <v>151</v>
      </c>
      <c r="H759" s="103" t="s">
        <v>861</v>
      </c>
      <c r="I759" s="103" t="s">
        <v>862</v>
      </c>
      <c r="J759" s="103" t="s">
        <v>863</v>
      </c>
      <c r="K759" s="103" t="s">
        <v>864</v>
      </c>
      <c r="L759" s="103" t="s">
        <v>153</v>
      </c>
      <c r="M759" s="103" t="s">
        <v>865</v>
      </c>
      <c r="N759" s="103" t="s">
        <v>866</v>
      </c>
      <c r="O759" s="103" t="str">
        <f t="shared" si="34"/>
        <v>CFLscw-A(9w)</v>
      </c>
      <c r="P759" s="103" t="s">
        <v>153</v>
      </c>
      <c r="Q759" s="103" t="s">
        <v>153</v>
      </c>
      <c r="R759" s="103" t="s">
        <v>153</v>
      </c>
      <c r="S759" s="103" t="str">
        <f>INDEX('Measure &amp; Standard CostIDs'!$AK$8:$AK$12,B759)</f>
        <v>Two-pack</v>
      </c>
      <c r="T759" s="103" t="s">
        <v>867</v>
      </c>
      <c r="U759" s="103"/>
      <c r="V759" s="103"/>
      <c r="W759" s="103">
        <f>ROUND(IF(LEFT(D759,3)="Std",VLOOKUP(D759,'Measure &amp; Standard CostIDs'!$S$5:$X$177,1+B759,FALSE),VLOOKUP(D759,'Measure &amp; Standard CostIDs'!$C$5:$H$177,1+B759,FALSE)),2)</f>
        <v>4.6100000000000003</v>
      </c>
      <c r="X759" s="103"/>
      <c r="Y759" s="103"/>
      <c r="Z759" s="103" t="s">
        <v>868</v>
      </c>
      <c r="AA759" s="103" t="s">
        <v>874</v>
      </c>
      <c r="AB759" s="103" t="s">
        <v>153</v>
      </c>
      <c r="AC759" s="103">
        <v>0</v>
      </c>
      <c r="AD759" s="156">
        <v>42005</v>
      </c>
      <c r="AE759" s="103"/>
      <c r="AF759" s="103" t="s">
        <v>870</v>
      </c>
      <c r="AG759" s="103" t="s">
        <v>871</v>
      </c>
      <c r="AH759" s="103" t="s">
        <v>976</v>
      </c>
      <c r="AI759" s="103">
        <v>0</v>
      </c>
      <c r="AJ759" s="103"/>
      <c r="AK759" s="103"/>
      <c r="AL759" s="103"/>
      <c r="AM759" s="103"/>
      <c r="AN759" s="103"/>
      <c r="AO759" s="103" t="str">
        <f t="shared" si="35"/>
        <v>CFLscw-A(9w)Two-pack</v>
      </c>
    </row>
    <row r="760" spans="1:41">
      <c r="A760" s="177">
        <f>IFERROR(MATCH(D760,'Measure &amp; Standard CostIDs'!C$5:C$177,0),MATCH(D760,'Measure &amp; Standard CostIDs'!S$5:S$177,0))</f>
        <v>96</v>
      </c>
      <c r="B760" s="177">
        <f t="shared" si="36"/>
        <v>3</v>
      </c>
      <c r="C760" s="103" t="s">
        <v>153</v>
      </c>
      <c r="D760" s="103" t="str">
        <f t="shared" si="37"/>
        <v>CFLscw-Candle(10w)</v>
      </c>
      <c r="E760" s="103" t="str">
        <f>IF(LEFT(D760,3)="Std","Base case cost for mix of 60% Incandescent and 40% CFL lamps for CFL TechID: "&amp;INDEX('Measure &amp; Standard CostIDs'!$C$5:$C$177,A760),"&lt;from TechID&gt;")</f>
        <v>&lt;from TechID&gt;</v>
      </c>
      <c r="F760" s="103" t="s">
        <v>860</v>
      </c>
      <c r="G760" s="103" t="s">
        <v>151</v>
      </c>
      <c r="H760" s="103" t="s">
        <v>861</v>
      </c>
      <c r="I760" s="103" t="s">
        <v>862</v>
      </c>
      <c r="J760" s="103" t="s">
        <v>863</v>
      </c>
      <c r="K760" s="103" t="s">
        <v>864</v>
      </c>
      <c r="L760" s="103" t="s">
        <v>153</v>
      </c>
      <c r="M760" s="103" t="s">
        <v>865</v>
      </c>
      <c r="N760" s="103" t="s">
        <v>866</v>
      </c>
      <c r="O760" s="103" t="str">
        <f t="shared" si="34"/>
        <v>CFLscw-Candle(10w)</v>
      </c>
      <c r="P760" s="103" t="s">
        <v>153</v>
      </c>
      <c r="Q760" s="103" t="s">
        <v>153</v>
      </c>
      <c r="R760" s="103" t="s">
        <v>153</v>
      </c>
      <c r="S760" s="103" t="str">
        <f>INDEX('Measure &amp; Standard CostIDs'!$AK$8:$AK$12,B760)</f>
        <v>Two-pack</v>
      </c>
      <c r="T760" s="103" t="s">
        <v>867</v>
      </c>
      <c r="U760" s="103"/>
      <c r="V760" s="103"/>
      <c r="W760" s="103">
        <f>ROUND(IF(LEFT(D760,3)="Std",VLOOKUP(D760,'Measure &amp; Standard CostIDs'!$S$5:$X$177,1+B760,FALSE),VLOOKUP(D760,'Measure &amp; Standard CostIDs'!$C$5:$H$177,1+B760,FALSE)),2)</f>
        <v>6.03</v>
      </c>
      <c r="X760" s="103"/>
      <c r="Y760" s="103"/>
      <c r="Z760" s="103" t="s">
        <v>868</v>
      </c>
      <c r="AA760" s="103" t="s">
        <v>874</v>
      </c>
      <c r="AB760" s="103" t="s">
        <v>153</v>
      </c>
      <c r="AC760" s="103">
        <v>0</v>
      </c>
      <c r="AD760" s="156">
        <v>42005</v>
      </c>
      <c r="AE760" s="103"/>
      <c r="AF760" s="103" t="s">
        <v>870</v>
      </c>
      <c r="AG760" s="103" t="s">
        <v>871</v>
      </c>
      <c r="AH760" s="103" t="s">
        <v>976</v>
      </c>
      <c r="AI760" s="103">
        <v>0</v>
      </c>
      <c r="AJ760" s="103"/>
      <c r="AK760" s="103"/>
      <c r="AL760" s="103"/>
      <c r="AM760" s="103"/>
      <c r="AN760" s="103"/>
      <c r="AO760" s="103" t="str">
        <f t="shared" si="35"/>
        <v>CFLscw-Candle(10w)Two-pack</v>
      </c>
    </row>
    <row r="761" spans="1:41">
      <c r="A761" s="177">
        <f>IFERROR(MATCH(D761,'Measure &amp; Standard CostIDs'!C$5:C$177,0),MATCH(D761,'Measure &amp; Standard CostIDs'!S$5:S$177,0))</f>
        <v>97</v>
      </c>
      <c r="B761" s="177">
        <f t="shared" si="36"/>
        <v>3</v>
      </c>
      <c r="C761" s="103" t="s">
        <v>153</v>
      </c>
      <c r="D761" s="103" t="str">
        <f t="shared" si="37"/>
        <v>CFLscw-Candle(11w)</v>
      </c>
      <c r="E761" s="103" t="str">
        <f>IF(LEFT(D761,3)="Std","Base case cost for mix of 60% Incandescent and 40% CFL lamps for CFL TechID: "&amp;INDEX('Measure &amp; Standard CostIDs'!$C$5:$C$177,A761),"&lt;from TechID&gt;")</f>
        <v>&lt;from TechID&gt;</v>
      </c>
      <c r="F761" s="103" t="s">
        <v>860</v>
      </c>
      <c r="G761" s="103" t="s">
        <v>151</v>
      </c>
      <c r="H761" s="103" t="s">
        <v>861</v>
      </c>
      <c r="I761" s="103" t="s">
        <v>862</v>
      </c>
      <c r="J761" s="103" t="s">
        <v>863</v>
      </c>
      <c r="K761" s="103" t="s">
        <v>864</v>
      </c>
      <c r="L761" s="103" t="s">
        <v>153</v>
      </c>
      <c r="M761" s="103" t="s">
        <v>865</v>
      </c>
      <c r="N761" s="103" t="s">
        <v>866</v>
      </c>
      <c r="O761" s="103" t="str">
        <f t="shared" si="34"/>
        <v>CFLscw-Candle(11w)</v>
      </c>
      <c r="P761" s="103" t="s">
        <v>153</v>
      </c>
      <c r="Q761" s="103" t="s">
        <v>153</v>
      </c>
      <c r="R761" s="103" t="s">
        <v>153</v>
      </c>
      <c r="S761" s="103" t="str">
        <f>INDEX('Measure &amp; Standard CostIDs'!$AK$8:$AK$12,B761)</f>
        <v>Two-pack</v>
      </c>
      <c r="T761" s="103" t="s">
        <v>867</v>
      </c>
      <c r="U761" s="103"/>
      <c r="V761" s="103"/>
      <c r="W761" s="103">
        <f>ROUND(IF(LEFT(D761,3)="Std",VLOOKUP(D761,'Measure &amp; Standard CostIDs'!$S$5:$X$177,1+B761,FALSE),VLOOKUP(D761,'Measure &amp; Standard CostIDs'!$C$5:$H$177,1+B761,FALSE)),2)</f>
        <v>6.24</v>
      </c>
      <c r="X761" s="103"/>
      <c r="Y761" s="103"/>
      <c r="Z761" s="103" t="s">
        <v>868</v>
      </c>
      <c r="AA761" s="103" t="s">
        <v>874</v>
      </c>
      <c r="AB761" s="103" t="s">
        <v>153</v>
      </c>
      <c r="AC761" s="103">
        <v>0</v>
      </c>
      <c r="AD761" s="156">
        <v>42005</v>
      </c>
      <c r="AE761" s="103"/>
      <c r="AF761" s="103" t="s">
        <v>870</v>
      </c>
      <c r="AG761" s="103" t="s">
        <v>871</v>
      </c>
      <c r="AH761" s="103" t="s">
        <v>976</v>
      </c>
      <c r="AI761" s="103">
        <v>0</v>
      </c>
      <c r="AJ761" s="103"/>
      <c r="AK761" s="103"/>
      <c r="AL761" s="103"/>
      <c r="AM761" s="103"/>
      <c r="AN761" s="103"/>
      <c r="AO761" s="103" t="str">
        <f t="shared" si="35"/>
        <v>CFLscw-Candle(11w)Two-pack</v>
      </c>
    </row>
    <row r="762" spans="1:41">
      <c r="A762" s="177">
        <f>IFERROR(MATCH(D762,'Measure &amp; Standard CostIDs'!C$5:C$177,0),MATCH(D762,'Measure &amp; Standard CostIDs'!S$5:S$177,0))</f>
        <v>98</v>
      </c>
      <c r="B762" s="177">
        <f t="shared" si="36"/>
        <v>3</v>
      </c>
      <c r="C762" s="103" t="s">
        <v>153</v>
      </c>
      <c r="D762" s="103" t="str">
        <f t="shared" si="37"/>
        <v>CFLscw-Candle(12w)</v>
      </c>
      <c r="E762" s="103" t="str">
        <f>IF(LEFT(D762,3)="Std","Base case cost for mix of 60% Incandescent and 40% CFL lamps for CFL TechID: "&amp;INDEX('Measure &amp; Standard CostIDs'!$C$5:$C$177,A762),"&lt;from TechID&gt;")</f>
        <v>&lt;from TechID&gt;</v>
      </c>
      <c r="F762" s="103" t="s">
        <v>860</v>
      </c>
      <c r="G762" s="103" t="s">
        <v>151</v>
      </c>
      <c r="H762" s="103" t="s">
        <v>861</v>
      </c>
      <c r="I762" s="103" t="s">
        <v>862</v>
      </c>
      <c r="J762" s="103" t="s">
        <v>863</v>
      </c>
      <c r="K762" s="103" t="s">
        <v>864</v>
      </c>
      <c r="L762" s="103" t="s">
        <v>153</v>
      </c>
      <c r="M762" s="103" t="s">
        <v>865</v>
      </c>
      <c r="N762" s="103" t="s">
        <v>866</v>
      </c>
      <c r="O762" s="103" t="str">
        <f t="shared" si="34"/>
        <v>CFLscw-Candle(12w)</v>
      </c>
      <c r="P762" s="103" t="s">
        <v>153</v>
      </c>
      <c r="Q762" s="103" t="s">
        <v>153</v>
      </c>
      <c r="R762" s="103" t="s">
        <v>153</v>
      </c>
      <c r="S762" s="103" t="str">
        <f>INDEX('Measure &amp; Standard CostIDs'!$AK$8:$AK$12,B762)</f>
        <v>Two-pack</v>
      </c>
      <c r="T762" s="103" t="s">
        <v>867</v>
      </c>
      <c r="U762" s="103"/>
      <c r="V762" s="103"/>
      <c r="W762" s="103">
        <f>ROUND(IF(LEFT(D762,3)="Std",VLOOKUP(D762,'Measure &amp; Standard CostIDs'!$S$5:$X$177,1+B762,FALSE),VLOOKUP(D762,'Measure &amp; Standard CostIDs'!$C$5:$H$177,1+B762,FALSE)),2)</f>
        <v>6.44</v>
      </c>
      <c r="X762" s="103"/>
      <c r="Y762" s="103"/>
      <c r="Z762" s="103" t="s">
        <v>868</v>
      </c>
      <c r="AA762" s="103" t="s">
        <v>874</v>
      </c>
      <c r="AB762" s="103" t="s">
        <v>153</v>
      </c>
      <c r="AC762" s="103">
        <v>0</v>
      </c>
      <c r="AD762" s="156">
        <v>42005</v>
      </c>
      <c r="AE762" s="103"/>
      <c r="AF762" s="103" t="s">
        <v>870</v>
      </c>
      <c r="AG762" s="103" t="s">
        <v>871</v>
      </c>
      <c r="AH762" s="103" t="s">
        <v>976</v>
      </c>
      <c r="AI762" s="103">
        <v>0</v>
      </c>
      <c r="AJ762" s="103"/>
      <c r="AK762" s="103"/>
      <c r="AL762" s="103"/>
      <c r="AM762" s="103"/>
      <c r="AN762" s="103"/>
      <c r="AO762" s="103" t="str">
        <f t="shared" si="35"/>
        <v>CFLscw-Candle(12w)Two-pack</v>
      </c>
    </row>
    <row r="763" spans="1:41">
      <c r="A763" s="177">
        <f>IFERROR(MATCH(D763,'Measure &amp; Standard CostIDs'!C$5:C$177,0),MATCH(D763,'Measure &amp; Standard CostIDs'!S$5:S$177,0))</f>
        <v>99</v>
      </c>
      <c r="B763" s="177">
        <f t="shared" si="36"/>
        <v>3</v>
      </c>
      <c r="C763" s="103" t="s">
        <v>153</v>
      </c>
      <c r="D763" s="103" t="str">
        <f t="shared" si="37"/>
        <v>CFLscw-Candle(13w)</v>
      </c>
      <c r="E763" s="103" t="str">
        <f>IF(LEFT(D763,3)="Std","Base case cost for mix of 60% Incandescent and 40% CFL lamps for CFL TechID: "&amp;INDEX('Measure &amp; Standard CostIDs'!$C$5:$C$177,A763),"&lt;from TechID&gt;")</f>
        <v>&lt;from TechID&gt;</v>
      </c>
      <c r="F763" s="103" t="s">
        <v>860</v>
      </c>
      <c r="G763" s="103" t="s">
        <v>151</v>
      </c>
      <c r="H763" s="103" t="s">
        <v>861</v>
      </c>
      <c r="I763" s="103" t="s">
        <v>862</v>
      </c>
      <c r="J763" s="103" t="s">
        <v>863</v>
      </c>
      <c r="K763" s="103" t="s">
        <v>864</v>
      </c>
      <c r="L763" s="103" t="s">
        <v>153</v>
      </c>
      <c r="M763" s="103" t="s">
        <v>865</v>
      </c>
      <c r="N763" s="103" t="s">
        <v>866</v>
      </c>
      <c r="O763" s="103" t="str">
        <f t="shared" si="34"/>
        <v>CFLscw-Candle(13w)</v>
      </c>
      <c r="P763" s="103" t="s">
        <v>153</v>
      </c>
      <c r="Q763" s="103" t="s">
        <v>153</v>
      </c>
      <c r="R763" s="103" t="s">
        <v>153</v>
      </c>
      <c r="S763" s="103" t="str">
        <f>INDEX('Measure &amp; Standard CostIDs'!$AK$8:$AK$12,B763)</f>
        <v>Two-pack</v>
      </c>
      <c r="T763" s="103" t="s">
        <v>867</v>
      </c>
      <c r="U763" s="103"/>
      <c r="V763" s="103"/>
      <c r="W763" s="103">
        <f>ROUND(IF(LEFT(D763,3)="Std",VLOOKUP(D763,'Measure &amp; Standard CostIDs'!$S$5:$X$177,1+B763,FALSE),VLOOKUP(D763,'Measure &amp; Standard CostIDs'!$C$5:$H$177,1+B763,FALSE)),2)</f>
        <v>6.65</v>
      </c>
      <c r="X763" s="103"/>
      <c r="Y763" s="103"/>
      <c r="Z763" s="103" t="s">
        <v>868</v>
      </c>
      <c r="AA763" s="103" t="s">
        <v>874</v>
      </c>
      <c r="AB763" s="103" t="s">
        <v>153</v>
      </c>
      <c r="AC763" s="103">
        <v>0</v>
      </c>
      <c r="AD763" s="156">
        <v>42005</v>
      </c>
      <c r="AE763" s="103"/>
      <c r="AF763" s="103" t="s">
        <v>870</v>
      </c>
      <c r="AG763" s="103" t="s">
        <v>871</v>
      </c>
      <c r="AH763" s="103" t="s">
        <v>976</v>
      </c>
      <c r="AI763" s="103">
        <v>0</v>
      </c>
      <c r="AJ763" s="103"/>
      <c r="AK763" s="103"/>
      <c r="AL763" s="103"/>
      <c r="AM763" s="103"/>
      <c r="AN763" s="103"/>
      <c r="AO763" s="103" t="str">
        <f t="shared" si="35"/>
        <v>CFLscw-Candle(13w)Two-pack</v>
      </c>
    </row>
    <row r="764" spans="1:41">
      <c r="A764" s="177">
        <f>IFERROR(MATCH(D764,'Measure &amp; Standard CostIDs'!C$5:C$177,0),MATCH(D764,'Measure &amp; Standard CostIDs'!S$5:S$177,0))</f>
        <v>100</v>
      </c>
      <c r="B764" s="177">
        <f t="shared" si="36"/>
        <v>3</v>
      </c>
      <c r="C764" s="103" t="s">
        <v>153</v>
      </c>
      <c r="D764" s="103" t="str">
        <f t="shared" si="37"/>
        <v>CFLscw-Candle(14w)</v>
      </c>
      <c r="E764" s="103" t="str">
        <f>IF(LEFT(D764,3)="Std","Base case cost for mix of 60% Incandescent and 40% CFL lamps for CFL TechID: "&amp;INDEX('Measure &amp; Standard CostIDs'!$C$5:$C$177,A764),"&lt;from TechID&gt;")</f>
        <v>&lt;from TechID&gt;</v>
      </c>
      <c r="F764" s="103" t="s">
        <v>860</v>
      </c>
      <c r="G764" s="103" t="s">
        <v>151</v>
      </c>
      <c r="H764" s="103" t="s">
        <v>861</v>
      </c>
      <c r="I764" s="103" t="s">
        <v>862</v>
      </c>
      <c r="J764" s="103" t="s">
        <v>863</v>
      </c>
      <c r="K764" s="103" t="s">
        <v>864</v>
      </c>
      <c r="L764" s="103" t="s">
        <v>153</v>
      </c>
      <c r="M764" s="103" t="s">
        <v>865</v>
      </c>
      <c r="N764" s="103" t="s">
        <v>866</v>
      </c>
      <c r="O764" s="103" t="str">
        <f t="shared" si="34"/>
        <v>CFLscw-Candle(14w)</v>
      </c>
      <c r="P764" s="103" t="s">
        <v>153</v>
      </c>
      <c r="Q764" s="103" t="s">
        <v>153</v>
      </c>
      <c r="R764" s="103" t="s">
        <v>153</v>
      </c>
      <c r="S764" s="103" t="str">
        <f>INDEX('Measure &amp; Standard CostIDs'!$AK$8:$AK$12,B764)</f>
        <v>Two-pack</v>
      </c>
      <c r="T764" s="103" t="s">
        <v>867</v>
      </c>
      <c r="U764" s="103"/>
      <c r="V764" s="103"/>
      <c r="W764" s="103">
        <f>ROUND(IF(LEFT(D764,3)="Std",VLOOKUP(D764,'Measure &amp; Standard CostIDs'!$S$5:$X$177,1+B764,FALSE),VLOOKUP(D764,'Measure &amp; Standard CostIDs'!$C$5:$H$177,1+B764,FALSE)),2)</f>
        <v>6.85</v>
      </c>
      <c r="X764" s="103"/>
      <c r="Y764" s="103"/>
      <c r="Z764" s="103" t="s">
        <v>868</v>
      </c>
      <c r="AA764" s="103" t="s">
        <v>874</v>
      </c>
      <c r="AB764" s="103" t="s">
        <v>153</v>
      </c>
      <c r="AC764" s="103">
        <v>0</v>
      </c>
      <c r="AD764" s="156">
        <v>42005</v>
      </c>
      <c r="AE764" s="103"/>
      <c r="AF764" s="103" t="s">
        <v>870</v>
      </c>
      <c r="AG764" s="103" t="s">
        <v>871</v>
      </c>
      <c r="AH764" s="103" t="s">
        <v>976</v>
      </c>
      <c r="AI764" s="103">
        <v>0</v>
      </c>
      <c r="AJ764" s="103"/>
      <c r="AK764" s="103"/>
      <c r="AL764" s="103"/>
      <c r="AM764" s="103"/>
      <c r="AN764" s="103"/>
      <c r="AO764" s="103" t="str">
        <f t="shared" si="35"/>
        <v>CFLscw-Candle(14w)Two-pack</v>
      </c>
    </row>
    <row r="765" spans="1:41">
      <c r="A765" s="177">
        <f>IFERROR(MATCH(D765,'Measure &amp; Standard CostIDs'!C$5:C$177,0),MATCH(D765,'Measure &amp; Standard CostIDs'!S$5:S$177,0))</f>
        <v>101</v>
      </c>
      <c r="B765" s="177">
        <f t="shared" si="36"/>
        <v>3</v>
      </c>
      <c r="C765" s="103" t="s">
        <v>153</v>
      </c>
      <c r="D765" s="103" t="str">
        <f t="shared" si="37"/>
        <v>CFLscw-Candle(15w)</v>
      </c>
      <c r="E765" s="103" t="str">
        <f>IF(LEFT(D765,3)="Std","Base case cost for mix of 60% Incandescent and 40% CFL lamps for CFL TechID: "&amp;INDEX('Measure &amp; Standard CostIDs'!$C$5:$C$177,A765),"&lt;from TechID&gt;")</f>
        <v>&lt;from TechID&gt;</v>
      </c>
      <c r="F765" s="103" t="s">
        <v>860</v>
      </c>
      <c r="G765" s="103" t="s">
        <v>151</v>
      </c>
      <c r="H765" s="103" t="s">
        <v>861</v>
      </c>
      <c r="I765" s="103" t="s">
        <v>862</v>
      </c>
      <c r="J765" s="103" t="s">
        <v>863</v>
      </c>
      <c r="K765" s="103" t="s">
        <v>864</v>
      </c>
      <c r="L765" s="103" t="s">
        <v>153</v>
      </c>
      <c r="M765" s="103" t="s">
        <v>865</v>
      </c>
      <c r="N765" s="103" t="s">
        <v>866</v>
      </c>
      <c r="O765" s="103" t="str">
        <f t="shared" si="34"/>
        <v>CFLscw-Candle(15w)</v>
      </c>
      <c r="P765" s="103" t="s">
        <v>153</v>
      </c>
      <c r="Q765" s="103" t="s">
        <v>153</v>
      </c>
      <c r="R765" s="103" t="s">
        <v>153</v>
      </c>
      <c r="S765" s="103" t="str">
        <f>INDEX('Measure &amp; Standard CostIDs'!$AK$8:$AK$12,B765)</f>
        <v>Two-pack</v>
      </c>
      <c r="T765" s="103" t="s">
        <v>867</v>
      </c>
      <c r="U765" s="103"/>
      <c r="V765" s="103"/>
      <c r="W765" s="103">
        <f>ROUND(IF(LEFT(D765,3)="Std",VLOOKUP(D765,'Measure &amp; Standard CostIDs'!$S$5:$X$177,1+B765,FALSE),VLOOKUP(D765,'Measure &amp; Standard CostIDs'!$C$5:$H$177,1+B765,FALSE)),2)</f>
        <v>7.06</v>
      </c>
      <c r="X765" s="103"/>
      <c r="Y765" s="103"/>
      <c r="Z765" s="103" t="s">
        <v>868</v>
      </c>
      <c r="AA765" s="103" t="s">
        <v>874</v>
      </c>
      <c r="AB765" s="103" t="s">
        <v>153</v>
      </c>
      <c r="AC765" s="103">
        <v>0</v>
      </c>
      <c r="AD765" s="156">
        <v>42005</v>
      </c>
      <c r="AE765" s="103"/>
      <c r="AF765" s="103" t="s">
        <v>870</v>
      </c>
      <c r="AG765" s="103" t="s">
        <v>871</v>
      </c>
      <c r="AH765" s="103" t="s">
        <v>976</v>
      </c>
      <c r="AI765" s="103">
        <v>0</v>
      </c>
      <c r="AJ765" s="103"/>
      <c r="AK765" s="103"/>
      <c r="AL765" s="103"/>
      <c r="AM765" s="103"/>
      <c r="AN765" s="103"/>
      <c r="AO765" s="103" t="str">
        <f t="shared" si="35"/>
        <v>CFLscw-Candle(15w)Two-pack</v>
      </c>
    </row>
    <row r="766" spans="1:41">
      <c r="A766" s="177">
        <f>IFERROR(MATCH(D766,'Measure &amp; Standard CostIDs'!C$5:C$177,0),MATCH(D766,'Measure &amp; Standard CostIDs'!S$5:S$177,0))</f>
        <v>102</v>
      </c>
      <c r="B766" s="177">
        <f t="shared" si="36"/>
        <v>3</v>
      </c>
      <c r="C766" s="103" t="s">
        <v>153</v>
      </c>
      <c r="D766" s="103" t="str">
        <f t="shared" si="37"/>
        <v>CFLscw-Candle(7w)</v>
      </c>
      <c r="E766" s="103" t="str">
        <f>IF(LEFT(D766,3)="Std","Base case cost for mix of 60% Incandescent and 40% CFL lamps for CFL TechID: "&amp;INDEX('Measure &amp; Standard CostIDs'!$C$5:$C$177,A766),"&lt;from TechID&gt;")</f>
        <v>&lt;from TechID&gt;</v>
      </c>
      <c r="F766" s="103" t="s">
        <v>860</v>
      </c>
      <c r="G766" s="103" t="s">
        <v>151</v>
      </c>
      <c r="H766" s="103" t="s">
        <v>861</v>
      </c>
      <c r="I766" s="103" t="s">
        <v>862</v>
      </c>
      <c r="J766" s="103" t="s">
        <v>863</v>
      </c>
      <c r="K766" s="103" t="s">
        <v>864</v>
      </c>
      <c r="L766" s="103" t="s">
        <v>153</v>
      </c>
      <c r="M766" s="103" t="s">
        <v>865</v>
      </c>
      <c r="N766" s="103" t="s">
        <v>866</v>
      </c>
      <c r="O766" s="103" t="str">
        <f t="shared" si="34"/>
        <v>CFLscw-Candle(7w)</v>
      </c>
      <c r="P766" s="103" t="s">
        <v>153</v>
      </c>
      <c r="Q766" s="103" t="s">
        <v>153</v>
      </c>
      <c r="R766" s="103" t="s">
        <v>153</v>
      </c>
      <c r="S766" s="103" t="str">
        <f>INDEX('Measure &amp; Standard CostIDs'!$AK$8:$AK$12,B766)</f>
        <v>Two-pack</v>
      </c>
      <c r="T766" s="103" t="s">
        <v>867</v>
      </c>
      <c r="U766" s="103"/>
      <c r="V766" s="103"/>
      <c r="W766" s="103">
        <f>ROUND(IF(LEFT(D766,3)="Std",VLOOKUP(D766,'Measure &amp; Standard CostIDs'!$S$5:$X$177,1+B766,FALSE),VLOOKUP(D766,'Measure &amp; Standard CostIDs'!$C$5:$H$177,1+B766,FALSE)),2)</f>
        <v>5.41</v>
      </c>
      <c r="X766" s="103"/>
      <c r="Y766" s="103"/>
      <c r="Z766" s="103" t="s">
        <v>868</v>
      </c>
      <c r="AA766" s="103" t="s">
        <v>874</v>
      </c>
      <c r="AB766" s="103" t="s">
        <v>153</v>
      </c>
      <c r="AC766" s="103">
        <v>0</v>
      </c>
      <c r="AD766" s="156">
        <v>42005</v>
      </c>
      <c r="AE766" s="103"/>
      <c r="AF766" s="103" t="s">
        <v>870</v>
      </c>
      <c r="AG766" s="103" t="s">
        <v>871</v>
      </c>
      <c r="AH766" s="103" t="s">
        <v>976</v>
      </c>
      <c r="AI766" s="103">
        <v>0</v>
      </c>
      <c r="AJ766" s="103"/>
      <c r="AK766" s="103"/>
      <c r="AL766" s="103"/>
      <c r="AM766" s="103"/>
      <c r="AN766" s="103"/>
      <c r="AO766" s="103" t="str">
        <f t="shared" si="35"/>
        <v>CFLscw-Candle(7w)Two-pack</v>
      </c>
    </row>
    <row r="767" spans="1:41">
      <c r="A767" s="177">
        <f>IFERROR(MATCH(D767,'Measure &amp; Standard CostIDs'!C$5:C$177,0),MATCH(D767,'Measure &amp; Standard CostIDs'!S$5:S$177,0))</f>
        <v>103</v>
      </c>
      <c r="B767" s="177">
        <f t="shared" si="36"/>
        <v>3</v>
      </c>
      <c r="C767" s="103" t="s">
        <v>153</v>
      </c>
      <c r="D767" s="103" t="str">
        <f t="shared" si="37"/>
        <v>CFLscw-Candle(8w)</v>
      </c>
      <c r="E767" s="103" t="str">
        <f>IF(LEFT(D767,3)="Std","Base case cost for mix of 60% Incandescent and 40% CFL lamps for CFL TechID: "&amp;INDEX('Measure &amp; Standard CostIDs'!$C$5:$C$177,A767),"&lt;from TechID&gt;")</f>
        <v>&lt;from TechID&gt;</v>
      </c>
      <c r="F767" s="103" t="s">
        <v>860</v>
      </c>
      <c r="G767" s="103" t="s">
        <v>151</v>
      </c>
      <c r="H767" s="103" t="s">
        <v>861</v>
      </c>
      <c r="I767" s="103" t="s">
        <v>862</v>
      </c>
      <c r="J767" s="103" t="s">
        <v>863</v>
      </c>
      <c r="K767" s="103" t="s">
        <v>864</v>
      </c>
      <c r="L767" s="103" t="s">
        <v>153</v>
      </c>
      <c r="M767" s="103" t="s">
        <v>865</v>
      </c>
      <c r="N767" s="103" t="s">
        <v>866</v>
      </c>
      <c r="O767" s="103" t="str">
        <f t="shared" si="34"/>
        <v>CFLscw-Candle(8w)</v>
      </c>
      <c r="P767" s="103" t="s">
        <v>153</v>
      </c>
      <c r="Q767" s="103" t="s">
        <v>153</v>
      </c>
      <c r="R767" s="103" t="s">
        <v>153</v>
      </c>
      <c r="S767" s="103" t="str">
        <f>INDEX('Measure &amp; Standard CostIDs'!$AK$8:$AK$12,B767)</f>
        <v>Two-pack</v>
      </c>
      <c r="T767" s="103" t="s">
        <v>867</v>
      </c>
      <c r="U767" s="103"/>
      <c r="V767" s="103"/>
      <c r="W767" s="103">
        <f>ROUND(IF(LEFT(D767,3)="Std",VLOOKUP(D767,'Measure &amp; Standard CostIDs'!$S$5:$X$177,1+B767,FALSE),VLOOKUP(D767,'Measure &amp; Standard CostIDs'!$C$5:$H$177,1+B767,FALSE)),2)</f>
        <v>5.62</v>
      </c>
      <c r="X767" s="103"/>
      <c r="Y767" s="103"/>
      <c r="Z767" s="103" t="s">
        <v>868</v>
      </c>
      <c r="AA767" s="103" t="s">
        <v>874</v>
      </c>
      <c r="AB767" s="103" t="s">
        <v>153</v>
      </c>
      <c r="AC767" s="103">
        <v>0</v>
      </c>
      <c r="AD767" s="156">
        <v>42005</v>
      </c>
      <c r="AE767" s="103"/>
      <c r="AF767" s="103" t="s">
        <v>870</v>
      </c>
      <c r="AG767" s="103" t="s">
        <v>871</v>
      </c>
      <c r="AH767" s="103" t="s">
        <v>976</v>
      </c>
      <c r="AI767" s="103">
        <v>0</v>
      </c>
      <c r="AJ767" s="103"/>
      <c r="AK767" s="103"/>
      <c r="AL767" s="103"/>
      <c r="AM767" s="103"/>
      <c r="AN767" s="103"/>
      <c r="AO767" s="103" t="str">
        <f t="shared" si="35"/>
        <v>CFLscw-Candle(8w)Two-pack</v>
      </c>
    </row>
    <row r="768" spans="1:41">
      <c r="A768" s="177">
        <f>IFERROR(MATCH(D768,'Measure &amp; Standard CostIDs'!C$5:C$177,0),MATCH(D768,'Measure &amp; Standard CostIDs'!S$5:S$177,0))</f>
        <v>104</v>
      </c>
      <c r="B768" s="177">
        <f t="shared" si="36"/>
        <v>3</v>
      </c>
      <c r="C768" s="103" t="s">
        <v>153</v>
      </c>
      <c r="D768" s="103" t="str">
        <f t="shared" si="37"/>
        <v>CFLscw-Candle(9w)</v>
      </c>
      <c r="E768" s="103" t="str">
        <f>IF(LEFT(D768,3)="Std","Base case cost for mix of 60% Incandescent and 40% CFL lamps for CFL TechID: "&amp;INDEX('Measure &amp; Standard CostIDs'!$C$5:$C$177,A768),"&lt;from TechID&gt;")</f>
        <v>&lt;from TechID&gt;</v>
      </c>
      <c r="F768" s="103" t="s">
        <v>860</v>
      </c>
      <c r="G768" s="103" t="s">
        <v>151</v>
      </c>
      <c r="H768" s="103" t="s">
        <v>861</v>
      </c>
      <c r="I768" s="103" t="s">
        <v>862</v>
      </c>
      <c r="J768" s="103" t="s">
        <v>863</v>
      </c>
      <c r="K768" s="103" t="s">
        <v>864</v>
      </c>
      <c r="L768" s="103" t="s">
        <v>153</v>
      </c>
      <c r="M768" s="103" t="s">
        <v>865</v>
      </c>
      <c r="N768" s="103" t="s">
        <v>866</v>
      </c>
      <c r="O768" s="103" t="str">
        <f t="shared" si="34"/>
        <v>CFLscw-Candle(9w)</v>
      </c>
      <c r="P768" s="103" t="s">
        <v>153</v>
      </c>
      <c r="Q768" s="103" t="s">
        <v>153</v>
      </c>
      <c r="R768" s="103" t="s">
        <v>153</v>
      </c>
      <c r="S768" s="103" t="str">
        <f>INDEX('Measure &amp; Standard CostIDs'!$AK$8:$AK$12,B768)</f>
        <v>Two-pack</v>
      </c>
      <c r="T768" s="103" t="s">
        <v>867</v>
      </c>
      <c r="U768" s="103"/>
      <c r="V768" s="103"/>
      <c r="W768" s="103">
        <f>ROUND(IF(LEFT(D768,3)="Std",VLOOKUP(D768,'Measure &amp; Standard CostIDs'!$S$5:$X$177,1+B768,FALSE),VLOOKUP(D768,'Measure &amp; Standard CostIDs'!$C$5:$H$177,1+B768,FALSE)),2)</f>
        <v>5.82</v>
      </c>
      <c r="X768" s="103"/>
      <c r="Y768" s="103"/>
      <c r="Z768" s="103" t="s">
        <v>868</v>
      </c>
      <c r="AA768" s="103" t="s">
        <v>874</v>
      </c>
      <c r="AB768" s="103" t="s">
        <v>153</v>
      </c>
      <c r="AC768" s="103">
        <v>0</v>
      </c>
      <c r="AD768" s="156">
        <v>42005</v>
      </c>
      <c r="AE768" s="103"/>
      <c r="AF768" s="103" t="s">
        <v>870</v>
      </c>
      <c r="AG768" s="103" t="s">
        <v>871</v>
      </c>
      <c r="AH768" s="103" t="s">
        <v>976</v>
      </c>
      <c r="AI768" s="103">
        <v>0</v>
      </c>
      <c r="AJ768" s="103"/>
      <c r="AK768" s="103"/>
      <c r="AL768" s="103"/>
      <c r="AM768" s="103"/>
      <c r="AN768" s="103"/>
      <c r="AO768" s="103" t="str">
        <f t="shared" si="35"/>
        <v>CFLscw-Candle(9w)Two-pack</v>
      </c>
    </row>
    <row r="769" spans="1:41">
      <c r="A769" s="177">
        <f>IFERROR(MATCH(D769,'Measure &amp; Standard CostIDs'!C$5:C$177,0),MATCH(D769,'Measure &amp; Standard CostIDs'!S$5:S$177,0))</f>
        <v>105</v>
      </c>
      <c r="B769" s="177">
        <f t="shared" si="36"/>
        <v>3</v>
      </c>
      <c r="C769" s="103" t="s">
        <v>153</v>
      </c>
      <c r="D769" s="103" t="str">
        <f t="shared" si="37"/>
        <v>CFLscw-Dim(10w)</v>
      </c>
      <c r="E769" s="103" t="str">
        <f>IF(LEFT(D769,3)="Std","Base case cost for mix of 60% Incandescent and 40% CFL lamps for CFL TechID: "&amp;INDEX('Measure &amp; Standard CostIDs'!$C$5:$C$177,A769),"&lt;from TechID&gt;")</f>
        <v>&lt;from TechID&gt;</v>
      </c>
      <c r="F769" s="103" t="s">
        <v>860</v>
      </c>
      <c r="G769" s="103" t="s">
        <v>151</v>
      </c>
      <c r="H769" s="103" t="s">
        <v>861</v>
      </c>
      <c r="I769" s="103" t="s">
        <v>862</v>
      </c>
      <c r="J769" s="103" t="s">
        <v>863</v>
      </c>
      <c r="K769" s="103" t="s">
        <v>864</v>
      </c>
      <c r="L769" s="103" t="s">
        <v>153</v>
      </c>
      <c r="M769" s="103" t="s">
        <v>865</v>
      </c>
      <c r="N769" s="103" t="s">
        <v>866</v>
      </c>
      <c r="O769" s="103" t="str">
        <f t="shared" si="34"/>
        <v>CFLscw-Dim(10w)</v>
      </c>
      <c r="P769" s="103" t="s">
        <v>153</v>
      </c>
      <c r="Q769" s="103" t="s">
        <v>153</v>
      </c>
      <c r="R769" s="103" t="s">
        <v>153</v>
      </c>
      <c r="S769" s="103" t="str">
        <f>INDEX('Measure &amp; Standard CostIDs'!$AK$8:$AK$12,B769)</f>
        <v>Two-pack</v>
      </c>
      <c r="T769" s="103" t="s">
        <v>867</v>
      </c>
      <c r="U769" s="103"/>
      <c r="V769" s="103"/>
      <c r="W769" s="103">
        <f>ROUND(IF(LEFT(D769,3)="Std",VLOOKUP(D769,'Measure &amp; Standard CostIDs'!$S$5:$X$177,1+B769,FALSE),VLOOKUP(D769,'Measure &amp; Standard CostIDs'!$C$5:$H$177,1+B769,FALSE)),2)</f>
        <v>8.64</v>
      </c>
      <c r="X769" s="103"/>
      <c r="Y769" s="103"/>
      <c r="Z769" s="103" t="s">
        <v>868</v>
      </c>
      <c r="AA769" s="103" t="s">
        <v>874</v>
      </c>
      <c r="AB769" s="103" t="s">
        <v>153</v>
      </c>
      <c r="AC769" s="103">
        <v>0</v>
      </c>
      <c r="AD769" s="156">
        <v>42005</v>
      </c>
      <c r="AE769" s="103"/>
      <c r="AF769" s="103" t="s">
        <v>870</v>
      </c>
      <c r="AG769" s="103" t="s">
        <v>871</v>
      </c>
      <c r="AH769" s="103" t="s">
        <v>976</v>
      </c>
      <c r="AI769" s="103">
        <v>0</v>
      </c>
      <c r="AJ769" s="103"/>
      <c r="AK769" s="103"/>
      <c r="AL769" s="103"/>
      <c r="AM769" s="103"/>
      <c r="AN769" s="103"/>
      <c r="AO769" s="103" t="str">
        <f t="shared" si="35"/>
        <v>CFLscw-Dim(10w)Two-pack</v>
      </c>
    </row>
    <row r="770" spans="1:41">
      <c r="A770" s="177">
        <f>IFERROR(MATCH(D770,'Measure &amp; Standard CostIDs'!C$5:C$177,0),MATCH(D770,'Measure &amp; Standard CostIDs'!S$5:S$177,0))</f>
        <v>106</v>
      </c>
      <c r="B770" s="177">
        <f t="shared" si="36"/>
        <v>3</v>
      </c>
      <c r="C770" s="103" t="s">
        <v>153</v>
      </c>
      <c r="D770" s="103" t="str">
        <f t="shared" si="37"/>
        <v>CFLscw-Dim(11w)</v>
      </c>
      <c r="E770" s="103" t="str">
        <f>IF(LEFT(D770,3)="Std","Base case cost for mix of 60% Incandescent and 40% CFL lamps for CFL TechID: "&amp;INDEX('Measure &amp; Standard CostIDs'!$C$5:$C$177,A770),"&lt;from TechID&gt;")</f>
        <v>&lt;from TechID&gt;</v>
      </c>
      <c r="F770" s="103" t="s">
        <v>860</v>
      </c>
      <c r="G770" s="103" t="s">
        <v>151</v>
      </c>
      <c r="H770" s="103" t="s">
        <v>861</v>
      </c>
      <c r="I770" s="103" t="s">
        <v>862</v>
      </c>
      <c r="J770" s="103" t="s">
        <v>863</v>
      </c>
      <c r="K770" s="103" t="s">
        <v>864</v>
      </c>
      <c r="L770" s="103" t="s">
        <v>153</v>
      </c>
      <c r="M770" s="103" t="s">
        <v>865</v>
      </c>
      <c r="N770" s="103" t="s">
        <v>866</v>
      </c>
      <c r="O770" s="103" t="str">
        <f t="shared" si="34"/>
        <v>CFLscw-Dim(11w)</v>
      </c>
      <c r="P770" s="103" t="s">
        <v>153</v>
      </c>
      <c r="Q770" s="103" t="s">
        <v>153</v>
      </c>
      <c r="R770" s="103" t="s">
        <v>153</v>
      </c>
      <c r="S770" s="103" t="str">
        <f>INDEX('Measure &amp; Standard CostIDs'!$AK$8:$AK$12,B770)</f>
        <v>Two-pack</v>
      </c>
      <c r="T770" s="103" t="s">
        <v>867</v>
      </c>
      <c r="U770" s="103"/>
      <c r="V770" s="103"/>
      <c r="W770" s="103">
        <f>ROUND(IF(LEFT(D770,3)="Std",VLOOKUP(D770,'Measure &amp; Standard CostIDs'!$S$5:$X$177,1+B770,FALSE),VLOOKUP(D770,'Measure &amp; Standard CostIDs'!$C$5:$H$177,1+B770,FALSE)),2)</f>
        <v>8.7100000000000009</v>
      </c>
      <c r="X770" s="103"/>
      <c r="Y770" s="103"/>
      <c r="Z770" s="103" t="s">
        <v>868</v>
      </c>
      <c r="AA770" s="103" t="s">
        <v>874</v>
      </c>
      <c r="AB770" s="103" t="s">
        <v>153</v>
      </c>
      <c r="AC770" s="103">
        <v>0</v>
      </c>
      <c r="AD770" s="156">
        <v>42005</v>
      </c>
      <c r="AE770" s="103"/>
      <c r="AF770" s="103" t="s">
        <v>870</v>
      </c>
      <c r="AG770" s="103" t="s">
        <v>871</v>
      </c>
      <c r="AH770" s="103" t="s">
        <v>976</v>
      </c>
      <c r="AI770" s="103">
        <v>0</v>
      </c>
      <c r="AJ770" s="103"/>
      <c r="AK770" s="103"/>
      <c r="AL770" s="103"/>
      <c r="AM770" s="103"/>
      <c r="AN770" s="103"/>
      <c r="AO770" s="103" t="str">
        <f t="shared" si="35"/>
        <v>CFLscw-Dim(11w)Two-pack</v>
      </c>
    </row>
    <row r="771" spans="1:41">
      <c r="A771" s="177">
        <f>IFERROR(MATCH(D771,'Measure &amp; Standard CostIDs'!C$5:C$177,0),MATCH(D771,'Measure &amp; Standard CostIDs'!S$5:S$177,0))</f>
        <v>107</v>
      </c>
      <c r="B771" s="177">
        <f t="shared" si="36"/>
        <v>3</v>
      </c>
      <c r="C771" s="103" t="s">
        <v>153</v>
      </c>
      <c r="D771" s="103" t="str">
        <f t="shared" si="37"/>
        <v>CFLscw-Dim(14w)</v>
      </c>
      <c r="E771" s="103" t="str">
        <f>IF(LEFT(D771,3)="Std","Base case cost for mix of 60% Incandescent and 40% CFL lamps for CFL TechID: "&amp;INDEX('Measure &amp; Standard CostIDs'!$C$5:$C$177,A771),"&lt;from TechID&gt;")</f>
        <v>&lt;from TechID&gt;</v>
      </c>
      <c r="F771" s="103" t="s">
        <v>860</v>
      </c>
      <c r="G771" s="103" t="s">
        <v>151</v>
      </c>
      <c r="H771" s="103" t="s">
        <v>861</v>
      </c>
      <c r="I771" s="103" t="s">
        <v>862</v>
      </c>
      <c r="J771" s="103" t="s">
        <v>863</v>
      </c>
      <c r="K771" s="103" t="s">
        <v>864</v>
      </c>
      <c r="L771" s="103" t="s">
        <v>153</v>
      </c>
      <c r="M771" s="103" t="s">
        <v>865</v>
      </c>
      <c r="N771" s="103" t="s">
        <v>866</v>
      </c>
      <c r="O771" s="103" t="str">
        <f t="shared" si="34"/>
        <v>CFLscw-Dim(14w)</v>
      </c>
      <c r="P771" s="103" t="s">
        <v>153</v>
      </c>
      <c r="Q771" s="103" t="s">
        <v>153</v>
      </c>
      <c r="R771" s="103" t="s">
        <v>153</v>
      </c>
      <c r="S771" s="103" t="str">
        <f>INDEX('Measure &amp; Standard CostIDs'!$AK$8:$AK$12,B771)</f>
        <v>Two-pack</v>
      </c>
      <c r="T771" s="103" t="s">
        <v>867</v>
      </c>
      <c r="U771" s="103"/>
      <c r="V771" s="103"/>
      <c r="W771" s="103">
        <f>ROUND(IF(LEFT(D771,3)="Std",VLOOKUP(D771,'Measure &amp; Standard CostIDs'!$S$5:$X$177,1+B771,FALSE),VLOOKUP(D771,'Measure &amp; Standard CostIDs'!$C$5:$H$177,1+B771,FALSE)),2)</f>
        <v>8.91</v>
      </c>
      <c r="X771" s="103"/>
      <c r="Y771" s="103"/>
      <c r="Z771" s="103" t="s">
        <v>868</v>
      </c>
      <c r="AA771" s="103" t="s">
        <v>874</v>
      </c>
      <c r="AB771" s="103" t="s">
        <v>153</v>
      </c>
      <c r="AC771" s="103">
        <v>0</v>
      </c>
      <c r="AD771" s="156">
        <v>42005</v>
      </c>
      <c r="AE771" s="103"/>
      <c r="AF771" s="103" t="s">
        <v>870</v>
      </c>
      <c r="AG771" s="103" t="s">
        <v>871</v>
      </c>
      <c r="AH771" s="103" t="s">
        <v>976</v>
      </c>
      <c r="AI771" s="103">
        <v>0</v>
      </c>
      <c r="AJ771" s="103"/>
      <c r="AK771" s="103"/>
      <c r="AL771" s="103"/>
      <c r="AM771" s="103"/>
      <c r="AN771" s="103"/>
      <c r="AO771" s="103" t="str">
        <f t="shared" si="35"/>
        <v>CFLscw-Dim(14w)Two-pack</v>
      </c>
    </row>
    <row r="772" spans="1:41">
      <c r="A772" s="177">
        <f>IFERROR(MATCH(D772,'Measure &amp; Standard CostIDs'!C$5:C$177,0),MATCH(D772,'Measure &amp; Standard CostIDs'!S$5:S$177,0))</f>
        <v>108</v>
      </c>
      <c r="B772" s="177">
        <f t="shared" si="36"/>
        <v>3</v>
      </c>
      <c r="C772" s="103" t="s">
        <v>153</v>
      </c>
      <c r="D772" s="103" t="str">
        <f t="shared" si="37"/>
        <v>CFLscw-Dim(15w)</v>
      </c>
      <c r="E772" s="103" t="str">
        <f>IF(LEFT(D772,3)="Std","Base case cost for mix of 60% Incandescent and 40% CFL lamps for CFL TechID: "&amp;INDEX('Measure &amp; Standard CostIDs'!$C$5:$C$177,A772),"&lt;from TechID&gt;")</f>
        <v>&lt;from TechID&gt;</v>
      </c>
      <c r="F772" s="103" t="s">
        <v>860</v>
      </c>
      <c r="G772" s="103" t="s">
        <v>151</v>
      </c>
      <c r="H772" s="103" t="s">
        <v>861</v>
      </c>
      <c r="I772" s="103" t="s">
        <v>862</v>
      </c>
      <c r="J772" s="103" t="s">
        <v>863</v>
      </c>
      <c r="K772" s="103" t="s">
        <v>864</v>
      </c>
      <c r="L772" s="103" t="s">
        <v>153</v>
      </c>
      <c r="M772" s="103" t="s">
        <v>865</v>
      </c>
      <c r="N772" s="103" t="s">
        <v>866</v>
      </c>
      <c r="O772" s="103" t="str">
        <f t="shared" si="34"/>
        <v>CFLscw-Dim(15w)</v>
      </c>
      <c r="P772" s="103" t="s">
        <v>153</v>
      </c>
      <c r="Q772" s="103" t="s">
        <v>153</v>
      </c>
      <c r="R772" s="103" t="s">
        <v>153</v>
      </c>
      <c r="S772" s="103" t="str">
        <f>INDEX('Measure &amp; Standard CostIDs'!$AK$8:$AK$12,B772)</f>
        <v>Two-pack</v>
      </c>
      <c r="T772" s="103" t="s">
        <v>867</v>
      </c>
      <c r="U772" s="103"/>
      <c r="V772" s="103"/>
      <c r="W772" s="103">
        <f>ROUND(IF(LEFT(D772,3)="Std",VLOOKUP(D772,'Measure &amp; Standard CostIDs'!$S$5:$X$177,1+B772,FALSE),VLOOKUP(D772,'Measure &amp; Standard CostIDs'!$C$5:$H$177,1+B772,FALSE)),2)</f>
        <v>8.9700000000000006</v>
      </c>
      <c r="X772" s="103"/>
      <c r="Y772" s="103"/>
      <c r="Z772" s="103" t="s">
        <v>868</v>
      </c>
      <c r="AA772" s="103" t="s">
        <v>874</v>
      </c>
      <c r="AB772" s="103" t="s">
        <v>153</v>
      </c>
      <c r="AC772" s="103">
        <v>0</v>
      </c>
      <c r="AD772" s="156">
        <v>42005</v>
      </c>
      <c r="AE772" s="103"/>
      <c r="AF772" s="103" t="s">
        <v>870</v>
      </c>
      <c r="AG772" s="103" t="s">
        <v>871</v>
      </c>
      <c r="AH772" s="103" t="s">
        <v>976</v>
      </c>
      <c r="AI772" s="103">
        <v>0</v>
      </c>
      <c r="AJ772" s="103"/>
      <c r="AK772" s="103"/>
      <c r="AL772" s="103"/>
      <c r="AM772" s="103"/>
      <c r="AN772" s="103"/>
      <c r="AO772" s="103" t="str">
        <f t="shared" si="35"/>
        <v>CFLscw-Dim(15w)Two-pack</v>
      </c>
    </row>
    <row r="773" spans="1:41">
      <c r="A773" s="177">
        <f>IFERROR(MATCH(D773,'Measure &amp; Standard CostIDs'!C$5:C$177,0),MATCH(D773,'Measure &amp; Standard CostIDs'!S$5:S$177,0))</f>
        <v>109</v>
      </c>
      <c r="B773" s="177">
        <f t="shared" si="36"/>
        <v>3</v>
      </c>
      <c r="C773" s="103" t="s">
        <v>153</v>
      </c>
      <c r="D773" s="103" t="str">
        <f t="shared" si="37"/>
        <v>CFLscw-Dim(16w)</v>
      </c>
      <c r="E773" s="103" t="str">
        <f>IF(LEFT(D773,3)="Std","Base case cost for mix of 60% Incandescent and 40% CFL lamps for CFL TechID: "&amp;INDEX('Measure &amp; Standard CostIDs'!$C$5:$C$177,A773),"&lt;from TechID&gt;")</f>
        <v>&lt;from TechID&gt;</v>
      </c>
      <c r="F773" s="103" t="s">
        <v>860</v>
      </c>
      <c r="G773" s="103" t="s">
        <v>151</v>
      </c>
      <c r="H773" s="103" t="s">
        <v>861</v>
      </c>
      <c r="I773" s="103" t="s">
        <v>862</v>
      </c>
      <c r="J773" s="103" t="s">
        <v>863</v>
      </c>
      <c r="K773" s="103" t="s">
        <v>864</v>
      </c>
      <c r="L773" s="103" t="s">
        <v>153</v>
      </c>
      <c r="M773" s="103" t="s">
        <v>865</v>
      </c>
      <c r="N773" s="103" t="s">
        <v>866</v>
      </c>
      <c r="O773" s="103" t="str">
        <f t="shared" si="34"/>
        <v>CFLscw-Dim(16w)</v>
      </c>
      <c r="P773" s="103" t="s">
        <v>153</v>
      </c>
      <c r="Q773" s="103" t="s">
        <v>153</v>
      </c>
      <c r="R773" s="103" t="s">
        <v>153</v>
      </c>
      <c r="S773" s="103" t="str">
        <f>INDEX('Measure &amp; Standard CostIDs'!$AK$8:$AK$12,B773)</f>
        <v>Two-pack</v>
      </c>
      <c r="T773" s="103" t="s">
        <v>867</v>
      </c>
      <c r="U773" s="103"/>
      <c r="V773" s="103"/>
      <c r="W773" s="103">
        <f>ROUND(IF(LEFT(D773,3)="Std",VLOOKUP(D773,'Measure &amp; Standard CostIDs'!$S$5:$X$177,1+B773,FALSE),VLOOKUP(D773,'Measure &amp; Standard CostIDs'!$C$5:$H$177,1+B773,FALSE)),2)</f>
        <v>9.0399999999999991</v>
      </c>
      <c r="X773" s="103"/>
      <c r="Y773" s="103"/>
      <c r="Z773" s="103" t="s">
        <v>868</v>
      </c>
      <c r="AA773" s="103" t="s">
        <v>874</v>
      </c>
      <c r="AB773" s="103" t="s">
        <v>153</v>
      </c>
      <c r="AC773" s="103">
        <v>0</v>
      </c>
      <c r="AD773" s="156">
        <v>42005</v>
      </c>
      <c r="AE773" s="103"/>
      <c r="AF773" s="103" t="s">
        <v>870</v>
      </c>
      <c r="AG773" s="103" t="s">
        <v>871</v>
      </c>
      <c r="AH773" s="103" t="s">
        <v>976</v>
      </c>
      <c r="AI773" s="103">
        <v>0</v>
      </c>
      <c r="AJ773" s="103"/>
      <c r="AK773" s="103"/>
      <c r="AL773" s="103"/>
      <c r="AM773" s="103"/>
      <c r="AN773" s="103"/>
      <c r="AO773" s="103" t="str">
        <f t="shared" si="35"/>
        <v>CFLscw-Dim(16w)Two-pack</v>
      </c>
    </row>
    <row r="774" spans="1:41">
      <c r="A774" s="177">
        <f>IFERROR(MATCH(D774,'Measure &amp; Standard CostIDs'!C$5:C$177,0),MATCH(D774,'Measure &amp; Standard CostIDs'!S$5:S$177,0))</f>
        <v>110</v>
      </c>
      <c r="B774" s="177">
        <f t="shared" si="36"/>
        <v>3</v>
      </c>
      <c r="C774" s="103" t="s">
        <v>153</v>
      </c>
      <c r="D774" s="103" t="str">
        <f t="shared" si="37"/>
        <v>CFLscw-Dim(18w)</v>
      </c>
      <c r="E774" s="103" t="str">
        <f>IF(LEFT(D774,3)="Std","Base case cost for mix of 60% Incandescent and 40% CFL lamps for CFL TechID: "&amp;INDEX('Measure &amp; Standard CostIDs'!$C$5:$C$177,A774),"&lt;from TechID&gt;")</f>
        <v>&lt;from TechID&gt;</v>
      </c>
      <c r="F774" s="103" t="s">
        <v>860</v>
      </c>
      <c r="G774" s="103" t="s">
        <v>151</v>
      </c>
      <c r="H774" s="103" t="s">
        <v>861</v>
      </c>
      <c r="I774" s="103" t="s">
        <v>862</v>
      </c>
      <c r="J774" s="103" t="s">
        <v>863</v>
      </c>
      <c r="K774" s="103" t="s">
        <v>864</v>
      </c>
      <c r="L774" s="103" t="s">
        <v>153</v>
      </c>
      <c r="M774" s="103" t="s">
        <v>865</v>
      </c>
      <c r="N774" s="103" t="s">
        <v>866</v>
      </c>
      <c r="O774" s="103" t="str">
        <f t="shared" ref="O774:O837" si="38">IF(LEFT(D774,3)="Std","",D774)</f>
        <v>CFLscw-Dim(18w)</v>
      </c>
      <c r="P774" s="103" t="s">
        <v>153</v>
      </c>
      <c r="Q774" s="103" t="s">
        <v>153</v>
      </c>
      <c r="R774" s="103" t="s">
        <v>153</v>
      </c>
      <c r="S774" s="103" t="str">
        <f>INDEX('Measure &amp; Standard CostIDs'!$AK$8:$AK$12,B774)</f>
        <v>Two-pack</v>
      </c>
      <c r="T774" s="103" t="s">
        <v>867</v>
      </c>
      <c r="U774" s="103"/>
      <c r="V774" s="103"/>
      <c r="W774" s="103">
        <f>ROUND(IF(LEFT(D774,3)="Std",VLOOKUP(D774,'Measure &amp; Standard CostIDs'!$S$5:$X$177,1+B774,FALSE),VLOOKUP(D774,'Measure &amp; Standard CostIDs'!$C$5:$H$177,1+B774,FALSE)),2)</f>
        <v>9.17</v>
      </c>
      <c r="X774" s="103"/>
      <c r="Y774" s="103"/>
      <c r="Z774" s="103" t="s">
        <v>868</v>
      </c>
      <c r="AA774" s="103" t="s">
        <v>874</v>
      </c>
      <c r="AB774" s="103" t="s">
        <v>153</v>
      </c>
      <c r="AC774" s="103">
        <v>0</v>
      </c>
      <c r="AD774" s="156">
        <v>42005</v>
      </c>
      <c r="AE774" s="103"/>
      <c r="AF774" s="103" t="s">
        <v>870</v>
      </c>
      <c r="AG774" s="103" t="s">
        <v>871</v>
      </c>
      <c r="AH774" s="103" t="s">
        <v>976</v>
      </c>
      <c r="AI774" s="103">
        <v>0</v>
      </c>
      <c r="AJ774" s="103"/>
      <c r="AK774" s="103"/>
      <c r="AL774" s="103"/>
      <c r="AM774" s="103"/>
      <c r="AN774" s="103"/>
      <c r="AO774" s="103" t="str">
        <f t="shared" ref="AO774:AO837" si="39">D774&amp;S774</f>
        <v>CFLscw-Dim(18w)Two-pack</v>
      </c>
    </row>
    <row r="775" spans="1:41">
      <c r="A775" s="177">
        <f>IFERROR(MATCH(D775,'Measure &amp; Standard CostIDs'!C$5:C$177,0),MATCH(D775,'Measure &amp; Standard CostIDs'!S$5:S$177,0))</f>
        <v>111</v>
      </c>
      <c r="B775" s="177">
        <f t="shared" si="36"/>
        <v>3</v>
      </c>
      <c r="C775" s="103" t="s">
        <v>153</v>
      </c>
      <c r="D775" s="103" t="str">
        <f t="shared" si="37"/>
        <v>CFLscw-Dim(19w)</v>
      </c>
      <c r="E775" s="103" t="str">
        <f>IF(LEFT(D775,3)="Std","Base case cost for mix of 60% Incandescent and 40% CFL lamps for CFL TechID: "&amp;INDEX('Measure &amp; Standard CostIDs'!$C$5:$C$177,A775),"&lt;from TechID&gt;")</f>
        <v>&lt;from TechID&gt;</v>
      </c>
      <c r="F775" s="103" t="s">
        <v>860</v>
      </c>
      <c r="G775" s="103" t="s">
        <v>151</v>
      </c>
      <c r="H775" s="103" t="s">
        <v>861</v>
      </c>
      <c r="I775" s="103" t="s">
        <v>862</v>
      </c>
      <c r="J775" s="103" t="s">
        <v>863</v>
      </c>
      <c r="K775" s="103" t="s">
        <v>864</v>
      </c>
      <c r="L775" s="103" t="s">
        <v>153</v>
      </c>
      <c r="M775" s="103" t="s">
        <v>865</v>
      </c>
      <c r="N775" s="103" t="s">
        <v>866</v>
      </c>
      <c r="O775" s="103" t="str">
        <f t="shared" si="38"/>
        <v>CFLscw-Dim(19w)</v>
      </c>
      <c r="P775" s="103" t="s">
        <v>153</v>
      </c>
      <c r="Q775" s="103" t="s">
        <v>153</v>
      </c>
      <c r="R775" s="103" t="s">
        <v>153</v>
      </c>
      <c r="S775" s="103" t="str">
        <f>INDEX('Measure &amp; Standard CostIDs'!$AK$8:$AK$12,B775)</f>
        <v>Two-pack</v>
      </c>
      <c r="T775" s="103" t="s">
        <v>867</v>
      </c>
      <c r="U775" s="103"/>
      <c r="V775" s="103"/>
      <c r="W775" s="103">
        <f>ROUND(IF(LEFT(D775,3)="Std",VLOOKUP(D775,'Measure &amp; Standard CostIDs'!$S$5:$X$177,1+B775,FALSE),VLOOKUP(D775,'Measure &amp; Standard CostIDs'!$C$5:$H$177,1+B775,FALSE)),2)</f>
        <v>9.24</v>
      </c>
      <c r="X775" s="103"/>
      <c r="Y775" s="103"/>
      <c r="Z775" s="103" t="s">
        <v>868</v>
      </c>
      <c r="AA775" s="103" t="s">
        <v>874</v>
      </c>
      <c r="AB775" s="103" t="s">
        <v>153</v>
      </c>
      <c r="AC775" s="103">
        <v>0</v>
      </c>
      <c r="AD775" s="156">
        <v>42005</v>
      </c>
      <c r="AE775" s="103"/>
      <c r="AF775" s="103" t="s">
        <v>870</v>
      </c>
      <c r="AG775" s="103" t="s">
        <v>871</v>
      </c>
      <c r="AH775" s="103" t="s">
        <v>976</v>
      </c>
      <c r="AI775" s="103">
        <v>0</v>
      </c>
      <c r="AJ775" s="103"/>
      <c r="AK775" s="103"/>
      <c r="AL775" s="103"/>
      <c r="AM775" s="103"/>
      <c r="AN775" s="103"/>
      <c r="AO775" s="103" t="str">
        <f t="shared" si="39"/>
        <v>CFLscw-Dim(19w)Two-pack</v>
      </c>
    </row>
    <row r="776" spans="1:41">
      <c r="A776" s="177">
        <f>IFERROR(MATCH(D776,'Measure &amp; Standard CostIDs'!C$5:C$177,0),MATCH(D776,'Measure &amp; Standard CostIDs'!S$5:S$177,0))</f>
        <v>112</v>
      </c>
      <c r="B776" s="177">
        <f t="shared" si="36"/>
        <v>3</v>
      </c>
      <c r="C776" s="103" t="s">
        <v>153</v>
      </c>
      <c r="D776" s="103" t="str">
        <f t="shared" si="37"/>
        <v>CFLscw-Dim(20w)</v>
      </c>
      <c r="E776" s="103" t="str">
        <f>IF(LEFT(D776,3)="Std","Base case cost for mix of 60% Incandescent and 40% CFL lamps for CFL TechID: "&amp;INDEX('Measure &amp; Standard CostIDs'!$C$5:$C$177,A776),"&lt;from TechID&gt;")</f>
        <v>&lt;from TechID&gt;</v>
      </c>
      <c r="F776" s="103" t="s">
        <v>860</v>
      </c>
      <c r="G776" s="103" t="s">
        <v>151</v>
      </c>
      <c r="H776" s="103" t="s">
        <v>861</v>
      </c>
      <c r="I776" s="103" t="s">
        <v>862</v>
      </c>
      <c r="J776" s="103" t="s">
        <v>863</v>
      </c>
      <c r="K776" s="103" t="s">
        <v>864</v>
      </c>
      <c r="L776" s="103" t="s">
        <v>153</v>
      </c>
      <c r="M776" s="103" t="s">
        <v>865</v>
      </c>
      <c r="N776" s="103" t="s">
        <v>866</v>
      </c>
      <c r="O776" s="103" t="str">
        <f t="shared" si="38"/>
        <v>CFLscw-Dim(20w)</v>
      </c>
      <c r="P776" s="103" t="s">
        <v>153</v>
      </c>
      <c r="Q776" s="103" t="s">
        <v>153</v>
      </c>
      <c r="R776" s="103" t="s">
        <v>153</v>
      </c>
      <c r="S776" s="103" t="str">
        <f>INDEX('Measure &amp; Standard CostIDs'!$AK$8:$AK$12,B776)</f>
        <v>Two-pack</v>
      </c>
      <c r="T776" s="103" t="s">
        <v>867</v>
      </c>
      <c r="U776" s="103"/>
      <c r="V776" s="103"/>
      <c r="W776" s="103">
        <f>ROUND(IF(LEFT(D776,3)="Std",VLOOKUP(D776,'Measure &amp; Standard CostIDs'!$S$5:$X$177,1+B776,FALSE),VLOOKUP(D776,'Measure &amp; Standard CostIDs'!$C$5:$H$177,1+B776,FALSE)),2)</f>
        <v>9.31</v>
      </c>
      <c r="X776" s="103"/>
      <c r="Y776" s="103"/>
      <c r="Z776" s="103" t="s">
        <v>868</v>
      </c>
      <c r="AA776" s="103" t="s">
        <v>874</v>
      </c>
      <c r="AB776" s="103" t="s">
        <v>153</v>
      </c>
      <c r="AC776" s="103">
        <v>0</v>
      </c>
      <c r="AD776" s="156">
        <v>42005</v>
      </c>
      <c r="AE776" s="103"/>
      <c r="AF776" s="103" t="s">
        <v>870</v>
      </c>
      <c r="AG776" s="103" t="s">
        <v>871</v>
      </c>
      <c r="AH776" s="103" t="s">
        <v>976</v>
      </c>
      <c r="AI776" s="103">
        <v>0</v>
      </c>
      <c r="AJ776" s="103"/>
      <c r="AK776" s="103"/>
      <c r="AL776" s="103"/>
      <c r="AM776" s="103"/>
      <c r="AN776" s="103"/>
      <c r="AO776" s="103" t="str">
        <f t="shared" si="39"/>
        <v>CFLscw-Dim(20w)Two-pack</v>
      </c>
    </row>
    <row r="777" spans="1:41">
      <c r="A777" s="177">
        <f>IFERROR(MATCH(D777,'Measure &amp; Standard CostIDs'!C$5:C$177,0),MATCH(D777,'Measure &amp; Standard CostIDs'!S$5:S$177,0))</f>
        <v>113</v>
      </c>
      <c r="B777" s="177">
        <f t="shared" si="36"/>
        <v>3</v>
      </c>
      <c r="C777" s="103" t="s">
        <v>153</v>
      </c>
      <c r="D777" s="103" t="str">
        <f t="shared" si="37"/>
        <v>CFLscw-Dim(23w)</v>
      </c>
      <c r="E777" s="103" t="str">
        <f>IF(LEFT(D777,3)="Std","Base case cost for mix of 60% Incandescent and 40% CFL lamps for CFL TechID: "&amp;INDEX('Measure &amp; Standard CostIDs'!$C$5:$C$177,A777),"&lt;from TechID&gt;")</f>
        <v>&lt;from TechID&gt;</v>
      </c>
      <c r="F777" s="103" t="s">
        <v>860</v>
      </c>
      <c r="G777" s="103" t="s">
        <v>151</v>
      </c>
      <c r="H777" s="103" t="s">
        <v>861</v>
      </c>
      <c r="I777" s="103" t="s">
        <v>862</v>
      </c>
      <c r="J777" s="103" t="s">
        <v>863</v>
      </c>
      <c r="K777" s="103" t="s">
        <v>864</v>
      </c>
      <c r="L777" s="103" t="s">
        <v>153</v>
      </c>
      <c r="M777" s="103" t="s">
        <v>865</v>
      </c>
      <c r="N777" s="103" t="s">
        <v>866</v>
      </c>
      <c r="O777" s="103" t="str">
        <f t="shared" si="38"/>
        <v>CFLscw-Dim(23w)</v>
      </c>
      <c r="P777" s="103" t="s">
        <v>153</v>
      </c>
      <c r="Q777" s="103" t="s">
        <v>153</v>
      </c>
      <c r="R777" s="103" t="s">
        <v>153</v>
      </c>
      <c r="S777" s="103" t="str">
        <f>INDEX('Measure &amp; Standard CostIDs'!$AK$8:$AK$12,B777)</f>
        <v>Two-pack</v>
      </c>
      <c r="T777" s="103" t="s">
        <v>867</v>
      </c>
      <c r="U777" s="103"/>
      <c r="V777" s="103"/>
      <c r="W777" s="103">
        <f>ROUND(IF(LEFT(D777,3)="Std",VLOOKUP(D777,'Measure &amp; Standard CostIDs'!$S$5:$X$177,1+B777,FALSE),VLOOKUP(D777,'Measure &amp; Standard CostIDs'!$C$5:$H$177,1+B777,FALSE)),2)</f>
        <v>9.51</v>
      </c>
      <c r="X777" s="103"/>
      <c r="Y777" s="103"/>
      <c r="Z777" s="103" t="s">
        <v>868</v>
      </c>
      <c r="AA777" s="103" t="s">
        <v>874</v>
      </c>
      <c r="AB777" s="103" t="s">
        <v>153</v>
      </c>
      <c r="AC777" s="103">
        <v>0</v>
      </c>
      <c r="AD777" s="156">
        <v>42005</v>
      </c>
      <c r="AE777" s="103"/>
      <c r="AF777" s="103" t="s">
        <v>870</v>
      </c>
      <c r="AG777" s="103" t="s">
        <v>871</v>
      </c>
      <c r="AH777" s="103" t="s">
        <v>976</v>
      </c>
      <c r="AI777" s="103">
        <v>0</v>
      </c>
      <c r="AJ777" s="103"/>
      <c r="AK777" s="103"/>
      <c r="AL777" s="103"/>
      <c r="AM777" s="103"/>
      <c r="AN777" s="103"/>
      <c r="AO777" s="103" t="str">
        <f t="shared" si="39"/>
        <v>CFLscw-Dim(23w)Two-pack</v>
      </c>
    </row>
    <row r="778" spans="1:41">
      <c r="A778" s="177">
        <f>IFERROR(MATCH(D778,'Measure &amp; Standard CostIDs'!C$5:C$177,0),MATCH(D778,'Measure &amp; Standard CostIDs'!S$5:S$177,0))</f>
        <v>114</v>
      </c>
      <c r="B778" s="177">
        <f t="shared" si="36"/>
        <v>3</v>
      </c>
      <c r="C778" s="103" t="s">
        <v>153</v>
      </c>
      <c r="D778" s="103" t="str">
        <f t="shared" si="37"/>
        <v>CFLscw-Dim(25w)</v>
      </c>
      <c r="E778" s="103" t="str">
        <f>IF(LEFT(D778,3)="Std","Base case cost for mix of 60% Incandescent and 40% CFL lamps for CFL TechID: "&amp;INDEX('Measure &amp; Standard CostIDs'!$C$5:$C$177,A778),"&lt;from TechID&gt;")</f>
        <v>&lt;from TechID&gt;</v>
      </c>
      <c r="F778" s="103" t="s">
        <v>860</v>
      </c>
      <c r="G778" s="103" t="s">
        <v>151</v>
      </c>
      <c r="H778" s="103" t="s">
        <v>861</v>
      </c>
      <c r="I778" s="103" t="s">
        <v>862</v>
      </c>
      <c r="J778" s="103" t="s">
        <v>863</v>
      </c>
      <c r="K778" s="103" t="s">
        <v>864</v>
      </c>
      <c r="L778" s="103" t="s">
        <v>153</v>
      </c>
      <c r="M778" s="103" t="s">
        <v>865</v>
      </c>
      <c r="N778" s="103" t="s">
        <v>866</v>
      </c>
      <c r="O778" s="103" t="str">
        <f t="shared" si="38"/>
        <v>CFLscw-Dim(25w)</v>
      </c>
      <c r="P778" s="103" t="s">
        <v>153</v>
      </c>
      <c r="Q778" s="103" t="s">
        <v>153</v>
      </c>
      <c r="R778" s="103" t="s">
        <v>153</v>
      </c>
      <c r="S778" s="103" t="str">
        <f>INDEX('Measure &amp; Standard CostIDs'!$AK$8:$AK$12,B778)</f>
        <v>Two-pack</v>
      </c>
      <c r="T778" s="103" t="s">
        <v>867</v>
      </c>
      <c r="U778" s="103"/>
      <c r="V778" s="103"/>
      <c r="W778" s="103">
        <f>ROUND(IF(LEFT(D778,3)="Std",VLOOKUP(D778,'Measure &amp; Standard CostIDs'!$S$5:$X$177,1+B778,FALSE),VLOOKUP(D778,'Measure &amp; Standard CostIDs'!$C$5:$H$177,1+B778,FALSE)),2)</f>
        <v>9.64</v>
      </c>
      <c r="X778" s="103"/>
      <c r="Y778" s="103"/>
      <c r="Z778" s="103" t="s">
        <v>868</v>
      </c>
      <c r="AA778" s="103" t="s">
        <v>874</v>
      </c>
      <c r="AB778" s="103" t="s">
        <v>153</v>
      </c>
      <c r="AC778" s="103">
        <v>0</v>
      </c>
      <c r="AD778" s="156">
        <v>42005</v>
      </c>
      <c r="AE778" s="103"/>
      <c r="AF778" s="103" t="s">
        <v>870</v>
      </c>
      <c r="AG778" s="103" t="s">
        <v>871</v>
      </c>
      <c r="AH778" s="103" t="s">
        <v>976</v>
      </c>
      <c r="AI778" s="103">
        <v>0</v>
      </c>
      <c r="AJ778" s="103"/>
      <c r="AK778" s="103"/>
      <c r="AL778" s="103"/>
      <c r="AM778" s="103"/>
      <c r="AN778" s="103"/>
      <c r="AO778" s="103" t="str">
        <f t="shared" si="39"/>
        <v>CFLscw-Dim(25w)Two-pack</v>
      </c>
    </row>
    <row r="779" spans="1:41">
      <c r="A779" s="177">
        <f>IFERROR(MATCH(D779,'Measure &amp; Standard CostIDs'!C$5:C$177,0),MATCH(D779,'Measure &amp; Standard CostIDs'!S$5:S$177,0))</f>
        <v>115</v>
      </c>
      <c r="B779" s="177">
        <f t="shared" si="36"/>
        <v>3</v>
      </c>
      <c r="C779" s="103" t="s">
        <v>153</v>
      </c>
      <c r="D779" s="103" t="str">
        <f t="shared" si="37"/>
        <v>CFLscw-Dim(26w)</v>
      </c>
      <c r="E779" s="103" t="str">
        <f>IF(LEFT(D779,3)="Std","Base case cost for mix of 60% Incandescent and 40% CFL lamps for CFL TechID: "&amp;INDEX('Measure &amp; Standard CostIDs'!$C$5:$C$177,A779),"&lt;from TechID&gt;")</f>
        <v>&lt;from TechID&gt;</v>
      </c>
      <c r="F779" s="103" t="s">
        <v>860</v>
      </c>
      <c r="G779" s="103" t="s">
        <v>151</v>
      </c>
      <c r="H779" s="103" t="s">
        <v>861</v>
      </c>
      <c r="I779" s="103" t="s">
        <v>862</v>
      </c>
      <c r="J779" s="103" t="s">
        <v>863</v>
      </c>
      <c r="K779" s="103" t="s">
        <v>864</v>
      </c>
      <c r="L779" s="103" t="s">
        <v>153</v>
      </c>
      <c r="M779" s="103" t="s">
        <v>865</v>
      </c>
      <c r="N779" s="103" t="s">
        <v>866</v>
      </c>
      <c r="O779" s="103" t="str">
        <f t="shared" si="38"/>
        <v>CFLscw-Dim(26w)</v>
      </c>
      <c r="P779" s="103" t="s">
        <v>153</v>
      </c>
      <c r="Q779" s="103" t="s">
        <v>153</v>
      </c>
      <c r="R779" s="103" t="s">
        <v>153</v>
      </c>
      <c r="S779" s="103" t="str">
        <f>INDEX('Measure &amp; Standard CostIDs'!$AK$8:$AK$12,B779)</f>
        <v>Two-pack</v>
      </c>
      <c r="T779" s="103" t="s">
        <v>867</v>
      </c>
      <c r="U779" s="103"/>
      <c r="V779" s="103"/>
      <c r="W779" s="103">
        <f>ROUND(IF(LEFT(D779,3)="Std",VLOOKUP(D779,'Measure &amp; Standard CostIDs'!$S$5:$X$177,1+B779,FALSE),VLOOKUP(D779,'Measure &amp; Standard CostIDs'!$C$5:$H$177,1+B779,FALSE)),2)</f>
        <v>9.8000000000000007</v>
      </c>
      <c r="X779" s="103"/>
      <c r="Y779" s="103"/>
      <c r="Z779" s="103" t="s">
        <v>868</v>
      </c>
      <c r="AA779" s="103" t="s">
        <v>874</v>
      </c>
      <c r="AB779" s="103" t="s">
        <v>153</v>
      </c>
      <c r="AC779" s="103">
        <v>0</v>
      </c>
      <c r="AD779" s="156">
        <v>42005</v>
      </c>
      <c r="AE779" s="103"/>
      <c r="AF779" s="103" t="s">
        <v>870</v>
      </c>
      <c r="AG779" s="103" t="s">
        <v>871</v>
      </c>
      <c r="AH779" s="103" t="s">
        <v>976</v>
      </c>
      <c r="AI779" s="103">
        <v>0</v>
      </c>
      <c r="AJ779" s="103"/>
      <c r="AK779" s="103"/>
      <c r="AL779" s="103"/>
      <c r="AM779" s="103"/>
      <c r="AN779" s="103"/>
      <c r="AO779" s="103" t="str">
        <f t="shared" si="39"/>
        <v>CFLscw-Dim(26w)Two-pack</v>
      </c>
    </row>
    <row r="780" spans="1:41">
      <c r="A780" s="177">
        <f>IFERROR(MATCH(D780,'Measure &amp; Standard CostIDs'!C$5:C$177,0),MATCH(D780,'Measure &amp; Standard CostIDs'!S$5:S$177,0))</f>
        <v>116</v>
      </c>
      <c r="B780" s="177">
        <f t="shared" si="36"/>
        <v>3</v>
      </c>
      <c r="C780" s="103" t="s">
        <v>153</v>
      </c>
      <c r="D780" s="103" t="str">
        <f t="shared" si="37"/>
        <v>CFLscw-Dim(28w)</v>
      </c>
      <c r="E780" s="103" t="str">
        <f>IF(LEFT(D780,3)="Std","Base case cost for mix of 60% Incandescent and 40% CFL lamps for CFL TechID: "&amp;INDEX('Measure &amp; Standard CostIDs'!$C$5:$C$177,A780),"&lt;from TechID&gt;")</f>
        <v>&lt;from TechID&gt;</v>
      </c>
      <c r="F780" s="103" t="s">
        <v>860</v>
      </c>
      <c r="G780" s="103" t="s">
        <v>151</v>
      </c>
      <c r="H780" s="103" t="s">
        <v>861</v>
      </c>
      <c r="I780" s="103" t="s">
        <v>862</v>
      </c>
      <c r="J780" s="103" t="s">
        <v>863</v>
      </c>
      <c r="K780" s="103" t="s">
        <v>864</v>
      </c>
      <c r="L780" s="103" t="s">
        <v>153</v>
      </c>
      <c r="M780" s="103" t="s">
        <v>865</v>
      </c>
      <c r="N780" s="103" t="s">
        <v>866</v>
      </c>
      <c r="O780" s="103" t="str">
        <f t="shared" si="38"/>
        <v>CFLscw-Dim(28w)</v>
      </c>
      <c r="P780" s="103" t="s">
        <v>153</v>
      </c>
      <c r="Q780" s="103" t="s">
        <v>153</v>
      </c>
      <c r="R780" s="103" t="s">
        <v>153</v>
      </c>
      <c r="S780" s="103" t="str">
        <f>INDEX('Measure &amp; Standard CostIDs'!$AK$8:$AK$12,B780)</f>
        <v>Two-pack</v>
      </c>
      <c r="T780" s="103" t="s">
        <v>867</v>
      </c>
      <c r="U780" s="103"/>
      <c r="V780" s="103"/>
      <c r="W780" s="103">
        <f>ROUND(IF(LEFT(D780,3)="Std",VLOOKUP(D780,'Measure &amp; Standard CostIDs'!$S$5:$X$177,1+B780,FALSE),VLOOKUP(D780,'Measure &amp; Standard CostIDs'!$C$5:$H$177,1+B780,FALSE)),2)</f>
        <v>10.119999999999999</v>
      </c>
      <c r="X780" s="103"/>
      <c r="Y780" s="103"/>
      <c r="Z780" s="103" t="s">
        <v>868</v>
      </c>
      <c r="AA780" s="103" t="s">
        <v>874</v>
      </c>
      <c r="AB780" s="103" t="s">
        <v>153</v>
      </c>
      <c r="AC780" s="103">
        <v>0</v>
      </c>
      <c r="AD780" s="156">
        <v>42005</v>
      </c>
      <c r="AE780" s="103"/>
      <c r="AF780" s="103" t="s">
        <v>870</v>
      </c>
      <c r="AG780" s="103" t="s">
        <v>871</v>
      </c>
      <c r="AH780" s="103" t="s">
        <v>976</v>
      </c>
      <c r="AI780" s="103">
        <v>0</v>
      </c>
      <c r="AJ780" s="103"/>
      <c r="AK780" s="103"/>
      <c r="AL780" s="103"/>
      <c r="AM780" s="103"/>
      <c r="AN780" s="103"/>
      <c r="AO780" s="103" t="str">
        <f t="shared" si="39"/>
        <v>CFLscw-Dim(28w)Two-pack</v>
      </c>
    </row>
    <row r="781" spans="1:41">
      <c r="A781" s="177">
        <f>IFERROR(MATCH(D781,'Measure &amp; Standard CostIDs'!C$5:C$177,0),MATCH(D781,'Measure &amp; Standard CostIDs'!S$5:S$177,0))</f>
        <v>117</v>
      </c>
      <c r="B781" s="177">
        <f t="shared" si="36"/>
        <v>3</v>
      </c>
      <c r="C781" s="103" t="s">
        <v>153</v>
      </c>
      <c r="D781" s="103" t="str">
        <f t="shared" si="37"/>
        <v>CFLscw-Dim(30w)</v>
      </c>
      <c r="E781" s="103" t="str">
        <f>IF(LEFT(D781,3)="Std","Base case cost for mix of 60% Incandescent and 40% CFL lamps for CFL TechID: "&amp;INDEX('Measure &amp; Standard CostIDs'!$C$5:$C$177,A781),"&lt;from TechID&gt;")</f>
        <v>&lt;from TechID&gt;</v>
      </c>
      <c r="F781" s="103" t="s">
        <v>860</v>
      </c>
      <c r="G781" s="103" t="s">
        <v>151</v>
      </c>
      <c r="H781" s="103" t="s">
        <v>861</v>
      </c>
      <c r="I781" s="103" t="s">
        <v>862</v>
      </c>
      <c r="J781" s="103" t="s">
        <v>863</v>
      </c>
      <c r="K781" s="103" t="s">
        <v>864</v>
      </c>
      <c r="L781" s="103" t="s">
        <v>153</v>
      </c>
      <c r="M781" s="103" t="s">
        <v>865</v>
      </c>
      <c r="N781" s="103" t="s">
        <v>866</v>
      </c>
      <c r="O781" s="103" t="str">
        <f t="shared" si="38"/>
        <v>CFLscw-Dim(30w)</v>
      </c>
      <c r="P781" s="103" t="s">
        <v>153</v>
      </c>
      <c r="Q781" s="103" t="s">
        <v>153</v>
      </c>
      <c r="R781" s="103" t="s">
        <v>153</v>
      </c>
      <c r="S781" s="103" t="str">
        <f>INDEX('Measure &amp; Standard CostIDs'!$AK$8:$AK$12,B781)</f>
        <v>Two-pack</v>
      </c>
      <c r="T781" s="103" t="s">
        <v>867</v>
      </c>
      <c r="U781" s="103"/>
      <c r="V781" s="103"/>
      <c r="W781" s="103">
        <f>ROUND(IF(LEFT(D781,3)="Std",VLOOKUP(D781,'Measure &amp; Standard CostIDs'!$S$5:$X$177,1+B781,FALSE),VLOOKUP(D781,'Measure &amp; Standard CostIDs'!$C$5:$H$177,1+B781,FALSE)),2)</f>
        <v>10.44</v>
      </c>
      <c r="X781" s="103"/>
      <c r="Y781" s="103"/>
      <c r="Z781" s="103" t="s">
        <v>868</v>
      </c>
      <c r="AA781" s="103" t="s">
        <v>874</v>
      </c>
      <c r="AB781" s="103" t="s">
        <v>153</v>
      </c>
      <c r="AC781" s="103">
        <v>0</v>
      </c>
      <c r="AD781" s="156">
        <v>42005</v>
      </c>
      <c r="AE781" s="103"/>
      <c r="AF781" s="103" t="s">
        <v>870</v>
      </c>
      <c r="AG781" s="103" t="s">
        <v>871</v>
      </c>
      <c r="AH781" s="103" t="s">
        <v>976</v>
      </c>
      <c r="AI781" s="103">
        <v>0</v>
      </c>
      <c r="AJ781" s="103"/>
      <c r="AK781" s="103"/>
      <c r="AL781" s="103"/>
      <c r="AM781" s="103"/>
      <c r="AN781" s="103"/>
      <c r="AO781" s="103" t="str">
        <f t="shared" si="39"/>
        <v>CFLscw-Dim(30w)Two-pack</v>
      </c>
    </row>
    <row r="782" spans="1:41">
      <c r="A782" s="177">
        <f>IFERROR(MATCH(D782,'Measure &amp; Standard CostIDs'!C$5:C$177,0),MATCH(D782,'Measure &amp; Standard CostIDs'!S$5:S$177,0))</f>
        <v>118</v>
      </c>
      <c r="B782" s="177">
        <f t="shared" si="36"/>
        <v>3</v>
      </c>
      <c r="C782" s="103" t="s">
        <v>153</v>
      </c>
      <c r="D782" s="103" t="str">
        <f t="shared" si="37"/>
        <v>CFLscw-Dim(33w)</v>
      </c>
      <c r="E782" s="103" t="str">
        <f>IF(LEFT(D782,3)="Std","Base case cost for mix of 60% Incandescent and 40% CFL lamps for CFL TechID: "&amp;INDEX('Measure &amp; Standard CostIDs'!$C$5:$C$177,A782),"&lt;from TechID&gt;")</f>
        <v>&lt;from TechID&gt;</v>
      </c>
      <c r="F782" s="103" t="s">
        <v>860</v>
      </c>
      <c r="G782" s="103" t="s">
        <v>151</v>
      </c>
      <c r="H782" s="103" t="s">
        <v>861</v>
      </c>
      <c r="I782" s="103" t="s">
        <v>862</v>
      </c>
      <c r="J782" s="103" t="s">
        <v>863</v>
      </c>
      <c r="K782" s="103" t="s">
        <v>864</v>
      </c>
      <c r="L782" s="103" t="s">
        <v>153</v>
      </c>
      <c r="M782" s="103" t="s">
        <v>865</v>
      </c>
      <c r="N782" s="103" t="s">
        <v>866</v>
      </c>
      <c r="O782" s="103" t="str">
        <f t="shared" si="38"/>
        <v>CFLscw-Dim(33w)</v>
      </c>
      <c r="P782" s="103" t="s">
        <v>153</v>
      </c>
      <c r="Q782" s="103" t="s">
        <v>153</v>
      </c>
      <c r="R782" s="103" t="s">
        <v>153</v>
      </c>
      <c r="S782" s="103" t="str">
        <f>INDEX('Measure &amp; Standard CostIDs'!$AK$8:$AK$12,B782)</f>
        <v>Two-pack</v>
      </c>
      <c r="T782" s="103" t="s">
        <v>867</v>
      </c>
      <c r="U782" s="103"/>
      <c r="V782" s="103"/>
      <c r="W782" s="103">
        <f>ROUND(IF(LEFT(D782,3)="Std",VLOOKUP(D782,'Measure &amp; Standard CostIDs'!$S$5:$X$177,1+B782,FALSE),VLOOKUP(D782,'Measure &amp; Standard CostIDs'!$C$5:$H$177,1+B782,FALSE)),2)</f>
        <v>10.92</v>
      </c>
      <c r="X782" s="103"/>
      <c r="Y782" s="103"/>
      <c r="Z782" s="103" t="s">
        <v>868</v>
      </c>
      <c r="AA782" s="103" t="s">
        <v>874</v>
      </c>
      <c r="AB782" s="103" t="s">
        <v>153</v>
      </c>
      <c r="AC782" s="103">
        <v>0</v>
      </c>
      <c r="AD782" s="156">
        <v>42005</v>
      </c>
      <c r="AE782" s="103"/>
      <c r="AF782" s="103" t="s">
        <v>870</v>
      </c>
      <c r="AG782" s="103" t="s">
        <v>871</v>
      </c>
      <c r="AH782" s="103" t="s">
        <v>976</v>
      </c>
      <c r="AI782" s="103">
        <v>0</v>
      </c>
      <c r="AJ782" s="103"/>
      <c r="AK782" s="103"/>
      <c r="AL782" s="103"/>
      <c r="AM782" s="103"/>
      <c r="AN782" s="103"/>
      <c r="AO782" s="103" t="str">
        <f t="shared" si="39"/>
        <v>CFLscw-Dim(33w)Two-pack</v>
      </c>
    </row>
    <row r="783" spans="1:41">
      <c r="A783" s="177">
        <f>IFERROR(MATCH(D783,'Measure &amp; Standard CostIDs'!C$5:C$177,0),MATCH(D783,'Measure &amp; Standard CostIDs'!S$5:S$177,0))</f>
        <v>119</v>
      </c>
      <c r="B783" s="177">
        <f t="shared" si="36"/>
        <v>3</v>
      </c>
      <c r="C783" s="103" t="s">
        <v>153</v>
      </c>
      <c r="D783" s="103" t="str">
        <f t="shared" si="37"/>
        <v>CFLscw-Dim(35w)</v>
      </c>
      <c r="E783" s="103" t="str">
        <f>IF(LEFT(D783,3)="Std","Base case cost for mix of 60% Incandescent and 40% CFL lamps for CFL TechID: "&amp;INDEX('Measure &amp; Standard CostIDs'!$C$5:$C$177,A783),"&lt;from TechID&gt;")</f>
        <v>&lt;from TechID&gt;</v>
      </c>
      <c r="F783" s="103" t="s">
        <v>860</v>
      </c>
      <c r="G783" s="103" t="s">
        <v>151</v>
      </c>
      <c r="H783" s="103" t="s">
        <v>861</v>
      </c>
      <c r="I783" s="103" t="s">
        <v>862</v>
      </c>
      <c r="J783" s="103" t="s">
        <v>863</v>
      </c>
      <c r="K783" s="103" t="s">
        <v>864</v>
      </c>
      <c r="L783" s="103" t="s">
        <v>153</v>
      </c>
      <c r="M783" s="103" t="s">
        <v>865</v>
      </c>
      <c r="N783" s="103" t="s">
        <v>866</v>
      </c>
      <c r="O783" s="103" t="str">
        <f t="shared" si="38"/>
        <v>CFLscw-Dim(35w)</v>
      </c>
      <c r="P783" s="103" t="s">
        <v>153</v>
      </c>
      <c r="Q783" s="103" t="s">
        <v>153</v>
      </c>
      <c r="R783" s="103" t="s">
        <v>153</v>
      </c>
      <c r="S783" s="103" t="str">
        <f>INDEX('Measure &amp; Standard CostIDs'!$AK$8:$AK$12,B783)</f>
        <v>Two-pack</v>
      </c>
      <c r="T783" s="103" t="s">
        <v>867</v>
      </c>
      <c r="U783" s="103"/>
      <c r="V783" s="103"/>
      <c r="W783" s="103">
        <f>ROUND(IF(LEFT(D783,3)="Std",VLOOKUP(D783,'Measure &amp; Standard CostIDs'!$S$5:$X$177,1+B783,FALSE),VLOOKUP(D783,'Measure &amp; Standard CostIDs'!$C$5:$H$177,1+B783,FALSE)),2)</f>
        <v>11.24</v>
      </c>
      <c r="X783" s="103"/>
      <c r="Y783" s="103"/>
      <c r="Z783" s="103" t="s">
        <v>868</v>
      </c>
      <c r="AA783" s="103" t="s">
        <v>874</v>
      </c>
      <c r="AB783" s="103" t="s">
        <v>153</v>
      </c>
      <c r="AC783" s="103">
        <v>0</v>
      </c>
      <c r="AD783" s="156">
        <v>42005</v>
      </c>
      <c r="AE783" s="103"/>
      <c r="AF783" s="103" t="s">
        <v>870</v>
      </c>
      <c r="AG783" s="103" t="s">
        <v>871</v>
      </c>
      <c r="AH783" s="103" t="s">
        <v>976</v>
      </c>
      <c r="AI783" s="103">
        <v>0</v>
      </c>
      <c r="AJ783" s="103"/>
      <c r="AK783" s="103"/>
      <c r="AL783" s="103"/>
      <c r="AM783" s="103"/>
      <c r="AN783" s="103"/>
      <c r="AO783" s="103" t="str">
        <f t="shared" si="39"/>
        <v>CFLscw-Dim(35w)Two-pack</v>
      </c>
    </row>
    <row r="784" spans="1:41">
      <c r="A784" s="177">
        <f>IFERROR(MATCH(D784,'Measure &amp; Standard CostIDs'!C$5:C$177,0),MATCH(D784,'Measure &amp; Standard CostIDs'!S$5:S$177,0))</f>
        <v>120</v>
      </c>
      <c r="B784" s="177">
        <f t="shared" ref="B784:B847" si="40">+B454+1</f>
        <v>3</v>
      </c>
      <c r="C784" s="103" t="s">
        <v>153</v>
      </c>
      <c r="D784" s="103" t="str">
        <f t="shared" ref="D784:D847" si="41">+D454</f>
        <v>CFLscw-Dim(38w)</v>
      </c>
      <c r="E784" s="103" t="str">
        <f>IF(LEFT(D784,3)="Std","Base case cost for mix of 60% Incandescent and 40% CFL lamps for CFL TechID: "&amp;INDEX('Measure &amp; Standard CostIDs'!$C$5:$C$177,A784),"&lt;from TechID&gt;")</f>
        <v>&lt;from TechID&gt;</v>
      </c>
      <c r="F784" s="103" t="s">
        <v>860</v>
      </c>
      <c r="G784" s="103" t="s">
        <v>151</v>
      </c>
      <c r="H784" s="103" t="s">
        <v>861</v>
      </c>
      <c r="I784" s="103" t="s">
        <v>862</v>
      </c>
      <c r="J784" s="103" t="s">
        <v>863</v>
      </c>
      <c r="K784" s="103" t="s">
        <v>864</v>
      </c>
      <c r="L784" s="103" t="s">
        <v>153</v>
      </c>
      <c r="M784" s="103" t="s">
        <v>865</v>
      </c>
      <c r="N784" s="103" t="s">
        <v>866</v>
      </c>
      <c r="O784" s="103" t="str">
        <f t="shared" si="38"/>
        <v>CFLscw-Dim(38w)</v>
      </c>
      <c r="P784" s="103" t="s">
        <v>153</v>
      </c>
      <c r="Q784" s="103" t="s">
        <v>153</v>
      </c>
      <c r="R784" s="103" t="s">
        <v>153</v>
      </c>
      <c r="S784" s="103" t="str">
        <f>INDEX('Measure &amp; Standard CostIDs'!$AK$8:$AK$12,B784)</f>
        <v>Two-pack</v>
      </c>
      <c r="T784" s="103" t="s">
        <v>867</v>
      </c>
      <c r="U784" s="103"/>
      <c r="V784" s="103"/>
      <c r="W784" s="103">
        <f>ROUND(IF(LEFT(D784,3)="Std",VLOOKUP(D784,'Measure &amp; Standard CostIDs'!$S$5:$X$177,1+B784,FALSE),VLOOKUP(D784,'Measure &amp; Standard CostIDs'!$C$5:$H$177,1+B784,FALSE)),2)</f>
        <v>11.72</v>
      </c>
      <c r="X784" s="103"/>
      <c r="Y784" s="103"/>
      <c r="Z784" s="103" t="s">
        <v>868</v>
      </c>
      <c r="AA784" s="103" t="s">
        <v>874</v>
      </c>
      <c r="AB784" s="103" t="s">
        <v>153</v>
      </c>
      <c r="AC784" s="103">
        <v>0</v>
      </c>
      <c r="AD784" s="156">
        <v>42005</v>
      </c>
      <c r="AE784" s="103"/>
      <c r="AF784" s="103" t="s">
        <v>870</v>
      </c>
      <c r="AG784" s="103" t="s">
        <v>871</v>
      </c>
      <c r="AH784" s="103" t="s">
        <v>976</v>
      </c>
      <c r="AI784" s="103">
        <v>0</v>
      </c>
      <c r="AJ784" s="103"/>
      <c r="AK784" s="103"/>
      <c r="AL784" s="103"/>
      <c r="AM784" s="103"/>
      <c r="AN784" s="103"/>
      <c r="AO784" s="103" t="str">
        <f t="shared" si="39"/>
        <v>CFLscw-Dim(38w)Two-pack</v>
      </c>
    </row>
    <row r="785" spans="1:41">
      <c r="A785" s="177">
        <f>IFERROR(MATCH(D785,'Measure &amp; Standard CostIDs'!C$5:C$177,0),MATCH(D785,'Measure &amp; Standard CostIDs'!S$5:S$177,0))</f>
        <v>121</v>
      </c>
      <c r="B785" s="177">
        <f t="shared" si="40"/>
        <v>3</v>
      </c>
      <c r="C785" s="103" t="s">
        <v>153</v>
      </c>
      <c r="D785" s="103" t="str">
        <f t="shared" si="41"/>
        <v>CFLscw-Dim(40w)</v>
      </c>
      <c r="E785" s="103" t="str">
        <f>IF(LEFT(D785,3)="Std","Base case cost for mix of 60% Incandescent and 40% CFL lamps for CFL TechID: "&amp;INDEX('Measure &amp; Standard CostIDs'!$C$5:$C$177,A785),"&lt;from TechID&gt;")</f>
        <v>&lt;from TechID&gt;</v>
      </c>
      <c r="F785" s="103" t="s">
        <v>860</v>
      </c>
      <c r="G785" s="103" t="s">
        <v>151</v>
      </c>
      <c r="H785" s="103" t="s">
        <v>861</v>
      </c>
      <c r="I785" s="103" t="s">
        <v>862</v>
      </c>
      <c r="J785" s="103" t="s">
        <v>863</v>
      </c>
      <c r="K785" s="103" t="s">
        <v>864</v>
      </c>
      <c r="L785" s="103" t="s">
        <v>153</v>
      </c>
      <c r="M785" s="103" t="s">
        <v>865</v>
      </c>
      <c r="N785" s="103" t="s">
        <v>866</v>
      </c>
      <c r="O785" s="103" t="str">
        <f t="shared" si="38"/>
        <v>CFLscw-Dim(40w)</v>
      </c>
      <c r="P785" s="103" t="s">
        <v>153</v>
      </c>
      <c r="Q785" s="103" t="s">
        <v>153</v>
      </c>
      <c r="R785" s="103" t="s">
        <v>153</v>
      </c>
      <c r="S785" s="103" t="str">
        <f>INDEX('Measure &amp; Standard CostIDs'!$AK$8:$AK$12,B785)</f>
        <v>Two-pack</v>
      </c>
      <c r="T785" s="103" t="s">
        <v>867</v>
      </c>
      <c r="U785" s="103"/>
      <c r="V785" s="103"/>
      <c r="W785" s="103">
        <f>ROUND(IF(LEFT(D785,3)="Std",VLOOKUP(D785,'Measure &amp; Standard CostIDs'!$S$5:$X$177,1+B785,FALSE),VLOOKUP(D785,'Measure &amp; Standard CostIDs'!$C$5:$H$177,1+B785,FALSE)),2)</f>
        <v>12.04</v>
      </c>
      <c r="X785" s="103"/>
      <c r="Y785" s="103"/>
      <c r="Z785" s="103" t="s">
        <v>868</v>
      </c>
      <c r="AA785" s="103" t="s">
        <v>874</v>
      </c>
      <c r="AB785" s="103" t="s">
        <v>153</v>
      </c>
      <c r="AC785" s="103">
        <v>0</v>
      </c>
      <c r="AD785" s="156">
        <v>42005</v>
      </c>
      <c r="AE785" s="103"/>
      <c r="AF785" s="103" t="s">
        <v>870</v>
      </c>
      <c r="AG785" s="103" t="s">
        <v>871</v>
      </c>
      <c r="AH785" s="103" t="s">
        <v>976</v>
      </c>
      <c r="AI785" s="103">
        <v>0</v>
      </c>
      <c r="AJ785" s="103"/>
      <c r="AK785" s="103"/>
      <c r="AL785" s="103"/>
      <c r="AM785" s="103"/>
      <c r="AN785" s="103"/>
      <c r="AO785" s="103" t="str">
        <f t="shared" si="39"/>
        <v>CFLscw-Dim(40w)Two-pack</v>
      </c>
    </row>
    <row r="786" spans="1:41">
      <c r="A786" s="177">
        <f>IFERROR(MATCH(D786,'Measure &amp; Standard CostIDs'!C$5:C$177,0),MATCH(D786,'Measure &amp; Standard CostIDs'!S$5:S$177,0))</f>
        <v>122</v>
      </c>
      <c r="B786" s="177">
        <f t="shared" si="40"/>
        <v>3</v>
      </c>
      <c r="C786" s="103" t="s">
        <v>153</v>
      </c>
      <c r="D786" s="103" t="str">
        <f t="shared" si="41"/>
        <v>CFLscw-Dim(45w)</v>
      </c>
      <c r="E786" s="103" t="str">
        <f>IF(LEFT(D786,3)="Std","Base case cost for mix of 60% Incandescent and 40% CFL lamps for CFL TechID: "&amp;INDEX('Measure &amp; Standard CostIDs'!$C$5:$C$177,A786),"&lt;from TechID&gt;")</f>
        <v>&lt;from TechID&gt;</v>
      </c>
      <c r="F786" s="103" t="s">
        <v>860</v>
      </c>
      <c r="G786" s="103" t="s">
        <v>151</v>
      </c>
      <c r="H786" s="103" t="s">
        <v>861</v>
      </c>
      <c r="I786" s="103" t="s">
        <v>862</v>
      </c>
      <c r="J786" s="103" t="s">
        <v>863</v>
      </c>
      <c r="K786" s="103" t="s">
        <v>864</v>
      </c>
      <c r="L786" s="103" t="s">
        <v>153</v>
      </c>
      <c r="M786" s="103" t="s">
        <v>865</v>
      </c>
      <c r="N786" s="103" t="s">
        <v>866</v>
      </c>
      <c r="O786" s="103" t="str">
        <f t="shared" si="38"/>
        <v>CFLscw-Dim(45w)</v>
      </c>
      <c r="P786" s="103" t="s">
        <v>153</v>
      </c>
      <c r="Q786" s="103" t="s">
        <v>153</v>
      </c>
      <c r="R786" s="103" t="s">
        <v>153</v>
      </c>
      <c r="S786" s="103" t="str">
        <f>INDEX('Measure &amp; Standard CostIDs'!$AK$8:$AK$12,B786)</f>
        <v>Two-pack</v>
      </c>
      <c r="T786" s="103" t="s">
        <v>867</v>
      </c>
      <c r="U786" s="103"/>
      <c r="V786" s="103"/>
      <c r="W786" s="103">
        <f>ROUND(IF(LEFT(D786,3)="Std",VLOOKUP(D786,'Measure &amp; Standard CostIDs'!$S$5:$X$177,1+B786,FALSE),VLOOKUP(D786,'Measure &amp; Standard CostIDs'!$C$5:$H$177,1+B786,FALSE)),2)</f>
        <v>12.84</v>
      </c>
      <c r="X786" s="103"/>
      <c r="Y786" s="103"/>
      <c r="Z786" s="103" t="s">
        <v>868</v>
      </c>
      <c r="AA786" s="103" t="s">
        <v>874</v>
      </c>
      <c r="AB786" s="103" t="s">
        <v>153</v>
      </c>
      <c r="AC786" s="103">
        <v>0</v>
      </c>
      <c r="AD786" s="156">
        <v>42005</v>
      </c>
      <c r="AE786" s="103"/>
      <c r="AF786" s="103" t="s">
        <v>870</v>
      </c>
      <c r="AG786" s="103" t="s">
        <v>871</v>
      </c>
      <c r="AH786" s="103" t="s">
        <v>976</v>
      </c>
      <c r="AI786" s="103">
        <v>0</v>
      </c>
      <c r="AJ786" s="103"/>
      <c r="AK786" s="103"/>
      <c r="AL786" s="103"/>
      <c r="AM786" s="103"/>
      <c r="AN786" s="103"/>
      <c r="AO786" s="103" t="str">
        <f t="shared" si="39"/>
        <v>CFLscw-Dim(45w)Two-pack</v>
      </c>
    </row>
    <row r="787" spans="1:41">
      <c r="A787" s="177">
        <f>IFERROR(MATCH(D787,'Measure &amp; Standard CostIDs'!C$5:C$177,0),MATCH(D787,'Measure &amp; Standard CostIDs'!S$5:S$177,0))</f>
        <v>123</v>
      </c>
      <c r="B787" s="177">
        <f t="shared" si="40"/>
        <v>3</v>
      </c>
      <c r="C787" s="103" t="s">
        <v>153</v>
      </c>
      <c r="D787" s="103" t="str">
        <f t="shared" si="41"/>
        <v>CFLscw-Dim(47w)</v>
      </c>
      <c r="E787" s="103" t="str">
        <f>IF(LEFT(D787,3)="Std","Base case cost for mix of 60% Incandescent and 40% CFL lamps for CFL TechID: "&amp;INDEX('Measure &amp; Standard CostIDs'!$C$5:$C$177,A787),"&lt;from TechID&gt;")</f>
        <v>&lt;from TechID&gt;</v>
      </c>
      <c r="F787" s="103" t="s">
        <v>860</v>
      </c>
      <c r="G787" s="103" t="s">
        <v>151</v>
      </c>
      <c r="H787" s="103" t="s">
        <v>861</v>
      </c>
      <c r="I787" s="103" t="s">
        <v>862</v>
      </c>
      <c r="J787" s="103" t="s">
        <v>863</v>
      </c>
      <c r="K787" s="103" t="s">
        <v>864</v>
      </c>
      <c r="L787" s="103" t="s">
        <v>153</v>
      </c>
      <c r="M787" s="103" t="s">
        <v>865</v>
      </c>
      <c r="N787" s="103" t="s">
        <v>866</v>
      </c>
      <c r="O787" s="103" t="str">
        <f t="shared" si="38"/>
        <v>CFLscw-Dim(47w)</v>
      </c>
      <c r="P787" s="103" t="s">
        <v>153</v>
      </c>
      <c r="Q787" s="103" t="s">
        <v>153</v>
      </c>
      <c r="R787" s="103" t="s">
        <v>153</v>
      </c>
      <c r="S787" s="103" t="str">
        <f>INDEX('Measure &amp; Standard CostIDs'!$AK$8:$AK$12,B787)</f>
        <v>Two-pack</v>
      </c>
      <c r="T787" s="103" t="s">
        <v>867</v>
      </c>
      <c r="U787" s="103"/>
      <c r="V787" s="103"/>
      <c r="W787" s="103">
        <f>ROUND(IF(LEFT(D787,3)="Std",VLOOKUP(D787,'Measure &amp; Standard CostIDs'!$S$5:$X$177,1+B787,FALSE),VLOOKUP(D787,'Measure &amp; Standard CostIDs'!$C$5:$H$177,1+B787,FALSE)),2)</f>
        <v>13.16</v>
      </c>
      <c r="X787" s="103"/>
      <c r="Y787" s="103"/>
      <c r="Z787" s="103" t="s">
        <v>868</v>
      </c>
      <c r="AA787" s="103" t="s">
        <v>874</v>
      </c>
      <c r="AB787" s="103" t="s">
        <v>153</v>
      </c>
      <c r="AC787" s="103">
        <v>0</v>
      </c>
      <c r="AD787" s="156">
        <v>42005</v>
      </c>
      <c r="AE787" s="103"/>
      <c r="AF787" s="103" t="s">
        <v>870</v>
      </c>
      <c r="AG787" s="103" t="s">
        <v>871</v>
      </c>
      <c r="AH787" s="103" t="s">
        <v>976</v>
      </c>
      <c r="AI787" s="103">
        <v>0</v>
      </c>
      <c r="AJ787" s="103"/>
      <c r="AK787" s="103"/>
      <c r="AL787" s="103"/>
      <c r="AM787" s="103"/>
      <c r="AN787" s="103"/>
      <c r="AO787" s="103" t="str">
        <f t="shared" si="39"/>
        <v>CFLscw-Dim(47w)Two-pack</v>
      </c>
    </row>
    <row r="788" spans="1:41">
      <c r="A788" s="177">
        <f>IFERROR(MATCH(D788,'Measure &amp; Standard CostIDs'!C$5:C$177,0),MATCH(D788,'Measure &amp; Standard CostIDs'!S$5:S$177,0))</f>
        <v>124</v>
      </c>
      <c r="B788" s="177">
        <f t="shared" si="40"/>
        <v>3</v>
      </c>
      <c r="C788" s="103" t="s">
        <v>153</v>
      </c>
      <c r="D788" s="103" t="str">
        <f t="shared" si="41"/>
        <v>CFLscw-Dim(50w)</v>
      </c>
      <c r="E788" s="103" t="str">
        <f>IF(LEFT(D788,3)="Std","Base case cost for mix of 60% Incandescent and 40% CFL lamps for CFL TechID: "&amp;INDEX('Measure &amp; Standard CostIDs'!$C$5:$C$177,A788),"&lt;from TechID&gt;")</f>
        <v>&lt;from TechID&gt;</v>
      </c>
      <c r="F788" s="103" t="s">
        <v>860</v>
      </c>
      <c r="G788" s="103" t="s">
        <v>151</v>
      </c>
      <c r="H788" s="103" t="s">
        <v>861</v>
      </c>
      <c r="I788" s="103" t="s">
        <v>862</v>
      </c>
      <c r="J788" s="103" t="s">
        <v>863</v>
      </c>
      <c r="K788" s="103" t="s">
        <v>864</v>
      </c>
      <c r="L788" s="103" t="s">
        <v>153</v>
      </c>
      <c r="M788" s="103" t="s">
        <v>865</v>
      </c>
      <c r="N788" s="103" t="s">
        <v>866</v>
      </c>
      <c r="O788" s="103" t="str">
        <f t="shared" si="38"/>
        <v>CFLscw-Dim(50w)</v>
      </c>
      <c r="P788" s="103" t="s">
        <v>153</v>
      </c>
      <c r="Q788" s="103" t="s">
        <v>153</v>
      </c>
      <c r="R788" s="103" t="s">
        <v>153</v>
      </c>
      <c r="S788" s="103" t="str">
        <f>INDEX('Measure &amp; Standard CostIDs'!$AK$8:$AK$12,B788)</f>
        <v>Two-pack</v>
      </c>
      <c r="T788" s="103" t="s">
        <v>867</v>
      </c>
      <c r="U788" s="103"/>
      <c r="V788" s="103"/>
      <c r="W788" s="103">
        <f>ROUND(IF(LEFT(D788,3)="Std",VLOOKUP(D788,'Measure &amp; Standard CostIDs'!$S$5:$X$177,1+B788,FALSE),VLOOKUP(D788,'Measure &amp; Standard CostIDs'!$C$5:$H$177,1+B788,FALSE)),2)</f>
        <v>13.64</v>
      </c>
      <c r="X788" s="103"/>
      <c r="Y788" s="103"/>
      <c r="Z788" s="103" t="s">
        <v>868</v>
      </c>
      <c r="AA788" s="103" t="s">
        <v>874</v>
      </c>
      <c r="AB788" s="103" t="s">
        <v>153</v>
      </c>
      <c r="AC788" s="103">
        <v>0</v>
      </c>
      <c r="AD788" s="156">
        <v>42005</v>
      </c>
      <c r="AE788" s="103"/>
      <c r="AF788" s="103" t="s">
        <v>870</v>
      </c>
      <c r="AG788" s="103" t="s">
        <v>871</v>
      </c>
      <c r="AH788" s="103" t="s">
        <v>976</v>
      </c>
      <c r="AI788" s="103">
        <v>0</v>
      </c>
      <c r="AJ788" s="103"/>
      <c r="AK788" s="103"/>
      <c r="AL788" s="103"/>
      <c r="AM788" s="103"/>
      <c r="AN788" s="103"/>
      <c r="AO788" s="103" t="str">
        <f t="shared" si="39"/>
        <v>CFLscw-Dim(50w)Two-pack</v>
      </c>
    </row>
    <row r="789" spans="1:41">
      <c r="A789" s="177">
        <f>IFERROR(MATCH(D789,'Measure &amp; Standard CostIDs'!C$5:C$177,0),MATCH(D789,'Measure &amp; Standard CostIDs'!S$5:S$177,0))</f>
        <v>125</v>
      </c>
      <c r="B789" s="177">
        <f t="shared" si="40"/>
        <v>3</v>
      </c>
      <c r="C789" s="103" t="s">
        <v>153</v>
      </c>
      <c r="D789" s="103" t="str">
        <f t="shared" si="41"/>
        <v>CFLscw-Glb(10w)</v>
      </c>
      <c r="E789" s="103" t="str">
        <f>IF(LEFT(D789,3)="Std","Base case cost for mix of 60% Incandescent and 40% CFL lamps for CFL TechID: "&amp;INDEX('Measure &amp; Standard CostIDs'!$C$5:$C$177,A789),"&lt;from TechID&gt;")</f>
        <v>&lt;from TechID&gt;</v>
      </c>
      <c r="F789" s="103" t="s">
        <v>860</v>
      </c>
      <c r="G789" s="103" t="s">
        <v>151</v>
      </c>
      <c r="H789" s="103" t="s">
        <v>861</v>
      </c>
      <c r="I789" s="103" t="s">
        <v>862</v>
      </c>
      <c r="J789" s="103" t="s">
        <v>863</v>
      </c>
      <c r="K789" s="103" t="s">
        <v>864</v>
      </c>
      <c r="L789" s="103" t="s">
        <v>153</v>
      </c>
      <c r="M789" s="103" t="s">
        <v>865</v>
      </c>
      <c r="N789" s="103" t="s">
        <v>866</v>
      </c>
      <c r="O789" s="103" t="str">
        <f t="shared" si="38"/>
        <v>CFLscw-Glb(10w)</v>
      </c>
      <c r="P789" s="103" t="s">
        <v>153</v>
      </c>
      <c r="Q789" s="103" t="s">
        <v>153</v>
      </c>
      <c r="R789" s="103" t="s">
        <v>153</v>
      </c>
      <c r="S789" s="103" t="str">
        <f>INDEX('Measure &amp; Standard CostIDs'!$AK$8:$AK$12,B789)</f>
        <v>Two-pack</v>
      </c>
      <c r="T789" s="103" t="s">
        <v>867</v>
      </c>
      <c r="U789" s="103"/>
      <c r="V789" s="103"/>
      <c r="W789" s="103">
        <f>ROUND(IF(LEFT(D789,3)="Std",VLOOKUP(D789,'Measure &amp; Standard CostIDs'!$S$5:$X$177,1+B789,FALSE),VLOOKUP(D789,'Measure &amp; Standard CostIDs'!$C$5:$H$177,1+B789,FALSE)),2)</f>
        <v>5.94</v>
      </c>
      <c r="X789" s="103"/>
      <c r="Y789" s="103"/>
      <c r="Z789" s="103" t="s">
        <v>868</v>
      </c>
      <c r="AA789" s="103" t="s">
        <v>874</v>
      </c>
      <c r="AB789" s="103" t="s">
        <v>153</v>
      </c>
      <c r="AC789" s="103">
        <v>0</v>
      </c>
      <c r="AD789" s="156">
        <v>42005</v>
      </c>
      <c r="AE789" s="103"/>
      <c r="AF789" s="103" t="s">
        <v>870</v>
      </c>
      <c r="AG789" s="103" t="s">
        <v>871</v>
      </c>
      <c r="AH789" s="103" t="s">
        <v>976</v>
      </c>
      <c r="AI789" s="103">
        <v>0</v>
      </c>
      <c r="AJ789" s="103"/>
      <c r="AK789" s="103"/>
      <c r="AL789" s="103"/>
      <c r="AM789" s="103"/>
      <c r="AN789" s="103"/>
      <c r="AO789" s="103" t="str">
        <f t="shared" si="39"/>
        <v>CFLscw-Glb(10w)Two-pack</v>
      </c>
    </row>
    <row r="790" spans="1:41">
      <c r="A790" s="177">
        <f>IFERROR(MATCH(D790,'Measure &amp; Standard CostIDs'!C$5:C$177,0),MATCH(D790,'Measure &amp; Standard CostIDs'!S$5:S$177,0))</f>
        <v>126</v>
      </c>
      <c r="B790" s="177">
        <f t="shared" si="40"/>
        <v>3</v>
      </c>
      <c r="C790" s="103" t="s">
        <v>153</v>
      </c>
      <c r="D790" s="103" t="str">
        <f t="shared" si="41"/>
        <v>CFLscw-Glb(11w)</v>
      </c>
      <c r="E790" s="103" t="str">
        <f>IF(LEFT(D790,3)="Std","Base case cost for mix of 60% Incandescent and 40% CFL lamps for CFL TechID: "&amp;INDEX('Measure &amp; Standard CostIDs'!$C$5:$C$177,A790),"&lt;from TechID&gt;")</f>
        <v>&lt;from TechID&gt;</v>
      </c>
      <c r="F790" s="103" t="s">
        <v>860</v>
      </c>
      <c r="G790" s="103" t="s">
        <v>151</v>
      </c>
      <c r="H790" s="103" t="s">
        <v>861</v>
      </c>
      <c r="I790" s="103" t="s">
        <v>862</v>
      </c>
      <c r="J790" s="103" t="s">
        <v>863</v>
      </c>
      <c r="K790" s="103" t="s">
        <v>864</v>
      </c>
      <c r="L790" s="103" t="s">
        <v>153</v>
      </c>
      <c r="M790" s="103" t="s">
        <v>865</v>
      </c>
      <c r="N790" s="103" t="s">
        <v>866</v>
      </c>
      <c r="O790" s="103" t="str">
        <f t="shared" si="38"/>
        <v>CFLscw-Glb(11w)</v>
      </c>
      <c r="P790" s="103" t="s">
        <v>153</v>
      </c>
      <c r="Q790" s="103" t="s">
        <v>153</v>
      </c>
      <c r="R790" s="103" t="s">
        <v>153</v>
      </c>
      <c r="S790" s="103" t="str">
        <f>INDEX('Measure &amp; Standard CostIDs'!$AK$8:$AK$12,B790)</f>
        <v>Two-pack</v>
      </c>
      <c r="T790" s="103" t="s">
        <v>867</v>
      </c>
      <c r="U790" s="103"/>
      <c r="V790" s="103"/>
      <c r="W790" s="103">
        <f>ROUND(IF(LEFT(D790,3)="Std",VLOOKUP(D790,'Measure &amp; Standard CostIDs'!$S$5:$X$177,1+B790,FALSE),VLOOKUP(D790,'Measure &amp; Standard CostIDs'!$C$5:$H$177,1+B790,FALSE)),2)</f>
        <v>5.91</v>
      </c>
      <c r="X790" s="103"/>
      <c r="Y790" s="103"/>
      <c r="Z790" s="103" t="s">
        <v>868</v>
      </c>
      <c r="AA790" s="103" t="s">
        <v>874</v>
      </c>
      <c r="AB790" s="103" t="s">
        <v>153</v>
      </c>
      <c r="AC790" s="103">
        <v>0</v>
      </c>
      <c r="AD790" s="156">
        <v>42005</v>
      </c>
      <c r="AE790" s="103"/>
      <c r="AF790" s="103" t="s">
        <v>870</v>
      </c>
      <c r="AG790" s="103" t="s">
        <v>871</v>
      </c>
      <c r="AH790" s="103" t="s">
        <v>976</v>
      </c>
      <c r="AI790" s="103">
        <v>0</v>
      </c>
      <c r="AJ790" s="103"/>
      <c r="AK790" s="103"/>
      <c r="AL790" s="103"/>
      <c r="AM790" s="103"/>
      <c r="AN790" s="103"/>
      <c r="AO790" s="103" t="str">
        <f t="shared" si="39"/>
        <v>CFLscw-Glb(11w)Two-pack</v>
      </c>
    </row>
    <row r="791" spans="1:41">
      <c r="A791" s="177">
        <f>IFERROR(MATCH(D791,'Measure &amp; Standard CostIDs'!C$5:C$177,0),MATCH(D791,'Measure &amp; Standard CostIDs'!S$5:S$177,0))</f>
        <v>127</v>
      </c>
      <c r="B791" s="177">
        <f t="shared" si="40"/>
        <v>3</v>
      </c>
      <c r="C791" s="103" t="s">
        <v>153</v>
      </c>
      <c r="D791" s="103" t="str">
        <f t="shared" si="41"/>
        <v>CFLscw-Glb(12w)</v>
      </c>
      <c r="E791" s="103" t="str">
        <f>IF(LEFT(D791,3)="Std","Base case cost for mix of 60% Incandescent and 40% CFL lamps for CFL TechID: "&amp;INDEX('Measure &amp; Standard CostIDs'!$C$5:$C$177,A791),"&lt;from TechID&gt;")</f>
        <v>&lt;from TechID&gt;</v>
      </c>
      <c r="F791" s="103" t="s">
        <v>860</v>
      </c>
      <c r="G791" s="103" t="s">
        <v>151</v>
      </c>
      <c r="H791" s="103" t="s">
        <v>861</v>
      </c>
      <c r="I791" s="103" t="s">
        <v>862</v>
      </c>
      <c r="J791" s="103" t="s">
        <v>863</v>
      </c>
      <c r="K791" s="103" t="s">
        <v>864</v>
      </c>
      <c r="L791" s="103" t="s">
        <v>153</v>
      </c>
      <c r="M791" s="103" t="s">
        <v>865</v>
      </c>
      <c r="N791" s="103" t="s">
        <v>866</v>
      </c>
      <c r="O791" s="103" t="str">
        <f t="shared" si="38"/>
        <v>CFLscw-Glb(12w)</v>
      </c>
      <c r="P791" s="103" t="s">
        <v>153</v>
      </c>
      <c r="Q791" s="103" t="s">
        <v>153</v>
      </c>
      <c r="R791" s="103" t="s">
        <v>153</v>
      </c>
      <c r="S791" s="103" t="str">
        <f>INDEX('Measure &amp; Standard CostIDs'!$AK$8:$AK$12,B791)</f>
        <v>Two-pack</v>
      </c>
      <c r="T791" s="103" t="s">
        <v>867</v>
      </c>
      <c r="U791" s="103"/>
      <c r="V791" s="103"/>
      <c r="W791" s="103">
        <f>ROUND(IF(LEFT(D791,3)="Std",VLOOKUP(D791,'Measure &amp; Standard CostIDs'!$S$5:$X$177,1+B791,FALSE),VLOOKUP(D791,'Measure &amp; Standard CostIDs'!$C$5:$H$177,1+B791,FALSE)),2)</f>
        <v>5.88</v>
      </c>
      <c r="X791" s="103"/>
      <c r="Y791" s="103"/>
      <c r="Z791" s="103" t="s">
        <v>868</v>
      </c>
      <c r="AA791" s="103" t="s">
        <v>874</v>
      </c>
      <c r="AB791" s="103" t="s">
        <v>153</v>
      </c>
      <c r="AC791" s="103">
        <v>0</v>
      </c>
      <c r="AD791" s="156">
        <v>42005</v>
      </c>
      <c r="AE791" s="103"/>
      <c r="AF791" s="103" t="s">
        <v>870</v>
      </c>
      <c r="AG791" s="103" t="s">
        <v>871</v>
      </c>
      <c r="AH791" s="103" t="s">
        <v>976</v>
      </c>
      <c r="AI791" s="103">
        <v>0</v>
      </c>
      <c r="AJ791" s="103"/>
      <c r="AK791" s="103"/>
      <c r="AL791" s="103"/>
      <c r="AM791" s="103"/>
      <c r="AN791" s="103"/>
      <c r="AO791" s="103" t="str">
        <f t="shared" si="39"/>
        <v>CFLscw-Glb(12w)Two-pack</v>
      </c>
    </row>
    <row r="792" spans="1:41">
      <c r="A792" s="177">
        <f>IFERROR(MATCH(D792,'Measure &amp; Standard CostIDs'!C$5:C$177,0),MATCH(D792,'Measure &amp; Standard CostIDs'!S$5:S$177,0))</f>
        <v>128</v>
      </c>
      <c r="B792" s="177">
        <f t="shared" si="40"/>
        <v>3</v>
      </c>
      <c r="C792" s="103" t="s">
        <v>153</v>
      </c>
      <c r="D792" s="103" t="str">
        <f t="shared" si="41"/>
        <v>CFLscw-Glb(13w)</v>
      </c>
      <c r="E792" s="103" t="str">
        <f>IF(LEFT(D792,3)="Std","Base case cost for mix of 60% Incandescent and 40% CFL lamps for CFL TechID: "&amp;INDEX('Measure &amp; Standard CostIDs'!$C$5:$C$177,A792),"&lt;from TechID&gt;")</f>
        <v>&lt;from TechID&gt;</v>
      </c>
      <c r="F792" s="103" t="s">
        <v>860</v>
      </c>
      <c r="G792" s="103" t="s">
        <v>151</v>
      </c>
      <c r="H792" s="103" t="s">
        <v>861</v>
      </c>
      <c r="I792" s="103" t="s">
        <v>862</v>
      </c>
      <c r="J792" s="103" t="s">
        <v>863</v>
      </c>
      <c r="K792" s="103" t="s">
        <v>864</v>
      </c>
      <c r="L792" s="103" t="s">
        <v>153</v>
      </c>
      <c r="M792" s="103" t="s">
        <v>865</v>
      </c>
      <c r="N792" s="103" t="s">
        <v>866</v>
      </c>
      <c r="O792" s="103" t="str">
        <f t="shared" si="38"/>
        <v>CFLscw-Glb(13w)</v>
      </c>
      <c r="P792" s="103" t="s">
        <v>153</v>
      </c>
      <c r="Q792" s="103" t="s">
        <v>153</v>
      </c>
      <c r="R792" s="103" t="s">
        <v>153</v>
      </c>
      <c r="S792" s="103" t="str">
        <f>INDEX('Measure &amp; Standard CostIDs'!$AK$8:$AK$12,B792)</f>
        <v>Two-pack</v>
      </c>
      <c r="T792" s="103" t="s">
        <v>867</v>
      </c>
      <c r="U792" s="103"/>
      <c r="V792" s="103"/>
      <c r="W792" s="103">
        <f>ROUND(IF(LEFT(D792,3)="Std",VLOOKUP(D792,'Measure &amp; Standard CostIDs'!$S$5:$X$177,1+B792,FALSE),VLOOKUP(D792,'Measure &amp; Standard CostIDs'!$C$5:$H$177,1+B792,FALSE)),2)</f>
        <v>5.86</v>
      </c>
      <c r="X792" s="103"/>
      <c r="Y792" s="103"/>
      <c r="Z792" s="103" t="s">
        <v>868</v>
      </c>
      <c r="AA792" s="103" t="s">
        <v>874</v>
      </c>
      <c r="AB792" s="103" t="s">
        <v>153</v>
      </c>
      <c r="AC792" s="103">
        <v>0</v>
      </c>
      <c r="AD792" s="156">
        <v>42005</v>
      </c>
      <c r="AE792" s="103"/>
      <c r="AF792" s="103" t="s">
        <v>870</v>
      </c>
      <c r="AG792" s="103" t="s">
        <v>871</v>
      </c>
      <c r="AH792" s="103" t="s">
        <v>976</v>
      </c>
      <c r="AI792" s="103">
        <v>0</v>
      </c>
      <c r="AJ792" s="103"/>
      <c r="AK792" s="103"/>
      <c r="AL792" s="103"/>
      <c r="AM792" s="103"/>
      <c r="AN792" s="103"/>
      <c r="AO792" s="103" t="str">
        <f t="shared" si="39"/>
        <v>CFLscw-Glb(13w)Two-pack</v>
      </c>
    </row>
    <row r="793" spans="1:41">
      <c r="A793" s="177">
        <f>IFERROR(MATCH(D793,'Measure &amp; Standard CostIDs'!C$5:C$177,0),MATCH(D793,'Measure &amp; Standard CostIDs'!S$5:S$177,0))</f>
        <v>129</v>
      </c>
      <c r="B793" s="177">
        <f t="shared" si="40"/>
        <v>3</v>
      </c>
      <c r="C793" s="103" t="s">
        <v>153</v>
      </c>
      <c r="D793" s="103" t="str">
        <f t="shared" si="41"/>
        <v>CFLscw-Glb(14w)</v>
      </c>
      <c r="E793" s="103" t="str">
        <f>IF(LEFT(D793,3)="Std","Base case cost for mix of 60% Incandescent and 40% CFL lamps for CFL TechID: "&amp;INDEX('Measure &amp; Standard CostIDs'!$C$5:$C$177,A793),"&lt;from TechID&gt;")</f>
        <v>&lt;from TechID&gt;</v>
      </c>
      <c r="F793" s="103" t="s">
        <v>860</v>
      </c>
      <c r="G793" s="103" t="s">
        <v>151</v>
      </c>
      <c r="H793" s="103" t="s">
        <v>861</v>
      </c>
      <c r="I793" s="103" t="s">
        <v>862</v>
      </c>
      <c r="J793" s="103" t="s">
        <v>863</v>
      </c>
      <c r="K793" s="103" t="s">
        <v>864</v>
      </c>
      <c r="L793" s="103" t="s">
        <v>153</v>
      </c>
      <c r="M793" s="103" t="s">
        <v>865</v>
      </c>
      <c r="N793" s="103" t="s">
        <v>866</v>
      </c>
      <c r="O793" s="103" t="str">
        <f t="shared" si="38"/>
        <v>CFLscw-Glb(14w)</v>
      </c>
      <c r="P793" s="103" t="s">
        <v>153</v>
      </c>
      <c r="Q793" s="103" t="s">
        <v>153</v>
      </c>
      <c r="R793" s="103" t="s">
        <v>153</v>
      </c>
      <c r="S793" s="103" t="str">
        <f>INDEX('Measure &amp; Standard CostIDs'!$AK$8:$AK$12,B793)</f>
        <v>Two-pack</v>
      </c>
      <c r="T793" s="103" t="s">
        <v>867</v>
      </c>
      <c r="U793" s="103"/>
      <c r="V793" s="103"/>
      <c r="W793" s="103">
        <f>ROUND(IF(LEFT(D793,3)="Std",VLOOKUP(D793,'Measure &amp; Standard CostIDs'!$S$5:$X$177,1+B793,FALSE),VLOOKUP(D793,'Measure &amp; Standard CostIDs'!$C$5:$H$177,1+B793,FALSE)),2)</f>
        <v>5.83</v>
      </c>
      <c r="X793" s="103"/>
      <c r="Y793" s="103"/>
      <c r="Z793" s="103" t="s">
        <v>868</v>
      </c>
      <c r="AA793" s="103" t="s">
        <v>874</v>
      </c>
      <c r="AB793" s="103" t="s">
        <v>153</v>
      </c>
      <c r="AC793" s="103">
        <v>0</v>
      </c>
      <c r="AD793" s="156">
        <v>42005</v>
      </c>
      <c r="AE793" s="103"/>
      <c r="AF793" s="103" t="s">
        <v>870</v>
      </c>
      <c r="AG793" s="103" t="s">
        <v>871</v>
      </c>
      <c r="AH793" s="103" t="s">
        <v>976</v>
      </c>
      <c r="AI793" s="103">
        <v>0</v>
      </c>
      <c r="AJ793" s="103"/>
      <c r="AK793" s="103"/>
      <c r="AL793" s="103"/>
      <c r="AM793" s="103"/>
      <c r="AN793" s="103"/>
      <c r="AO793" s="103" t="str">
        <f t="shared" si="39"/>
        <v>CFLscw-Glb(14w)Two-pack</v>
      </c>
    </row>
    <row r="794" spans="1:41">
      <c r="A794" s="177">
        <f>IFERROR(MATCH(D794,'Measure &amp; Standard CostIDs'!C$5:C$177,0),MATCH(D794,'Measure &amp; Standard CostIDs'!S$5:S$177,0))</f>
        <v>130</v>
      </c>
      <c r="B794" s="177">
        <f t="shared" si="40"/>
        <v>3</v>
      </c>
      <c r="C794" s="103" t="s">
        <v>153</v>
      </c>
      <c r="D794" s="103" t="str">
        <f t="shared" si="41"/>
        <v>CFLscw-Glb(15w)</v>
      </c>
      <c r="E794" s="103" t="str">
        <f>IF(LEFT(D794,3)="Std","Base case cost for mix of 60% Incandescent and 40% CFL lamps for CFL TechID: "&amp;INDEX('Measure &amp; Standard CostIDs'!$C$5:$C$177,A794),"&lt;from TechID&gt;")</f>
        <v>&lt;from TechID&gt;</v>
      </c>
      <c r="F794" s="103" t="s">
        <v>860</v>
      </c>
      <c r="G794" s="103" t="s">
        <v>151</v>
      </c>
      <c r="H794" s="103" t="s">
        <v>861</v>
      </c>
      <c r="I794" s="103" t="s">
        <v>862</v>
      </c>
      <c r="J794" s="103" t="s">
        <v>863</v>
      </c>
      <c r="K794" s="103" t="s">
        <v>864</v>
      </c>
      <c r="L794" s="103" t="s">
        <v>153</v>
      </c>
      <c r="M794" s="103" t="s">
        <v>865</v>
      </c>
      <c r="N794" s="103" t="s">
        <v>866</v>
      </c>
      <c r="O794" s="103" t="str">
        <f t="shared" si="38"/>
        <v>CFLscw-Glb(15w)</v>
      </c>
      <c r="P794" s="103" t="s">
        <v>153</v>
      </c>
      <c r="Q794" s="103" t="s">
        <v>153</v>
      </c>
      <c r="R794" s="103" t="s">
        <v>153</v>
      </c>
      <c r="S794" s="103" t="str">
        <f>INDEX('Measure &amp; Standard CostIDs'!$AK$8:$AK$12,B794)</f>
        <v>Two-pack</v>
      </c>
      <c r="T794" s="103" t="s">
        <v>867</v>
      </c>
      <c r="U794" s="103"/>
      <c r="V794" s="103"/>
      <c r="W794" s="103">
        <f>ROUND(IF(LEFT(D794,3)="Std",VLOOKUP(D794,'Measure &amp; Standard CostIDs'!$S$5:$X$177,1+B794,FALSE),VLOOKUP(D794,'Measure &amp; Standard CostIDs'!$C$5:$H$177,1+B794,FALSE)),2)</f>
        <v>5.81</v>
      </c>
      <c r="X794" s="103"/>
      <c r="Y794" s="103"/>
      <c r="Z794" s="103" t="s">
        <v>868</v>
      </c>
      <c r="AA794" s="103" t="s">
        <v>874</v>
      </c>
      <c r="AB794" s="103" t="s">
        <v>153</v>
      </c>
      <c r="AC794" s="103">
        <v>0</v>
      </c>
      <c r="AD794" s="156">
        <v>42005</v>
      </c>
      <c r="AE794" s="103"/>
      <c r="AF794" s="103" t="s">
        <v>870</v>
      </c>
      <c r="AG794" s="103" t="s">
        <v>871</v>
      </c>
      <c r="AH794" s="103" t="s">
        <v>976</v>
      </c>
      <c r="AI794" s="103">
        <v>0</v>
      </c>
      <c r="AJ794" s="103"/>
      <c r="AK794" s="103"/>
      <c r="AL794" s="103"/>
      <c r="AM794" s="103"/>
      <c r="AN794" s="103"/>
      <c r="AO794" s="103" t="str">
        <f t="shared" si="39"/>
        <v>CFLscw-Glb(15w)Two-pack</v>
      </c>
    </row>
    <row r="795" spans="1:41">
      <c r="A795" s="177">
        <f>IFERROR(MATCH(D795,'Measure &amp; Standard CostIDs'!C$5:C$177,0),MATCH(D795,'Measure &amp; Standard CostIDs'!S$5:S$177,0))</f>
        <v>131</v>
      </c>
      <c r="B795" s="177">
        <f t="shared" si="40"/>
        <v>3</v>
      </c>
      <c r="C795" s="103" t="s">
        <v>153</v>
      </c>
      <c r="D795" s="103" t="str">
        <f t="shared" si="41"/>
        <v>CFLscw-Glb(16w)</v>
      </c>
      <c r="E795" s="103" t="str">
        <f>IF(LEFT(D795,3)="Std","Base case cost for mix of 60% Incandescent and 40% CFL lamps for CFL TechID: "&amp;INDEX('Measure &amp; Standard CostIDs'!$C$5:$C$177,A795),"&lt;from TechID&gt;")</f>
        <v>&lt;from TechID&gt;</v>
      </c>
      <c r="F795" s="103" t="s">
        <v>860</v>
      </c>
      <c r="G795" s="103" t="s">
        <v>151</v>
      </c>
      <c r="H795" s="103" t="s">
        <v>861</v>
      </c>
      <c r="I795" s="103" t="s">
        <v>862</v>
      </c>
      <c r="J795" s="103" t="s">
        <v>863</v>
      </c>
      <c r="K795" s="103" t="s">
        <v>864</v>
      </c>
      <c r="L795" s="103" t="s">
        <v>153</v>
      </c>
      <c r="M795" s="103" t="s">
        <v>865</v>
      </c>
      <c r="N795" s="103" t="s">
        <v>866</v>
      </c>
      <c r="O795" s="103" t="str">
        <f t="shared" si="38"/>
        <v>CFLscw-Glb(16w)</v>
      </c>
      <c r="P795" s="103" t="s">
        <v>153</v>
      </c>
      <c r="Q795" s="103" t="s">
        <v>153</v>
      </c>
      <c r="R795" s="103" t="s">
        <v>153</v>
      </c>
      <c r="S795" s="103" t="str">
        <f>INDEX('Measure &amp; Standard CostIDs'!$AK$8:$AK$12,B795)</f>
        <v>Two-pack</v>
      </c>
      <c r="T795" s="103" t="s">
        <v>867</v>
      </c>
      <c r="U795" s="103"/>
      <c r="V795" s="103"/>
      <c r="W795" s="103">
        <f>ROUND(IF(LEFT(D795,3)="Std",VLOOKUP(D795,'Measure &amp; Standard CostIDs'!$S$5:$X$177,1+B795,FALSE),VLOOKUP(D795,'Measure &amp; Standard CostIDs'!$C$5:$H$177,1+B795,FALSE)),2)</f>
        <v>5.78</v>
      </c>
      <c r="X795" s="103"/>
      <c r="Y795" s="103"/>
      <c r="Z795" s="103" t="s">
        <v>868</v>
      </c>
      <c r="AA795" s="103" t="s">
        <v>874</v>
      </c>
      <c r="AB795" s="103" t="s">
        <v>153</v>
      </c>
      <c r="AC795" s="103">
        <v>0</v>
      </c>
      <c r="AD795" s="156">
        <v>42005</v>
      </c>
      <c r="AE795" s="103"/>
      <c r="AF795" s="103" t="s">
        <v>870</v>
      </c>
      <c r="AG795" s="103" t="s">
        <v>871</v>
      </c>
      <c r="AH795" s="103" t="s">
        <v>976</v>
      </c>
      <c r="AI795" s="103">
        <v>0</v>
      </c>
      <c r="AJ795" s="103"/>
      <c r="AK795" s="103"/>
      <c r="AL795" s="103"/>
      <c r="AM795" s="103"/>
      <c r="AN795" s="103"/>
      <c r="AO795" s="103" t="str">
        <f t="shared" si="39"/>
        <v>CFLscw-Glb(16w)Two-pack</v>
      </c>
    </row>
    <row r="796" spans="1:41">
      <c r="A796" s="177">
        <f>IFERROR(MATCH(D796,'Measure &amp; Standard CostIDs'!C$5:C$177,0),MATCH(D796,'Measure &amp; Standard CostIDs'!S$5:S$177,0))</f>
        <v>132</v>
      </c>
      <c r="B796" s="177">
        <f t="shared" si="40"/>
        <v>3</v>
      </c>
      <c r="C796" s="103" t="s">
        <v>153</v>
      </c>
      <c r="D796" s="103" t="str">
        <f t="shared" si="41"/>
        <v>CFLscw-Glb(18w)</v>
      </c>
      <c r="E796" s="103" t="str">
        <f>IF(LEFT(D796,3)="Std","Base case cost for mix of 60% Incandescent and 40% CFL lamps for CFL TechID: "&amp;INDEX('Measure &amp; Standard CostIDs'!$C$5:$C$177,A796),"&lt;from TechID&gt;")</f>
        <v>&lt;from TechID&gt;</v>
      </c>
      <c r="F796" s="103" t="s">
        <v>860</v>
      </c>
      <c r="G796" s="103" t="s">
        <v>151</v>
      </c>
      <c r="H796" s="103" t="s">
        <v>861</v>
      </c>
      <c r="I796" s="103" t="s">
        <v>862</v>
      </c>
      <c r="J796" s="103" t="s">
        <v>863</v>
      </c>
      <c r="K796" s="103" t="s">
        <v>864</v>
      </c>
      <c r="L796" s="103" t="s">
        <v>153</v>
      </c>
      <c r="M796" s="103" t="s">
        <v>865</v>
      </c>
      <c r="N796" s="103" t="s">
        <v>866</v>
      </c>
      <c r="O796" s="103" t="str">
        <f t="shared" si="38"/>
        <v>CFLscw-Glb(18w)</v>
      </c>
      <c r="P796" s="103" t="s">
        <v>153</v>
      </c>
      <c r="Q796" s="103" t="s">
        <v>153</v>
      </c>
      <c r="R796" s="103" t="s">
        <v>153</v>
      </c>
      <c r="S796" s="103" t="str">
        <f>INDEX('Measure &amp; Standard CostIDs'!$AK$8:$AK$12,B796)</f>
        <v>Two-pack</v>
      </c>
      <c r="T796" s="103" t="s">
        <v>867</v>
      </c>
      <c r="U796" s="103"/>
      <c r="V796" s="103"/>
      <c r="W796" s="103">
        <f>ROUND(IF(LEFT(D796,3)="Std",VLOOKUP(D796,'Measure &amp; Standard CostIDs'!$S$5:$X$177,1+B796,FALSE),VLOOKUP(D796,'Measure &amp; Standard CostIDs'!$C$5:$H$177,1+B796,FALSE)),2)</f>
        <v>5.73</v>
      </c>
      <c r="X796" s="103"/>
      <c r="Y796" s="103"/>
      <c r="Z796" s="103" t="s">
        <v>868</v>
      </c>
      <c r="AA796" s="103" t="s">
        <v>874</v>
      </c>
      <c r="AB796" s="103" t="s">
        <v>153</v>
      </c>
      <c r="AC796" s="103">
        <v>0</v>
      </c>
      <c r="AD796" s="156">
        <v>42005</v>
      </c>
      <c r="AE796" s="103"/>
      <c r="AF796" s="103" t="s">
        <v>870</v>
      </c>
      <c r="AG796" s="103" t="s">
        <v>871</v>
      </c>
      <c r="AH796" s="103" t="s">
        <v>976</v>
      </c>
      <c r="AI796" s="103">
        <v>0</v>
      </c>
      <c r="AJ796" s="103"/>
      <c r="AK796" s="103"/>
      <c r="AL796" s="103"/>
      <c r="AM796" s="103"/>
      <c r="AN796" s="103"/>
      <c r="AO796" s="103" t="str">
        <f t="shared" si="39"/>
        <v>CFLscw-Glb(18w)Two-pack</v>
      </c>
    </row>
    <row r="797" spans="1:41">
      <c r="A797" s="177">
        <f>IFERROR(MATCH(D797,'Measure &amp; Standard CostIDs'!C$5:C$177,0),MATCH(D797,'Measure &amp; Standard CostIDs'!S$5:S$177,0))</f>
        <v>133</v>
      </c>
      <c r="B797" s="177">
        <f t="shared" si="40"/>
        <v>3</v>
      </c>
      <c r="C797" s="103" t="s">
        <v>153</v>
      </c>
      <c r="D797" s="103" t="str">
        <f t="shared" si="41"/>
        <v>CFLscw-Glb(19w)</v>
      </c>
      <c r="E797" s="103" t="str">
        <f>IF(LEFT(D797,3)="Std","Base case cost for mix of 60% Incandescent and 40% CFL lamps for CFL TechID: "&amp;INDEX('Measure &amp; Standard CostIDs'!$C$5:$C$177,A797),"&lt;from TechID&gt;")</f>
        <v>&lt;from TechID&gt;</v>
      </c>
      <c r="F797" s="103" t="s">
        <v>860</v>
      </c>
      <c r="G797" s="103" t="s">
        <v>151</v>
      </c>
      <c r="H797" s="103" t="s">
        <v>861</v>
      </c>
      <c r="I797" s="103" t="s">
        <v>862</v>
      </c>
      <c r="J797" s="103" t="s">
        <v>863</v>
      </c>
      <c r="K797" s="103" t="s">
        <v>864</v>
      </c>
      <c r="L797" s="103" t="s">
        <v>153</v>
      </c>
      <c r="M797" s="103" t="s">
        <v>865</v>
      </c>
      <c r="N797" s="103" t="s">
        <v>866</v>
      </c>
      <c r="O797" s="103" t="str">
        <f t="shared" si="38"/>
        <v>CFLscw-Glb(19w)</v>
      </c>
      <c r="P797" s="103" t="s">
        <v>153</v>
      </c>
      <c r="Q797" s="103" t="s">
        <v>153</v>
      </c>
      <c r="R797" s="103" t="s">
        <v>153</v>
      </c>
      <c r="S797" s="103" t="str">
        <f>INDEX('Measure &amp; Standard CostIDs'!$AK$8:$AK$12,B797)</f>
        <v>Two-pack</v>
      </c>
      <c r="T797" s="103" t="s">
        <v>867</v>
      </c>
      <c r="U797" s="103"/>
      <c r="V797" s="103"/>
      <c r="W797" s="103">
        <f>ROUND(IF(LEFT(D797,3)="Std",VLOOKUP(D797,'Measure &amp; Standard CostIDs'!$S$5:$X$177,1+B797,FALSE),VLOOKUP(D797,'Measure &amp; Standard CostIDs'!$C$5:$H$177,1+B797,FALSE)),2)</f>
        <v>5.7</v>
      </c>
      <c r="X797" s="103"/>
      <c r="Y797" s="103"/>
      <c r="Z797" s="103" t="s">
        <v>868</v>
      </c>
      <c r="AA797" s="103" t="s">
        <v>874</v>
      </c>
      <c r="AB797" s="103" t="s">
        <v>153</v>
      </c>
      <c r="AC797" s="103">
        <v>0</v>
      </c>
      <c r="AD797" s="156">
        <v>42005</v>
      </c>
      <c r="AE797" s="103"/>
      <c r="AF797" s="103" t="s">
        <v>870</v>
      </c>
      <c r="AG797" s="103" t="s">
        <v>871</v>
      </c>
      <c r="AH797" s="103" t="s">
        <v>976</v>
      </c>
      <c r="AI797" s="103">
        <v>0</v>
      </c>
      <c r="AJ797" s="103"/>
      <c r="AK797" s="103"/>
      <c r="AL797" s="103"/>
      <c r="AM797" s="103"/>
      <c r="AN797" s="103"/>
      <c r="AO797" s="103" t="str">
        <f t="shared" si="39"/>
        <v>CFLscw-Glb(19w)Two-pack</v>
      </c>
    </row>
    <row r="798" spans="1:41">
      <c r="A798" s="177">
        <f>IFERROR(MATCH(D798,'Measure &amp; Standard CostIDs'!C$5:C$177,0),MATCH(D798,'Measure &amp; Standard CostIDs'!S$5:S$177,0))</f>
        <v>134</v>
      </c>
      <c r="B798" s="177">
        <f t="shared" si="40"/>
        <v>3</v>
      </c>
      <c r="C798" s="103" t="s">
        <v>153</v>
      </c>
      <c r="D798" s="103" t="str">
        <f t="shared" si="41"/>
        <v>CFLscw-Glb(20w)</v>
      </c>
      <c r="E798" s="103" t="str">
        <f>IF(LEFT(D798,3)="Std","Base case cost for mix of 60% Incandescent and 40% CFL lamps for CFL TechID: "&amp;INDEX('Measure &amp; Standard CostIDs'!$C$5:$C$177,A798),"&lt;from TechID&gt;")</f>
        <v>&lt;from TechID&gt;</v>
      </c>
      <c r="F798" s="103" t="s">
        <v>860</v>
      </c>
      <c r="G798" s="103" t="s">
        <v>151</v>
      </c>
      <c r="H798" s="103" t="s">
        <v>861</v>
      </c>
      <c r="I798" s="103" t="s">
        <v>862</v>
      </c>
      <c r="J798" s="103" t="s">
        <v>863</v>
      </c>
      <c r="K798" s="103" t="s">
        <v>864</v>
      </c>
      <c r="L798" s="103" t="s">
        <v>153</v>
      </c>
      <c r="M798" s="103" t="s">
        <v>865</v>
      </c>
      <c r="N798" s="103" t="s">
        <v>866</v>
      </c>
      <c r="O798" s="103" t="str">
        <f t="shared" si="38"/>
        <v>CFLscw-Glb(20w)</v>
      </c>
      <c r="P798" s="103" t="s">
        <v>153</v>
      </c>
      <c r="Q798" s="103" t="s">
        <v>153</v>
      </c>
      <c r="R798" s="103" t="s">
        <v>153</v>
      </c>
      <c r="S798" s="103" t="str">
        <f>INDEX('Measure &amp; Standard CostIDs'!$AK$8:$AK$12,B798)</f>
        <v>Two-pack</v>
      </c>
      <c r="T798" s="103" t="s">
        <v>867</v>
      </c>
      <c r="U798" s="103"/>
      <c r="V798" s="103"/>
      <c r="W798" s="103">
        <f>ROUND(IF(LEFT(D798,3)="Std",VLOOKUP(D798,'Measure &amp; Standard CostIDs'!$S$5:$X$177,1+B798,FALSE),VLOOKUP(D798,'Measure &amp; Standard CostIDs'!$C$5:$H$177,1+B798,FALSE)),2)</f>
        <v>5.67</v>
      </c>
      <c r="X798" s="103"/>
      <c r="Y798" s="103"/>
      <c r="Z798" s="103" t="s">
        <v>868</v>
      </c>
      <c r="AA798" s="103" t="s">
        <v>874</v>
      </c>
      <c r="AB798" s="103" t="s">
        <v>153</v>
      </c>
      <c r="AC798" s="103">
        <v>0</v>
      </c>
      <c r="AD798" s="156">
        <v>42005</v>
      </c>
      <c r="AE798" s="103"/>
      <c r="AF798" s="103" t="s">
        <v>870</v>
      </c>
      <c r="AG798" s="103" t="s">
        <v>871</v>
      </c>
      <c r="AH798" s="103" t="s">
        <v>976</v>
      </c>
      <c r="AI798" s="103">
        <v>0</v>
      </c>
      <c r="AJ798" s="103"/>
      <c r="AK798" s="103"/>
      <c r="AL798" s="103"/>
      <c r="AM798" s="103"/>
      <c r="AN798" s="103"/>
      <c r="AO798" s="103" t="str">
        <f t="shared" si="39"/>
        <v>CFLscw-Glb(20w)Two-pack</v>
      </c>
    </row>
    <row r="799" spans="1:41">
      <c r="A799" s="177">
        <f>IFERROR(MATCH(D799,'Measure &amp; Standard CostIDs'!C$5:C$177,0),MATCH(D799,'Measure &amp; Standard CostIDs'!S$5:S$177,0))</f>
        <v>135</v>
      </c>
      <c r="B799" s="177">
        <f t="shared" si="40"/>
        <v>3</v>
      </c>
      <c r="C799" s="103" t="s">
        <v>153</v>
      </c>
      <c r="D799" s="103" t="str">
        <f t="shared" si="41"/>
        <v>CFLscw-Glb(22w)</v>
      </c>
      <c r="E799" s="103" t="str">
        <f>IF(LEFT(D799,3)="Std","Base case cost for mix of 60% Incandescent and 40% CFL lamps for CFL TechID: "&amp;INDEX('Measure &amp; Standard CostIDs'!$C$5:$C$177,A799),"&lt;from TechID&gt;")</f>
        <v>&lt;from TechID&gt;</v>
      </c>
      <c r="F799" s="103" t="s">
        <v>860</v>
      </c>
      <c r="G799" s="103" t="s">
        <v>151</v>
      </c>
      <c r="H799" s="103" t="s">
        <v>861</v>
      </c>
      <c r="I799" s="103" t="s">
        <v>862</v>
      </c>
      <c r="J799" s="103" t="s">
        <v>863</v>
      </c>
      <c r="K799" s="103" t="s">
        <v>864</v>
      </c>
      <c r="L799" s="103" t="s">
        <v>153</v>
      </c>
      <c r="M799" s="103" t="s">
        <v>865</v>
      </c>
      <c r="N799" s="103" t="s">
        <v>866</v>
      </c>
      <c r="O799" s="103" t="str">
        <f t="shared" si="38"/>
        <v>CFLscw-Glb(22w)</v>
      </c>
      <c r="P799" s="103" t="s">
        <v>153</v>
      </c>
      <c r="Q799" s="103" t="s">
        <v>153</v>
      </c>
      <c r="R799" s="103" t="s">
        <v>153</v>
      </c>
      <c r="S799" s="103" t="str">
        <f>INDEX('Measure &amp; Standard CostIDs'!$AK$8:$AK$12,B799)</f>
        <v>Two-pack</v>
      </c>
      <c r="T799" s="103" t="s">
        <v>867</v>
      </c>
      <c r="U799" s="103"/>
      <c r="V799" s="103"/>
      <c r="W799" s="103">
        <f>ROUND(IF(LEFT(D799,3)="Std",VLOOKUP(D799,'Measure &amp; Standard CostIDs'!$S$5:$X$177,1+B799,FALSE),VLOOKUP(D799,'Measure &amp; Standard CostIDs'!$C$5:$H$177,1+B799,FALSE)),2)</f>
        <v>5.62</v>
      </c>
      <c r="X799" s="103"/>
      <c r="Y799" s="103"/>
      <c r="Z799" s="103" t="s">
        <v>868</v>
      </c>
      <c r="AA799" s="103" t="s">
        <v>874</v>
      </c>
      <c r="AB799" s="103" t="s">
        <v>153</v>
      </c>
      <c r="AC799" s="103">
        <v>0</v>
      </c>
      <c r="AD799" s="156">
        <v>42005</v>
      </c>
      <c r="AE799" s="103"/>
      <c r="AF799" s="103" t="s">
        <v>870</v>
      </c>
      <c r="AG799" s="103" t="s">
        <v>871</v>
      </c>
      <c r="AH799" s="103" t="s">
        <v>976</v>
      </c>
      <c r="AI799" s="103">
        <v>0</v>
      </c>
      <c r="AJ799" s="103"/>
      <c r="AK799" s="103"/>
      <c r="AL799" s="103"/>
      <c r="AM799" s="103"/>
      <c r="AN799" s="103"/>
      <c r="AO799" s="103" t="str">
        <f t="shared" si="39"/>
        <v>CFLscw-Glb(22w)Two-pack</v>
      </c>
    </row>
    <row r="800" spans="1:41">
      <c r="A800" s="177">
        <f>IFERROR(MATCH(D800,'Measure &amp; Standard CostIDs'!C$5:C$177,0),MATCH(D800,'Measure &amp; Standard CostIDs'!S$5:S$177,0))</f>
        <v>136</v>
      </c>
      <c r="B800" s="177">
        <f t="shared" si="40"/>
        <v>3</v>
      </c>
      <c r="C800" s="103" t="s">
        <v>153</v>
      </c>
      <c r="D800" s="103" t="str">
        <f t="shared" si="41"/>
        <v>CFLscw-Glb(23w)</v>
      </c>
      <c r="E800" s="103" t="str">
        <f>IF(LEFT(D800,3)="Std","Base case cost for mix of 60% Incandescent and 40% CFL lamps for CFL TechID: "&amp;INDEX('Measure &amp; Standard CostIDs'!$C$5:$C$177,A800),"&lt;from TechID&gt;")</f>
        <v>&lt;from TechID&gt;</v>
      </c>
      <c r="F800" s="103" t="s">
        <v>860</v>
      </c>
      <c r="G800" s="103" t="s">
        <v>151</v>
      </c>
      <c r="H800" s="103" t="s">
        <v>861</v>
      </c>
      <c r="I800" s="103" t="s">
        <v>862</v>
      </c>
      <c r="J800" s="103" t="s">
        <v>863</v>
      </c>
      <c r="K800" s="103" t="s">
        <v>864</v>
      </c>
      <c r="L800" s="103" t="s">
        <v>153</v>
      </c>
      <c r="M800" s="103" t="s">
        <v>865</v>
      </c>
      <c r="N800" s="103" t="s">
        <v>866</v>
      </c>
      <c r="O800" s="103" t="str">
        <f t="shared" si="38"/>
        <v>CFLscw-Glb(23w)</v>
      </c>
      <c r="P800" s="103" t="s">
        <v>153</v>
      </c>
      <c r="Q800" s="103" t="s">
        <v>153</v>
      </c>
      <c r="R800" s="103" t="s">
        <v>153</v>
      </c>
      <c r="S800" s="103" t="str">
        <f>INDEX('Measure &amp; Standard CostIDs'!$AK$8:$AK$12,B800)</f>
        <v>Two-pack</v>
      </c>
      <c r="T800" s="103" t="s">
        <v>867</v>
      </c>
      <c r="U800" s="103"/>
      <c r="V800" s="103"/>
      <c r="W800" s="103">
        <f>ROUND(IF(LEFT(D800,3)="Std",VLOOKUP(D800,'Measure &amp; Standard CostIDs'!$S$5:$X$177,1+B800,FALSE),VLOOKUP(D800,'Measure &amp; Standard CostIDs'!$C$5:$H$177,1+B800,FALSE)),2)</f>
        <v>5.6</v>
      </c>
      <c r="X800" s="103"/>
      <c r="Y800" s="103"/>
      <c r="Z800" s="103" t="s">
        <v>868</v>
      </c>
      <c r="AA800" s="103" t="s">
        <v>874</v>
      </c>
      <c r="AB800" s="103" t="s">
        <v>153</v>
      </c>
      <c r="AC800" s="103">
        <v>0</v>
      </c>
      <c r="AD800" s="156">
        <v>42005</v>
      </c>
      <c r="AE800" s="103"/>
      <c r="AF800" s="103" t="s">
        <v>870</v>
      </c>
      <c r="AG800" s="103" t="s">
        <v>871</v>
      </c>
      <c r="AH800" s="103" t="s">
        <v>976</v>
      </c>
      <c r="AI800" s="103">
        <v>0</v>
      </c>
      <c r="AJ800" s="103"/>
      <c r="AK800" s="103"/>
      <c r="AL800" s="103"/>
      <c r="AM800" s="103"/>
      <c r="AN800" s="103"/>
      <c r="AO800" s="103" t="str">
        <f t="shared" si="39"/>
        <v>CFLscw-Glb(23w)Two-pack</v>
      </c>
    </row>
    <row r="801" spans="1:41">
      <c r="A801" s="177">
        <f>IFERROR(MATCH(D801,'Measure &amp; Standard CostIDs'!C$5:C$177,0),MATCH(D801,'Measure &amp; Standard CostIDs'!S$5:S$177,0))</f>
        <v>137</v>
      </c>
      <c r="B801" s="177">
        <f t="shared" si="40"/>
        <v>3</v>
      </c>
      <c r="C801" s="103" t="s">
        <v>153</v>
      </c>
      <c r="D801" s="103" t="str">
        <f t="shared" si="41"/>
        <v>CFLscw-Glb(9w)</v>
      </c>
      <c r="E801" s="103" t="str">
        <f>IF(LEFT(D801,3)="Std","Base case cost for mix of 60% Incandescent and 40% CFL lamps for CFL TechID: "&amp;INDEX('Measure &amp; Standard CostIDs'!$C$5:$C$177,A801),"&lt;from TechID&gt;")</f>
        <v>&lt;from TechID&gt;</v>
      </c>
      <c r="F801" s="103" t="s">
        <v>860</v>
      </c>
      <c r="G801" s="103" t="s">
        <v>151</v>
      </c>
      <c r="H801" s="103" t="s">
        <v>861</v>
      </c>
      <c r="I801" s="103" t="s">
        <v>862</v>
      </c>
      <c r="J801" s="103" t="s">
        <v>863</v>
      </c>
      <c r="K801" s="103" t="s">
        <v>864</v>
      </c>
      <c r="L801" s="103" t="s">
        <v>153</v>
      </c>
      <c r="M801" s="103" t="s">
        <v>865</v>
      </c>
      <c r="N801" s="103" t="s">
        <v>866</v>
      </c>
      <c r="O801" s="103" t="str">
        <f t="shared" si="38"/>
        <v>CFLscw-Glb(9w)</v>
      </c>
      <c r="P801" s="103" t="s">
        <v>153</v>
      </c>
      <c r="Q801" s="103" t="s">
        <v>153</v>
      </c>
      <c r="R801" s="103" t="s">
        <v>153</v>
      </c>
      <c r="S801" s="103" t="str">
        <f>INDEX('Measure &amp; Standard CostIDs'!$AK$8:$AK$12,B801)</f>
        <v>Two-pack</v>
      </c>
      <c r="T801" s="103" t="s">
        <v>867</v>
      </c>
      <c r="U801" s="103"/>
      <c r="V801" s="103"/>
      <c r="W801" s="103">
        <f>ROUND(IF(LEFT(D801,3)="Std",VLOOKUP(D801,'Measure &amp; Standard CostIDs'!$S$5:$X$177,1+B801,FALSE),VLOOKUP(D801,'Measure &amp; Standard CostIDs'!$C$5:$H$177,1+B801,FALSE)),2)</f>
        <v>5.96</v>
      </c>
      <c r="X801" s="103"/>
      <c r="Y801" s="103"/>
      <c r="Z801" s="103" t="s">
        <v>868</v>
      </c>
      <c r="AA801" s="103" t="s">
        <v>874</v>
      </c>
      <c r="AB801" s="103" t="s">
        <v>153</v>
      </c>
      <c r="AC801" s="103">
        <v>0</v>
      </c>
      <c r="AD801" s="156">
        <v>42005</v>
      </c>
      <c r="AE801" s="103"/>
      <c r="AF801" s="103" t="s">
        <v>870</v>
      </c>
      <c r="AG801" s="103" t="s">
        <v>871</v>
      </c>
      <c r="AH801" s="103" t="s">
        <v>976</v>
      </c>
      <c r="AI801" s="103">
        <v>0</v>
      </c>
      <c r="AJ801" s="103"/>
      <c r="AK801" s="103"/>
      <c r="AL801" s="103"/>
      <c r="AM801" s="103"/>
      <c r="AN801" s="103"/>
      <c r="AO801" s="103" t="str">
        <f t="shared" si="39"/>
        <v>CFLscw-Glb(9w)Two-pack</v>
      </c>
    </row>
    <row r="802" spans="1:41">
      <c r="A802" s="177">
        <f>IFERROR(MATCH(D802,'Measure &amp; Standard CostIDs'!C$5:C$177,0),MATCH(D802,'Measure &amp; Standard CostIDs'!S$5:S$177,0))</f>
        <v>138</v>
      </c>
      <c r="B802" s="177">
        <f t="shared" si="40"/>
        <v>3</v>
      </c>
      <c r="C802" s="103" t="s">
        <v>153</v>
      </c>
      <c r="D802" s="103" t="str">
        <f t="shared" si="41"/>
        <v>CFLscw-PAR38(23w)</v>
      </c>
      <c r="E802" s="103" t="str">
        <f>IF(LEFT(D802,3)="Std","Base case cost for mix of 60% Incandescent and 40% CFL lamps for CFL TechID: "&amp;INDEX('Measure &amp; Standard CostIDs'!$C$5:$C$177,A802),"&lt;from TechID&gt;")</f>
        <v>&lt;from TechID&gt;</v>
      </c>
      <c r="F802" s="103" t="s">
        <v>860</v>
      </c>
      <c r="G802" s="103" t="s">
        <v>151</v>
      </c>
      <c r="H802" s="103" t="s">
        <v>861</v>
      </c>
      <c r="I802" s="103" t="s">
        <v>862</v>
      </c>
      <c r="J802" s="103" t="s">
        <v>863</v>
      </c>
      <c r="K802" s="103" t="s">
        <v>864</v>
      </c>
      <c r="L802" s="103" t="s">
        <v>153</v>
      </c>
      <c r="M802" s="103" t="s">
        <v>865</v>
      </c>
      <c r="N802" s="103" t="s">
        <v>866</v>
      </c>
      <c r="O802" s="103" t="str">
        <f t="shared" si="38"/>
        <v>CFLscw-PAR38(23w)</v>
      </c>
      <c r="P802" s="103" t="s">
        <v>153</v>
      </c>
      <c r="Q802" s="103" t="s">
        <v>153</v>
      </c>
      <c r="R802" s="103" t="s">
        <v>153</v>
      </c>
      <c r="S802" s="103" t="str">
        <f>INDEX('Measure &amp; Standard CostIDs'!$AK$8:$AK$12,B802)</f>
        <v>Two-pack</v>
      </c>
      <c r="T802" s="103" t="s">
        <v>867</v>
      </c>
      <c r="U802" s="103"/>
      <c r="V802" s="103"/>
      <c r="W802" s="103">
        <f>ROUND(IF(LEFT(D802,3)="Std",VLOOKUP(D802,'Measure &amp; Standard CostIDs'!$S$5:$X$177,1+B802,FALSE),VLOOKUP(D802,'Measure &amp; Standard CostIDs'!$C$5:$H$177,1+B802,FALSE)),2)</f>
        <v>6.8</v>
      </c>
      <c r="X802" s="103"/>
      <c r="Y802" s="103"/>
      <c r="Z802" s="103" t="s">
        <v>868</v>
      </c>
      <c r="AA802" s="103" t="s">
        <v>874</v>
      </c>
      <c r="AB802" s="103" t="s">
        <v>153</v>
      </c>
      <c r="AC802" s="103">
        <v>0</v>
      </c>
      <c r="AD802" s="156">
        <v>42005</v>
      </c>
      <c r="AE802" s="103"/>
      <c r="AF802" s="103" t="s">
        <v>870</v>
      </c>
      <c r="AG802" s="103" t="s">
        <v>871</v>
      </c>
      <c r="AH802" s="103" t="s">
        <v>976</v>
      </c>
      <c r="AI802" s="103">
        <v>0</v>
      </c>
      <c r="AJ802" s="103"/>
      <c r="AK802" s="103"/>
      <c r="AL802" s="103"/>
      <c r="AM802" s="103"/>
      <c r="AN802" s="103"/>
      <c r="AO802" s="103" t="str">
        <f t="shared" si="39"/>
        <v>CFLscw-PAR38(23w)Two-pack</v>
      </c>
    </row>
    <row r="803" spans="1:41">
      <c r="A803" s="177">
        <f>IFERROR(MATCH(D803,'Measure &amp; Standard CostIDs'!C$5:C$177,0),MATCH(D803,'Measure &amp; Standard CostIDs'!S$5:S$177,0))</f>
        <v>139</v>
      </c>
      <c r="B803" s="177">
        <f t="shared" si="40"/>
        <v>3</v>
      </c>
      <c r="C803" s="103" t="s">
        <v>153</v>
      </c>
      <c r="D803" s="103" t="str">
        <f t="shared" si="41"/>
        <v>CFLscw-Refl(10w)</v>
      </c>
      <c r="E803" s="103" t="str">
        <f>IF(LEFT(D803,3)="Std","Base case cost for mix of 60% Incandescent and 40% CFL lamps for CFL TechID: "&amp;INDEX('Measure &amp; Standard CostIDs'!$C$5:$C$177,A803),"&lt;from TechID&gt;")</f>
        <v>&lt;from TechID&gt;</v>
      </c>
      <c r="F803" s="103" t="s">
        <v>860</v>
      </c>
      <c r="G803" s="103" t="s">
        <v>151</v>
      </c>
      <c r="H803" s="103" t="s">
        <v>861</v>
      </c>
      <c r="I803" s="103" t="s">
        <v>862</v>
      </c>
      <c r="J803" s="103" t="s">
        <v>863</v>
      </c>
      <c r="K803" s="103" t="s">
        <v>864</v>
      </c>
      <c r="L803" s="103" t="s">
        <v>153</v>
      </c>
      <c r="M803" s="103" t="s">
        <v>865</v>
      </c>
      <c r="N803" s="103" t="s">
        <v>866</v>
      </c>
      <c r="O803" s="103" t="str">
        <f t="shared" si="38"/>
        <v>CFLscw-Refl(10w)</v>
      </c>
      <c r="P803" s="103" t="s">
        <v>153</v>
      </c>
      <c r="Q803" s="103" t="s">
        <v>153</v>
      </c>
      <c r="R803" s="103" t="s">
        <v>153</v>
      </c>
      <c r="S803" s="103" t="str">
        <f>INDEX('Measure &amp; Standard CostIDs'!$AK$8:$AK$12,B803)</f>
        <v>Two-pack</v>
      </c>
      <c r="T803" s="103" t="s">
        <v>867</v>
      </c>
      <c r="U803" s="103"/>
      <c r="V803" s="103"/>
      <c r="W803" s="103">
        <f>ROUND(IF(LEFT(D803,3)="Std",VLOOKUP(D803,'Measure &amp; Standard CostIDs'!$S$5:$X$177,1+B803,FALSE),VLOOKUP(D803,'Measure &amp; Standard CostIDs'!$C$5:$H$177,1+B803,FALSE)),2)</f>
        <v>4.88</v>
      </c>
      <c r="X803" s="103"/>
      <c r="Y803" s="103"/>
      <c r="Z803" s="103" t="s">
        <v>868</v>
      </c>
      <c r="AA803" s="103" t="s">
        <v>874</v>
      </c>
      <c r="AB803" s="103" t="s">
        <v>153</v>
      </c>
      <c r="AC803" s="103">
        <v>0</v>
      </c>
      <c r="AD803" s="156">
        <v>42005</v>
      </c>
      <c r="AE803" s="103"/>
      <c r="AF803" s="103" t="s">
        <v>870</v>
      </c>
      <c r="AG803" s="103" t="s">
        <v>871</v>
      </c>
      <c r="AH803" s="103" t="s">
        <v>976</v>
      </c>
      <c r="AI803" s="103">
        <v>0</v>
      </c>
      <c r="AJ803" s="103"/>
      <c r="AK803" s="103"/>
      <c r="AL803" s="103"/>
      <c r="AM803" s="103"/>
      <c r="AN803" s="103"/>
      <c r="AO803" s="103" t="str">
        <f t="shared" si="39"/>
        <v>CFLscw-Refl(10w)Two-pack</v>
      </c>
    </row>
    <row r="804" spans="1:41">
      <c r="A804" s="177">
        <f>IFERROR(MATCH(D804,'Measure &amp; Standard CostIDs'!C$5:C$177,0),MATCH(D804,'Measure &amp; Standard CostIDs'!S$5:S$177,0))</f>
        <v>140</v>
      </c>
      <c r="B804" s="177">
        <f t="shared" si="40"/>
        <v>3</v>
      </c>
      <c r="C804" s="103" t="s">
        <v>153</v>
      </c>
      <c r="D804" s="103" t="str">
        <f t="shared" si="41"/>
        <v>CFLscw-Refl(11w)</v>
      </c>
      <c r="E804" s="103" t="str">
        <f>IF(LEFT(D804,3)="Std","Base case cost for mix of 60% Incandescent and 40% CFL lamps for CFL TechID: "&amp;INDEX('Measure &amp; Standard CostIDs'!$C$5:$C$177,A804),"&lt;from TechID&gt;")</f>
        <v>&lt;from TechID&gt;</v>
      </c>
      <c r="F804" s="103" t="s">
        <v>860</v>
      </c>
      <c r="G804" s="103" t="s">
        <v>151</v>
      </c>
      <c r="H804" s="103" t="s">
        <v>861</v>
      </c>
      <c r="I804" s="103" t="s">
        <v>862</v>
      </c>
      <c r="J804" s="103" t="s">
        <v>863</v>
      </c>
      <c r="K804" s="103" t="s">
        <v>864</v>
      </c>
      <c r="L804" s="103" t="s">
        <v>153</v>
      </c>
      <c r="M804" s="103" t="s">
        <v>865</v>
      </c>
      <c r="N804" s="103" t="s">
        <v>866</v>
      </c>
      <c r="O804" s="103" t="str">
        <f t="shared" si="38"/>
        <v>CFLscw-Refl(11w)</v>
      </c>
      <c r="P804" s="103" t="s">
        <v>153</v>
      </c>
      <c r="Q804" s="103" t="s">
        <v>153</v>
      </c>
      <c r="R804" s="103" t="s">
        <v>153</v>
      </c>
      <c r="S804" s="103" t="str">
        <f>INDEX('Measure &amp; Standard CostIDs'!$AK$8:$AK$12,B804)</f>
        <v>Two-pack</v>
      </c>
      <c r="T804" s="103" t="s">
        <v>867</v>
      </c>
      <c r="U804" s="103"/>
      <c r="V804" s="103"/>
      <c r="W804" s="103">
        <f>ROUND(IF(LEFT(D804,3)="Std",VLOOKUP(D804,'Measure &amp; Standard CostIDs'!$S$5:$X$177,1+B804,FALSE),VLOOKUP(D804,'Measure &amp; Standard CostIDs'!$C$5:$H$177,1+B804,FALSE)),2)</f>
        <v>5.03</v>
      </c>
      <c r="X804" s="103"/>
      <c r="Y804" s="103"/>
      <c r="Z804" s="103" t="s">
        <v>868</v>
      </c>
      <c r="AA804" s="103" t="s">
        <v>874</v>
      </c>
      <c r="AB804" s="103" t="s">
        <v>153</v>
      </c>
      <c r="AC804" s="103">
        <v>0</v>
      </c>
      <c r="AD804" s="156">
        <v>42005</v>
      </c>
      <c r="AE804" s="103"/>
      <c r="AF804" s="103" t="s">
        <v>870</v>
      </c>
      <c r="AG804" s="103" t="s">
        <v>871</v>
      </c>
      <c r="AH804" s="103" t="s">
        <v>976</v>
      </c>
      <c r="AI804" s="103">
        <v>0</v>
      </c>
      <c r="AJ804" s="103"/>
      <c r="AK804" s="103"/>
      <c r="AL804" s="103"/>
      <c r="AM804" s="103"/>
      <c r="AN804" s="103"/>
      <c r="AO804" s="103" t="str">
        <f t="shared" si="39"/>
        <v>CFLscw-Refl(11w)Two-pack</v>
      </c>
    </row>
    <row r="805" spans="1:41">
      <c r="A805" s="177">
        <f>IFERROR(MATCH(D805,'Measure &amp; Standard CostIDs'!C$5:C$177,0),MATCH(D805,'Measure &amp; Standard CostIDs'!S$5:S$177,0))</f>
        <v>141</v>
      </c>
      <c r="B805" s="177">
        <f t="shared" si="40"/>
        <v>3</v>
      </c>
      <c r="C805" s="103" t="s">
        <v>153</v>
      </c>
      <c r="D805" s="103" t="str">
        <f t="shared" si="41"/>
        <v>CFLscw-Refl(12w)</v>
      </c>
      <c r="E805" s="103" t="str">
        <f>IF(LEFT(D805,3)="Std","Base case cost for mix of 60% Incandescent and 40% CFL lamps for CFL TechID: "&amp;INDEX('Measure &amp; Standard CostIDs'!$C$5:$C$177,A805),"&lt;from TechID&gt;")</f>
        <v>&lt;from TechID&gt;</v>
      </c>
      <c r="F805" s="103" t="s">
        <v>860</v>
      </c>
      <c r="G805" s="103" t="s">
        <v>151</v>
      </c>
      <c r="H805" s="103" t="s">
        <v>861</v>
      </c>
      <c r="I805" s="103" t="s">
        <v>862</v>
      </c>
      <c r="J805" s="103" t="s">
        <v>863</v>
      </c>
      <c r="K805" s="103" t="s">
        <v>864</v>
      </c>
      <c r="L805" s="103" t="s">
        <v>153</v>
      </c>
      <c r="M805" s="103" t="s">
        <v>865</v>
      </c>
      <c r="N805" s="103" t="s">
        <v>866</v>
      </c>
      <c r="O805" s="103" t="str">
        <f t="shared" si="38"/>
        <v>CFLscw-Refl(12w)</v>
      </c>
      <c r="P805" s="103" t="s">
        <v>153</v>
      </c>
      <c r="Q805" s="103" t="s">
        <v>153</v>
      </c>
      <c r="R805" s="103" t="s">
        <v>153</v>
      </c>
      <c r="S805" s="103" t="str">
        <f>INDEX('Measure &amp; Standard CostIDs'!$AK$8:$AK$12,B805)</f>
        <v>Two-pack</v>
      </c>
      <c r="T805" s="103" t="s">
        <v>867</v>
      </c>
      <c r="U805" s="103"/>
      <c r="V805" s="103"/>
      <c r="W805" s="103">
        <f>ROUND(IF(LEFT(D805,3)="Std",VLOOKUP(D805,'Measure &amp; Standard CostIDs'!$S$5:$X$177,1+B805,FALSE),VLOOKUP(D805,'Measure &amp; Standard CostIDs'!$C$5:$H$177,1+B805,FALSE)),2)</f>
        <v>5.18</v>
      </c>
      <c r="X805" s="103"/>
      <c r="Y805" s="103"/>
      <c r="Z805" s="103" t="s">
        <v>868</v>
      </c>
      <c r="AA805" s="103" t="s">
        <v>874</v>
      </c>
      <c r="AB805" s="103" t="s">
        <v>153</v>
      </c>
      <c r="AC805" s="103">
        <v>0</v>
      </c>
      <c r="AD805" s="156">
        <v>42005</v>
      </c>
      <c r="AE805" s="103"/>
      <c r="AF805" s="103" t="s">
        <v>870</v>
      </c>
      <c r="AG805" s="103" t="s">
        <v>871</v>
      </c>
      <c r="AH805" s="103" t="s">
        <v>976</v>
      </c>
      <c r="AI805" s="103">
        <v>0</v>
      </c>
      <c r="AJ805" s="103"/>
      <c r="AK805" s="103"/>
      <c r="AL805" s="103"/>
      <c r="AM805" s="103"/>
      <c r="AN805" s="103"/>
      <c r="AO805" s="103" t="str">
        <f t="shared" si="39"/>
        <v>CFLscw-Refl(12w)Two-pack</v>
      </c>
    </row>
    <row r="806" spans="1:41">
      <c r="A806" s="177">
        <f>IFERROR(MATCH(D806,'Measure &amp; Standard CostIDs'!C$5:C$177,0),MATCH(D806,'Measure &amp; Standard CostIDs'!S$5:S$177,0))</f>
        <v>142</v>
      </c>
      <c r="B806" s="177">
        <f t="shared" si="40"/>
        <v>3</v>
      </c>
      <c r="C806" s="103" t="s">
        <v>153</v>
      </c>
      <c r="D806" s="103" t="str">
        <f t="shared" si="41"/>
        <v>CFLscw-Refl(13w)</v>
      </c>
      <c r="E806" s="103" t="str">
        <f>IF(LEFT(D806,3)="Std","Base case cost for mix of 60% Incandescent and 40% CFL lamps for CFL TechID: "&amp;INDEX('Measure &amp; Standard CostIDs'!$C$5:$C$177,A806),"&lt;from TechID&gt;")</f>
        <v>&lt;from TechID&gt;</v>
      </c>
      <c r="F806" s="103" t="s">
        <v>860</v>
      </c>
      <c r="G806" s="103" t="s">
        <v>151</v>
      </c>
      <c r="H806" s="103" t="s">
        <v>861</v>
      </c>
      <c r="I806" s="103" t="s">
        <v>862</v>
      </c>
      <c r="J806" s="103" t="s">
        <v>863</v>
      </c>
      <c r="K806" s="103" t="s">
        <v>864</v>
      </c>
      <c r="L806" s="103" t="s">
        <v>153</v>
      </c>
      <c r="M806" s="103" t="s">
        <v>865</v>
      </c>
      <c r="N806" s="103" t="s">
        <v>866</v>
      </c>
      <c r="O806" s="103" t="str">
        <f t="shared" si="38"/>
        <v>CFLscw-Refl(13w)</v>
      </c>
      <c r="P806" s="103" t="s">
        <v>153</v>
      </c>
      <c r="Q806" s="103" t="s">
        <v>153</v>
      </c>
      <c r="R806" s="103" t="s">
        <v>153</v>
      </c>
      <c r="S806" s="103" t="str">
        <f>INDEX('Measure &amp; Standard CostIDs'!$AK$8:$AK$12,B806)</f>
        <v>Two-pack</v>
      </c>
      <c r="T806" s="103" t="s">
        <v>867</v>
      </c>
      <c r="U806" s="103"/>
      <c r="V806" s="103"/>
      <c r="W806" s="103">
        <f>ROUND(IF(LEFT(D806,3)="Std",VLOOKUP(D806,'Measure &amp; Standard CostIDs'!$S$5:$X$177,1+B806,FALSE),VLOOKUP(D806,'Measure &amp; Standard CostIDs'!$C$5:$H$177,1+B806,FALSE)),2)</f>
        <v>5.32</v>
      </c>
      <c r="X806" s="103"/>
      <c r="Y806" s="103"/>
      <c r="Z806" s="103" t="s">
        <v>868</v>
      </c>
      <c r="AA806" s="103" t="s">
        <v>874</v>
      </c>
      <c r="AB806" s="103" t="s">
        <v>153</v>
      </c>
      <c r="AC806" s="103">
        <v>0</v>
      </c>
      <c r="AD806" s="156">
        <v>42005</v>
      </c>
      <c r="AE806" s="103"/>
      <c r="AF806" s="103" t="s">
        <v>870</v>
      </c>
      <c r="AG806" s="103" t="s">
        <v>871</v>
      </c>
      <c r="AH806" s="103" t="s">
        <v>976</v>
      </c>
      <c r="AI806" s="103">
        <v>0</v>
      </c>
      <c r="AJ806" s="103"/>
      <c r="AK806" s="103"/>
      <c r="AL806" s="103"/>
      <c r="AM806" s="103"/>
      <c r="AN806" s="103"/>
      <c r="AO806" s="103" t="str">
        <f t="shared" si="39"/>
        <v>CFLscw-Refl(13w)Two-pack</v>
      </c>
    </row>
    <row r="807" spans="1:41">
      <c r="A807" s="177">
        <f>IFERROR(MATCH(D807,'Measure &amp; Standard CostIDs'!C$5:C$177,0),MATCH(D807,'Measure &amp; Standard CostIDs'!S$5:S$177,0))</f>
        <v>143</v>
      </c>
      <c r="B807" s="177">
        <f t="shared" si="40"/>
        <v>3</v>
      </c>
      <c r="C807" s="103" t="s">
        <v>153</v>
      </c>
      <c r="D807" s="103" t="str">
        <f t="shared" si="41"/>
        <v>CFLscw-Refl(14w)</v>
      </c>
      <c r="E807" s="103" t="str">
        <f>IF(LEFT(D807,3)="Std","Base case cost for mix of 60% Incandescent and 40% CFL lamps for CFL TechID: "&amp;INDEX('Measure &amp; Standard CostIDs'!$C$5:$C$177,A807),"&lt;from TechID&gt;")</f>
        <v>&lt;from TechID&gt;</v>
      </c>
      <c r="F807" s="103" t="s">
        <v>860</v>
      </c>
      <c r="G807" s="103" t="s">
        <v>151</v>
      </c>
      <c r="H807" s="103" t="s">
        <v>861</v>
      </c>
      <c r="I807" s="103" t="s">
        <v>862</v>
      </c>
      <c r="J807" s="103" t="s">
        <v>863</v>
      </c>
      <c r="K807" s="103" t="s">
        <v>864</v>
      </c>
      <c r="L807" s="103" t="s">
        <v>153</v>
      </c>
      <c r="M807" s="103" t="s">
        <v>865</v>
      </c>
      <c r="N807" s="103" t="s">
        <v>866</v>
      </c>
      <c r="O807" s="103" t="str">
        <f t="shared" si="38"/>
        <v>CFLscw-Refl(14w)</v>
      </c>
      <c r="P807" s="103" t="s">
        <v>153</v>
      </c>
      <c r="Q807" s="103" t="s">
        <v>153</v>
      </c>
      <c r="R807" s="103" t="s">
        <v>153</v>
      </c>
      <c r="S807" s="103" t="str">
        <f>INDEX('Measure &amp; Standard CostIDs'!$AK$8:$AK$12,B807)</f>
        <v>Two-pack</v>
      </c>
      <c r="T807" s="103" t="s">
        <v>867</v>
      </c>
      <c r="U807" s="103"/>
      <c r="V807" s="103"/>
      <c r="W807" s="103">
        <f>ROUND(IF(LEFT(D807,3)="Std",VLOOKUP(D807,'Measure &amp; Standard CostIDs'!$S$5:$X$177,1+B807,FALSE),VLOOKUP(D807,'Measure &amp; Standard CostIDs'!$C$5:$H$177,1+B807,FALSE)),2)</f>
        <v>5.47</v>
      </c>
      <c r="X807" s="103"/>
      <c r="Y807" s="103"/>
      <c r="Z807" s="103" t="s">
        <v>868</v>
      </c>
      <c r="AA807" s="103" t="s">
        <v>874</v>
      </c>
      <c r="AB807" s="103" t="s">
        <v>153</v>
      </c>
      <c r="AC807" s="103">
        <v>0</v>
      </c>
      <c r="AD807" s="156">
        <v>42005</v>
      </c>
      <c r="AE807" s="103"/>
      <c r="AF807" s="103" t="s">
        <v>870</v>
      </c>
      <c r="AG807" s="103" t="s">
        <v>871</v>
      </c>
      <c r="AH807" s="103" t="s">
        <v>976</v>
      </c>
      <c r="AI807" s="103">
        <v>0</v>
      </c>
      <c r="AJ807" s="103"/>
      <c r="AK807" s="103"/>
      <c r="AL807" s="103"/>
      <c r="AM807" s="103"/>
      <c r="AN807" s="103"/>
      <c r="AO807" s="103" t="str">
        <f t="shared" si="39"/>
        <v>CFLscw-Refl(14w)Two-pack</v>
      </c>
    </row>
    <row r="808" spans="1:41">
      <c r="A808" s="177">
        <f>IFERROR(MATCH(D808,'Measure &amp; Standard CostIDs'!C$5:C$177,0),MATCH(D808,'Measure &amp; Standard CostIDs'!S$5:S$177,0))</f>
        <v>144</v>
      </c>
      <c r="B808" s="177">
        <f t="shared" si="40"/>
        <v>3</v>
      </c>
      <c r="C808" s="103" t="s">
        <v>153</v>
      </c>
      <c r="D808" s="103" t="str">
        <f t="shared" si="41"/>
        <v>CFLscw-Refl(16w)</v>
      </c>
      <c r="E808" s="103" t="str">
        <f>IF(LEFT(D808,3)="Std","Base case cost for mix of 60% Incandescent and 40% CFL lamps for CFL TechID: "&amp;INDEX('Measure &amp; Standard CostIDs'!$C$5:$C$177,A808),"&lt;from TechID&gt;")</f>
        <v>&lt;from TechID&gt;</v>
      </c>
      <c r="F808" s="103" t="s">
        <v>860</v>
      </c>
      <c r="G808" s="103" t="s">
        <v>151</v>
      </c>
      <c r="H808" s="103" t="s">
        <v>861</v>
      </c>
      <c r="I808" s="103" t="s">
        <v>862</v>
      </c>
      <c r="J808" s="103" t="s">
        <v>863</v>
      </c>
      <c r="K808" s="103" t="s">
        <v>864</v>
      </c>
      <c r="L808" s="103" t="s">
        <v>153</v>
      </c>
      <c r="M808" s="103" t="s">
        <v>865</v>
      </c>
      <c r="N808" s="103" t="s">
        <v>866</v>
      </c>
      <c r="O808" s="103" t="str">
        <f t="shared" si="38"/>
        <v>CFLscw-Refl(16w)</v>
      </c>
      <c r="P808" s="103" t="s">
        <v>153</v>
      </c>
      <c r="Q808" s="103" t="s">
        <v>153</v>
      </c>
      <c r="R808" s="103" t="s">
        <v>153</v>
      </c>
      <c r="S808" s="103" t="str">
        <f>INDEX('Measure &amp; Standard CostIDs'!$AK$8:$AK$12,B808)</f>
        <v>Two-pack</v>
      </c>
      <c r="T808" s="103" t="s">
        <v>867</v>
      </c>
      <c r="U808" s="103"/>
      <c r="V808" s="103"/>
      <c r="W808" s="103">
        <f>ROUND(IF(LEFT(D808,3)="Std",VLOOKUP(D808,'Measure &amp; Standard CostIDs'!$S$5:$X$177,1+B808,FALSE),VLOOKUP(D808,'Measure &amp; Standard CostIDs'!$C$5:$H$177,1+B808,FALSE)),2)</f>
        <v>5.76</v>
      </c>
      <c r="X808" s="103"/>
      <c r="Y808" s="103"/>
      <c r="Z808" s="103" t="s">
        <v>868</v>
      </c>
      <c r="AA808" s="103" t="s">
        <v>874</v>
      </c>
      <c r="AB808" s="103" t="s">
        <v>153</v>
      </c>
      <c r="AC808" s="103">
        <v>0</v>
      </c>
      <c r="AD808" s="156">
        <v>42005</v>
      </c>
      <c r="AE808" s="103"/>
      <c r="AF808" s="103" t="s">
        <v>870</v>
      </c>
      <c r="AG808" s="103" t="s">
        <v>871</v>
      </c>
      <c r="AH808" s="103" t="s">
        <v>976</v>
      </c>
      <c r="AI808" s="103">
        <v>0</v>
      </c>
      <c r="AJ808" s="103"/>
      <c r="AK808" s="103"/>
      <c r="AL808" s="103"/>
      <c r="AM808" s="103"/>
      <c r="AN808" s="103"/>
      <c r="AO808" s="103" t="str">
        <f t="shared" si="39"/>
        <v>CFLscw-Refl(16w)Two-pack</v>
      </c>
    </row>
    <row r="809" spans="1:41">
      <c r="A809" s="177">
        <f>IFERROR(MATCH(D809,'Measure &amp; Standard CostIDs'!C$5:C$177,0),MATCH(D809,'Measure &amp; Standard CostIDs'!S$5:S$177,0))</f>
        <v>145</v>
      </c>
      <c r="B809" s="177">
        <f t="shared" si="40"/>
        <v>3</v>
      </c>
      <c r="C809" s="103" t="s">
        <v>153</v>
      </c>
      <c r="D809" s="103" t="str">
        <f t="shared" si="41"/>
        <v>CFLscw-Refl(17w)</v>
      </c>
      <c r="E809" s="103" t="str">
        <f>IF(LEFT(D809,3)="Std","Base case cost for mix of 60% Incandescent and 40% CFL lamps for CFL TechID: "&amp;INDEX('Measure &amp; Standard CostIDs'!$C$5:$C$177,A809),"&lt;from TechID&gt;")</f>
        <v>&lt;from TechID&gt;</v>
      </c>
      <c r="F809" s="103" t="s">
        <v>860</v>
      </c>
      <c r="G809" s="103" t="s">
        <v>151</v>
      </c>
      <c r="H809" s="103" t="s">
        <v>861</v>
      </c>
      <c r="I809" s="103" t="s">
        <v>862</v>
      </c>
      <c r="J809" s="103" t="s">
        <v>863</v>
      </c>
      <c r="K809" s="103" t="s">
        <v>864</v>
      </c>
      <c r="L809" s="103" t="s">
        <v>153</v>
      </c>
      <c r="M809" s="103" t="s">
        <v>865</v>
      </c>
      <c r="N809" s="103" t="s">
        <v>866</v>
      </c>
      <c r="O809" s="103" t="str">
        <f t="shared" si="38"/>
        <v>CFLscw-Refl(17w)</v>
      </c>
      <c r="P809" s="103" t="s">
        <v>153</v>
      </c>
      <c r="Q809" s="103" t="s">
        <v>153</v>
      </c>
      <c r="R809" s="103" t="s">
        <v>153</v>
      </c>
      <c r="S809" s="103" t="str">
        <f>INDEX('Measure &amp; Standard CostIDs'!$AK$8:$AK$12,B809)</f>
        <v>Two-pack</v>
      </c>
      <c r="T809" s="103" t="s">
        <v>867</v>
      </c>
      <c r="U809" s="103"/>
      <c r="V809" s="103"/>
      <c r="W809" s="103">
        <f>ROUND(IF(LEFT(D809,3)="Std",VLOOKUP(D809,'Measure &amp; Standard CostIDs'!$S$5:$X$177,1+B809,FALSE),VLOOKUP(D809,'Measure &amp; Standard CostIDs'!$C$5:$H$177,1+B809,FALSE)),2)</f>
        <v>5.91</v>
      </c>
      <c r="X809" s="103"/>
      <c r="Y809" s="103"/>
      <c r="Z809" s="103" t="s">
        <v>868</v>
      </c>
      <c r="AA809" s="103" t="s">
        <v>874</v>
      </c>
      <c r="AB809" s="103" t="s">
        <v>153</v>
      </c>
      <c r="AC809" s="103">
        <v>0</v>
      </c>
      <c r="AD809" s="156">
        <v>42005</v>
      </c>
      <c r="AE809" s="103"/>
      <c r="AF809" s="103" t="s">
        <v>870</v>
      </c>
      <c r="AG809" s="103" t="s">
        <v>871</v>
      </c>
      <c r="AH809" s="103" t="s">
        <v>976</v>
      </c>
      <c r="AI809" s="103">
        <v>0</v>
      </c>
      <c r="AJ809" s="103"/>
      <c r="AK809" s="103"/>
      <c r="AL809" s="103"/>
      <c r="AM809" s="103"/>
      <c r="AN809" s="103"/>
      <c r="AO809" s="103" t="str">
        <f t="shared" si="39"/>
        <v>CFLscw-Refl(17w)Two-pack</v>
      </c>
    </row>
    <row r="810" spans="1:41">
      <c r="A810" s="177">
        <f>IFERROR(MATCH(D810,'Measure &amp; Standard CostIDs'!C$5:C$177,0),MATCH(D810,'Measure &amp; Standard CostIDs'!S$5:S$177,0))</f>
        <v>146</v>
      </c>
      <c r="B810" s="177">
        <f t="shared" si="40"/>
        <v>3</v>
      </c>
      <c r="C810" s="103" t="s">
        <v>153</v>
      </c>
      <c r="D810" s="103" t="str">
        <f t="shared" si="41"/>
        <v>CFLscw-Refl(18w)</v>
      </c>
      <c r="E810" s="103" t="str">
        <f>IF(LEFT(D810,3)="Std","Base case cost for mix of 60% Incandescent and 40% CFL lamps for CFL TechID: "&amp;INDEX('Measure &amp; Standard CostIDs'!$C$5:$C$177,A810),"&lt;from TechID&gt;")</f>
        <v>&lt;from TechID&gt;</v>
      </c>
      <c r="F810" s="103" t="s">
        <v>860</v>
      </c>
      <c r="G810" s="103" t="s">
        <v>151</v>
      </c>
      <c r="H810" s="103" t="s">
        <v>861</v>
      </c>
      <c r="I810" s="103" t="s">
        <v>862</v>
      </c>
      <c r="J810" s="103" t="s">
        <v>863</v>
      </c>
      <c r="K810" s="103" t="s">
        <v>864</v>
      </c>
      <c r="L810" s="103" t="s">
        <v>153</v>
      </c>
      <c r="M810" s="103" t="s">
        <v>865</v>
      </c>
      <c r="N810" s="103" t="s">
        <v>866</v>
      </c>
      <c r="O810" s="103" t="str">
        <f t="shared" si="38"/>
        <v>CFLscw-Refl(18w)</v>
      </c>
      <c r="P810" s="103" t="s">
        <v>153</v>
      </c>
      <c r="Q810" s="103" t="s">
        <v>153</v>
      </c>
      <c r="R810" s="103" t="s">
        <v>153</v>
      </c>
      <c r="S810" s="103" t="str">
        <f>INDEX('Measure &amp; Standard CostIDs'!$AK$8:$AK$12,B810)</f>
        <v>Two-pack</v>
      </c>
      <c r="T810" s="103" t="s">
        <v>867</v>
      </c>
      <c r="U810" s="103"/>
      <c r="V810" s="103"/>
      <c r="W810" s="103">
        <f>ROUND(IF(LEFT(D810,3)="Std",VLOOKUP(D810,'Measure &amp; Standard CostIDs'!$S$5:$X$177,1+B810,FALSE),VLOOKUP(D810,'Measure &amp; Standard CostIDs'!$C$5:$H$177,1+B810,FALSE)),2)</f>
        <v>6.06</v>
      </c>
      <c r="X810" s="103"/>
      <c r="Y810" s="103"/>
      <c r="Z810" s="103" t="s">
        <v>868</v>
      </c>
      <c r="AA810" s="103" t="s">
        <v>874</v>
      </c>
      <c r="AB810" s="103" t="s">
        <v>153</v>
      </c>
      <c r="AC810" s="103">
        <v>0</v>
      </c>
      <c r="AD810" s="156">
        <v>42005</v>
      </c>
      <c r="AE810" s="103"/>
      <c r="AF810" s="103" t="s">
        <v>870</v>
      </c>
      <c r="AG810" s="103" t="s">
        <v>871</v>
      </c>
      <c r="AH810" s="103" t="s">
        <v>976</v>
      </c>
      <c r="AI810" s="103">
        <v>0</v>
      </c>
      <c r="AJ810" s="103"/>
      <c r="AK810" s="103"/>
      <c r="AL810" s="103"/>
      <c r="AM810" s="103"/>
      <c r="AN810" s="103"/>
      <c r="AO810" s="103" t="str">
        <f t="shared" si="39"/>
        <v>CFLscw-Refl(18w)Two-pack</v>
      </c>
    </row>
    <row r="811" spans="1:41">
      <c r="A811" s="177">
        <f>IFERROR(MATCH(D811,'Measure &amp; Standard CostIDs'!C$5:C$177,0),MATCH(D811,'Measure &amp; Standard CostIDs'!S$5:S$177,0))</f>
        <v>147</v>
      </c>
      <c r="B811" s="177">
        <f t="shared" si="40"/>
        <v>3</v>
      </c>
      <c r="C811" s="103" t="s">
        <v>153</v>
      </c>
      <c r="D811" s="103" t="str">
        <f t="shared" si="41"/>
        <v>CFLscw-Refl(19w)</v>
      </c>
      <c r="E811" s="103" t="str">
        <f>IF(LEFT(D811,3)="Std","Base case cost for mix of 60% Incandescent and 40% CFL lamps for CFL TechID: "&amp;INDEX('Measure &amp; Standard CostIDs'!$C$5:$C$177,A811),"&lt;from TechID&gt;")</f>
        <v>&lt;from TechID&gt;</v>
      </c>
      <c r="F811" s="103" t="s">
        <v>860</v>
      </c>
      <c r="G811" s="103" t="s">
        <v>151</v>
      </c>
      <c r="H811" s="103" t="s">
        <v>861</v>
      </c>
      <c r="I811" s="103" t="s">
        <v>862</v>
      </c>
      <c r="J811" s="103" t="s">
        <v>863</v>
      </c>
      <c r="K811" s="103" t="s">
        <v>864</v>
      </c>
      <c r="L811" s="103" t="s">
        <v>153</v>
      </c>
      <c r="M811" s="103" t="s">
        <v>865</v>
      </c>
      <c r="N811" s="103" t="s">
        <v>866</v>
      </c>
      <c r="O811" s="103" t="str">
        <f t="shared" si="38"/>
        <v>CFLscw-Refl(19w)</v>
      </c>
      <c r="P811" s="103" t="s">
        <v>153</v>
      </c>
      <c r="Q811" s="103" t="s">
        <v>153</v>
      </c>
      <c r="R811" s="103" t="s">
        <v>153</v>
      </c>
      <c r="S811" s="103" t="str">
        <f>INDEX('Measure &amp; Standard CostIDs'!$AK$8:$AK$12,B811)</f>
        <v>Two-pack</v>
      </c>
      <c r="T811" s="103" t="s">
        <v>867</v>
      </c>
      <c r="U811" s="103"/>
      <c r="V811" s="103"/>
      <c r="W811" s="103">
        <f>ROUND(IF(LEFT(D811,3)="Std",VLOOKUP(D811,'Measure &amp; Standard CostIDs'!$S$5:$X$177,1+B811,FALSE),VLOOKUP(D811,'Measure &amp; Standard CostIDs'!$C$5:$H$177,1+B811,FALSE)),2)</f>
        <v>6.21</v>
      </c>
      <c r="X811" s="103"/>
      <c r="Y811" s="103"/>
      <c r="Z811" s="103" t="s">
        <v>868</v>
      </c>
      <c r="AA811" s="103" t="s">
        <v>874</v>
      </c>
      <c r="AB811" s="103" t="s">
        <v>153</v>
      </c>
      <c r="AC811" s="103">
        <v>0</v>
      </c>
      <c r="AD811" s="156">
        <v>42005</v>
      </c>
      <c r="AE811" s="103"/>
      <c r="AF811" s="103" t="s">
        <v>870</v>
      </c>
      <c r="AG811" s="103" t="s">
        <v>871</v>
      </c>
      <c r="AH811" s="103" t="s">
        <v>976</v>
      </c>
      <c r="AI811" s="103">
        <v>0</v>
      </c>
      <c r="AJ811" s="103"/>
      <c r="AK811" s="103"/>
      <c r="AL811" s="103"/>
      <c r="AM811" s="103"/>
      <c r="AN811" s="103"/>
      <c r="AO811" s="103" t="str">
        <f t="shared" si="39"/>
        <v>CFLscw-Refl(19w)Two-pack</v>
      </c>
    </row>
    <row r="812" spans="1:41">
      <c r="A812" s="177">
        <f>IFERROR(MATCH(D812,'Measure &amp; Standard CostIDs'!C$5:C$177,0),MATCH(D812,'Measure &amp; Standard CostIDs'!S$5:S$177,0))</f>
        <v>148</v>
      </c>
      <c r="B812" s="177">
        <f t="shared" si="40"/>
        <v>3</v>
      </c>
      <c r="C812" s="103" t="s">
        <v>153</v>
      </c>
      <c r="D812" s="103" t="str">
        <f t="shared" si="41"/>
        <v>CFLscw-Refl(20w)</v>
      </c>
      <c r="E812" s="103" t="str">
        <f>IF(LEFT(D812,3)="Std","Base case cost for mix of 60% Incandescent and 40% CFL lamps for CFL TechID: "&amp;INDEX('Measure &amp; Standard CostIDs'!$C$5:$C$177,A812),"&lt;from TechID&gt;")</f>
        <v>&lt;from TechID&gt;</v>
      </c>
      <c r="F812" s="103" t="s">
        <v>860</v>
      </c>
      <c r="G812" s="103" t="s">
        <v>151</v>
      </c>
      <c r="H812" s="103" t="s">
        <v>861</v>
      </c>
      <c r="I812" s="103" t="s">
        <v>862</v>
      </c>
      <c r="J812" s="103" t="s">
        <v>863</v>
      </c>
      <c r="K812" s="103" t="s">
        <v>864</v>
      </c>
      <c r="L812" s="103" t="s">
        <v>153</v>
      </c>
      <c r="M812" s="103" t="s">
        <v>865</v>
      </c>
      <c r="N812" s="103" t="s">
        <v>866</v>
      </c>
      <c r="O812" s="103" t="str">
        <f t="shared" si="38"/>
        <v>CFLscw-Refl(20w)</v>
      </c>
      <c r="P812" s="103" t="s">
        <v>153</v>
      </c>
      <c r="Q812" s="103" t="s">
        <v>153</v>
      </c>
      <c r="R812" s="103" t="s">
        <v>153</v>
      </c>
      <c r="S812" s="103" t="str">
        <f>INDEX('Measure &amp; Standard CostIDs'!$AK$8:$AK$12,B812)</f>
        <v>Two-pack</v>
      </c>
      <c r="T812" s="103" t="s">
        <v>867</v>
      </c>
      <c r="U812" s="103"/>
      <c r="V812" s="103"/>
      <c r="W812" s="103">
        <f>ROUND(IF(LEFT(D812,3)="Std",VLOOKUP(D812,'Measure &amp; Standard CostIDs'!$S$5:$X$177,1+B812,FALSE),VLOOKUP(D812,'Measure &amp; Standard CostIDs'!$C$5:$H$177,1+B812,FALSE)),2)</f>
        <v>6.35</v>
      </c>
      <c r="X812" s="103"/>
      <c r="Y812" s="103"/>
      <c r="Z812" s="103" t="s">
        <v>868</v>
      </c>
      <c r="AA812" s="103" t="s">
        <v>874</v>
      </c>
      <c r="AB812" s="103" t="s">
        <v>153</v>
      </c>
      <c r="AC812" s="103">
        <v>0</v>
      </c>
      <c r="AD812" s="156">
        <v>42005</v>
      </c>
      <c r="AE812" s="103"/>
      <c r="AF812" s="103" t="s">
        <v>870</v>
      </c>
      <c r="AG812" s="103" t="s">
        <v>871</v>
      </c>
      <c r="AH812" s="103" t="s">
        <v>976</v>
      </c>
      <c r="AI812" s="103">
        <v>0</v>
      </c>
      <c r="AJ812" s="103"/>
      <c r="AK812" s="103"/>
      <c r="AL812" s="103"/>
      <c r="AM812" s="103"/>
      <c r="AN812" s="103"/>
      <c r="AO812" s="103" t="str">
        <f t="shared" si="39"/>
        <v>CFLscw-Refl(20w)Two-pack</v>
      </c>
    </row>
    <row r="813" spans="1:41">
      <c r="A813" s="177">
        <f>IFERROR(MATCH(D813,'Measure &amp; Standard CostIDs'!C$5:C$177,0),MATCH(D813,'Measure &amp; Standard CostIDs'!S$5:S$177,0))</f>
        <v>149</v>
      </c>
      <c r="B813" s="177">
        <f t="shared" si="40"/>
        <v>3</v>
      </c>
      <c r="C813" s="103" t="s">
        <v>153</v>
      </c>
      <c r="D813" s="103" t="str">
        <f t="shared" si="41"/>
        <v>CFLscw-Refl(21w)</v>
      </c>
      <c r="E813" s="103" t="str">
        <f>IF(LEFT(D813,3)="Std","Base case cost for mix of 60% Incandescent and 40% CFL lamps for CFL TechID: "&amp;INDEX('Measure &amp; Standard CostIDs'!$C$5:$C$177,A813),"&lt;from TechID&gt;")</f>
        <v>&lt;from TechID&gt;</v>
      </c>
      <c r="F813" s="103" t="s">
        <v>860</v>
      </c>
      <c r="G813" s="103" t="s">
        <v>151</v>
      </c>
      <c r="H813" s="103" t="s">
        <v>861</v>
      </c>
      <c r="I813" s="103" t="s">
        <v>862</v>
      </c>
      <c r="J813" s="103" t="s">
        <v>863</v>
      </c>
      <c r="K813" s="103" t="s">
        <v>864</v>
      </c>
      <c r="L813" s="103" t="s">
        <v>153</v>
      </c>
      <c r="M813" s="103" t="s">
        <v>865</v>
      </c>
      <c r="N813" s="103" t="s">
        <v>866</v>
      </c>
      <c r="O813" s="103" t="str">
        <f t="shared" si="38"/>
        <v>CFLscw-Refl(21w)</v>
      </c>
      <c r="P813" s="103" t="s">
        <v>153</v>
      </c>
      <c r="Q813" s="103" t="s">
        <v>153</v>
      </c>
      <c r="R813" s="103" t="s">
        <v>153</v>
      </c>
      <c r="S813" s="103" t="str">
        <f>INDEX('Measure &amp; Standard CostIDs'!$AK$8:$AK$12,B813)</f>
        <v>Two-pack</v>
      </c>
      <c r="T813" s="103" t="s">
        <v>867</v>
      </c>
      <c r="U813" s="103"/>
      <c r="V813" s="103"/>
      <c r="W813" s="103">
        <f>ROUND(IF(LEFT(D813,3)="Std",VLOOKUP(D813,'Measure &amp; Standard CostIDs'!$S$5:$X$177,1+B813,FALSE),VLOOKUP(D813,'Measure &amp; Standard CostIDs'!$C$5:$H$177,1+B813,FALSE)),2)</f>
        <v>6.5</v>
      </c>
      <c r="X813" s="103"/>
      <c r="Y813" s="103"/>
      <c r="Z813" s="103" t="s">
        <v>868</v>
      </c>
      <c r="AA813" s="103" t="s">
        <v>874</v>
      </c>
      <c r="AB813" s="103" t="s">
        <v>153</v>
      </c>
      <c r="AC813" s="103">
        <v>0</v>
      </c>
      <c r="AD813" s="156">
        <v>42005</v>
      </c>
      <c r="AE813" s="103"/>
      <c r="AF813" s="103" t="s">
        <v>870</v>
      </c>
      <c r="AG813" s="103" t="s">
        <v>871</v>
      </c>
      <c r="AH813" s="103" t="s">
        <v>976</v>
      </c>
      <c r="AI813" s="103">
        <v>0</v>
      </c>
      <c r="AJ813" s="103"/>
      <c r="AK813" s="103"/>
      <c r="AL813" s="103"/>
      <c r="AM813" s="103"/>
      <c r="AN813" s="103"/>
      <c r="AO813" s="103" t="str">
        <f t="shared" si="39"/>
        <v>CFLscw-Refl(21w)Two-pack</v>
      </c>
    </row>
    <row r="814" spans="1:41">
      <c r="A814" s="177">
        <f>IFERROR(MATCH(D814,'Measure &amp; Standard CostIDs'!C$5:C$177,0),MATCH(D814,'Measure &amp; Standard CostIDs'!S$5:S$177,0))</f>
        <v>150</v>
      </c>
      <c r="B814" s="177">
        <f t="shared" si="40"/>
        <v>3</v>
      </c>
      <c r="C814" s="103" t="s">
        <v>153</v>
      </c>
      <c r="D814" s="103" t="str">
        <f t="shared" si="41"/>
        <v>CFLscw-Refl(22w)</v>
      </c>
      <c r="E814" s="103" t="str">
        <f>IF(LEFT(D814,3)="Std","Base case cost for mix of 60% Incandescent and 40% CFL lamps for CFL TechID: "&amp;INDEX('Measure &amp; Standard CostIDs'!$C$5:$C$177,A814),"&lt;from TechID&gt;")</f>
        <v>&lt;from TechID&gt;</v>
      </c>
      <c r="F814" s="103" t="s">
        <v>860</v>
      </c>
      <c r="G814" s="103" t="s">
        <v>151</v>
      </c>
      <c r="H814" s="103" t="s">
        <v>861</v>
      </c>
      <c r="I814" s="103" t="s">
        <v>862</v>
      </c>
      <c r="J814" s="103" t="s">
        <v>863</v>
      </c>
      <c r="K814" s="103" t="s">
        <v>864</v>
      </c>
      <c r="L814" s="103" t="s">
        <v>153</v>
      </c>
      <c r="M814" s="103" t="s">
        <v>865</v>
      </c>
      <c r="N814" s="103" t="s">
        <v>866</v>
      </c>
      <c r="O814" s="103" t="str">
        <f t="shared" si="38"/>
        <v>CFLscw-Refl(22w)</v>
      </c>
      <c r="P814" s="103" t="s">
        <v>153</v>
      </c>
      <c r="Q814" s="103" t="s">
        <v>153</v>
      </c>
      <c r="R814" s="103" t="s">
        <v>153</v>
      </c>
      <c r="S814" s="103" t="str">
        <f>INDEX('Measure &amp; Standard CostIDs'!$AK$8:$AK$12,B814)</f>
        <v>Two-pack</v>
      </c>
      <c r="T814" s="103" t="s">
        <v>867</v>
      </c>
      <c r="U814" s="103"/>
      <c r="V814" s="103"/>
      <c r="W814" s="103">
        <f>ROUND(IF(LEFT(D814,3)="Std",VLOOKUP(D814,'Measure &amp; Standard CostIDs'!$S$5:$X$177,1+B814,FALSE),VLOOKUP(D814,'Measure &amp; Standard CostIDs'!$C$5:$H$177,1+B814,FALSE)),2)</f>
        <v>6.65</v>
      </c>
      <c r="X814" s="103"/>
      <c r="Y814" s="103"/>
      <c r="Z814" s="103" t="s">
        <v>868</v>
      </c>
      <c r="AA814" s="103" t="s">
        <v>874</v>
      </c>
      <c r="AB814" s="103" t="s">
        <v>153</v>
      </c>
      <c r="AC814" s="103">
        <v>0</v>
      </c>
      <c r="AD814" s="156">
        <v>42005</v>
      </c>
      <c r="AE814" s="103"/>
      <c r="AF814" s="103" t="s">
        <v>870</v>
      </c>
      <c r="AG814" s="103" t="s">
        <v>871</v>
      </c>
      <c r="AH814" s="103" t="s">
        <v>976</v>
      </c>
      <c r="AI814" s="103">
        <v>0</v>
      </c>
      <c r="AJ814" s="103"/>
      <c r="AK814" s="103"/>
      <c r="AL814" s="103"/>
      <c r="AM814" s="103"/>
      <c r="AN814" s="103"/>
      <c r="AO814" s="103" t="str">
        <f t="shared" si="39"/>
        <v>CFLscw-Refl(22w)Two-pack</v>
      </c>
    </row>
    <row r="815" spans="1:41">
      <c r="A815" s="177">
        <f>IFERROR(MATCH(D815,'Measure &amp; Standard CostIDs'!C$5:C$177,0),MATCH(D815,'Measure &amp; Standard CostIDs'!S$5:S$177,0))</f>
        <v>151</v>
      </c>
      <c r="B815" s="177">
        <f t="shared" si="40"/>
        <v>3</v>
      </c>
      <c r="C815" s="103" t="s">
        <v>153</v>
      </c>
      <c r="D815" s="103" t="str">
        <f t="shared" si="41"/>
        <v>CFLscw-Refl(24w)</v>
      </c>
      <c r="E815" s="103" t="str">
        <f>IF(LEFT(D815,3)="Std","Base case cost for mix of 60% Incandescent and 40% CFL lamps for CFL TechID: "&amp;INDEX('Measure &amp; Standard CostIDs'!$C$5:$C$177,A815),"&lt;from TechID&gt;")</f>
        <v>&lt;from TechID&gt;</v>
      </c>
      <c r="F815" s="103" t="s">
        <v>860</v>
      </c>
      <c r="G815" s="103" t="s">
        <v>151</v>
      </c>
      <c r="H815" s="103" t="s">
        <v>861</v>
      </c>
      <c r="I815" s="103" t="s">
        <v>862</v>
      </c>
      <c r="J815" s="103" t="s">
        <v>863</v>
      </c>
      <c r="K815" s="103" t="s">
        <v>864</v>
      </c>
      <c r="L815" s="103" t="s">
        <v>153</v>
      </c>
      <c r="M815" s="103" t="s">
        <v>865</v>
      </c>
      <c r="N815" s="103" t="s">
        <v>866</v>
      </c>
      <c r="O815" s="103" t="str">
        <f t="shared" si="38"/>
        <v>CFLscw-Refl(24w)</v>
      </c>
      <c r="P815" s="103" t="s">
        <v>153</v>
      </c>
      <c r="Q815" s="103" t="s">
        <v>153</v>
      </c>
      <c r="R815" s="103" t="s">
        <v>153</v>
      </c>
      <c r="S815" s="103" t="str">
        <f>INDEX('Measure &amp; Standard CostIDs'!$AK$8:$AK$12,B815)</f>
        <v>Two-pack</v>
      </c>
      <c r="T815" s="103" t="s">
        <v>867</v>
      </c>
      <c r="U815" s="103"/>
      <c r="V815" s="103"/>
      <c r="W815" s="103">
        <f>ROUND(IF(LEFT(D815,3)="Std",VLOOKUP(D815,'Measure &amp; Standard CostIDs'!$S$5:$X$177,1+B815,FALSE),VLOOKUP(D815,'Measure &amp; Standard CostIDs'!$C$5:$H$177,1+B815,FALSE)),2)</f>
        <v>6.94</v>
      </c>
      <c r="X815" s="103"/>
      <c r="Y815" s="103"/>
      <c r="Z815" s="103" t="s">
        <v>868</v>
      </c>
      <c r="AA815" s="103" t="s">
        <v>874</v>
      </c>
      <c r="AB815" s="103" t="s">
        <v>153</v>
      </c>
      <c r="AC815" s="103">
        <v>0</v>
      </c>
      <c r="AD815" s="156">
        <v>42005</v>
      </c>
      <c r="AE815" s="103"/>
      <c r="AF815" s="103" t="s">
        <v>870</v>
      </c>
      <c r="AG815" s="103" t="s">
        <v>871</v>
      </c>
      <c r="AH815" s="103" t="s">
        <v>976</v>
      </c>
      <c r="AI815" s="103">
        <v>0</v>
      </c>
      <c r="AJ815" s="103"/>
      <c r="AK815" s="103"/>
      <c r="AL815" s="103"/>
      <c r="AM815" s="103"/>
      <c r="AN815" s="103"/>
      <c r="AO815" s="103" t="str">
        <f t="shared" si="39"/>
        <v>CFLscw-Refl(24w)Two-pack</v>
      </c>
    </row>
    <row r="816" spans="1:41">
      <c r="A816" s="177">
        <f>IFERROR(MATCH(D816,'Measure &amp; Standard CostIDs'!C$5:C$177,0),MATCH(D816,'Measure &amp; Standard CostIDs'!S$5:S$177,0))</f>
        <v>152</v>
      </c>
      <c r="B816" s="177">
        <f t="shared" si="40"/>
        <v>3</v>
      </c>
      <c r="C816" s="103" t="s">
        <v>153</v>
      </c>
      <c r="D816" s="103" t="str">
        <f t="shared" si="41"/>
        <v>CFLscw-Refl(25w)</v>
      </c>
      <c r="E816" s="103" t="str">
        <f>IF(LEFT(D816,3)="Std","Base case cost for mix of 60% Incandescent and 40% CFL lamps for CFL TechID: "&amp;INDEX('Measure &amp; Standard CostIDs'!$C$5:$C$177,A816),"&lt;from TechID&gt;")</f>
        <v>&lt;from TechID&gt;</v>
      </c>
      <c r="F816" s="103" t="s">
        <v>860</v>
      </c>
      <c r="G816" s="103" t="s">
        <v>151</v>
      </c>
      <c r="H816" s="103" t="s">
        <v>861</v>
      </c>
      <c r="I816" s="103" t="s">
        <v>862</v>
      </c>
      <c r="J816" s="103" t="s">
        <v>863</v>
      </c>
      <c r="K816" s="103" t="s">
        <v>864</v>
      </c>
      <c r="L816" s="103" t="s">
        <v>153</v>
      </c>
      <c r="M816" s="103" t="s">
        <v>865</v>
      </c>
      <c r="N816" s="103" t="s">
        <v>866</v>
      </c>
      <c r="O816" s="103" t="str">
        <f t="shared" si="38"/>
        <v>CFLscw-Refl(25w)</v>
      </c>
      <c r="P816" s="103" t="s">
        <v>153</v>
      </c>
      <c r="Q816" s="103" t="s">
        <v>153</v>
      </c>
      <c r="R816" s="103" t="s">
        <v>153</v>
      </c>
      <c r="S816" s="103" t="str">
        <f>INDEX('Measure &amp; Standard CostIDs'!$AK$8:$AK$12,B816)</f>
        <v>Two-pack</v>
      </c>
      <c r="T816" s="103" t="s">
        <v>867</v>
      </c>
      <c r="U816" s="103"/>
      <c r="V816" s="103"/>
      <c r="W816" s="103">
        <f>ROUND(IF(LEFT(D816,3)="Std",VLOOKUP(D816,'Measure &amp; Standard CostIDs'!$S$5:$X$177,1+B816,FALSE),VLOOKUP(D816,'Measure &amp; Standard CostIDs'!$C$5:$H$177,1+B816,FALSE)),2)</f>
        <v>7.09</v>
      </c>
      <c r="X816" s="103"/>
      <c r="Y816" s="103"/>
      <c r="Z816" s="103" t="s">
        <v>868</v>
      </c>
      <c r="AA816" s="103" t="s">
        <v>874</v>
      </c>
      <c r="AB816" s="103" t="s">
        <v>153</v>
      </c>
      <c r="AC816" s="103">
        <v>0</v>
      </c>
      <c r="AD816" s="156">
        <v>42005</v>
      </c>
      <c r="AE816" s="103"/>
      <c r="AF816" s="103" t="s">
        <v>870</v>
      </c>
      <c r="AG816" s="103" t="s">
        <v>871</v>
      </c>
      <c r="AH816" s="103" t="s">
        <v>976</v>
      </c>
      <c r="AI816" s="103">
        <v>0</v>
      </c>
      <c r="AJ816" s="103"/>
      <c r="AK816" s="103"/>
      <c r="AL816" s="103"/>
      <c r="AM816" s="103"/>
      <c r="AN816" s="103"/>
      <c r="AO816" s="103" t="str">
        <f t="shared" si="39"/>
        <v>CFLscw-Refl(25w)Two-pack</v>
      </c>
    </row>
    <row r="817" spans="1:41">
      <c r="A817" s="177">
        <f>IFERROR(MATCH(D817,'Measure &amp; Standard CostIDs'!C$5:C$177,0),MATCH(D817,'Measure &amp; Standard CostIDs'!S$5:S$177,0))</f>
        <v>153</v>
      </c>
      <c r="B817" s="177">
        <f t="shared" si="40"/>
        <v>3</v>
      </c>
      <c r="C817" s="103" t="s">
        <v>153</v>
      </c>
      <c r="D817" s="103" t="str">
        <f t="shared" si="41"/>
        <v>CFLscw-Refl(26w)</v>
      </c>
      <c r="E817" s="103" t="str">
        <f>IF(LEFT(D817,3)="Std","Base case cost for mix of 60% Incandescent and 40% CFL lamps for CFL TechID: "&amp;INDEX('Measure &amp; Standard CostIDs'!$C$5:$C$177,A817),"&lt;from TechID&gt;")</f>
        <v>&lt;from TechID&gt;</v>
      </c>
      <c r="F817" s="103" t="s">
        <v>860</v>
      </c>
      <c r="G817" s="103" t="s">
        <v>151</v>
      </c>
      <c r="H817" s="103" t="s">
        <v>861</v>
      </c>
      <c r="I817" s="103" t="s">
        <v>862</v>
      </c>
      <c r="J817" s="103" t="s">
        <v>863</v>
      </c>
      <c r="K817" s="103" t="s">
        <v>864</v>
      </c>
      <c r="L817" s="103" t="s">
        <v>153</v>
      </c>
      <c r="M817" s="103" t="s">
        <v>865</v>
      </c>
      <c r="N817" s="103" t="s">
        <v>866</v>
      </c>
      <c r="O817" s="103" t="str">
        <f t="shared" si="38"/>
        <v>CFLscw-Refl(26w)</v>
      </c>
      <c r="P817" s="103" t="s">
        <v>153</v>
      </c>
      <c r="Q817" s="103" t="s">
        <v>153</v>
      </c>
      <c r="R817" s="103" t="s">
        <v>153</v>
      </c>
      <c r="S817" s="103" t="str">
        <f>INDEX('Measure &amp; Standard CostIDs'!$AK$8:$AK$12,B817)</f>
        <v>Two-pack</v>
      </c>
      <c r="T817" s="103" t="s">
        <v>867</v>
      </c>
      <c r="U817" s="103"/>
      <c r="V817" s="103"/>
      <c r="W817" s="103">
        <f>ROUND(IF(LEFT(D817,3)="Std",VLOOKUP(D817,'Measure &amp; Standard CostIDs'!$S$5:$X$177,1+B817,FALSE),VLOOKUP(D817,'Measure &amp; Standard CostIDs'!$C$5:$H$177,1+B817,FALSE)),2)</f>
        <v>7.24</v>
      </c>
      <c r="X817" s="103"/>
      <c r="Y817" s="103"/>
      <c r="Z817" s="103" t="s">
        <v>868</v>
      </c>
      <c r="AA817" s="103" t="s">
        <v>874</v>
      </c>
      <c r="AB817" s="103" t="s">
        <v>153</v>
      </c>
      <c r="AC817" s="103">
        <v>0</v>
      </c>
      <c r="AD817" s="156">
        <v>42005</v>
      </c>
      <c r="AE817" s="103"/>
      <c r="AF817" s="103" t="s">
        <v>870</v>
      </c>
      <c r="AG817" s="103" t="s">
        <v>871</v>
      </c>
      <c r="AH817" s="103" t="s">
        <v>976</v>
      </c>
      <c r="AI817" s="103">
        <v>0</v>
      </c>
      <c r="AJ817" s="103"/>
      <c r="AK817" s="103"/>
      <c r="AL817" s="103"/>
      <c r="AM817" s="103"/>
      <c r="AN817" s="103"/>
      <c r="AO817" s="103" t="str">
        <f t="shared" si="39"/>
        <v>CFLscw-Refl(26w)Two-pack</v>
      </c>
    </row>
    <row r="818" spans="1:41">
      <c r="A818" s="177">
        <f>IFERROR(MATCH(D818,'Measure &amp; Standard CostIDs'!C$5:C$177,0),MATCH(D818,'Measure &amp; Standard CostIDs'!S$5:S$177,0))</f>
        <v>154</v>
      </c>
      <c r="B818" s="177">
        <f t="shared" si="40"/>
        <v>3</v>
      </c>
      <c r="C818" s="103" t="s">
        <v>153</v>
      </c>
      <c r="D818" s="103" t="str">
        <f t="shared" si="41"/>
        <v>CFLscw-Refl(5w)</v>
      </c>
      <c r="E818" s="103" t="str">
        <f>IF(LEFT(D818,3)="Std","Base case cost for mix of 60% Incandescent and 40% CFL lamps for CFL TechID: "&amp;INDEX('Measure &amp; Standard CostIDs'!$C$5:$C$177,A818),"&lt;from TechID&gt;")</f>
        <v>&lt;from TechID&gt;</v>
      </c>
      <c r="F818" s="103" t="s">
        <v>860</v>
      </c>
      <c r="G818" s="103" t="s">
        <v>151</v>
      </c>
      <c r="H818" s="103" t="s">
        <v>861</v>
      </c>
      <c r="I818" s="103" t="s">
        <v>862</v>
      </c>
      <c r="J818" s="103" t="s">
        <v>863</v>
      </c>
      <c r="K818" s="103" t="s">
        <v>864</v>
      </c>
      <c r="L818" s="103" t="s">
        <v>153</v>
      </c>
      <c r="M818" s="103" t="s">
        <v>865</v>
      </c>
      <c r="N818" s="103" t="s">
        <v>866</v>
      </c>
      <c r="O818" s="103" t="str">
        <f t="shared" si="38"/>
        <v>CFLscw-Refl(5w)</v>
      </c>
      <c r="P818" s="103" t="s">
        <v>153</v>
      </c>
      <c r="Q818" s="103" t="s">
        <v>153</v>
      </c>
      <c r="R818" s="103" t="s">
        <v>153</v>
      </c>
      <c r="S818" s="103" t="str">
        <f>INDEX('Measure &amp; Standard CostIDs'!$AK$8:$AK$12,B818)</f>
        <v>Two-pack</v>
      </c>
      <c r="T818" s="103" t="s">
        <v>867</v>
      </c>
      <c r="U818" s="103"/>
      <c r="V818" s="103"/>
      <c r="W818" s="103">
        <f>ROUND(IF(LEFT(D818,3)="Std",VLOOKUP(D818,'Measure &amp; Standard CostIDs'!$S$5:$X$177,1+B818,FALSE),VLOOKUP(D818,'Measure &amp; Standard CostIDs'!$C$5:$H$177,1+B818,FALSE)),2)</f>
        <v>4.1399999999999997</v>
      </c>
      <c r="X818" s="103"/>
      <c r="Y818" s="103"/>
      <c r="Z818" s="103" t="s">
        <v>868</v>
      </c>
      <c r="AA818" s="103" t="s">
        <v>874</v>
      </c>
      <c r="AB818" s="103" t="s">
        <v>153</v>
      </c>
      <c r="AC818" s="103">
        <v>0</v>
      </c>
      <c r="AD818" s="156">
        <v>42005</v>
      </c>
      <c r="AE818" s="103"/>
      <c r="AF818" s="103" t="s">
        <v>870</v>
      </c>
      <c r="AG818" s="103" t="s">
        <v>871</v>
      </c>
      <c r="AH818" s="103" t="s">
        <v>976</v>
      </c>
      <c r="AI818" s="103">
        <v>0</v>
      </c>
      <c r="AJ818" s="103"/>
      <c r="AK818" s="103"/>
      <c r="AL818" s="103"/>
      <c r="AM818" s="103"/>
      <c r="AN818" s="103"/>
      <c r="AO818" s="103" t="str">
        <f t="shared" si="39"/>
        <v>CFLscw-Refl(5w)Two-pack</v>
      </c>
    </row>
    <row r="819" spans="1:41">
      <c r="A819" s="177">
        <f>IFERROR(MATCH(D819,'Measure &amp; Standard CostIDs'!C$5:C$177,0),MATCH(D819,'Measure &amp; Standard CostIDs'!S$5:S$177,0))</f>
        <v>155</v>
      </c>
      <c r="B819" s="177">
        <f t="shared" si="40"/>
        <v>3</v>
      </c>
      <c r="C819" s="103" t="s">
        <v>153</v>
      </c>
      <c r="D819" s="103" t="str">
        <f t="shared" si="41"/>
        <v>CFLscw-Refl(6w)</v>
      </c>
      <c r="E819" s="103" t="str">
        <f>IF(LEFT(D819,3)="Std","Base case cost for mix of 60% Incandescent and 40% CFL lamps for CFL TechID: "&amp;INDEX('Measure &amp; Standard CostIDs'!$C$5:$C$177,A819),"&lt;from TechID&gt;")</f>
        <v>&lt;from TechID&gt;</v>
      </c>
      <c r="F819" s="103" t="s">
        <v>860</v>
      </c>
      <c r="G819" s="103" t="s">
        <v>151</v>
      </c>
      <c r="H819" s="103" t="s">
        <v>861</v>
      </c>
      <c r="I819" s="103" t="s">
        <v>862</v>
      </c>
      <c r="J819" s="103" t="s">
        <v>863</v>
      </c>
      <c r="K819" s="103" t="s">
        <v>864</v>
      </c>
      <c r="L819" s="103" t="s">
        <v>153</v>
      </c>
      <c r="M819" s="103" t="s">
        <v>865</v>
      </c>
      <c r="N819" s="103" t="s">
        <v>866</v>
      </c>
      <c r="O819" s="103" t="str">
        <f t="shared" si="38"/>
        <v>CFLscw-Refl(6w)</v>
      </c>
      <c r="P819" s="103" t="s">
        <v>153</v>
      </c>
      <c r="Q819" s="103" t="s">
        <v>153</v>
      </c>
      <c r="R819" s="103" t="s">
        <v>153</v>
      </c>
      <c r="S819" s="103" t="str">
        <f>INDEX('Measure &amp; Standard CostIDs'!$AK$8:$AK$12,B819)</f>
        <v>Two-pack</v>
      </c>
      <c r="T819" s="103" t="s">
        <v>867</v>
      </c>
      <c r="U819" s="103"/>
      <c r="V819" s="103"/>
      <c r="W819" s="103">
        <f>ROUND(IF(LEFT(D819,3)="Std",VLOOKUP(D819,'Measure &amp; Standard CostIDs'!$S$5:$X$177,1+B819,FALSE),VLOOKUP(D819,'Measure &amp; Standard CostIDs'!$C$5:$H$177,1+B819,FALSE)),2)</f>
        <v>4.29</v>
      </c>
      <c r="X819" s="103"/>
      <c r="Y819" s="103"/>
      <c r="Z819" s="103" t="s">
        <v>868</v>
      </c>
      <c r="AA819" s="103" t="s">
        <v>874</v>
      </c>
      <c r="AB819" s="103" t="s">
        <v>153</v>
      </c>
      <c r="AC819" s="103">
        <v>0</v>
      </c>
      <c r="AD819" s="156">
        <v>42005</v>
      </c>
      <c r="AE819" s="103"/>
      <c r="AF819" s="103" t="s">
        <v>870</v>
      </c>
      <c r="AG819" s="103" t="s">
        <v>871</v>
      </c>
      <c r="AH819" s="103" t="s">
        <v>976</v>
      </c>
      <c r="AI819" s="103">
        <v>0</v>
      </c>
      <c r="AJ819" s="103"/>
      <c r="AK819" s="103"/>
      <c r="AL819" s="103"/>
      <c r="AM819" s="103"/>
      <c r="AN819" s="103"/>
      <c r="AO819" s="103" t="str">
        <f t="shared" si="39"/>
        <v>CFLscw-Refl(6w)Two-pack</v>
      </c>
    </row>
    <row r="820" spans="1:41">
      <c r="A820" s="177">
        <f>IFERROR(MATCH(D820,'Measure &amp; Standard CostIDs'!C$5:C$177,0),MATCH(D820,'Measure &amp; Standard CostIDs'!S$5:S$177,0))</f>
        <v>156</v>
      </c>
      <c r="B820" s="177">
        <f t="shared" si="40"/>
        <v>3</v>
      </c>
      <c r="C820" s="103" t="s">
        <v>153</v>
      </c>
      <c r="D820" s="103" t="str">
        <f t="shared" si="41"/>
        <v>CFLscw-Refl(7w)</v>
      </c>
      <c r="E820" s="103" t="str">
        <f>IF(LEFT(D820,3)="Std","Base case cost for mix of 60% Incandescent and 40% CFL lamps for CFL TechID: "&amp;INDEX('Measure &amp; Standard CostIDs'!$C$5:$C$177,A820),"&lt;from TechID&gt;")</f>
        <v>&lt;from TechID&gt;</v>
      </c>
      <c r="F820" s="103" t="s">
        <v>860</v>
      </c>
      <c r="G820" s="103" t="s">
        <v>151</v>
      </c>
      <c r="H820" s="103" t="s">
        <v>861</v>
      </c>
      <c r="I820" s="103" t="s">
        <v>862</v>
      </c>
      <c r="J820" s="103" t="s">
        <v>863</v>
      </c>
      <c r="K820" s="103" t="s">
        <v>864</v>
      </c>
      <c r="L820" s="103" t="s">
        <v>153</v>
      </c>
      <c r="M820" s="103" t="s">
        <v>865</v>
      </c>
      <c r="N820" s="103" t="s">
        <v>866</v>
      </c>
      <c r="O820" s="103" t="str">
        <f t="shared" si="38"/>
        <v>CFLscw-Refl(7w)</v>
      </c>
      <c r="P820" s="103" t="s">
        <v>153</v>
      </c>
      <c r="Q820" s="103" t="s">
        <v>153</v>
      </c>
      <c r="R820" s="103" t="s">
        <v>153</v>
      </c>
      <c r="S820" s="103" t="str">
        <f>INDEX('Measure &amp; Standard CostIDs'!$AK$8:$AK$12,B820)</f>
        <v>Two-pack</v>
      </c>
      <c r="T820" s="103" t="s">
        <v>867</v>
      </c>
      <c r="U820" s="103"/>
      <c r="V820" s="103"/>
      <c r="W820" s="103">
        <f>ROUND(IF(LEFT(D820,3)="Std",VLOOKUP(D820,'Measure &amp; Standard CostIDs'!$S$5:$X$177,1+B820,FALSE),VLOOKUP(D820,'Measure &amp; Standard CostIDs'!$C$5:$H$177,1+B820,FALSE)),2)</f>
        <v>4.4400000000000004</v>
      </c>
      <c r="X820" s="103"/>
      <c r="Y820" s="103"/>
      <c r="Z820" s="103" t="s">
        <v>868</v>
      </c>
      <c r="AA820" s="103" t="s">
        <v>874</v>
      </c>
      <c r="AB820" s="103" t="s">
        <v>153</v>
      </c>
      <c r="AC820" s="103">
        <v>0</v>
      </c>
      <c r="AD820" s="156">
        <v>42005</v>
      </c>
      <c r="AE820" s="103"/>
      <c r="AF820" s="103" t="s">
        <v>870</v>
      </c>
      <c r="AG820" s="103" t="s">
        <v>871</v>
      </c>
      <c r="AH820" s="103" t="s">
        <v>976</v>
      </c>
      <c r="AI820" s="103">
        <v>0</v>
      </c>
      <c r="AJ820" s="103"/>
      <c r="AK820" s="103"/>
      <c r="AL820" s="103"/>
      <c r="AM820" s="103"/>
      <c r="AN820" s="103"/>
      <c r="AO820" s="103" t="str">
        <f t="shared" si="39"/>
        <v>CFLscw-Refl(7w)Two-pack</v>
      </c>
    </row>
    <row r="821" spans="1:41">
      <c r="A821" s="177">
        <f>IFERROR(MATCH(D821,'Measure &amp; Standard CostIDs'!C$5:C$177,0),MATCH(D821,'Measure &amp; Standard CostIDs'!S$5:S$177,0))</f>
        <v>157</v>
      </c>
      <c r="B821" s="177">
        <f t="shared" si="40"/>
        <v>3</v>
      </c>
      <c r="C821" s="103" t="s">
        <v>153</v>
      </c>
      <c r="D821" s="103" t="str">
        <f t="shared" si="41"/>
        <v>CFLscw-Refl(8w)</v>
      </c>
      <c r="E821" s="103" t="str">
        <f>IF(LEFT(D821,3)="Std","Base case cost for mix of 60% Incandescent and 40% CFL lamps for CFL TechID: "&amp;INDEX('Measure &amp; Standard CostIDs'!$C$5:$C$177,A821),"&lt;from TechID&gt;")</f>
        <v>&lt;from TechID&gt;</v>
      </c>
      <c r="F821" s="103" t="s">
        <v>860</v>
      </c>
      <c r="G821" s="103" t="s">
        <v>151</v>
      </c>
      <c r="H821" s="103" t="s">
        <v>861</v>
      </c>
      <c r="I821" s="103" t="s">
        <v>862</v>
      </c>
      <c r="J821" s="103" t="s">
        <v>863</v>
      </c>
      <c r="K821" s="103" t="s">
        <v>864</v>
      </c>
      <c r="L821" s="103" t="s">
        <v>153</v>
      </c>
      <c r="M821" s="103" t="s">
        <v>865</v>
      </c>
      <c r="N821" s="103" t="s">
        <v>866</v>
      </c>
      <c r="O821" s="103" t="str">
        <f t="shared" si="38"/>
        <v>CFLscw-Refl(8w)</v>
      </c>
      <c r="P821" s="103" t="s">
        <v>153</v>
      </c>
      <c r="Q821" s="103" t="s">
        <v>153</v>
      </c>
      <c r="R821" s="103" t="s">
        <v>153</v>
      </c>
      <c r="S821" s="103" t="str">
        <f>INDEX('Measure &amp; Standard CostIDs'!$AK$8:$AK$12,B821)</f>
        <v>Two-pack</v>
      </c>
      <c r="T821" s="103" t="s">
        <v>867</v>
      </c>
      <c r="U821" s="103"/>
      <c r="V821" s="103"/>
      <c r="W821" s="103">
        <f>ROUND(IF(LEFT(D821,3)="Std",VLOOKUP(D821,'Measure &amp; Standard CostIDs'!$S$5:$X$177,1+B821,FALSE),VLOOKUP(D821,'Measure &amp; Standard CostIDs'!$C$5:$H$177,1+B821,FALSE)),2)</f>
        <v>4.59</v>
      </c>
      <c r="X821" s="103"/>
      <c r="Y821" s="103"/>
      <c r="Z821" s="103" t="s">
        <v>868</v>
      </c>
      <c r="AA821" s="103" t="s">
        <v>874</v>
      </c>
      <c r="AB821" s="103" t="s">
        <v>153</v>
      </c>
      <c r="AC821" s="103">
        <v>0</v>
      </c>
      <c r="AD821" s="156">
        <v>42005</v>
      </c>
      <c r="AE821" s="103"/>
      <c r="AF821" s="103" t="s">
        <v>870</v>
      </c>
      <c r="AG821" s="103" t="s">
        <v>871</v>
      </c>
      <c r="AH821" s="103" t="s">
        <v>976</v>
      </c>
      <c r="AI821" s="103">
        <v>0</v>
      </c>
      <c r="AJ821" s="103"/>
      <c r="AK821" s="103"/>
      <c r="AL821" s="103"/>
      <c r="AM821" s="103"/>
      <c r="AN821" s="103"/>
      <c r="AO821" s="103" t="str">
        <f t="shared" si="39"/>
        <v>CFLscw-Refl(8w)Two-pack</v>
      </c>
    </row>
    <row r="822" spans="1:41">
      <c r="A822" s="177">
        <f>IFERROR(MATCH(D822,'Measure &amp; Standard CostIDs'!C$5:C$177,0),MATCH(D822,'Measure &amp; Standard CostIDs'!S$5:S$177,0))</f>
        <v>158</v>
      </c>
      <c r="B822" s="177">
        <f t="shared" si="40"/>
        <v>3</v>
      </c>
      <c r="C822" s="103" t="s">
        <v>153</v>
      </c>
      <c r="D822" s="103" t="str">
        <f t="shared" si="41"/>
        <v>CFLscw-Refl(9w)</v>
      </c>
      <c r="E822" s="103" t="str">
        <f>IF(LEFT(D822,3)="Std","Base case cost for mix of 60% Incandescent and 40% CFL lamps for CFL TechID: "&amp;INDEX('Measure &amp; Standard CostIDs'!$C$5:$C$177,A822),"&lt;from TechID&gt;")</f>
        <v>&lt;from TechID&gt;</v>
      </c>
      <c r="F822" s="103" t="s">
        <v>860</v>
      </c>
      <c r="G822" s="103" t="s">
        <v>151</v>
      </c>
      <c r="H822" s="103" t="s">
        <v>861</v>
      </c>
      <c r="I822" s="103" t="s">
        <v>862</v>
      </c>
      <c r="J822" s="103" t="s">
        <v>863</v>
      </c>
      <c r="K822" s="103" t="s">
        <v>864</v>
      </c>
      <c r="L822" s="103" t="s">
        <v>153</v>
      </c>
      <c r="M822" s="103" t="s">
        <v>865</v>
      </c>
      <c r="N822" s="103" t="s">
        <v>866</v>
      </c>
      <c r="O822" s="103" t="str">
        <f t="shared" si="38"/>
        <v>CFLscw-Refl(9w)</v>
      </c>
      <c r="P822" s="103" t="s">
        <v>153</v>
      </c>
      <c r="Q822" s="103" t="s">
        <v>153</v>
      </c>
      <c r="R822" s="103" t="s">
        <v>153</v>
      </c>
      <c r="S822" s="103" t="str">
        <f>INDEX('Measure &amp; Standard CostIDs'!$AK$8:$AK$12,B822)</f>
        <v>Two-pack</v>
      </c>
      <c r="T822" s="103" t="s">
        <v>867</v>
      </c>
      <c r="U822" s="103"/>
      <c r="V822" s="103"/>
      <c r="W822" s="103">
        <f>ROUND(IF(LEFT(D822,3)="Std",VLOOKUP(D822,'Measure &amp; Standard CostIDs'!$S$5:$X$177,1+B822,FALSE),VLOOKUP(D822,'Measure &amp; Standard CostIDs'!$C$5:$H$177,1+B822,FALSE)),2)</f>
        <v>4.7300000000000004</v>
      </c>
      <c r="X822" s="103"/>
      <c r="Y822" s="103"/>
      <c r="Z822" s="103" t="s">
        <v>868</v>
      </c>
      <c r="AA822" s="103" t="s">
        <v>874</v>
      </c>
      <c r="AB822" s="103" t="s">
        <v>153</v>
      </c>
      <c r="AC822" s="103">
        <v>0</v>
      </c>
      <c r="AD822" s="156">
        <v>42005</v>
      </c>
      <c r="AE822" s="103"/>
      <c r="AF822" s="103" t="s">
        <v>870</v>
      </c>
      <c r="AG822" s="103" t="s">
        <v>871</v>
      </c>
      <c r="AH822" s="103" t="s">
        <v>976</v>
      </c>
      <c r="AI822" s="103">
        <v>0</v>
      </c>
      <c r="AJ822" s="103"/>
      <c r="AK822" s="103"/>
      <c r="AL822" s="103"/>
      <c r="AM822" s="103"/>
      <c r="AN822" s="103"/>
      <c r="AO822" s="103" t="str">
        <f t="shared" si="39"/>
        <v>CFLscw-Refl(9w)Two-pack</v>
      </c>
    </row>
    <row r="823" spans="1:41">
      <c r="A823" s="177">
        <f>IFERROR(MATCH(D823,'Measure &amp; Standard CostIDs'!C$5:C$177,0),MATCH(D823,'Measure &amp; Standard CostIDs'!S$5:S$177,0))</f>
        <v>159</v>
      </c>
      <c r="B823" s="177">
        <f t="shared" si="40"/>
        <v>3</v>
      </c>
      <c r="C823" s="103" t="s">
        <v>153</v>
      </c>
      <c r="D823" s="103" t="str">
        <f t="shared" si="41"/>
        <v>CFLscw-Refl-1(15w)</v>
      </c>
      <c r="E823" s="103" t="str">
        <f>IF(LEFT(D823,3)="Std","Base case cost for mix of 60% Incandescent and 40% CFL lamps for CFL TechID: "&amp;INDEX('Measure &amp; Standard CostIDs'!$C$5:$C$177,A823),"&lt;from TechID&gt;")</f>
        <v>&lt;from TechID&gt;</v>
      </c>
      <c r="F823" s="103" t="s">
        <v>860</v>
      </c>
      <c r="G823" s="103" t="s">
        <v>151</v>
      </c>
      <c r="H823" s="103" t="s">
        <v>861</v>
      </c>
      <c r="I823" s="103" t="s">
        <v>862</v>
      </c>
      <c r="J823" s="103" t="s">
        <v>863</v>
      </c>
      <c r="K823" s="103" t="s">
        <v>864</v>
      </c>
      <c r="L823" s="103" t="s">
        <v>153</v>
      </c>
      <c r="M823" s="103" t="s">
        <v>865</v>
      </c>
      <c r="N823" s="103" t="s">
        <v>866</v>
      </c>
      <c r="O823" s="103" t="str">
        <f t="shared" si="38"/>
        <v>CFLscw-Refl-1(15w)</v>
      </c>
      <c r="P823" s="103" t="s">
        <v>153</v>
      </c>
      <c r="Q823" s="103" t="s">
        <v>153</v>
      </c>
      <c r="R823" s="103" t="s">
        <v>153</v>
      </c>
      <c r="S823" s="103" t="str">
        <f>INDEX('Measure &amp; Standard CostIDs'!$AK$8:$AK$12,B823)</f>
        <v>Two-pack</v>
      </c>
      <c r="T823" s="103" t="s">
        <v>867</v>
      </c>
      <c r="U823" s="103"/>
      <c r="V823" s="103"/>
      <c r="W823" s="103">
        <f>ROUND(IF(LEFT(D823,3)="Std",VLOOKUP(D823,'Measure &amp; Standard CostIDs'!$S$5:$X$177,1+B823,FALSE),VLOOKUP(D823,'Measure &amp; Standard CostIDs'!$C$5:$H$177,1+B823,FALSE)),2)</f>
        <v>5.62</v>
      </c>
      <c r="X823" s="103"/>
      <c r="Y823" s="103"/>
      <c r="Z823" s="103" t="s">
        <v>868</v>
      </c>
      <c r="AA823" s="103" t="s">
        <v>874</v>
      </c>
      <c r="AB823" s="103" t="s">
        <v>153</v>
      </c>
      <c r="AC823" s="103">
        <v>0</v>
      </c>
      <c r="AD823" s="156">
        <v>42005</v>
      </c>
      <c r="AE823" s="103"/>
      <c r="AF823" s="103" t="s">
        <v>870</v>
      </c>
      <c r="AG823" s="103" t="s">
        <v>871</v>
      </c>
      <c r="AH823" s="103" t="s">
        <v>976</v>
      </c>
      <c r="AI823" s="103">
        <v>0</v>
      </c>
      <c r="AJ823" s="103"/>
      <c r="AK823" s="103"/>
      <c r="AL823" s="103"/>
      <c r="AM823" s="103"/>
      <c r="AN823" s="103"/>
      <c r="AO823" s="103" t="str">
        <f t="shared" si="39"/>
        <v>CFLscw-Refl-1(15w)Two-pack</v>
      </c>
    </row>
    <row r="824" spans="1:41">
      <c r="A824" s="177">
        <f>IFERROR(MATCH(D824,'Measure &amp; Standard CostIDs'!C$5:C$177,0),MATCH(D824,'Measure &amp; Standard CostIDs'!S$5:S$177,0))</f>
        <v>160</v>
      </c>
      <c r="B824" s="177">
        <f t="shared" si="40"/>
        <v>3</v>
      </c>
      <c r="C824" s="103" t="s">
        <v>153</v>
      </c>
      <c r="D824" s="103" t="str">
        <f t="shared" si="41"/>
        <v>CFLscw-Refl-1(23w)</v>
      </c>
      <c r="E824" s="103" t="str">
        <f>IF(LEFT(D824,3)="Std","Base case cost for mix of 60% Incandescent and 40% CFL lamps for CFL TechID: "&amp;INDEX('Measure &amp; Standard CostIDs'!$C$5:$C$177,A824),"&lt;from TechID&gt;")</f>
        <v>&lt;from TechID&gt;</v>
      </c>
      <c r="F824" s="103" t="s">
        <v>860</v>
      </c>
      <c r="G824" s="103" t="s">
        <v>151</v>
      </c>
      <c r="H824" s="103" t="s">
        <v>861</v>
      </c>
      <c r="I824" s="103" t="s">
        <v>862</v>
      </c>
      <c r="J824" s="103" t="s">
        <v>863</v>
      </c>
      <c r="K824" s="103" t="s">
        <v>864</v>
      </c>
      <c r="L824" s="103" t="s">
        <v>153</v>
      </c>
      <c r="M824" s="103" t="s">
        <v>865</v>
      </c>
      <c r="N824" s="103" t="s">
        <v>866</v>
      </c>
      <c r="O824" s="103" t="str">
        <f t="shared" si="38"/>
        <v>CFLscw-Refl-1(23w)</v>
      </c>
      <c r="P824" s="103" t="s">
        <v>153</v>
      </c>
      <c r="Q824" s="103" t="s">
        <v>153</v>
      </c>
      <c r="R824" s="103" t="s">
        <v>153</v>
      </c>
      <c r="S824" s="103" t="str">
        <f>INDEX('Measure &amp; Standard CostIDs'!$AK$8:$AK$12,B824)</f>
        <v>Two-pack</v>
      </c>
      <c r="T824" s="103" t="s">
        <v>867</v>
      </c>
      <c r="U824" s="103"/>
      <c r="V824" s="103"/>
      <c r="W824" s="103">
        <f>ROUND(IF(LEFT(D824,3)="Std",VLOOKUP(D824,'Measure &amp; Standard CostIDs'!$S$5:$X$177,1+B824,FALSE),VLOOKUP(D824,'Measure &amp; Standard CostIDs'!$C$5:$H$177,1+B824,FALSE)),2)</f>
        <v>6.8</v>
      </c>
      <c r="X824" s="103"/>
      <c r="Y824" s="103"/>
      <c r="Z824" s="103" t="s">
        <v>868</v>
      </c>
      <c r="AA824" s="103" t="s">
        <v>874</v>
      </c>
      <c r="AB824" s="103" t="s">
        <v>153</v>
      </c>
      <c r="AC824" s="103">
        <v>0</v>
      </c>
      <c r="AD824" s="156">
        <v>42005</v>
      </c>
      <c r="AE824" s="103"/>
      <c r="AF824" s="103" t="s">
        <v>870</v>
      </c>
      <c r="AG824" s="103" t="s">
        <v>871</v>
      </c>
      <c r="AH824" s="103" t="s">
        <v>976</v>
      </c>
      <c r="AI824" s="103">
        <v>0</v>
      </c>
      <c r="AJ824" s="103"/>
      <c r="AK824" s="103"/>
      <c r="AL824" s="103"/>
      <c r="AM824" s="103"/>
      <c r="AN824" s="103"/>
      <c r="AO824" s="103" t="str">
        <f t="shared" si="39"/>
        <v>CFLscw-Refl-1(23w)Two-pack</v>
      </c>
    </row>
    <row r="825" spans="1:41">
      <c r="A825" s="177">
        <f>IFERROR(MATCH(D825,'Measure &amp; Standard CostIDs'!C$5:C$177,0),MATCH(D825,'Measure &amp; Standard CostIDs'!S$5:S$177,0))</f>
        <v>161</v>
      </c>
      <c r="B825" s="177">
        <f t="shared" si="40"/>
        <v>3</v>
      </c>
      <c r="C825" s="103" t="s">
        <v>153</v>
      </c>
      <c r="D825" s="103" t="str">
        <f t="shared" si="41"/>
        <v>CFLscw-Refl-2(15w)</v>
      </c>
      <c r="E825" s="103" t="str">
        <f>IF(LEFT(D825,3)="Std","Base case cost for mix of 60% Incandescent and 40% CFL lamps for CFL TechID: "&amp;INDEX('Measure &amp; Standard CostIDs'!$C$5:$C$177,A825),"&lt;from TechID&gt;")</f>
        <v>&lt;from TechID&gt;</v>
      </c>
      <c r="F825" s="103" t="s">
        <v>860</v>
      </c>
      <c r="G825" s="103" t="s">
        <v>151</v>
      </c>
      <c r="H825" s="103" t="s">
        <v>861</v>
      </c>
      <c r="I825" s="103" t="s">
        <v>862</v>
      </c>
      <c r="J825" s="103" t="s">
        <v>863</v>
      </c>
      <c r="K825" s="103" t="s">
        <v>864</v>
      </c>
      <c r="L825" s="103" t="s">
        <v>153</v>
      </c>
      <c r="M825" s="103" t="s">
        <v>865</v>
      </c>
      <c r="N825" s="103" t="s">
        <v>866</v>
      </c>
      <c r="O825" s="103" t="str">
        <f t="shared" si="38"/>
        <v>CFLscw-Refl-2(15w)</v>
      </c>
      <c r="P825" s="103" t="s">
        <v>153</v>
      </c>
      <c r="Q825" s="103" t="s">
        <v>153</v>
      </c>
      <c r="R825" s="103" t="s">
        <v>153</v>
      </c>
      <c r="S825" s="103" t="str">
        <f>INDEX('Measure &amp; Standard CostIDs'!$AK$8:$AK$12,B825)</f>
        <v>Two-pack</v>
      </c>
      <c r="T825" s="103" t="s">
        <v>867</v>
      </c>
      <c r="U825" s="103"/>
      <c r="V825" s="103"/>
      <c r="W825" s="103">
        <f>ROUND(IF(LEFT(D825,3)="Std",VLOOKUP(D825,'Measure &amp; Standard CostIDs'!$S$5:$X$177,1+B825,FALSE),VLOOKUP(D825,'Measure &amp; Standard CostIDs'!$C$5:$H$177,1+B825,FALSE)),2)</f>
        <v>5.62</v>
      </c>
      <c r="X825" s="103"/>
      <c r="Y825" s="103"/>
      <c r="Z825" s="103" t="s">
        <v>868</v>
      </c>
      <c r="AA825" s="103" t="s">
        <v>874</v>
      </c>
      <c r="AB825" s="103" t="s">
        <v>153</v>
      </c>
      <c r="AC825" s="103">
        <v>0</v>
      </c>
      <c r="AD825" s="156">
        <v>42005</v>
      </c>
      <c r="AE825" s="103"/>
      <c r="AF825" s="103" t="s">
        <v>870</v>
      </c>
      <c r="AG825" s="103" t="s">
        <v>871</v>
      </c>
      <c r="AH825" s="103" t="s">
        <v>976</v>
      </c>
      <c r="AI825" s="103">
        <v>0</v>
      </c>
      <c r="AJ825" s="103"/>
      <c r="AK825" s="103"/>
      <c r="AL825" s="103"/>
      <c r="AM825" s="103"/>
      <c r="AN825" s="103"/>
      <c r="AO825" s="103" t="str">
        <f t="shared" si="39"/>
        <v>CFLscw-Refl-2(15w)Two-pack</v>
      </c>
    </row>
    <row r="826" spans="1:41">
      <c r="A826" s="177">
        <f>IFERROR(MATCH(D826,'Measure &amp; Standard CostIDs'!C$5:C$177,0),MATCH(D826,'Measure &amp; Standard CostIDs'!S$5:S$177,0))</f>
        <v>162</v>
      </c>
      <c r="B826" s="177">
        <f t="shared" si="40"/>
        <v>3</v>
      </c>
      <c r="C826" s="103" t="s">
        <v>153</v>
      </c>
      <c r="D826" s="103" t="str">
        <f t="shared" si="41"/>
        <v>CFLscw-Refl-2(23w)</v>
      </c>
      <c r="E826" s="103" t="str">
        <f>IF(LEFT(D826,3)="Std","Base case cost for mix of 60% Incandescent and 40% CFL lamps for CFL TechID: "&amp;INDEX('Measure &amp; Standard CostIDs'!$C$5:$C$177,A826),"&lt;from TechID&gt;")</f>
        <v>&lt;from TechID&gt;</v>
      </c>
      <c r="F826" s="103" t="s">
        <v>860</v>
      </c>
      <c r="G826" s="103" t="s">
        <v>151</v>
      </c>
      <c r="H826" s="103" t="s">
        <v>861</v>
      </c>
      <c r="I826" s="103" t="s">
        <v>862</v>
      </c>
      <c r="J826" s="103" t="s">
        <v>863</v>
      </c>
      <c r="K826" s="103" t="s">
        <v>864</v>
      </c>
      <c r="L826" s="103" t="s">
        <v>153</v>
      </c>
      <c r="M826" s="103" t="s">
        <v>865</v>
      </c>
      <c r="N826" s="103" t="s">
        <v>866</v>
      </c>
      <c r="O826" s="103" t="str">
        <f t="shared" si="38"/>
        <v>CFLscw-Refl-2(23w)</v>
      </c>
      <c r="P826" s="103" t="s">
        <v>153</v>
      </c>
      <c r="Q826" s="103" t="s">
        <v>153</v>
      </c>
      <c r="R826" s="103" t="s">
        <v>153</v>
      </c>
      <c r="S826" s="103" t="str">
        <f>INDEX('Measure &amp; Standard CostIDs'!$AK$8:$AK$12,B826)</f>
        <v>Two-pack</v>
      </c>
      <c r="T826" s="103" t="s">
        <v>867</v>
      </c>
      <c r="U826" s="103"/>
      <c r="V826" s="103"/>
      <c r="W826" s="103">
        <f>ROUND(IF(LEFT(D826,3)="Std",VLOOKUP(D826,'Measure &amp; Standard CostIDs'!$S$5:$X$177,1+B826,FALSE),VLOOKUP(D826,'Measure &amp; Standard CostIDs'!$C$5:$H$177,1+B826,FALSE)),2)</f>
        <v>6.8</v>
      </c>
      <c r="X826" s="103"/>
      <c r="Y826" s="103"/>
      <c r="Z826" s="103" t="s">
        <v>868</v>
      </c>
      <c r="AA826" s="103" t="s">
        <v>874</v>
      </c>
      <c r="AB826" s="103" t="s">
        <v>153</v>
      </c>
      <c r="AC826" s="103">
        <v>0</v>
      </c>
      <c r="AD826" s="156">
        <v>42005</v>
      </c>
      <c r="AE826" s="103"/>
      <c r="AF826" s="103" t="s">
        <v>870</v>
      </c>
      <c r="AG826" s="103" t="s">
        <v>871</v>
      </c>
      <c r="AH826" s="103" t="s">
        <v>976</v>
      </c>
      <c r="AI826" s="103">
        <v>0</v>
      </c>
      <c r="AJ826" s="103"/>
      <c r="AK826" s="103"/>
      <c r="AL826" s="103"/>
      <c r="AM826" s="103"/>
      <c r="AN826" s="103"/>
      <c r="AO826" s="103" t="str">
        <f t="shared" si="39"/>
        <v>CFLscw-Refl-2(23w)Two-pack</v>
      </c>
    </row>
    <row r="827" spans="1:41">
      <c r="A827" s="177">
        <f>IFERROR(MATCH(D827,'Measure &amp; Standard CostIDs'!C$5:C$177,0),MATCH(D827,'Measure &amp; Standard CostIDs'!S$5:S$177,0))</f>
        <v>163</v>
      </c>
      <c r="B827" s="177">
        <f t="shared" si="40"/>
        <v>3</v>
      </c>
      <c r="C827" s="103" t="s">
        <v>153</v>
      </c>
      <c r="D827" s="103" t="str">
        <f t="shared" si="41"/>
        <v>CFLscw-Refl-Dim(15w)</v>
      </c>
      <c r="E827" s="103" t="str">
        <f>IF(LEFT(D827,3)="Std","Base case cost for mix of 60% Incandescent and 40% CFL lamps for CFL TechID: "&amp;INDEX('Measure &amp; Standard CostIDs'!$C$5:$C$177,A827),"&lt;from TechID&gt;")</f>
        <v>&lt;from TechID&gt;</v>
      </c>
      <c r="F827" s="103" t="s">
        <v>860</v>
      </c>
      <c r="G827" s="103" t="s">
        <v>151</v>
      </c>
      <c r="H827" s="103" t="s">
        <v>861</v>
      </c>
      <c r="I827" s="103" t="s">
        <v>862</v>
      </c>
      <c r="J827" s="103" t="s">
        <v>863</v>
      </c>
      <c r="K827" s="103" t="s">
        <v>864</v>
      </c>
      <c r="L827" s="103" t="s">
        <v>153</v>
      </c>
      <c r="M827" s="103" t="s">
        <v>865</v>
      </c>
      <c r="N827" s="103" t="s">
        <v>866</v>
      </c>
      <c r="O827" s="103" t="str">
        <f t="shared" si="38"/>
        <v>CFLscw-Refl-Dim(15w)</v>
      </c>
      <c r="P827" s="103" t="s">
        <v>153</v>
      </c>
      <c r="Q827" s="103" t="s">
        <v>153</v>
      </c>
      <c r="R827" s="103" t="s">
        <v>153</v>
      </c>
      <c r="S827" s="103" t="str">
        <f>INDEX('Measure &amp; Standard CostIDs'!$AK$8:$AK$12,B827)</f>
        <v>Two-pack</v>
      </c>
      <c r="T827" s="103" t="s">
        <v>867</v>
      </c>
      <c r="U827" s="103"/>
      <c r="V827" s="103"/>
      <c r="W827" s="103">
        <f>ROUND(IF(LEFT(D827,3)="Std",VLOOKUP(D827,'Measure &amp; Standard CostIDs'!$S$5:$X$177,1+B827,FALSE),VLOOKUP(D827,'Measure &amp; Standard CostIDs'!$C$5:$H$177,1+B827,FALSE)),2)</f>
        <v>9.66</v>
      </c>
      <c r="X827" s="103"/>
      <c r="Y827" s="103"/>
      <c r="Z827" s="103" t="s">
        <v>868</v>
      </c>
      <c r="AA827" s="103" t="s">
        <v>874</v>
      </c>
      <c r="AB827" s="103" t="s">
        <v>153</v>
      </c>
      <c r="AC827" s="103">
        <v>0</v>
      </c>
      <c r="AD827" s="156">
        <v>42005</v>
      </c>
      <c r="AE827" s="103"/>
      <c r="AF827" s="103" t="s">
        <v>870</v>
      </c>
      <c r="AG827" s="103" t="s">
        <v>871</v>
      </c>
      <c r="AH827" s="103" t="s">
        <v>976</v>
      </c>
      <c r="AI827" s="103">
        <v>0</v>
      </c>
      <c r="AJ827" s="103"/>
      <c r="AK827" s="103"/>
      <c r="AL827" s="103"/>
      <c r="AM827" s="103"/>
      <c r="AN827" s="103"/>
      <c r="AO827" s="103" t="str">
        <f t="shared" si="39"/>
        <v>CFLscw-Refl-Dim(15w)Two-pack</v>
      </c>
    </row>
    <row r="828" spans="1:41">
      <c r="A828" s="177">
        <f>IFERROR(MATCH(D828,'Measure &amp; Standard CostIDs'!C$5:C$177,0),MATCH(D828,'Measure &amp; Standard CostIDs'!S$5:S$177,0))</f>
        <v>164</v>
      </c>
      <c r="B828" s="177">
        <f t="shared" si="40"/>
        <v>3</v>
      </c>
      <c r="C828" s="103" t="s">
        <v>153</v>
      </c>
      <c r="D828" s="103" t="str">
        <f t="shared" si="41"/>
        <v>CFLscw-Refl-Dim(16w)</v>
      </c>
      <c r="E828" s="103" t="str">
        <f>IF(LEFT(D828,3)="Std","Base case cost for mix of 60% Incandescent and 40% CFL lamps for CFL TechID: "&amp;INDEX('Measure &amp; Standard CostIDs'!$C$5:$C$177,A828),"&lt;from TechID&gt;")</f>
        <v>&lt;from TechID&gt;</v>
      </c>
      <c r="F828" s="103" t="s">
        <v>860</v>
      </c>
      <c r="G828" s="103" t="s">
        <v>151</v>
      </c>
      <c r="H828" s="103" t="s">
        <v>861</v>
      </c>
      <c r="I828" s="103" t="s">
        <v>862</v>
      </c>
      <c r="J828" s="103" t="s">
        <v>863</v>
      </c>
      <c r="K828" s="103" t="s">
        <v>864</v>
      </c>
      <c r="L828" s="103" t="s">
        <v>153</v>
      </c>
      <c r="M828" s="103" t="s">
        <v>865</v>
      </c>
      <c r="N828" s="103" t="s">
        <v>866</v>
      </c>
      <c r="O828" s="103" t="str">
        <f t="shared" si="38"/>
        <v>CFLscw-Refl-Dim(16w)</v>
      </c>
      <c r="P828" s="103" t="s">
        <v>153</v>
      </c>
      <c r="Q828" s="103" t="s">
        <v>153</v>
      </c>
      <c r="R828" s="103" t="s">
        <v>153</v>
      </c>
      <c r="S828" s="103" t="str">
        <f>INDEX('Measure &amp; Standard CostIDs'!$AK$8:$AK$12,B828)</f>
        <v>Two-pack</v>
      </c>
      <c r="T828" s="103" t="s">
        <v>867</v>
      </c>
      <c r="U828" s="103"/>
      <c r="V828" s="103"/>
      <c r="W828" s="103">
        <f>ROUND(IF(LEFT(D828,3)="Std",VLOOKUP(D828,'Measure &amp; Standard CostIDs'!$S$5:$X$177,1+B828,FALSE),VLOOKUP(D828,'Measure &amp; Standard CostIDs'!$C$5:$H$177,1+B828,FALSE)),2)</f>
        <v>9.81</v>
      </c>
      <c r="X828" s="103"/>
      <c r="Y828" s="103"/>
      <c r="Z828" s="103" t="s">
        <v>868</v>
      </c>
      <c r="AA828" s="103" t="s">
        <v>874</v>
      </c>
      <c r="AB828" s="103" t="s">
        <v>153</v>
      </c>
      <c r="AC828" s="103">
        <v>0</v>
      </c>
      <c r="AD828" s="156">
        <v>42005</v>
      </c>
      <c r="AE828" s="103"/>
      <c r="AF828" s="103" t="s">
        <v>870</v>
      </c>
      <c r="AG828" s="103" t="s">
        <v>871</v>
      </c>
      <c r="AH828" s="103" t="s">
        <v>976</v>
      </c>
      <c r="AI828" s="103">
        <v>0</v>
      </c>
      <c r="AJ828" s="103"/>
      <c r="AK828" s="103"/>
      <c r="AL828" s="103"/>
      <c r="AM828" s="103"/>
      <c r="AN828" s="103"/>
      <c r="AO828" s="103" t="str">
        <f t="shared" si="39"/>
        <v>CFLscw-Refl-Dim(16w)Two-pack</v>
      </c>
    </row>
    <row r="829" spans="1:41">
      <c r="A829" s="177">
        <f>IFERROR(MATCH(D829,'Measure &amp; Standard CostIDs'!C$5:C$177,0),MATCH(D829,'Measure &amp; Standard CostIDs'!S$5:S$177,0))</f>
        <v>165</v>
      </c>
      <c r="B829" s="177">
        <f t="shared" si="40"/>
        <v>3</v>
      </c>
      <c r="C829" s="103" t="s">
        <v>153</v>
      </c>
      <c r="D829" s="103" t="str">
        <f t="shared" si="41"/>
        <v>CFLscw-Refl-Dim(20w)</v>
      </c>
      <c r="E829" s="103" t="str">
        <f>IF(LEFT(D829,3)="Std","Base case cost for mix of 60% Incandescent and 40% CFL lamps for CFL TechID: "&amp;INDEX('Measure &amp; Standard CostIDs'!$C$5:$C$177,A829),"&lt;from TechID&gt;")</f>
        <v>&lt;from TechID&gt;</v>
      </c>
      <c r="F829" s="103" t="s">
        <v>860</v>
      </c>
      <c r="G829" s="103" t="s">
        <v>151</v>
      </c>
      <c r="H829" s="103" t="s">
        <v>861</v>
      </c>
      <c r="I829" s="103" t="s">
        <v>862</v>
      </c>
      <c r="J829" s="103" t="s">
        <v>863</v>
      </c>
      <c r="K829" s="103" t="s">
        <v>864</v>
      </c>
      <c r="L829" s="103" t="s">
        <v>153</v>
      </c>
      <c r="M829" s="103" t="s">
        <v>865</v>
      </c>
      <c r="N829" s="103" t="s">
        <v>866</v>
      </c>
      <c r="O829" s="103" t="str">
        <f t="shared" si="38"/>
        <v>CFLscw-Refl-Dim(20w)</v>
      </c>
      <c r="P829" s="103" t="s">
        <v>153</v>
      </c>
      <c r="Q829" s="103" t="s">
        <v>153</v>
      </c>
      <c r="R829" s="103" t="s">
        <v>153</v>
      </c>
      <c r="S829" s="103" t="str">
        <f>INDEX('Measure &amp; Standard CostIDs'!$AK$8:$AK$12,B829)</f>
        <v>Two-pack</v>
      </c>
      <c r="T829" s="103" t="s">
        <v>867</v>
      </c>
      <c r="U829" s="103"/>
      <c r="V829" s="103"/>
      <c r="W829" s="103">
        <f>ROUND(IF(LEFT(D829,3)="Std",VLOOKUP(D829,'Measure &amp; Standard CostIDs'!$S$5:$X$177,1+B829,FALSE),VLOOKUP(D829,'Measure &amp; Standard CostIDs'!$C$5:$H$177,1+B829,FALSE)),2)</f>
        <v>10.4</v>
      </c>
      <c r="X829" s="103"/>
      <c r="Y829" s="103"/>
      <c r="Z829" s="103" t="s">
        <v>868</v>
      </c>
      <c r="AA829" s="103" t="s">
        <v>874</v>
      </c>
      <c r="AB829" s="103" t="s">
        <v>153</v>
      </c>
      <c r="AC829" s="103">
        <v>0</v>
      </c>
      <c r="AD829" s="156">
        <v>42005</v>
      </c>
      <c r="AE829" s="103"/>
      <c r="AF829" s="103" t="s">
        <v>870</v>
      </c>
      <c r="AG829" s="103" t="s">
        <v>871</v>
      </c>
      <c r="AH829" s="103" t="s">
        <v>976</v>
      </c>
      <c r="AI829" s="103">
        <v>0</v>
      </c>
      <c r="AJ829" s="103"/>
      <c r="AK829" s="103"/>
      <c r="AL829" s="103"/>
      <c r="AM829" s="103"/>
      <c r="AN829" s="103"/>
      <c r="AO829" s="103" t="str">
        <f t="shared" si="39"/>
        <v>CFLscw-Refl-Dim(20w)Two-pack</v>
      </c>
    </row>
    <row r="830" spans="1:41">
      <c r="A830" s="177">
        <f>IFERROR(MATCH(D830,'Measure &amp; Standard CostIDs'!C$5:C$177,0),MATCH(D830,'Measure &amp; Standard CostIDs'!S$5:S$177,0))</f>
        <v>166</v>
      </c>
      <c r="B830" s="177">
        <f t="shared" si="40"/>
        <v>3</v>
      </c>
      <c r="C830" s="103" t="s">
        <v>153</v>
      </c>
      <c r="D830" s="103" t="str">
        <f t="shared" si="41"/>
        <v>CFLscw-Refl-Dim(26w)</v>
      </c>
      <c r="E830" s="103" t="str">
        <f>IF(LEFT(D830,3)="Std","Base case cost for mix of 60% Incandescent and 40% CFL lamps for CFL TechID: "&amp;INDEX('Measure &amp; Standard CostIDs'!$C$5:$C$177,A830),"&lt;from TechID&gt;")</f>
        <v>&lt;from TechID&gt;</v>
      </c>
      <c r="F830" s="103" t="s">
        <v>860</v>
      </c>
      <c r="G830" s="103" t="s">
        <v>151</v>
      </c>
      <c r="H830" s="103" t="s">
        <v>861</v>
      </c>
      <c r="I830" s="103" t="s">
        <v>862</v>
      </c>
      <c r="J830" s="103" t="s">
        <v>863</v>
      </c>
      <c r="K830" s="103" t="s">
        <v>864</v>
      </c>
      <c r="L830" s="103" t="s">
        <v>153</v>
      </c>
      <c r="M830" s="103" t="s">
        <v>865</v>
      </c>
      <c r="N830" s="103" t="s">
        <v>866</v>
      </c>
      <c r="O830" s="103" t="str">
        <f t="shared" si="38"/>
        <v>CFLscw-Refl-Dim(26w)</v>
      </c>
      <c r="P830" s="103" t="s">
        <v>153</v>
      </c>
      <c r="Q830" s="103" t="s">
        <v>153</v>
      </c>
      <c r="R830" s="103" t="s">
        <v>153</v>
      </c>
      <c r="S830" s="103" t="str">
        <f>INDEX('Measure &amp; Standard CostIDs'!$AK$8:$AK$12,B830)</f>
        <v>Two-pack</v>
      </c>
      <c r="T830" s="103" t="s">
        <v>867</v>
      </c>
      <c r="U830" s="103"/>
      <c r="V830" s="103"/>
      <c r="W830" s="103">
        <f>ROUND(IF(LEFT(D830,3)="Std",VLOOKUP(D830,'Measure &amp; Standard CostIDs'!$S$5:$X$177,1+B830,FALSE),VLOOKUP(D830,'Measure &amp; Standard CostIDs'!$C$5:$H$177,1+B830,FALSE)),2)</f>
        <v>11.28</v>
      </c>
      <c r="X830" s="103"/>
      <c r="Y830" s="103"/>
      <c r="Z830" s="103" t="s">
        <v>868</v>
      </c>
      <c r="AA830" s="103" t="s">
        <v>874</v>
      </c>
      <c r="AB830" s="103" t="s">
        <v>153</v>
      </c>
      <c r="AC830" s="103">
        <v>0</v>
      </c>
      <c r="AD830" s="156">
        <v>42005</v>
      </c>
      <c r="AE830" s="103"/>
      <c r="AF830" s="103" t="s">
        <v>870</v>
      </c>
      <c r="AG830" s="103" t="s">
        <v>871</v>
      </c>
      <c r="AH830" s="103" t="s">
        <v>976</v>
      </c>
      <c r="AI830" s="103">
        <v>0</v>
      </c>
      <c r="AJ830" s="103"/>
      <c r="AK830" s="103"/>
      <c r="AL830" s="103"/>
      <c r="AM830" s="103"/>
      <c r="AN830" s="103"/>
      <c r="AO830" s="103" t="str">
        <f t="shared" si="39"/>
        <v>CFLscw-Refl-Dim(26w)Two-pack</v>
      </c>
    </row>
    <row r="831" spans="1:41">
      <c r="A831" s="177">
        <f>IFERROR(MATCH(D831,'Measure &amp; Standard CostIDs'!C$5:C$177,0),MATCH(D831,'Measure &amp; Standard CostIDs'!S$5:S$177,0))</f>
        <v>167</v>
      </c>
      <c r="B831" s="177">
        <f t="shared" si="40"/>
        <v>3</v>
      </c>
      <c r="C831" s="103" t="s">
        <v>153</v>
      </c>
      <c r="D831" s="103" t="str">
        <f t="shared" si="41"/>
        <v>CFLscw-Refl-Ext(13w)</v>
      </c>
      <c r="E831" s="103" t="str">
        <f>IF(LEFT(D831,3)="Std","Base case cost for mix of 60% Incandescent and 40% CFL lamps for CFL TechID: "&amp;INDEX('Measure &amp; Standard CostIDs'!$C$5:$C$177,A831),"&lt;from TechID&gt;")</f>
        <v>&lt;from TechID&gt;</v>
      </c>
      <c r="F831" s="103" t="s">
        <v>860</v>
      </c>
      <c r="G831" s="103" t="s">
        <v>151</v>
      </c>
      <c r="H831" s="103" t="s">
        <v>861</v>
      </c>
      <c r="I831" s="103" t="s">
        <v>862</v>
      </c>
      <c r="J831" s="103" t="s">
        <v>863</v>
      </c>
      <c r="K831" s="103" t="s">
        <v>864</v>
      </c>
      <c r="L831" s="103" t="s">
        <v>153</v>
      </c>
      <c r="M831" s="103" t="s">
        <v>865</v>
      </c>
      <c r="N831" s="103" t="s">
        <v>866</v>
      </c>
      <c r="O831" s="103" t="str">
        <f t="shared" si="38"/>
        <v>CFLscw-Refl-Ext(13w)</v>
      </c>
      <c r="P831" s="103" t="s">
        <v>153</v>
      </c>
      <c r="Q831" s="103" t="s">
        <v>153</v>
      </c>
      <c r="R831" s="103" t="s">
        <v>153</v>
      </c>
      <c r="S831" s="103" t="str">
        <f>INDEX('Measure &amp; Standard CostIDs'!$AK$8:$AK$12,B831)</f>
        <v>Two-pack</v>
      </c>
      <c r="T831" s="103" t="s">
        <v>867</v>
      </c>
      <c r="U831" s="103"/>
      <c r="V831" s="103"/>
      <c r="W831" s="103">
        <f>ROUND(IF(LEFT(D831,3)="Std",VLOOKUP(D831,'Measure &amp; Standard CostIDs'!$S$5:$X$177,1+B831,FALSE),VLOOKUP(D831,'Measure &amp; Standard CostIDs'!$C$5:$H$177,1+B831,FALSE)),2)</f>
        <v>5.32</v>
      </c>
      <c r="X831" s="103"/>
      <c r="Y831" s="103"/>
      <c r="Z831" s="103" t="s">
        <v>868</v>
      </c>
      <c r="AA831" s="103" t="s">
        <v>874</v>
      </c>
      <c r="AB831" s="103" t="s">
        <v>153</v>
      </c>
      <c r="AC831" s="103">
        <v>0</v>
      </c>
      <c r="AD831" s="156">
        <v>42005</v>
      </c>
      <c r="AE831" s="103"/>
      <c r="AF831" s="103" t="s">
        <v>870</v>
      </c>
      <c r="AG831" s="103" t="s">
        <v>871</v>
      </c>
      <c r="AH831" s="103" t="s">
        <v>976</v>
      </c>
      <c r="AI831" s="103">
        <v>0</v>
      </c>
      <c r="AJ831" s="103"/>
      <c r="AK831" s="103"/>
      <c r="AL831" s="103"/>
      <c r="AM831" s="103"/>
      <c r="AN831" s="103"/>
      <c r="AO831" s="103" t="str">
        <f t="shared" si="39"/>
        <v>CFLscw-Refl-Ext(13w)Two-pack</v>
      </c>
    </row>
    <row r="832" spans="1:41">
      <c r="A832" s="177">
        <f>IFERROR(MATCH(D832,'Measure &amp; Standard CostIDs'!C$5:C$177,0),MATCH(D832,'Measure &amp; Standard CostIDs'!S$5:S$177,0))</f>
        <v>168</v>
      </c>
      <c r="B832" s="177">
        <f t="shared" si="40"/>
        <v>3</v>
      </c>
      <c r="C832" s="103" t="s">
        <v>153</v>
      </c>
      <c r="D832" s="103" t="str">
        <f t="shared" si="41"/>
        <v>CFLscw-Refl-Ext(14w)</v>
      </c>
      <c r="E832" s="103" t="str">
        <f>IF(LEFT(D832,3)="Std","Base case cost for mix of 60% Incandescent and 40% CFL lamps for CFL TechID: "&amp;INDEX('Measure &amp; Standard CostIDs'!$C$5:$C$177,A832),"&lt;from TechID&gt;")</f>
        <v>&lt;from TechID&gt;</v>
      </c>
      <c r="F832" s="103" t="s">
        <v>860</v>
      </c>
      <c r="G832" s="103" t="s">
        <v>151</v>
      </c>
      <c r="H832" s="103" t="s">
        <v>861</v>
      </c>
      <c r="I832" s="103" t="s">
        <v>862</v>
      </c>
      <c r="J832" s="103" t="s">
        <v>863</v>
      </c>
      <c r="K832" s="103" t="s">
        <v>864</v>
      </c>
      <c r="L832" s="103" t="s">
        <v>153</v>
      </c>
      <c r="M832" s="103" t="s">
        <v>865</v>
      </c>
      <c r="N832" s="103" t="s">
        <v>866</v>
      </c>
      <c r="O832" s="103" t="str">
        <f t="shared" si="38"/>
        <v>CFLscw-Refl-Ext(14w)</v>
      </c>
      <c r="P832" s="103" t="s">
        <v>153</v>
      </c>
      <c r="Q832" s="103" t="s">
        <v>153</v>
      </c>
      <c r="R832" s="103" t="s">
        <v>153</v>
      </c>
      <c r="S832" s="103" t="str">
        <f>INDEX('Measure &amp; Standard CostIDs'!$AK$8:$AK$12,B832)</f>
        <v>Two-pack</v>
      </c>
      <c r="T832" s="103" t="s">
        <v>867</v>
      </c>
      <c r="U832" s="103"/>
      <c r="V832" s="103"/>
      <c r="W832" s="103">
        <f>ROUND(IF(LEFT(D832,3)="Std",VLOOKUP(D832,'Measure &amp; Standard CostIDs'!$S$5:$X$177,1+B832,FALSE),VLOOKUP(D832,'Measure &amp; Standard CostIDs'!$C$5:$H$177,1+B832,FALSE)),2)</f>
        <v>5.47</v>
      </c>
      <c r="X832" s="103"/>
      <c r="Y832" s="103"/>
      <c r="Z832" s="103" t="s">
        <v>868</v>
      </c>
      <c r="AA832" s="103" t="s">
        <v>874</v>
      </c>
      <c r="AB832" s="103" t="s">
        <v>153</v>
      </c>
      <c r="AC832" s="103">
        <v>0</v>
      </c>
      <c r="AD832" s="156">
        <v>42005</v>
      </c>
      <c r="AE832" s="103"/>
      <c r="AF832" s="103" t="s">
        <v>870</v>
      </c>
      <c r="AG832" s="103" t="s">
        <v>871</v>
      </c>
      <c r="AH832" s="103" t="s">
        <v>976</v>
      </c>
      <c r="AI832" s="103">
        <v>0</v>
      </c>
      <c r="AJ832" s="103"/>
      <c r="AK832" s="103"/>
      <c r="AL832" s="103"/>
      <c r="AM832" s="103"/>
      <c r="AN832" s="103"/>
      <c r="AO832" s="103" t="str">
        <f t="shared" si="39"/>
        <v>CFLscw-Refl-Ext(14w)Two-pack</v>
      </c>
    </row>
    <row r="833" spans="1:41">
      <c r="A833" s="177">
        <f>IFERROR(MATCH(D833,'Measure &amp; Standard CostIDs'!C$5:C$177,0),MATCH(D833,'Measure &amp; Standard CostIDs'!S$5:S$177,0))</f>
        <v>169</v>
      </c>
      <c r="B833" s="177">
        <f t="shared" si="40"/>
        <v>3</v>
      </c>
      <c r="C833" s="103" t="s">
        <v>153</v>
      </c>
      <c r="D833" s="103" t="str">
        <f t="shared" si="41"/>
        <v>CFLscw-Refl-Ext(15w)</v>
      </c>
      <c r="E833" s="103" t="str">
        <f>IF(LEFT(D833,3)="Std","Base case cost for mix of 60% Incandescent and 40% CFL lamps for CFL TechID: "&amp;INDEX('Measure &amp; Standard CostIDs'!$C$5:$C$177,A833),"&lt;from TechID&gt;")</f>
        <v>&lt;from TechID&gt;</v>
      </c>
      <c r="F833" s="103" t="s">
        <v>860</v>
      </c>
      <c r="G833" s="103" t="s">
        <v>151</v>
      </c>
      <c r="H833" s="103" t="s">
        <v>861</v>
      </c>
      <c r="I833" s="103" t="s">
        <v>862</v>
      </c>
      <c r="J833" s="103" t="s">
        <v>863</v>
      </c>
      <c r="K833" s="103" t="s">
        <v>864</v>
      </c>
      <c r="L833" s="103" t="s">
        <v>153</v>
      </c>
      <c r="M833" s="103" t="s">
        <v>865</v>
      </c>
      <c r="N833" s="103" t="s">
        <v>866</v>
      </c>
      <c r="O833" s="103" t="str">
        <f t="shared" si="38"/>
        <v>CFLscw-Refl-Ext(15w)</v>
      </c>
      <c r="P833" s="103" t="s">
        <v>153</v>
      </c>
      <c r="Q833" s="103" t="s">
        <v>153</v>
      </c>
      <c r="R833" s="103" t="s">
        <v>153</v>
      </c>
      <c r="S833" s="103" t="str">
        <f>INDEX('Measure &amp; Standard CostIDs'!$AK$8:$AK$12,B833)</f>
        <v>Two-pack</v>
      </c>
      <c r="T833" s="103" t="s">
        <v>867</v>
      </c>
      <c r="U833" s="103"/>
      <c r="V833" s="103"/>
      <c r="W833" s="103">
        <f>ROUND(IF(LEFT(D833,3)="Std",VLOOKUP(D833,'Measure &amp; Standard CostIDs'!$S$5:$X$177,1+B833,FALSE),VLOOKUP(D833,'Measure &amp; Standard CostIDs'!$C$5:$H$177,1+B833,FALSE)),2)</f>
        <v>5.62</v>
      </c>
      <c r="X833" s="103"/>
      <c r="Y833" s="103"/>
      <c r="Z833" s="103" t="s">
        <v>868</v>
      </c>
      <c r="AA833" s="103" t="s">
        <v>874</v>
      </c>
      <c r="AB833" s="103" t="s">
        <v>153</v>
      </c>
      <c r="AC833" s="103">
        <v>0</v>
      </c>
      <c r="AD833" s="156">
        <v>42005</v>
      </c>
      <c r="AE833" s="103"/>
      <c r="AF833" s="103" t="s">
        <v>870</v>
      </c>
      <c r="AG833" s="103" t="s">
        <v>871</v>
      </c>
      <c r="AH833" s="103" t="s">
        <v>976</v>
      </c>
      <c r="AI833" s="103">
        <v>0</v>
      </c>
      <c r="AJ833" s="103"/>
      <c r="AK833" s="103"/>
      <c r="AL833" s="103"/>
      <c r="AM833" s="103"/>
      <c r="AN833" s="103"/>
      <c r="AO833" s="103" t="str">
        <f t="shared" si="39"/>
        <v>CFLscw-Refl-Ext(15w)Two-pack</v>
      </c>
    </row>
    <row r="834" spans="1:41">
      <c r="A834" s="177">
        <f>IFERROR(MATCH(D834,'Measure &amp; Standard CostIDs'!C$5:C$177,0),MATCH(D834,'Measure &amp; Standard CostIDs'!S$5:S$177,0))</f>
        <v>170</v>
      </c>
      <c r="B834" s="177">
        <f t="shared" si="40"/>
        <v>3</v>
      </c>
      <c r="C834" s="103" t="s">
        <v>153</v>
      </c>
      <c r="D834" s="103" t="str">
        <f t="shared" si="41"/>
        <v>CFLscw-Refl-Ext(16w)</v>
      </c>
      <c r="E834" s="103" t="str">
        <f>IF(LEFT(D834,3)="Std","Base case cost for mix of 60% Incandescent and 40% CFL lamps for CFL TechID: "&amp;INDEX('Measure &amp; Standard CostIDs'!$C$5:$C$177,A834),"&lt;from TechID&gt;")</f>
        <v>&lt;from TechID&gt;</v>
      </c>
      <c r="F834" s="103" t="s">
        <v>860</v>
      </c>
      <c r="G834" s="103" t="s">
        <v>151</v>
      </c>
      <c r="H834" s="103" t="s">
        <v>861</v>
      </c>
      <c r="I834" s="103" t="s">
        <v>862</v>
      </c>
      <c r="J834" s="103" t="s">
        <v>863</v>
      </c>
      <c r="K834" s="103" t="s">
        <v>864</v>
      </c>
      <c r="L834" s="103" t="s">
        <v>153</v>
      </c>
      <c r="M834" s="103" t="s">
        <v>865</v>
      </c>
      <c r="N834" s="103" t="s">
        <v>866</v>
      </c>
      <c r="O834" s="103" t="str">
        <f t="shared" si="38"/>
        <v>CFLscw-Refl-Ext(16w)</v>
      </c>
      <c r="P834" s="103" t="s">
        <v>153</v>
      </c>
      <c r="Q834" s="103" t="s">
        <v>153</v>
      </c>
      <c r="R834" s="103" t="s">
        <v>153</v>
      </c>
      <c r="S834" s="103" t="str">
        <f>INDEX('Measure &amp; Standard CostIDs'!$AK$8:$AK$12,B834)</f>
        <v>Two-pack</v>
      </c>
      <c r="T834" s="103" t="s">
        <v>867</v>
      </c>
      <c r="U834" s="103"/>
      <c r="V834" s="103"/>
      <c r="W834" s="103">
        <f>ROUND(IF(LEFT(D834,3)="Std",VLOOKUP(D834,'Measure &amp; Standard CostIDs'!$S$5:$X$177,1+B834,FALSE),VLOOKUP(D834,'Measure &amp; Standard CostIDs'!$C$5:$H$177,1+B834,FALSE)),2)</f>
        <v>5.76</v>
      </c>
      <c r="X834" s="103"/>
      <c r="Y834" s="103"/>
      <c r="Z834" s="103" t="s">
        <v>868</v>
      </c>
      <c r="AA834" s="103" t="s">
        <v>874</v>
      </c>
      <c r="AB834" s="103" t="s">
        <v>153</v>
      </c>
      <c r="AC834" s="103">
        <v>0</v>
      </c>
      <c r="AD834" s="156">
        <v>42005</v>
      </c>
      <c r="AE834" s="103"/>
      <c r="AF834" s="103" t="s">
        <v>870</v>
      </c>
      <c r="AG834" s="103" t="s">
        <v>871</v>
      </c>
      <c r="AH834" s="103" t="s">
        <v>976</v>
      </c>
      <c r="AI834" s="103">
        <v>0</v>
      </c>
      <c r="AJ834" s="103"/>
      <c r="AK834" s="103"/>
      <c r="AL834" s="103"/>
      <c r="AM834" s="103"/>
      <c r="AN834" s="103"/>
      <c r="AO834" s="103" t="str">
        <f t="shared" si="39"/>
        <v>CFLscw-Refl-Ext(16w)Two-pack</v>
      </c>
    </row>
    <row r="835" spans="1:41">
      <c r="A835" s="177">
        <f>IFERROR(MATCH(D835,'Measure &amp; Standard CostIDs'!C$5:C$177,0),MATCH(D835,'Measure &amp; Standard CostIDs'!S$5:S$177,0))</f>
        <v>171</v>
      </c>
      <c r="B835" s="177">
        <f t="shared" si="40"/>
        <v>3</v>
      </c>
      <c r="C835" s="103" t="s">
        <v>153</v>
      </c>
      <c r="D835" s="103" t="str">
        <f t="shared" si="41"/>
        <v>CFLscw-Refl-Ext(18w)</v>
      </c>
      <c r="E835" s="103" t="str">
        <f>IF(LEFT(D835,3)="Std","Base case cost for mix of 60% Incandescent and 40% CFL lamps for CFL TechID: "&amp;INDEX('Measure &amp; Standard CostIDs'!$C$5:$C$177,A835),"&lt;from TechID&gt;")</f>
        <v>&lt;from TechID&gt;</v>
      </c>
      <c r="F835" s="103" t="s">
        <v>860</v>
      </c>
      <c r="G835" s="103" t="s">
        <v>151</v>
      </c>
      <c r="H835" s="103" t="s">
        <v>861</v>
      </c>
      <c r="I835" s="103" t="s">
        <v>862</v>
      </c>
      <c r="J835" s="103" t="s">
        <v>863</v>
      </c>
      <c r="K835" s="103" t="s">
        <v>864</v>
      </c>
      <c r="L835" s="103" t="s">
        <v>153</v>
      </c>
      <c r="M835" s="103" t="s">
        <v>865</v>
      </c>
      <c r="N835" s="103" t="s">
        <v>866</v>
      </c>
      <c r="O835" s="103" t="str">
        <f t="shared" si="38"/>
        <v>CFLscw-Refl-Ext(18w)</v>
      </c>
      <c r="P835" s="103" t="s">
        <v>153</v>
      </c>
      <c r="Q835" s="103" t="s">
        <v>153</v>
      </c>
      <c r="R835" s="103" t="s">
        <v>153</v>
      </c>
      <c r="S835" s="103" t="str">
        <f>INDEX('Measure &amp; Standard CostIDs'!$AK$8:$AK$12,B835)</f>
        <v>Two-pack</v>
      </c>
      <c r="T835" s="103" t="s">
        <v>867</v>
      </c>
      <c r="U835" s="103"/>
      <c r="V835" s="103"/>
      <c r="W835" s="103">
        <f>ROUND(IF(LEFT(D835,3)="Std",VLOOKUP(D835,'Measure &amp; Standard CostIDs'!$S$5:$X$177,1+B835,FALSE),VLOOKUP(D835,'Measure &amp; Standard CostIDs'!$C$5:$H$177,1+B835,FALSE)),2)</f>
        <v>6.06</v>
      </c>
      <c r="X835" s="103"/>
      <c r="Y835" s="103"/>
      <c r="Z835" s="103" t="s">
        <v>868</v>
      </c>
      <c r="AA835" s="103" t="s">
        <v>874</v>
      </c>
      <c r="AB835" s="103" t="s">
        <v>153</v>
      </c>
      <c r="AC835" s="103">
        <v>0</v>
      </c>
      <c r="AD835" s="156">
        <v>42005</v>
      </c>
      <c r="AE835" s="103"/>
      <c r="AF835" s="103" t="s">
        <v>870</v>
      </c>
      <c r="AG835" s="103" t="s">
        <v>871</v>
      </c>
      <c r="AH835" s="103" t="s">
        <v>976</v>
      </c>
      <c r="AI835" s="103">
        <v>0</v>
      </c>
      <c r="AJ835" s="103"/>
      <c r="AK835" s="103"/>
      <c r="AL835" s="103"/>
      <c r="AM835" s="103"/>
      <c r="AN835" s="103"/>
      <c r="AO835" s="103" t="str">
        <f t="shared" si="39"/>
        <v>CFLscw-Refl-Ext(18w)Two-pack</v>
      </c>
    </row>
    <row r="836" spans="1:41">
      <c r="A836" s="177">
        <f>IFERROR(MATCH(D836,'Measure &amp; Standard CostIDs'!C$5:C$177,0),MATCH(D836,'Measure &amp; Standard CostIDs'!S$5:S$177,0))</f>
        <v>172</v>
      </c>
      <c r="B836" s="177">
        <f t="shared" si="40"/>
        <v>3</v>
      </c>
      <c r="C836" s="103" t="s">
        <v>153</v>
      </c>
      <c r="D836" s="103" t="str">
        <f t="shared" si="41"/>
        <v>CFLscw-Refl-Ext(20w)</v>
      </c>
      <c r="E836" s="103" t="str">
        <f>IF(LEFT(D836,3)="Std","Base case cost for mix of 60% Incandescent and 40% CFL lamps for CFL TechID: "&amp;INDEX('Measure &amp; Standard CostIDs'!$C$5:$C$177,A836),"&lt;from TechID&gt;")</f>
        <v>&lt;from TechID&gt;</v>
      </c>
      <c r="F836" s="103" t="s">
        <v>860</v>
      </c>
      <c r="G836" s="103" t="s">
        <v>151</v>
      </c>
      <c r="H836" s="103" t="s">
        <v>861</v>
      </c>
      <c r="I836" s="103" t="s">
        <v>862</v>
      </c>
      <c r="J836" s="103" t="s">
        <v>863</v>
      </c>
      <c r="K836" s="103" t="s">
        <v>864</v>
      </c>
      <c r="L836" s="103" t="s">
        <v>153</v>
      </c>
      <c r="M836" s="103" t="s">
        <v>865</v>
      </c>
      <c r="N836" s="103" t="s">
        <v>866</v>
      </c>
      <c r="O836" s="103" t="str">
        <f t="shared" si="38"/>
        <v>CFLscw-Refl-Ext(20w)</v>
      </c>
      <c r="P836" s="103" t="s">
        <v>153</v>
      </c>
      <c r="Q836" s="103" t="s">
        <v>153</v>
      </c>
      <c r="R836" s="103" t="s">
        <v>153</v>
      </c>
      <c r="S836" s="103" t="str">
        <f>INDEX('Measure &amp; Standard CostIDs'!$AK$8:$AK$12,B836)</f>
        <v>Two-pack</v>
      </c>
      <c r="T836" s="103" t="s">
        <v>867</v>
      </c>
      <c r="U836" s="103"/>
      <c r="V836" s="103"/>
      <c r="W836" s="103">
        <f>ROUND(IF(LEFT(D836,3)="Std",VLOOKUP(D836,'Measure &amp; Standard CostIDs'!$S$5:$X$177,1+B836,FALSE),VLOOKUP(D836,'Measure &amp; Standard CostIDs'!$C$5:$H$177,1+B836,FALSE)),2)</f>
        <v>6.35</v>
      </c>
      <c r="X836" s="103"/>
      <c r="Y836" s="103"/>
      <c r="Z836" s="103" t="s">
        <v>868</v>
      </c>
      <c r="AA836" s="103" t="s">
        <v>874</v>
      </c>
      <c r="AB836" s="103" t="s">
        <v>153</v>
      </c>
      <c r="AC836" s="103">
        <v>0</v>
      </c>
      <c r="AD836" s="156">
        <v>42005</v>
      </c>
      <c r="AE836" s="103"/>
      <c r="AF836" s="103" t="s">
        <v>870</v>
      </c>
      <c r="AG836" s="103" t="s">
        <v>871</v>
      </c>
      <c r="AH836" s="103" t="s">
        <v>976</v>
      </c>
      <c r="AI836" s="103">
        <v>0</v>
      </c>
      <c r="AJ836" s="103"/>
      <c r="AK836" s="103"/>
      <c r="AL836" s="103"/>
      <c r="AM836" s="103"/>
      <c r="AN836" s="103"/>
      <c r="AO836" s="103" t="str">
        <f t="shared" si="39"/>
        <v>CFLscw-Refl-Ext(20w)Two-pack</v>
      </c>
    </row>
    <row r="837" spans="1:41">
      <c r="A837" s="177">
        <f>IFERROR(MATCH(D837,'Measure &amp; Standard CostIDs'!C$5:C$177,0),MATCH(D837,'Measure &amp; Standard CostIDs'!S$5:S$177,0))</f>
        <v>173</v>
      </c>
      <c r="B837" s="177">
        <f t="shared" si="40"/>
        <v>3</v>
      </c>
      <c r="C837" s="103" t="s">
        <v>153</v>
      </c>
      <c r="D837" s="103" t="str">
        <f t="shared" si="41"/>
        <v>CFLscw-Refl-Ext(23w)</v>
      </c>
      <c r="E837" s="103" t="str">
        <f>IF(LEFT(D837,3)="Std","Base case cost for mix of 60% Incandescent and 40% CFL lamps for CFL TechID: "&amp;INDEX('Measure &amp; Standard CostIDs'!$C$5:$C$177,A837),"&lt;from TechID&gt;")</f>
        <v>&lt;from TechID&gt;</v>
      </c>
      <c r="F837" s="103" t="s">
        <v>860</v>
      </c>
      <c r="G837" s="103" t="s">
        <v>151</v>
      </c>
      <c r="H837" s="103" t="s">
        <v>861</v>
      </c>
      <c r="I837" s="103" t="s">
        <v>862</v>
      </c>
      <c r="J837" s="103" t="s">
        <v>863</v>
      </c>
      <c r="K837" s="103" t="s">
        <v>864</v>
      </c>
      <c r="L837" s="103" t="s">
        <v>153</v>
      </c>
      <c r="M837" s="103" t="s">
        <v>865</v>
      </c>
      <c r="N837" s="103" t="s">
        <v>866</v>
      </c>
      <c r="O837" s="103" t="str">
        <f t="shared" si="38"/>
        <v>CFLscw-Refl-Ext(23w)</v>
      </c>
      <c r="P837" s="103" t="s">
        <v>153</v>
      </c>
      <c r="Q837" s="103" t="s">
        <v>153</v>
      </c>
      <c r="R837" s="103" t="s">
        <v>153</v>
      </c>
      <c r="S837" s="103" t="str">
        <f>INDEX('Measure &amp; Standard CostIDs'!$AK$8:$AK$12,B837)</f>
        <v>Two-pack</v>
      </c>
      <c r="T837" s="103" t="s">
        <v>867</v>
      </c>
      <c r="U837" s="103"/>
      <c r="V837" s="103"/>
      <c r="W837" s="103">
        <f>ROUND(IF(LEFT(D837,3)="Std",VLOOKUP(D837,'Measure &amp; Standard CostIDs'!$S$5:$X$177,1+B837,FALSE),VLOOKUP(D837,'Measure &amp; Standard CostIDs'!$C$5:$H$177,1+B837,FALSE)),2)</f>
        <v>6.8</v>
      </c>
      <c r="X837" s="103"/>
      <c r="Y837" s="103"/>
      <c r="Z837" s="103" t="s">
        <v>868</v>
      </c>
      <c r="AA837" s="103" t="s">
        <v>874</v>
      </c>
      <c r="AB837" s="103" t="s">
        <v>153</v>
      </c>
      <c r="AC837" s="103">
        <v>0</v>
      </c>
      <c r="AD837" s="156">
        <v>42005</v>
      </c>
      <c r="AE837" s="103"/>
      <c r="AF837" s="103" t="s">
        <v>870</v>
      </c>
      <c r="AG837" s="103" t="s">
        <v>871</v>
      </c>
      <c r="AH837" s="103" t="s">
        <v>976</v>
      </c>
      <c r="AI837" s="103">
        <v>0</v>
      </c>
      <c r="AJ837" s="103"/>
      <c r="AK837" s="103"/>
      <c r="AL837" s="103"/>
      <c r="AM837" s="103"/>
      <c r="AN837" s="103"/>
      <c r="AO837" s="103" t="str">
        <f t="shared" si="39"/>
        <v>CFLscw-Refl-Ext(23w)Two-pack</v>
      </c>
    </row>
    <row r="838" spans="1:41">
      <c r="A838" s="177">
        <f>IFERROR(MATCH(D838,'Measure &amp; Standard CostIDs'!C$5:C$177,0),MATCH(D838,'Measure &amp; Standard CostIDs'!S$5:S$177,0))</f>
        <v>1</v>
      </c>
      <c r="B838" s="177">
        <f t="shared" si="40"/>
        <v>3</v>
      </c>
      <c r="C838" s="103" t="s">
        <v>153</v>
      </c>
      <c r="D838" s="103" t="str">
        <f t="shared" si="41"/>
        <v>Std_CFLscw(10w)_60pInc-r0248</v>
      </c>
      <c r="E838" s="103" t="str">
        <f>IF(LEFT(D838,3)="Std","Base case cost for mix of 60% Incandescent and 40% CFL lamps for CFL TechID: "&amp;INDEX('Measure &amp; Standard CostIDs'!$C$5:$C$177,A838),"&lt;from TechID&gt;")</f>
        <v>Base case cost for mix of 60% Incandescent and 40% CFL lamps for CFL TechID: CFLscw(10w)</v>
      </c>
      <c r="F838" s="103" t="s">
        <v>860</v>
      </c>
      <c r="G838" s="103" t="s">
        <v>151</v>
      </c>
      <c r="H838" s="103" t="s">
        <v>861</v>
      </c>
      <c r="I838" s="103" t="s">
        <v>862</v>
      </c>
      <c r="J838" s="103" t="s">
        <v>863</v>
      </c>
      <c r="K838" s="103" t="s">
        <v>864</v>
      </c>
      <c r="L838" s="103" t="s">
        <v>153</v>
      </c>
      <c r="M838" s="103" t="s">
        <v>865</v>
      </c>
      <c r="N838" s="103" t="s">
        <v>866</v>
      </c>
      <c r="O838" s="103" t="str">
        <f t="shared" ref="O838:O901" si="42">IF(LEFT(D838,3)="Std","",D838)</f>
        <v/>
      </c>
      <c r="P838" s="103" t="s">
        <v>153</v>
      </c>
      <c r="Q838" s="103" t="s">
        <v>153</v>
      </c>
      <c r="R838" s="103" t="s">
        <v>153</v>
      </c>
      <c r="S838" s="103" t="str">
        <f>INDEX('Measure &amp; Standard CostIDs'!$AK$8:$AK$12,B838)</f>
        <v>Two-pack</v>
      </c>
      <c r="T838" s="103" t="s">
        <v>867</v>
      </c>
      <c r="U838" s="103"/>
      <c r="V838" s="103"/>
      <c r="W838" s="103">
        <f>ROUND(IF(LEFT(D838,3)="Std",VLOOKUP(D838,'Measure &amp; Standard CostIDs'!$S$5:$X$177,1+B838,FALSE),VLOOKUP(D838,'Measure &amp; Standard CostIDs'!$C$5:$H$177,1+B838,FALSE)),2)</f>
        <v>2.17</v>
      </c>
      <c r="X838" s="103"/>
      <c r="Y838" s="103"/>
      <c r="Z838" s="103" t="s">
        <v>868</v>
      </c>
      <c r="AA838" s="103" t="s">
        <v>874</v>
      </c>
      <c r="AB838" s="103" t="s">
        <v>153</v>
      </c>
      <c r="AC838" s="103">
        <v>0</v>
      </c>
      <c r="AD838" s="156">
        <v>42005</v>
      </c>
      <c r="AE838" s="103"/>
      <c r="AF838" s="103" t="s">
        <v>870</v>
      </c>
      <c r="AG838" s="103" t="s">
        <v>871</v>
      </c>
      <c r="AH838" s="103" t="s">
        <v>976</v>
      </c>
      <c r="AI838" s="103">
        <v>0</v>
      </c>
      <c r="AJ838" s="103"/>
      <c r="AK838" s="103"/>
      <c r="AL838" s="103"/>
      <c r="AM838" s="103"/>
      <c r="AN838" s="103"/>
      <c r="AO838" s="103" t="str">
        <f t="shared" ref="AO838:AO901" si="43">D838&amp;S838</f>
        <v>Std_CFLscw(10w)_60pInc-r0248Two-pack</v>
      </c>
    </row>
    <row r="839" spans="1:41">
      <c r="A839" s="177">
        <f>IFERROR(MATCH(D839,'Measure &amp; Standard CostIDs'!C$5:C$177,0),MATCH(D839,'Measure &amp; Standard CostIDs'!S$5:S$177,0))</f>
        <v>2</v>
      </c>
      <c r="B839" s="177">
        <f t="shared" si="40"/>
        <v>3</v>
      </c>
      <c r="C839" s="103" t="s">
        <v>153</v>
      </c>
      <c r="D839" s="103" t="str">
        <f t="shared" si="41"/>
        <v>Std_CFLscw(11w)_60pInc-r0248</v>
      </c>
      <c r="E839" s="103" t="str">
        <f>IF(LEFT(D839,3)="Std","Base case cost for mix of 60% Incandescent and 40% CFL lamps for CFL TechID: "&amp;INDEX('Measure &amp; Standard CostIDs'!$C$5:$C$177,A839),"&lt;from TechID&gt;")</f>
        <v>Base case cost for mix of 60% Incandescent and 40% CFL lamps for CFL TechID: CFLscw(11w)</v>
      </c>
      <c r="F839" s="103" t="s">
        <v>860</v>
      </c>
      <c r="G839" s="103" t="s">
        <v>151</v>
      </c>
      <c r="H839" s="103" t="s">
        <v>861</v>
      </c>
      <c r="I839" s="103" t="s">
        <v>862</v>
      </c>
      <c r="J839" s="103" t="s">
        <v>863</v>
      </c>
      <c r="K839" s="103" t="s">
        <v>864</v>
      </c>
      <c r="L839" s="103" t="s">
        <v>153</v>
      </c>
      <c r="M839" s="103" t="s">
        <v>865</v>
      </c>
      <c r="N839" s="103" t="s">
        <v>866</v>
      </c>
      <c r="O839" s="103" t="str">
        <f t="shared" si="42"/>
        <v/>
      </c>
      <c r="P839" s="103" t="s">
        <v>153</v>
      </c>
      <c r="Q839" s="103" t="s">
        <v>153</v>
      </c>
      <c r="R839" s="103" t="s">
        <v>153</v>
      </c>
      <c r="S839" s="103" t="str">
        <f>INDEX('Measure &amp; Standard CostIDs'!$AK$8:$AK$12,B839)</f>
        <v>Two-pack</v>
      </c>
      <c r="T839" s="103" t="s">
        <v>867</v>
      </c>
      <c r="U839" s="103"/>
      <c r="V839" s="103"/>
      <c r="W839" s="103">
        <f>ROUND(IF(LEFT(D839,3)="Std",VLOOKUP(D839,'Measure &amp; Standard CostIDs'!$S$5:$X$177,1+B839,FALSE),VLOOKUP(D839,'Measure &amp; Standard CostIDs'!$C$5:$H$177,1+B839,FALSE)),2)</f>
        <v>2.21</v>
      </c>
      <c r="X839" s="103"/>
      <c r="Y839" s="103"/>
      <c r="Z839" s="103" t="s">
        <v>868</v>
      </c>
      <c r="AA839" s="103" t="s">
        <v>874</v>
      </c>
      <c r="AB839" s="103" t="s">
        <v>153</v>
      </c>
      <c r="AC839" s="103">
        <v>0</v>
      </c>
      <c r="AD839" s="156">
        <v>42005</v>
      </c>
      <c r="AE839" s="103"/>
      <c r="AF839" s="103" t="s">
        <v>870</v>
      </c>
      <c r="AG839" s="103" t="s">
        <v>871</v>
      </c>
      <c r="AH839" s="103" t="s">
        <v>976</v>
      </c>
      <c r="AI839" s="103">
        <v>0</v>
      </c>
      <c r="AJ839" s="103"/>
      <c r="AK839" s="103"/>
      <c r="AL839" s="103"/>
      <c r="AM839" s="103"/>
      <c r="AN839" s="103"/>
      <c r="AO839" s="103" t="str">
        <f t="shared" si="43"/>
        <v>Std_CFLscw(11w)_60pInc-r0248Two-pack</v>
      </c>
    </row>
    <row r="840" spans="1:41">
      <c r="A840" s="177">
        <f>IFERROR(MATCH(D840,'Measure &amp; Standard CostIDs'!C$5:C$177,0),MATCH(D840,'Measure &amp; Standard CostIDs'!S$5:S$177,0))</f>
        <v>4</v>
      </c>
      <c r="B840" s="177">
        <f t="shared" si="40"/>
        <v>3</v>
      </c>
      <c r="C840" s="103" t="s">
        <v>153</v>
      </c>
      <c r="D840" s="103" t="str">
        <f t="shared" si="41"/>
        <v>Std_CFLscw(12w)_60pInc-r0248</v>
      </c>
      <c r="E840" s="103" t="str">
        <f>IF(LEFT(D840,3)="Std","Base case cost for mix of 60% Incandescent and 40% CFL lamps for CFL TechID: "&amp;INDEX('Measure &amp; Standard CostIDs'!$C$5:$C$177,A840),"&lt;from TechID&gt;")</f>
        <v>Base case cost for mix of 60% Incandescent and 40% CFL lamps for CFL TechID: CFLscw(12w)</v>
      </c>
      <c r="F840" s="103" t="s">
        <v>860</v>
      </c>
      <c r="G840" s="103" t="s">
        <v>151</v>
      </c>
      <c r="H840" s="103" t="s">
        <v>861</v>
      </c>
      <c r="I840" s="103" t="s">
        <v>862</v>
      </c>
      <c r="J840" s="103" t="s">
        <v>863</v>
      </c>
      <c r="K840" s="103" t="s">
        <v>864</v>
      </c>
      <c r="L840" s="103" t="s">
        <v>153</v>
      </c>
      <c r="M840" s="103" t="s">
        <v>865</v>
      </c>
      <c r="N840" s="103" t="s">
        <v>866</v>
      </c>
      <c r="O840" s="103" t="str">
        <f t="shared" si="42"/>
        <v/>
      </c>
      <c r="P840" s="103" t="s">
        <v>153</v>
      </c>
      <c r="Q840" s="103" t="s">
        <v>153</v>
      </c>
      <c r="R840" s="103" t="s">
        <v>153</v>
      </c>
      <c r="S840" s="103" t="str">
        <f>INDEX('Measure &amp; Standard CostIDs'!$AK$8:$AK$12,B840)</f>
        <v>Two-pack</v>
      </c>
      <c r="T840" s="103" t="s">
        <v>867</v>
      </c>
      <c r="U840" s="103"/>
      <c r="V840" s="103"/>
      <c r="W840" s="103">
        <f>ROUND(IF(LEFT(D840,3)="Std",VLOOKUP(D840,'Measure &amp; Standard CostIDs'!$S$5:$X$177,1+B840,FALSE),VLOOKUP(D840,'Measure &amp; Standard CostIDs'!$C$5:$H$177,1+B840,FALSE)),2)</f>
        <v>2.2599999999999998</v>
      </c>
      <c r="X840" s="103"/>
      <c r="Y840" s="103"/>
      <c r="Z840" s="103" t="s">
        <v>868</v>
      </c>
      <c r="AA840" s="103" t="s">
        <v>874</v>
      </c>
      <c r="AB840" s="103" t="s">
        <v>153</v>
      </c>
      <c r="AC840" s="103">
        <v>0</v>
      </c>
      <c r="AD840" s="156">
        <v>42005</v>
      </c>
      <c r="AE840" s="103"/>
      <c r="AF840" s="103" t="s">
        <v>870</v>
      </c>
      <c r="AG840" s="103" t="s">
        <v>871</v>
      </c>
      <c r="AH840" s="103" t="s">
        <v>976</v>
      </c>
      <c r="AI840" s="103">
        <v>0</v>
      </c>
      <c r="AJ840" s="103"/>
      <c r="AK840" s="103"/>
      <c r="AL840" s="103"/>
      <c r="AM840" s="103"/>
      <c r="AN840" s="103"/>
      <c r="AO840" s="103" t="str">
        <f t="shared" si="43"/>
        <v>Std_CFLscw(12w)_60pInc-r0248Two-pack</v>
      </c>
    </row>
    <row r="841" spans="1:41">
      <c r="A841" s="177">
        <f>IFERROR(MATCH(D841,'Measure &amp; Standard CostIDs'!C$5:C$177,0),MATCH(D841,'Measure &amp; Standard CostIDs'!S$5:S$177,0))</f>
        <v>5</v>
      </c>
      <c r="B841" s="177">
        <f t="shared" si="40"/>
        <v>3</v>
      </c>
      <c r="C841" s="103" t="s">
        <v>153</v>
      </c>
      <c r="D841" s="103" t="str">
        <f t="shared" si="41"/>
        <v>Std_CFLscw(13w)_60pInc-r0248</v>
      </c>
      <c r="E841" s="103" t="str">
        <f>IF(LEFT(D841,3)="Std","Base case cost for mix of 60% Incandescent and 40% CFL lamps for CFL TechID: "&amp;INDEX('Measure &amp; Standard CostIDs'!$C$5:$C$177,A841),"&lt;from TechID&gt;")</f>
        <v>Base case cost for mix of 60% Incandescent and 40% CFL lamps for CFL TechID: CFLscw(13w)</v>
      </c>
      <c r="F841" s="103" t="s">
        <v>860</v>
      </c>
      <c r="G841" s="103" t="s">
        <v>151</v>
      </c>
      <c r="H841" s="103" t="s">
        <v>861</v>
      </c>
      <c r="I841" s="103" t="s">
        <v>862</v>
      </c>
      <c r="J841" s="103" t="s">
        <v>863</v>
      </c>
      <c r="K841" s="103" t="s">
        <v>864</v>
      </c>
      <c r="L841" s="103" t="s">
        <v>153</v>
      </c>
      <c r="M841" s="103" t="s">
        <v>865</v>
      </c>
      <c r="N841" s="103" t="s">
        <v>866</v>
      </c>
      <c r="O841" s="103" t="str">
        <f t="shared" si="42"/>
        <v/>
      </c>
      <c r="P841" s="103" t="s">
        <v>153</v>
      </c>
      <c r="Q841" s="103" t="s">
        <v>153</v>
      </c>
      <c r="R841" s="103" t="s">
        <v>153</v>
      </c>
      <c r="S841" s="103" t="str">
        <f>INDEX('Measure &amp; Standard CostIDs'!$AK$8:$AK$12,B841)</f>
        <v>Two-pack</v>
      </c>
      <c r="T841" s="103" t="s">
        <v>867</v>
      </c>
      <c r="U841" s="103"/>
      <c r="V841" s="103"/>
      <c r="W841" s="103">
        <f>ROUND(IF(LEFT(D841,3)="Std",VLOOKUP(D841,'Measure &amp; Standard CostIDs'!$S$5:$X$177,1+B841,FALSE),VLOOKUP(D841,'Measure &amp; Standard CostIDs'!$C$5:$H$177,1+B841,FALSE)),2)</f>
        <v>2.2999999999999998</v>
      </c>
      <c r="X841" s="103"/>
      <c r="Y841" s="103"/>
      <c r="Z841" s="103" t="s">
        <v>868</v>
      </c>
      <c r="AA841" s="103" t="s">
        <v>874</v>
      </c>
      <c r="AB841" s="103" t="s">
        <v>153</v>
      </c>
      <c r="AC841" s="103">
        <v>0</v>
      </c>
      <c r="AD841" s="156">
        <v>42005</v>
      </c>
      <c r="AE841" s="103"/>
      <c r="AF841" s="103" t="s">
        <v>870</v>
      </c>
      <c r="AG841" s="103" t="s">
        <v>871</v>
      </c>
      <c r="AH841" s="103" t="s">
        <v>976</v>
      </c>
      <c r="AI841" s="103">
        <v>0</v>
      </c>
      <c r="AJ841" s="103"/>
      <c r="AK841" s="103"/>
      <c r="AL841" s="103"/>
      <c r="AM841" s="103"/>
      <c r="AN841" s="103"/>
      <c r="AO841" s="103" t="str">
        <f t="shared" si="43"/>
        <v>Std_CFLscw(13w)_60pInc-r0248Two-pack</v>
      </c>
    </row>
    <row r="842" spans="1:41">
      <c r="A842" s="177">
        <f>IFERROR(MATCH(D842,'Measure &amp; Standard CostIDs'!C$5:C$177,0),MATCH(D842,'Measure &amp; Standard CostIDs'!S$5:S$177,0))</f>
        <v>6</v>
      </c>
      <c r="B842" s="177">
        <f t="shared" si="40"/>
        <v>3</v>
      </c>
      <c r="C842" s="103" t="s">
        <v>153</v>
      </c>
      <c r="D842" s="103" t="str">
        <f t="shared" si="41"/>
        <v>Std_CFLscw(14w)_60pInc-r0248</v>
      </c>
      <c r="E842" s="103" t="str">
        <f>IF(LEFT(D842,3)="Std","Base case cost for mix of 60% Incandescent and 40% CFL lamps for CFL TechID: "&amp;INDEX('Measure &amp; Standard CostIDs'!$C$5:$C$177,A842),"&lt;from TechID&gt;")</f>
        <v>Base case cost for mix of 60% Incandescent and 40% CFL lamps for CFL TechID: CFLscw(14w)</v>
      </c>
      <c r="F842" s="103" t="s">
        <v>860</v>
      </c>
      <c r="G842" s="103" t="s">
        <v>151</v>
      </c>
      <c r="H842" s="103" t="s">
        <v>861</v>
      </c>
      <c r="I842" s="103" t="s">
        <v>862</v>
      </c>
      <c r="J842" s="103" t="s">
        <v>863</v>
      </c>
      <c r="K842" s="103" t="s">
        <v>864</v>
      </c>
      <c r="L842" s="103" t="s">
        <v>153</v>
      </c>
      <c r="M842" s="103" t="s">
        <v>865</v>
      </c>
      <c r="N842" s="103" t="s">
        <v>866</v>
      </c>
      <c r="O842" s="103" t="str">
        <f t="shared" si="42"/>
        <v/>
      </c>
      <c r="P842" s="103" t="s">
        <v>153</v>
      </c>
      <c r="Q842" s="103" t="s">
        <v>153</v>
      </c>
      <c r="R842" s="103" t="s">
        <v>153</v>
      </c>
      <c r="S842" s="103" t="str">
        <f>INDEX('Measure &amp; Standard CostIDs'!$AK$8:$AK$12,B842)</f>
        <v>Two-pack</v>
      </c>
      <c r="T842" s="103" t="s">
        <v>867</v>
      </c>
      <c r="U842" s="103"/>
      <c r="V842" s="103"/>
      <c r="W842" s="103">
        <f>ROUND(IF(LEFT(D842,3)="Std",VLOOKUP(D842,'Measure &amp; Standard CostIDs'!$S$5:$X$177,1+B842,FALSE),VLOOKUP(D842,'Measure &amp; Standard CostIDs'!$C$5:$H$177,1+B842,FALSE)),2)</f>
        <v>2.35</v>
      </c>
      <c r="X842" s="103"/>
      <c r="Y842" s="103"/>
      <c r="Z842" s="103" t="s">
        <v>868</v>
      </c>
      <c r="AA842" s="103" t="s">
        <v>874</v>
      </c>
      <c r="AB842" s="103" t="s">
        <v>153</v>
      </c>
      <c r="AC842" s="103">
        <v>0</v>
      </c>
      <c r="AD842" s="156">
        <v>42005</v>
      </c>
      <c r="AE842" s="103"/>
      <c r="AF842" s="103" t="s">
        <v>870</v>
      </c>
      <c r="AG842" s="103" t="s">
        <v>871</v>
      </c>
      <c r="AH842" s="103" t="s">
        <v>976</v>
      </c>
      <c r="AI842" s="103">
        <v>0</v>
      </c>
      <c r="AJ842" s="103"/>
      <c r="AK842" s="103"/>
      <c r="AL842" s="103"/>
      <c r="AM842" s="103"/>
      <c r="AN842" s="103"/>
      <c r="AO842" s="103" t="str">
        <f t="shared" si="43"/>
        <v>Std_CFLscw(14w)_60pInc-r0248Two-pack</v>
      </c>
    </row>
    <row r="843" spans="1:41">
      <c r="A843" s="177">
        <f>IFERROR(MATCH(D843,'Measure &amp; Standard CostIDs'!C$5:C$177,0),MATCH(D843,'Measure &amp; Standard CostIDs'!S$5:S$177,0))</f>
        <v>7</v>
      </c>
      <c r="B843" s="177">
        <f t="shared" si="40"/>
        <v>3</v>
      </c>
      <c r="C843" s="103" t="s">
        <v>153</v>
      </c>
      <c r="D843" s="103" t="str">
        <f t="shared" si="41"/>
        <v>Std_CFLscw(15w)_60pInc-r0248</v>
      </c>
      <c r="E843" s="103" t="str">
        <f>IF(LEFT(D843,3)="Std","Base case cost for mix of 60% Incandescent and 40% CFL lamps for CFL TechID: "&amp;INDEX('Measure &amp; Standard CostIDs'!$C$5:$C$177,A843),"&lt;from TechID&gt;")</f>
        <v>Base case cost for mix of 60% Incandescent and 40% CFL lamps for CFL TechID: CFLscw(15w)</v>
      </c>
      <c r="F843" s="103" t="s">
        <v>860</v>
      </c>
      <c r="G843" s="103" t="s">
        <v>151</v>
      </c>
      <c r="H843" s="103" t="s">
        <v>861</v>
      </c>
      <c r="I843" s="103" t="s">
        <v>862</v>
      </c>
      <c r="J843" s="103" t="s">
        <v>863</v>
      </c>
      <c r="K843" s="103" t="s">
        <v>864</v>
      </c>
      <c r="L843" s="103" t="s">
        <v>153</v>
      </c>
      <c r="M843" s="103" t="s">
        <v>865</v>
      </c>
      <c r="N843" s="103" t="s">
        <v>866</v>
      </c>
      <c r="O843" s="103" t="str">
        <f t="shared" si="42"/>
        <v/>
      </c>
      <c r="P843" s="103" t="s">
        <v>153</v>
      </c>
      <c r="Q843" s="103" t="s">
        <v>153</v>
      </c>
      <c r="R843" s="103" t="s">
        <v>153</v>
      </c>
      <c r="S843" s="103" t="str">
        <f>INDEX('Measure &amp; Standard CostIDs'!$AK$8:$AK$12,B843)</f>
        <v>Two-pack</v>
      </c>
      <c r="T843" s="103" t="s">
        <v>867</v>
      </c>
      <c r="U843" s="103"/>
      <c r="V843" s="103"/>
      <c r="W843" s="103">
        <f>ROUND(IF(LEFT(D843,3)="Std",VLOOKUP(D843,'Measure &amp; Standard CostIDs'!$S$5:$X$177,1+B843,FALSE),VLOOKUP(D843,'Measure &amp; Standard CostIDs'!$C$5:$H$177,1+B843,FALSE)),2)</f>
        <v>2.39</v>
      </c>
      <c r="X843" s="103"/>
      <c r="Y843" s="103"/>
      <c r="Z843" s="103" t="s">
        <v>868</v>
      </c>
      <c r="AA843" s="103" t="s">
        <v>874</v>
      </c>
      <c r="AB843" s="103" t="s">
        <v>153</v>
      </c>
      <c r="AC843" s="103">
        <v>0</v>
      </c>
      <c r="AD843" s="156">
        <v>42005</v>
      </c>
      <c r="AE843" s="103"/>
      <c r="AF843" s="103" t="s">
        <v>870</v>
      </c>
      <c r="AG843" s="103" t="s">
        <v>871</v>
      </c>
      <c r="AH843" s="103" t="s">
        <v>976</v>
      </c>
      <c r="AI843" s="103">
        <v>0</v>
      </c>
      <c r="AJ843" s="103"/>
      <c r="AK843" s="103"/>
      <c r="AL843" s="103"/>
      <c r="AM843" s="103"/>
      <c r="AN843" s="103"/>
      <c r="AO843" s="103" t="str">
        <f t="shared" si="43"/>
        <v>Std_CFLscw(15w)_60pInc-r0248Two-pack</v>
      </c>
    </row>
    <row r="844" spans="1:41">
      <c r="A844" s="177">
        <f>IFERROR(MATCH(D844,'Measure &amp; Standard CostIDs'!C$5:C$177,0),MATCH(D844,'Measure &amp; Standard CostIDs'!S$5:S$177,0))</f>
        <v>8</v>
      </c>
      <c r="B844" s="177">
        <f t="shared" si="40"/>
        <v>3</v>
      </c>
      <c r="C844" s="103" t="s">
        <v>153</v>
      </c>
      <c r="D844" s="103" t="str">
        <f t="shared" si="41"/>
        <v>Std_CFLscw(16w)_60pInc-r0248</v>
      </c>
      <c r="E844" s="103" t="str">
        <f>IF(LEFT(D844,3)="Std","Base case cost for mix of 60% Incandescent and 40% CFL lamps for CFL TechID: "&amp;INDEX('Measure &amp; Standard CostIDs'!$C$5:$C$177,A844),"&lt;from TechID&gt;")</f>
        <v>Base case cost for mix of 60% Incandescent and 40% CFL lamps for CFL TechID: CFLscw(16w)</v>
      </c>
      <c r="F844" s="103" t="s">
        <v>860</v>
      </c>
      <c r="G844" s="103" t="s">
        <v>151</v>
      </c>
      <c r="H844" s="103" t="s">
        <v>861</v>
      </c>
      <c r="I844" s="103" t="s">
        <v>862</v>
      </c>
      <c r="J844" s="103" t="s">
        <v>863</v>
      </c>
      <c r="K844" s="103" t="s">
        <v>864</v>
      </c>
      <c r="L844" s="103" t="s">
        <v>153</v>
      </c>
      <c r="M844" s="103" t="s">
        <v>865</v>
      </c>
      <c r="N844" s="103" t="s">
        <v>866</v>
      </c>
      <c r="O844" s="103" t="str">
        <f t="shared" si="42"/>
        <v/>
      </c>
      <c r="P844" s="103" t="s">
        <v>153</v>
      </c>
      <c r="Q844" s="103" t="s">
        <v>153</v>
      </c>
      <c r="R844" s="103" t="s">
        <v>153</v>
      </c>
      <c r="S844" s="103" t="str">
        <f>INDEX('Measure &amp; Standard CostIDs'!$AK$8:$AK$12,B844)</f>
        <v>Two-pack</v>
      </c>
      <c r="T844" s="103" t="s">
        <v>867</v>
      </c>
      <c r="U844" s="103"/>
      <c r="V844" s="103"/>
      <c r="W844" s="103">
        <f>ROUND(IF(LEFT(D844,3)="Std",VLOOKUP(D844,'Measure &amp; Standard CostIDs'!$S$5:$X$177,1+B844,FALSE),VLOOKUP(D844,'Measure &amp; Standard CostIDs'!$C$5:$H$177,1+B844,FALSE)),2)</f>
        <v>2.44</v>
      </c>
      <c r="X844" s="103"/>
      <c r="Y844" s="103"/>
      <c r="Z844" s="103" t="s">
        <v>868</v>
      </c>
      <c r="AA844" s="103" t="s">
        <v>874</v>
      </c>
      <c r="AB844" s="103" t="s">
        <v>153</v>
      </c>
      <c r="AC844" s="103">
        <v>0</v>
      </c>
      <c r="AD844" s="156">
        <v>42005</v>
      </c>
      <c r="AE844" s="103"/>
      <c r="AF844" s="103" t="s">
        <v>870</v>
      </c>
      <c r="AG844" s="103" t="s">
        <v>871</v>
      </c>
      <c r="AH844" s="103" t="s">
        <v>976</v>
      </c>
      <c r="AI844" s="103">
        <v>0</v>
      </c>
      <c r="AJ844" s="103"/>
      <c r="AK844" s="103"/>
      <c r="AL844" s="103"/>
      <c r="AM844" s="103"/>
      <c r="AN844" s="103"/>
      <c r="AO844" s="103" t="str">
        <f t="shared" si="43"/>
        <v>Std_CFLscw(16w)_60pInc-r0248Two-pack</v>
      </c>
    </row>
    <row r="845" spans="1:41">
      <c r="A845" s="177">
        <f>IFERROR(MATCH(D845,'Measure &amp; Standard CostIDs'!C$5:C$177,0),MATCH(D845,'Measure &amp; Standard CostIDs'!S$5:S$177,0))</f>
        <v>9</v>
      </c>
      <c r="B845" s="177">
        <f t="shared" si="40"/>
        <v>3</v>
      </c>
      <c r="C845" s="103" t="s">
        <v>153</v>
      </c>
      <c r="D845" s="103" t="str">
        <f t="shared" si="41"/>
        <v>Std_CFLscw(17w)_60pInc-r0248</v>
      </c>
      <c r="E845" s="103" t="str">
        <f>IF(LEFT(D845,3)="Std","Base case cost for mix of 60% Incandescent and 40% CFL lamps for CFL TechID: "&amp;INDEX('Measure &amp; Standard CostIDs'!$C$5:$C$177,A845),"&lt;from TechID&gt;")</f>
        <v>Base case cost for mix of 60% Incandescent and 40% CFL lamps for CFL TechID: CFLscw(17w)</v>
      </c>
      <c r="F845" s="103" t="s">
        <v>860</v>
      </c>
      <c r="G845" s="103" t="s">
        <v>151</v>
      </c>
      <c r="H845" s="103" t="s">
        <v>861</v>
      </c>
      <c r="I845" s="103" t="s">
        <v>862</v>
      </c>
      <c r="J845" s="103" t="s">
        <v>863</v>
      </c>
      <c r="K845" s="103" t="s">
        <v>864</v>
      </c>
      <c r="L845" s="103" t="s">
        <v>153</v>
      </c>
      <c r="M845" s="103" t="s">
        <v>865</v>
      </c>
      <c r="N845" s="103" t="s">
        <v>866</v>
      </c>
      <c r="O845" s="103" t="str">
        <f t="shared" si="42"/>
        <v/>
      </c>
      <c r="P845" s="103" t="s">
        <v>153</v>
      </c>
      <c r="Q845" s="103" t="s">
        <v>153</v>
      </c>
      <c r="R845" s="103" t="s">
        <v>153</v>
      </c>
      <c r="S845" s="103" t="str">
        <f>INDEX('Measure &amp; Standard CostIDs'!$AK$8:$AK$12,B845)</f>
        <v>Two-pack</v>
      </c>
      <c r="T845" s="103" t="s">
        <v>867</v>
      </c>
      <c r="U845" s="103"/>
      <c r="V845" s="103"/>
      <c r="W845" s="103">
        <f>ROUND(IF(LEFT(D845,3)="Std",VLOOKUP(D845,'Measure &amp; Standard CostIDs'!$S$5:$X$177,1+B845,FALSE),VLOOKUP(D845,'Measure &amp; Standard CostIDs'!$C$5:$H$177,1+B845,FALSE)),2)</f>
        <v>2.4900000000000002</v>
      </c>
      <c r="X845" s="103"/>
      <c r="Y845" s="103"/>
      <c r="Z845" s="103" t="s">
        <v>868</v>
      </c>
      <c r="AA845" s="103" t="s">
        <v>874</v>
      </c>
      <c r="AB845" s="103" t="s">
        <v>153</v>
      </c>
      <c r="AC845" s="103">
        <v>0</v>
      </c>
      <c r="AD845" s="156">
        <v>42005</v>
      </c>
      <c r="AE845" s="103"/>
      <c r="AF845" s="103" t="s">
        <v>870</v>
      </c>
      <c r="AG845" s="103" t="s">
        <v>871</v>
      </c>
      <c r="AH845" s="103" t="s">
        <v>976</v>
      </c>
      <c r="AI845" s="103">
        <v>0</v>
      </c>
      <c r="AJ845" s="103"/>
      <c r="AK845" s="103"/>
      <c r="AL845" s="103"/>
      <c r="AM845" s="103"/>
      <c r="AN845" s="103"/>
      <c r="AO845" s="103" t="str">
        <f t="shared" si="43"/>
        <v>Std_CFLscw(17w)_60pInc-r0248Two-pack</v>
      </c>
    </row>
    <row r="846" spans="1:41">
      <c r="A846" s="177">
        <f>IFERROR(MATCH(D846,'Measure &amp; Standard CostIDs'!C$5:C$177,0),MATCH(D846,'Measure &amp; Standard CostIDs'!S$5:S$177,0))</f>
        <v>10</v>
      </c>
      <c r="B846" s="177">
        <f t="shared" si="40"/>
        <v>3</v>
      </c>
      <c r="C846" s="103" t="s">
        <v>153</v>
      </c>
      <c r="D846" s="103" t="str">
        <f t="shared" si="41"/>
        <v>Std_CFLscw(18w)_60pInc-r0248</v>
      </c>
      <c r="E846" s="103" t="str">
        <f>IF(LEFT(D846,3)="Std","Base case cost for mix of 60% Incandescent and 40% CFL lamps for CFL TechID: "&amp;INDEX('Measure &amp; Standard CostIDs'!$C$5:$C$177,A846),"&lt;from TechID&gt;")</f>
        <v>Base case cost for mix of 60% Incandescent and 40% CFL lamps for CFL TechID: CFLscw(18w)</v>
      </c>
      <c r="F846" s="103" t="s">
        <v>860</v>
      </c>
      <c r="G846" s="103" t="s">
        <v>151</v>
      </c>
      <c r="H846" s="103" t="s">
        <v>861</v>
      </c>
      <c r="I846" s="103" t="s">
        <v>862</v>
      </c>
      <c r="J846" s="103" t="s">
        <v>863</v>
      </c>
      <c r="K846" s="103" t="s">
        <v>864</v>
      </c>
      <c r="L846" s="103" t="s">
        <v>153</v>
      </c>
      <c r="M846" s="103" t="s">
        <v>865</v>
      </c>
      <c r="N846" s="103" t="s">
        <v>866</v>
      </c>
      <c r="O846" s="103" t="str">
        <f t="shared" si="42"/>
        <v/>
      </c>
      <c r="P846" s="103" t="s">
        <v>153</v>
      </c>
      <c r="Q846" s="103" t="s">
        <v>153</v>
      </c>
      <c r="R846" s="103" t="s">
        <v>153</v>
      </c>
      <c r="S846" s="103" t="str">
        <f>INDEX('Measure &amp; Standard CostIDs'!$AK$8:$AK$12,B846)</f>
        <v>Two-pack</v>
      </c>
      <c r="T846" s="103" t="s">
        <v>867</v>
      </c>
      <c r="U846" s="103"/>
      <c r="V846" s="103"/>
      <c r="W846" s="103">
        <f>ROUND(IF(LEFT(D846,3)="Std",VLOOKUP(D846,'Measure &amp; Standard CostIDs'!$S$5:$X$177,1+B846,FALSE),VLOOKUP(D846,'Measure &amp; Standard CostIDs'!$C$5:$H$177,1+B846,FALSE)),2)</f>
        <v>2.5299999999999998</v>
      </c>
      <c r="X846" s="103"/>
      <c r="Y846" s="103"/>
      <c r="Z846" s="103" t="s">
        <v>868</v>
      </c>
      <c r="AA846" s="103" t="s">
        <v>874</v>
      </c>
      <c r="AB846" s="103" t="s">
        <v>153</v>
      </c>
      <c r="AC846" s="103">
        <v>0</v>
      </c>
      <c r="AD846" s="156">
        <v>42005</v>
      </c>
      <c r="AE846" s="103"/>
      <c r="AF846" s="103" t="s">
        <v>870</v>
      </c>
      <c r="AG846" s="103" t="s">
        <v>871</v>
      </c>
      <c r="AH846" s="103" t="s">
        <v>976</v>
      </c>
      <c r="AI846" s="103">
        <v>0</v>
      </c>
      <c r="AJ846" s="103"/>
      <c r="AK846" s="103"/>
      <c r="AL846" s="103"/>
      <c r="AM846" s="103"/>
      <c r="AN846" s="103"/>
      <c r="AO846" s="103" t="str">
        <f t="shared" si="43"/>
        <v>Std_CFLscw(18w)_60pInc-r0248Two-pack</v>
      </c>
    </row>
    <row r="847" spans="1:41">
      <c r="A847" s="177">
        <f>IFERROR(MATCH(D847,'Measure &amp; Standard CostIDs'!C$5:C$177,0),MATCH(D847,'Measure &amp; Standard CostIDs'!S$5:S$177,0))</f>
        <v>11</v>
      </c>
      <c r="B847" s="177">
        <f t="shared" si="40"/>
        <v>3</v>
      </c>
      <c r="C847" s="103" t="s">
        <v>153</v>
      </c>
      <c r="D847" s="103" t="str">
        <f t="shared" si="41"/>
        <v>Std_CFLscw(19w)_60pInc-r0248</v>
      </c>
      <c r="E847" s="103" t="str">
        <f>IF(LEFT(D847,3)="Std","Base case cost for mix of 60% Incandescent and 40% CFL lamps for CFL TechID: "&amp;INDEX('Measure &amp; Standard CostIDs'!$C$5:$C$177,A847),"&lt;from TechID&gt;")</f>
        <v>Base case cost for mix of 60% Incandescent and 40% CFL lamps for CFL TechID: CFLscw(19w)</v>
      </c>
      <c r="F847" s="103" t="s">
        <v>860</v>
      </c>
      <c r="G847" s="103" t="s">
        <v>151</v>
      </c>
      <c r="H847" s="103" t="s">
        <v>861</v>
      </c>
      <c r="I847" s="103" t="s">
        <v>862</v>
      </c>
      <c r="J847" s="103" t="s">
        <v>863</v>
      </c>
      <c r="K847" s="103" t="s">
        <v>864</v>
      </c>
      <c r="L847" s="103" t="s">
        <v>153</v>
      </c>
      <c r="M847" s="103" t="s">
        <v>865</v>
      </c>
      <c r="N847" s="103" t="s">
        <v>866</v>
      </c>
      <c r="O847" s="103" t="str">
        <f t="shared" si="42"/>
        <v/>
      </c>
      <c r="P847" s="103" t="s">
        <v>153</v>
      </c>
      <c r="Q847" s="103" t="s">
        <v>153</v>
      </c>
      <c r="R847" s="103" t="s">
        <v>153</v>
      </c>
      <c r="S847" s="103" t="str">
        <f>INDEX('Measure &amp; Standard CostIDs'!$AK$8:$AK$12,B847)</f>
        <v>Two-pack</v>
      </c>
      <c r="T847" s="103" t="s">
        <v>867</v>
      </c>
      <c r="U847" s="103"/>
      <c r="V847" s="103"/>
      <c r="W847" s="103">
        <f>ROUND(IF(LEFT(D847,3)="Std",VLOOKUP(D847,'Measure &amp; Standard CostIDs'!$S$5:$X$177,1+B847,FALSE),VLOOKUP(D847,'Measure &amp; Standard CostIDs'!$C$5:$H$177,1+B847,FALSE)),2)</f>
        <v>2.58</v>
      </c>
      <c r="X847" s="103"/>
      <c r="Y847" s="103"/>
      <c r="Z847" s="103" t="s">
        <v>868</v>
      </c>
      <c r="AA847" s="103" t="s">
        <v>874</v>
      </c>
      <c r="AB847" s="103" t="s">
        <v>153</v>
      </c>
      <c r="AC847" s="103">
        <v>0</v>
      </c>
      <c r="AD847" s="156">
        <v>42005</v>
      </c>
      <c r="AE847" s="103"/>
      <c r="AF847" s="103" t="s">
        <v>870</v>
      </c>
      <c r="AG847" s="103" t="s">
        <v>871</v>
      </c>
      <c r="AH847" s="103" t="s">
        <v>976</v>
      </c>
      <c r="AI847" s="103">
        <v>0</v>
      </c>
      <c r="AJ847" s="103"/>
      <c r="AK847" s="103"/>
      <c r="AL847" s="103"/>
      <c r="AM847" s="103"/>
      <c r="AN847" s="103"/>
      <c r="AO847" s="103" t="str">
        <f t="shared" si="43"/>
        <v>Std_CFLscw(19w)_60pInc-r0248Two-pack</v>
      </c>
    </row>
    <row r="848" spans="1:41">
      <c r="A848" s="177">
        <f>IFERROR(MATCH(D848,'Measure &amp; Standard CostIDs'!C$5:C$177,0),MATCH(D848,'Measure &amp; Standard CostIDs'!S$5:S$177,0))</f>
        <v>12</v>
      </c>
      <c r="B848" s="177">
        <f t="shared" ref="B848:B912" si="44">+B518+1</f>
        <v>3</v>
      </c>
      <c r="C848" s="103" t="s">
        <v>153</v>
      </c>
      <c r="D848" s="103" t="str">
        <f t="shared" ref="D848:D911" si="45">+D518</f>
        <v>Std_CFLscw(20w)_60pInc-r0248</v>
      </c>
      <c r="E848" s="103" t="str">
        <f>IF(LEFT(D848,3)="Std","Base case cost for mix of 60% Incandescent and 40% CFL lamps for CFL TechID: "&amp;INDEX('Measure &amp; Standard CostIDs'!$C$5:$C$177,A848),"&lt;from TechID&gt;")</f>
        <v>Base case cost for mix of 60% Incandescent and 40% CFL lamps for CFL TechID: CFLscw(20w)</v>
      </c>
      <c r="F848" s="103" t="s">
        <v>860</v>
      </c>
      <c r="G848" s="103" t="s">
        <v>151</v>
      </c>
      <c r="H848" s="103" t="s">
        <v>861</v>
      </c>
      <c r="I848" s="103" t="s">
        <v>862</v>
      </c>
      <c r="J848" s="103" t="s">
        <v>863</v>
      </c>
      <c r="K848" s="103" t="s">
        <v>864</v>
      </c>
      <c r="L848" s="103" t="s">
        <v>153</v>
      </c>
      <c r="M848" s="103" t="s">
        <v>865</v>
      </c>
      <c r="N848" s="103" t="s">
        <v>866</v>
      </c>
      <c r="O848" s="103" t="str">
        <f t="shared" si="42"/>
        <v/>
      </c>
      <c r="P848" s="103" t="s">
        <v>153</v>
      </c>
      <c r="Q848" s="103" t="s">
        <v>153</v>
      </c>
      <c r="R848" s="103" t="s">
        <v>153</v>
      </c>
      <c r="S848" s="103" t="str">
        <f>INDEX('Measure &amp; Standard CostIDs'!$AK$8:$AK$12,B848)</f>
        <v>Two-pack</v>
      </c>
      <c r="T848" s="103" t="s">
        <v>867</v>
      </c>
      <c r="U848" s="103"/>
      <c r="V848" s="103"/>
      <c r="W848" s="103">
        <f>ROUND(IF(LEFT(D848,3)="Std",VLOOKUP(D848,'Measure &amp; Standard CostIDs'!$S$5:$X$177,1+B848,FALSE),VLOOKUP(D848,'Measure &amp; Standard CostIDs'!$C$5:$H$177,1+B848,FALSE)),2)</f>
        <v>2.62</v>
      </c>
      <c r="X848" s="103"/>
      <c r="Y848" s="103"/>
      <c r="Z848" s="103" t="s">
        <v>868</v>
      </c>
      <c r="AA848" s="103" t="s">
        <v>874</v>
      </c>
      <c r="AB848" s="103" t="s">
        <v>153</v>
      </c>
      <c r="AC848" s="103">
        <v>0</v>
      </c>
      <c r="AD848" s="156">
        <v>42005</v>
      </c>
      <c r="AE848" s="103"/>
      <c r="AF848" s="103" t="s">
        <v>870</v>
      </c>
      <c r="AG848" s="103" t="s">
        <v>871</v>
      </c>
      <c r="AH848" s="103" t="s">
        <v>976</v>
      </c>
      <c r="AI848" s="103">
        <v>0</v>
      </c>
      <c r="AJ848" s="103"/>
      <c r="AK848" s="103"/>
      <c r="AL848" s="103"/>
      <c r="AM848" s="103"/>
      <c r="AN848" s="103"/>
      <c r="AO848" s="103" t="str">
        <f t="shared" si="43"/>
        <v>Std_CFLscw(20w)_60pInc-r0248Two-pack</v>
      </c>
    </row>
    <row r="849" spans="1:41">
      <c r="A849" s="177">
        <f>IFERROR(MATCH(D849,'Measure &amp; Standard CostIDs'!C$5:C$177,0),MATCH(D849,'Measure &amp; Standard CostIDs'!S$5:S$177,0))</f>
        <v>13</v>
      </c>
      <c r="B849" s="177">
        <f t="shared" si="44"/>
        <v>3</v>
      </c>
      <c r="C849" s="103" t="s">
        <v>153</v>
      </c>
      <c r="D849" s="103" t="str">
        <f t="shared" si="45"/>
        <v>Std_CFLscw(21w)_60pInc-r0248</v>
      </c>
      <c r="E849" s="103" t="str">
        <f>IF(LEFT(D849,3)="Std","Base case cost for mix of 60% Incandescent and 40% CFL lamps for CFL TechID: "&amp;INDEX('Measure &amp; Standard CostIDs'!$C$5:$C$177,A849),"&lt;from TechID&gt;")</f>
        <v>Base case cost for mix of 60% Incandescent and 40% CFL lamps for CFL TechID: CFLscw(21w)</v>
      </c>
      <c r="F849" s="103" t="s">
        <v>860</v>
      </c>
      <c r="G849" s="103" t="s">
        <v>151</v>
      </c>
      <c r="H849" s="103" t="s">
        <v>861</v>
      </c>
      <c r="I849" s="103" t="s">
        <v>862</v>
      </c>
      <c r="J849" s="103" t="s">
        <v>863</v>
      </c>
      <c r="K849" s="103" t="s">
        <v>864</v>
      </c>
      <c r="L849" s="103" t="s">
        <v>153</v>
      </c>
      <c r="M849" s="103" t="s">
        <v>865</v>
      </c>
      <c r="N849" s="103" t="s">
        <v>866</v>
      </c>
      <c r="O849" s="103" t="str">
        <f t="shared" si="42"/>
        <v/>
      </c>
      <c r="P849" s="103" t="s">
        <v>153</v>
      </c>
      <c r="Q849" s="103" t="s">
        <v>153</v>
      </c>
      <c r="R849" s="103" t="s">
        <v>153</v>
      </c>
      <c r="S849" s="103" t="str">
        <f>INDEX('Measure &amp; Standard CostIDs'!$AK$8:$AK$12,B849)</f>
        <v>Two-pack</v>
      </c>
      <c r="T849" s="103" t="s">
        <v>867</v>
      </c>
      <c r="U849" s="103"/>
      <c r="V849" s="103"/>
      <c r="W849" s="103">
        <f>ROUND(IF(LEFT(D849,3)="Std",VLOOKUP(D849,'Measure &amp; Standard CostIDs'!$S$5:$X$177,1+B849,FALSE),VLOOKUP(D849,'Measure &amp; Standard CostIDs'!$C$5:$H$177,1+B849,FALSE)),2)</f>
        <v>2.67</v>
      </c>
      <c r="X849" s="103"/>
      <c r="Y849" s="103"/>
      <c r="Z849" s="103" t="s">
        <v>868</v>
      </c>
      <c r="AA849" s="103" t="s">
        <v>874</v>
      </c>
      <c r="AB849" s="103" t="s">
        <v>153</v>
      </c>
      <c r="AC849" s="103">
        <v>0</v>
      </c>
      <c r="AD849" s="156">
        <v>42005</v>
      </c>
      <c r="AE849" s="103"/>
      <c r="AF849" s="103" t="s">
        <v>870</v>
      </c>
      <c r="AG849" s="103" t="s">
        <v>871</v>
      </c>
      <c r="AH849" s="103" t="s">
        <v>976</v>
      </c>
      <c r="AI849" s="103">
        <v>0</v>
      </c>
      <c r="AJ849" s="103"/>
      <c r="AK849" s="103"/>
      <c r="AL849" s="103"/>
      <c r="AM849" s="103"/>
      <c r="AN849" s="103"/>
      <c r="AO849" s="103" t="str">
        <f t="shared" si="43"/>
        <v>Std_CFLscw(21w)_60pInc-r0248Two-pack</v>
      </c>
    </row>
    <row r="850" spans="1:41">
      <c r="A850" s="177">
        <f>IFERROR(MATCH(D850,'Measure &amp; Standard CostIDs'!C$5:C$177,0),MATCH(D850,'Measure &amp; Standard CostIDs'!S$5:S$177,0))</f>
        <v>14</v>
      </c>
      <c r="B850" s="177">
        <f t="shared" si="44"/>
        <v>3</v>
      </c>
      <c r="C850" s="103" t="s">
        <v>153</v>
      </c>
      <c r="D850" s="103" t="str">
        <f t="shared" si="45"/>
        <v>Std_CFLscw(22w)_60pInc-r0248</v>
      </c>
      <c r="E850" s="103" t="str">
        <f>IF(LEFT(D850,3)="Std","Base case cost for mix of 60% Incandescent and 40% CFL lamps for CFL TechID: "&amp;INDEX('Measure &amp; Standard CostIDs'!$C$5:$C$177,A850),"&lt;from TechID&gt;")</f>
        <v>Base case cost for mix of 60% Incandescent and 40% CFL lamps for CFL TechID: CFLscw(22w)</v>
      </c>
      <c r="F850" s="103" t="s">
        <v>860</v>
      </c>
      <c r="G850" s="103" t="s">
        <v>151</v>
      </c>
      <c r="H850" s="103" t="s">
        <v>861</v>
      </c>
      <c r="I850" s="103" t="s">
        <v>862</v>
      </c>
      <c r="J850" s="103" t="s">
        <v>863</v>
      </c>
      <c r="K850" s="103" t="s">
        <v>864</v>
      </c>
      <c r="L850" s="103" t="s">
        <v>153</v>
      </c>
      <c r="M850" s="103" t="s">
        <v>865</v>
      </c>
      <c r="N850" s="103" t="s">
        <v>866</v>
      </c>
      <c r="O850" s="103" t="str">
        <f t="shared" si="42"/>
        <v/>
      </c>
      <c r="P850" s="103" t="s">
        <v>153</v>
      </c>
      <c r="Q850" s="103" t="s">
        <v>153</v>
      </c>
      <c r="R850" s="103" t="s">
        <v>153</v>
      </c>
      <c r="S850" s="103" t="str">
        <f>INDEX('Measure &amp; Standard CostIDs'!$AK$8:$AK$12,B850)</f>
        <v>Two-pack</v>
      </c>
      <c r="T850" s="103" t="s">
        <v>867</v>
      </c>
      <c r="U850" s="103"/>
      <c r="V850" s="103"/>
      <c r="W850" s="103">
        <f>ROUND(IF(LEFT(D850,3)="Std",VLOOKUP(D850,'Measure &amp; Standard CostIDs'!$S$5:$X$177,1+B850,FALSE),VLOOKUP(D850,'Measure &amp; Standard CostIDs'!$C$5:$H$177,1+B850,FALSE)),2)</f>
        <v>2.71</v>
      </c>
      <c r="X850" s="103"/>
      <c r="Y850" s="103"/>
      <c r="Z850" s="103" t="s">
        <v>868</v>
      </c>
      <c r="AA850" s="103" t="s">
        <v>874</v>
      </c>
      <c r="AB850" s="103" t="s">
        <v>153</v>
      </c>
      <c r="AC850" s="103">
        <v>0</v>
      </c>
      <c r="AD850" s="156">
        <v>42005</v>
      </c>
      <c r="AE850" s="103"/>
      <c r="AF850" s="103" t="s">
        <v>870</v>
      </c>
      <c r="AG850" s="103" t="s">
        <v>871</v>
      </c>
      <c r="AH850" s="103" t="s">
        <v>976</v>
      </c>
      <c r="AI850" s="103">
        <v>0</v>
      </c>
      <c r="AJ850" s="103"/>
      <c r="AK850" s="103"/>
      <c r="AL850" s="103"/>
      <c r="AM850" s="103"/>
      <c r="AN850" s="103"/>
      <c r="AO850" s="103" t="str">
        <f t="shared" si="43"/>
        <v>Std_CFLscw(22w)_60pInc-r0248Two-pack</v>
      </c>
    </row>
    <row r="851" spans="1:41">
      <c r="A851" s="177">
        <f>IFERROR(MATCH(D851,'Measure &amp; Standard CostIDs'!C$5:C$177,0),MATCH(D851,'Measure &amp; Standard CostIDs'!S$5:S$177,0))</f>
        <v>15</v>
      </c>
      <c r="B851" s="177">
        <f t="shared" si="44"/>
        <v>3</v>
      </c>
      <c r="C851" s="103" t="s">
        <v>153</v>
      </c>
      <c r="D851" s="103" t="str">
        <f t="shared" si="45"/>
        <v>Std_CFLscw(23w)_60pInc-r0248</v>
      </c>
      <c r="E851" s="103" t="str">
        <f>IF(LEFT(D851,3)="Std","Base case cost for mix of 60% Incandescent and 40% CFL lamps for CFL TechID: "&amp;INDEX('Measure &amp; Standard CostIDs'!$C$5:$C$177,A851),"&lt;from TechID&gt;")</f>
        <v>Base case cost for mix of 60% Incandescent and 40% CFL lamps for CFL TechID: CFLscw(23w)</v>
      </c>
      <c r="F851" s="103" t="s">
        <v>860</v>
      </c>
      <c r="G851" s="103" t="s">
        <v>151</v>
      </c>
      <c r="H851" s="103" t="s">
        <v>861</v>
      </c>
      <c r="I851" s="103" t="s">
        <v>862</v>
      </c>
      <c r="J851" s="103" t="s">
        <v>863</v>
      </c>
      <c r="K851" s="103" t="s">
        <v>864</v>
      </c>
      <c r="L851" s="103" t="s">
        <v>153</v>
      </c>
      <c r="M851" s="103" t="s">
        <v>865</v>
      </c>
      <c r="N851" s="103" t="s">
        <v>866</v>
      </c>
      <c r="O851" s="103" t="str">
        <f t="shared" si="42"/>
        <v/>
      </c>
      <c r="P851" s="103" t="s">
        <v>153</v>
      </c>
      <c r="Q851" s="103" t="s">
        <v>153</v>
      </c>
      <c r="R851" s="103" t="s">
        <v>153</v>
      </c>
      <c r="S851" s="103" t="str">
        <f>INDEX('Measure &amp; Standard CostIDs'!$AK$8:$AK$12,B851)</f>
        <v>Two-pack</v>
      </c>
      <c r="T851" s="103" t="s">
        <v>867</v>
      </c>
      <c r="U851" s="103"/>
      <c r="V851" s="103"/>
      <c r="W851" s="103">
        <f>ROUND(IF(LEFT(D851,3)="Std",VLOOKUP(D851,'Measure &amp; Standard CostIDs'!$S$5:$X$177,1+B851,FALSE),VLOOKUP(D851,'Measure &amp; Standard CostIDs'!$C$5:$H$177,1+B851,FALSE)),2)</f>
        <v>2.73</v>
      </c>
      <c r="X851" s="103"/>
      <c r="Y851" s="103"/>
      <c r="Z851" s="103" t="s">
        <v>868</v>
      </c>
      <c r="AA851" s="103" t="s">
        <v>874</v>
      </c>
      <c r="AB851" s="103" t="s">
        <v>153</v>
      </c>
      <c r="AC851" s="103">
        <v>0</v>
      </c>
      <c r="AD851" s="156">
        <v>42005</v>
      </c>
      <c r="AE851" s="103"/>
      <c r="AF851" s="103" t="s">
        <v>870</v>
      </c>
      <c r="AG851" s="103" t="s">
        <v>871</v>
      </c>
      <c r="AH851" s="103" t="s">
        <v>976</v>
      </c>
      <c r="AI851" s="103">
        <v>0</v>
      </c>
      <c r="AJ851" s="103"/>
      <c r="AK851" s="103"/>
      <c r="AL851" s="103"/>
      <c r="AM851" s="103"/>
      <c r="AN851" s="103"/>
      <c r="AO851" s="103" t="str">
        <f t="shared" si="43"/>
        <v>Std_CFLscw(23w)_60pInc-r0248Two-pack</v>
      </c>
    </row>
    <row r="852" spans="1:41">
      <c r="A852" s="177">
        <f>IFERROR(MATCH(D852,'Measure &amp; Standard CostIDs'!C$5:C$177,0),MATCH(D852,'Measure &amp; Standard CostIDs'!S$5:S$177,0))</f>
        <v>16</v>
      </c>
      <c r="B852" s="177">
        <f t="shared" si="44"/>
        <v>3</v>
      </c>
      <c r="C852" s="103" t="s">
        <v>153</v>
      </c>
      <c r="D852" s="103" t="str">
        <f t="shared" si="45"/>
        <v>Std_CFLscw(24w)_60pInc-r0248</v>
      </c>
      <c r="E852" s="103" t="str">
        <f>IF(LEFT(D852,3)="Std","Base case cost for mix of 60% Incandescent and 40% CFL lamps for CFL TechID: "&amp;INDEX('Measure &amp; Standard CostIDs'!$C$5:$C$177,A852),"&lt;from TechID&gt;")</f>
        <v>Base case cost for mix of 60% Incandescent and 40% CFL lamps for CFL TechID: CFLscw(24w)</v>
      </c>
      <c r="F852" s="103" t="s">
        <v>860</v>
      </c>
      <c r="G852" s="103" t="s">
        <v>151</v>
      </c>
      <c r="H852" s="103" t="s">
        <v>861</v>
      </c>
      <c r="I852" s="103" t="s">
        <v>862</v>
      </c>
      <c r="J852" s="103" t="s">
        <v>863</v>
      </c>
      <c r="K852" s="103" t="s">
        <v>864</v>
      </c>
      <c r="L852" s="103" t="s">
        <v>153</v>
      </c>
      <c r="M852" s="103" t="s">
        <v>865</v>
      </c>
      <c r="N852" s="103" t="s">
        <v>866</v>
      </c>
      <c r="O852" s="103" t="str">
        <f t="shared" si="42"/>
        <v/>
      </c>
      <c r="P852" s="103" t="s">
        <v>153</v>
      </c>
      <c r="Q852" s="103" t="s">
        <v>153</v>
      </c>
      <c r="R852" s="103" t="s">
        <v>153</v>
      </c>
      <c r="S852" s="103" t="str">
        <f>INDEX('Measure &amp; Standard CostIDs'!$AK$8:$AK$12,B852)</f>
        <v>Two-pack</v>
      </c>
      <c r="T852" s="103" t="s">
        <v>867</v>
      </c>
      <c r="U852" s="103"/>
      <c r="V852" s="103"/>
      <c r="W852" s="103">
        <f>ROUND(IF(LEFT(D852,3)="Std",VLOOKUP(D852,'Measure &amp; Standard CostIDs'!$S$5:$X$177,1+B852,FALSE),VLOOKUP(D852,'Measure &amp; Standard CostIDs'!$C$5:$H$177,1+B852,FALSE)),2)</f>
        <v>2.76</v>
      </c>
      <c r="X852" s="103"/>
      <c r="Y852" s="103"/>
      <c r="Z852" s="103" t="s">
        <v>868</v>
      </c>
      <c r="AA852" s="103" t="s">
        <v>874</v>
      </c>
      <c r="AB852" s="103" t="s">
        <v>153</v>
      </c>
      <c r="AC852" s="103">
        <v>0</v>
      </c>
      <c r="AD852" s="156">
        <v>42005</v>
      </c>
      <c r="AE852" s="103"/>
      <c r="AF852" s="103" t="s">
        <v>870</v>
      </c>
      <c r="AG852" s="103" t="s">
        <v>871</v>
      </c>
      <c r="AH852" s="103" t="s">
        <v>976</v>
      </c>
      <c r="AI852" s="103">
        <v>0</v>
      </c>
      <c r="AJ852" s="103"/>
      <c r="AK852" s="103"/>
      <c r="AL852" s="103"/>
      <c r="AM852" s="103"/>
      <c r="AN852" s="103"/>
      <c r="AO852" s="103" t="str">
        <f t="shared" si="43"/>
        <v>Std_CFLscw(24w)_60pInc-r0248Two-pack</v>
      </c>
    </row>
    <row r="853" spans="1:41">
      <c r="A853" s="177">
        <f>IFERROR(MATCH(D853,'Measure &amp; Standard CostIDs'!C$5:C$177,0),MATCH(D853,'Measure &amp; Standard CostIDs'!S$5:S$177,0))</f>
        <v>17</v>
      </c>
      <c r="B853" s="177">
        <f t="shared" si="44"/>
        <v>3</v>
      </c>
      <c r="C853" s="103" t="s">
        <v>153</v>
      </c>
      <c r="D853" s="103" t="str">
        <f t="shared" si="45"/>
        <v>Std_CFLscw(25w)_60pInc-r0248</v>
      </c>
      <c r="E853" s="103" t="str">
        <f>IF(LEFT(D853,3)="Std","Base case cost for mix of 60% Incandescent and 40% CFL lamps for CFL TechID: "&amp;INDEX('Measure &amp; Standard CostIDs'!$C$5:$C$177,A853),"&lt;from TechID&gt;")</f>
        <v>Base case cost for mix of 60% Incandescent and 40% CFL lamps for CFL TechID: CFLscw(25w)</v>
      </c>
      <c r="F853" s="103" t="s">
        <v>860</v>
      </c>
      <c r="G853" s="103" t="s">
        <v>151</v>
      </c>
      <c r="H853" s="103" t="s">
        <v>861</v>
      </c>
      <c r="I853" s="103" t="s">
        <v>862</v>
      </c>
      <c r="J853" s="103" t="s">
        <v>863</v>
      </c>
      <c r="K853" s="103" t="s">
        <v>864</v>
      </c>
      <c r="L853" s="103" t="s">
        <v>153</v>
      </c>
      <c r="M853" s="103" t="s">
        <v>865</v>
      </c>
      <c r="N853" s="103" t="s">
        <v>866</v>
      </c>
      <c r="O853" s="103" t="str">
        <f t="shared" si="42"/>
        <v/>
      </c>
      <c r="P853" s="103" t="s">
        <v>153</v>
      </c>
      <c r="Q853" s="103" t="s">
        <v>153</v>
      </c>
      <c r="R853" s="103" t="s">
        <v>153</v>
      </c>
      <c r="S853" s="103" t="str">
        <f>INDEX('Measure &amp; Standard CostIDs'!$AK$8:$AK$12,B853)</f>
        <v>Two-pack</v>
      </c>
      <c r="T853" s="103" t="s">
        <v>867</v>
      </c>
      <c r="U853" s="103"/>
      <c r="V853" s="103"/>
      <c r="W853" s="103">
        <f>ROUND(IF(LEFT(D853,3)="Std",VLOOKUP(D853,'Measure &amp; Standard CostIDs'!$S$5:$X$177,1+B853,FALSE),VLOOKUP(D853,'Measure &amp; Standard CostIDs'!$C$5:$H$177,1+B853,FALSE)),2)</f>
        <v>2.79</v>
      </c>
      <c r="X853" s="103"/>
      <c r="Y853" s="103"/>
      <c r="Z853" s="103" t="s">
        <v>868</v>
      </c>
      <c r="AA853" s="103" t="s">
        <v>874</v>
      </c>
      <c r="AB853" s="103" t="s">
        <v>153</v>
      </c>
      <c r="AC853" s="103">
        <v>0</v>
      </c>
      <c r="AD853" s="156">
        <v>42005</v>
      </c>
      <c r="AE853" s="103"/>
      <c r="AF853" s="103" t="s">
        <v>870</v>
      </c>
      <c r="AG853" s="103" t="s">
        <v>871</v>
      </c>
      <c r="AH853" s="103" t="s">
        <v>976</v>
      </c>
      <c r="AI853" s="103">
        <v>0</v>
      </c>
      <c r="AJ853" s="103"/>
      <c r="AK853" s="103"/>
      <c r="AL853" s="103"/>
      <c r="AM853" s="103"/>
      <c r="AN853" s="103"/>
      <c r="AO853" s="103" t="str">
        <f t="shared" si="43"/>
        <v>Std_CFLscw(25w)_60pInc-r0248Two-pack</v>
      </c>
    </row>
    <row r="854" spans="1:41">
      <c r="A854" s="177">
        <f>IFERROR(MATCH(D854,'Measure &amp; Standard CostIDs'!C$5:C$177,0),MATCH(D854,'Measure &amp; Standard CostIDs'!S$5:S$177,0))</f>
        <v>18</v>
      </c>
      <c r="B854" s="177">
        <f t="shared" si="44"/>
        <v>3</v>
      </c>
      <c r="C854" s="103" t="s">
        <v>153</v>
      </c>
      <c r="D854" s="103" t="str">
        <f t="shared" si="45"/>
        <v>Std_CFLscw(26w)_60pInc-r0248</v>
      </c>
      <c r="E854" s="103" t="str">
        <f>IF(LEFT(D854,3)="Std","Base case cost for mix of 60% Incandescent and 40% CFL lamps for CFL TechID: "&amp;INDEX('Measure &amp; Standard CostIDs'!$C$5:$C$177,A854),"&lt;from TechID&gt;")</f>
        <v>Base case cost for mix of 60% Incandescent and 40% CFL lamps for CFL TechID: CFLscw(26w)</v>
      </c>
      <c r="F854" s="103" t="s">
        <v>860</v>
      </c>
      <c r="G854" s="103" t="s">
        <v>151</v>
      </c>
      <c r="H854" s="103" t="s">
        <v>861</v>
      </c>
      <c r="I854" s="103" t="s">
        <v>862</v>
      </c>
      <c r="J854" s="103" t="s">
        <v>863</v>
      </c>
      <c r="K854" s="103" t="s">
        <v>864</v>
      </c>
      <c r="L854" s="103" t="s">
        <v>153</v>
      </c>
      <c r="M854" s="103" t="s">
        <v>865</v>
      </c>
      <c r="N854" s="103" t="s">
        <v>866</v>
      </c>
      <c r="O854" s="103" t="str">
        <f t="shared" si="42"/>
        <v/>
      </c>
      <c r="P854" s="103" t="s">
        <v>153</v>
      </c>
      <c r="Q854" s="103" t="s">
        <v>153</v>
      </c>
      <c r="R854" s="103" t="s">
        <v>153</v>
      </c>
      <c r="S854" s="103" t="str">
        <f>INDEX('Measure &amp; Standard CostIDs'!$AK$8:$AK$12,B854)</f>
        <v>Two-pack</v>
      </c>
      <c r="T854" s="103" t="s">
        <v>867</v>
      </c>
      <c r="U854" s="103"/>
      <c r="V854" s="103"/>
      <c r="W854" s="103">
        <f>ROUND(IF(LEFT(D854,3)="Std",VLOOKUP(D854,'Measure &amp; Standard CostIDs'!$S$5:$X$177,1+B854,FALSE),VLOOKUP(D854,'Measure &amp; Standard CostIDs'!$C$5:$H$177,1+B854,FALSE)),2)</f>
        <v>2.85</v>
      </c>
      <c r="X854" s="103"/>
      <c r="Y854" s="103"/>
      <c r="Z854" s="103" t="s">
        <v>868</v>
      </c>
      <c r="AA854" s="103" t="s">
        <v>874</v>
      </c>
      <c r="AB854" s="103" t="s">
        <v>153</v>
      </c>
      <c r="AC854" s="103">
        <v>0</v>
      </c>
      <c r="AD854" s="156">
        <v>42005</v>
      </c>
      <c r="AE854" s="103"/>
      <c r="AF854" s="103" t="s">
        <v>870</v>
      </c>
      <c r="AG854" s="103" t="s">
        <v>871</v>
      </c>
      <c r="AH854" s="103" t="s">
        <v>976</v>
      </c>
      <c r="AI854" s="103">
        <v>0</v>
      </c>
      <c r="AJ854" s="103"/>
      <c r="AK854" s="103"/>
      <c r="AL854" s="103"/>
      <c r="AM854" s="103"/>
      <c r="AN854" s="103"/>
      <c r="AO854" s="103" t="str">
        <f t="shared" si="43"/>
        <v>Std_CFLscw(26w)_60pInc-r0248Two-pack</v>
      </c>
    </row>
    <row r="855" spans="1:41">
      <c r="A855" s="177">
        <f>IFERROR(MATCH(D855,'Measure &amp; Standard CostIDs'!C$5:C$177,0),MATCH(D855,'Measure &amp; Standard CostIDs'!S$5:S$177,0))</f>
        <v>19</v>
      </c>
      <c r="B855" s="177">
        <f t="shared" si="44"/>
        <v>3</v>
      </c>
      <c r="C855" s="103" t="s">
        <v>153</v>
      </c>
      <c r="D855" s="103" t="str">
        <f t="shared" si="45"/>
        <v>Std_CFLscw(27w)_60pInc-r0248</v>
      </c>
      <c r="E855" s="103" t="str">
        <f>IF(LEFT(D855,3)="Std","Base case cost for mix of 60% Incandescent and 40% CFL lamps for CFL TechID: "&amp;INDEX('Measure &amp; Standard CostIDs'!$C$5:$C$177,A855),"&lt;from TechID&gt;")</f>
        <v>Base case cost for mix of 60% Incandescent and 40% CFL lamps for CFL TechID: CFLscw(27w)</v>
      </c>
      <c r="F855" s="103" t="s">
        <v>860</v>
      </c>
      <c r="G855" s="103" t="s">
        <v>151</v>
      </c>
      <c r="H855" s="103" t="s">
        <v>861</v>
      </c>
      <c r="I855" s="103" t="s">
        <v>862</v>
      </c>
      <c r="J855" s="103" t="s">
        <v>863</v>
      </c>
      <c r="K855" s="103" t="s">
        <v>864</v>
      </c>
      <c r="L855" s="103" t="s">
        <v>153</v>
      </c>
      <c r="M855" s="103" t="s">
        <v>865</v>
      </c>
      <c r="N855" s="103" t="s">
        <v>866</v>
      </c>
      <c r="O855" s="103" t="str">
        <f t="shared" si="42"/>
        <v/>
      </c>
      <c r="P855" s="103" t="s">
        <v>153</v>
      </c>
      <c r="Q855" s="103" t="s">
        <v>153</v>
      </c>
      <c r="R855" s="103" t="s">
        <v>153</v>
      </c>
      <c r="S855" s="103" t="str">
        <f>INDEX('Measure &amp; Standard CostIDs'!$AK$8:$AK$12,B855)</f>
        <v>Two-pack</v>
      </c>
      <c r="T855" s="103" t="s">
        <v>867</v>
      </c>
      <c r="U855" s="103"/>
      <c r="V855" s="103"/>
      <c r="W855" s="103">
        <f>ROUND(IF(LEFT(D855,3)="Std",VLOOKUP(D855,'Measure &amp; Standard CostIDs'!$S$5:$X$177,1+B855,FALSE),VLOOKUP(D855,'Measure &amp; Standard CostIDs'!$C$5:$H$177,1+B855,FALSE)),2)</f>
        <v>2.92</v>
      </c>
      <c r="X855" s="103"/>
      <c r="Y855" s="103"/>
      <c r="Z855" s="103" t="s">
        <v>868</v>
      </c>
      <c r="AA855" s="103" t="s">
        <v>874</v>
      </c>
      <c r="AB855" s="103" t="s">
        <v>153</v>
      </c>
      <c r="AC855" s="103">
        <v>0</v>
      </c>
      <c r="AD855" s="156">
        <v>42005</v>
      </c>
      <c r="AE855" s="103"/>
      <c r="AF855" s="103" t="s">
        <v>870</v>
      </c>
      <c r="AG855" s="103" t="s">
        <v>871</v>
      </c>
      <c r="AH855" s="103" t="s">
        <v>976</v>
      </c>
      <c r="AI855" s="103">
        <v>0</v>
      </c>
      <c r="AJ855" s="103"/>
      <c r="AK855" s="103"/>
      <c r="AL855" s="103"/>
      <c r="AM855" s="103"/>
      <c r="AN855" s="103"/>
      <c r="AO855" s="103" t="str">
        <f t="shared" si="43"/>
        <v>Std_CFLscw(27w)_60pInc-r0248Two-pack</v>
      </c>
    </row>
    <row r="856" spans="1:41">
      <c r="A856" s="177">
        <f>IFERROR(MATCH(D856,'Measure &amp; Standard CostIDs'!C$5:C$177,0),MATCH(D856,'Measure &amp; Standard CostIDs'!S$5:S$177,0))</f>
        <v>20</v>
      </c>
      <c r="B856" s="177">
        <f t="shared" si="44"/>
        <v>3</v>
      </c>
      <c r="C856" s="103" t="s">
        <v>153</v>
      </c>
      <c r="D856" s="103" t="str">
        <f t="shared" si="45"/>
        <v>Std_CFLscw(28w)_60pInc-r0248</v>
      </c>
      <c r="E856" s="103" t="str">
        <f>IF(LEFT(D856,3)="Std","Base case cost for mix of 60% Incandescent and 40% CFL lamps for CFL TechID: "&amp;INDEX('Measure &amp; Standard CostIDs'!$C$5:$C$177,A856),"&lt;from TechID&gt;")</f>
        <v>Base case cost for mix of 60% Incandescent and 40% CFL lamps for CFL TechID: CFLscw(28w)</v>
      </c>
      <c r="F856" s="103" t="s">
        <v>860</v>
      </c>
      <c r="G856" s="103" t="s">
        <v>151</v>
      </c>
      <c r="H856" s="103" t="s">
        <v>861</v>
      </c>
      <c r="I856" s="103" t="s">
        <v>862</v>
      </c>
      <c r="J856" s="103" t="s">
        <v>863</v>
      </c>
      <c r="K856" s="103" t="s">
        <v>864</v>
      </c>
      <c r="L856" s="103" t="s">
        <v>153</v>
      </c>
      <c r="M856" s="103" t="s">
        <v>865</v>
      </c>
      <c r="N856" s="103" t="s">
        <v>866</v>
      </c>
      <c r="O856" s="103" t="str">
        <f t="shared" si="42"/>
        <v/>
      </c>
      <c r="P856" s="103" t="s">
        <v>153</v>
      </c>
      <c r="Q856" s="103" t="s">
        <v>153</v>
      </c>
      <c r="R856" s="103" t="s">
        <v>153</v>
      </c>
      <c r="S856" s="103" t="str">
        <f>INDEX('Measure &amp; Standard CostIDs'!$AK$8:$AK$12,B856)</f>
        <v>Two-pack</v>
      </c>
      <c r="T856" s="103" t="s">
        <v>867</v>
      </c>
      <c r="U856" s="103"/>
      <c r="V856" s="103"/>
      <c r="W856" s="103">
        <f>ROUND(IF(LEFT(D856,3)="Std",VLOOKUP(D856,'Measure &amp; Standard CostIDs'!$S$5:$X$177,1+B856,FALSE),VLOOKUP(D856,'Measure &amp; Standard CostIDs'!$C$5:$H$177,1+B856,FALSE)),2)</f>
        <v>2.98</v>
      </c>
      <c r="X856" s="103"/>
      <c r="Y856" s="103"/>
      <c r="Z856" s="103" t="s">
        <v>868</v>
      </c>
      <c r="AA856" s="103" t="s">
        <v>874</v>
      </c>
      <c r="AB856" s="103" t="s">
        <v>153</v>
      </c>
      <c r="AC856" s="103">
        <v>0</v>
      </c>
      <c r="AD856" s="156">
        <v>42005</v>
      </c>
      <c r="AE856" s="103"/>
      <c r="AF856" s="103" t="s">
        <v>870</v>
      </c>
      <c r="AG856" s="103" t="s">
        <v>871</v>
      </c>
      <c r="AH856" s="103" t="s">
        <v>976</v>
      </c>
      <c r="AI856" s="103">
        <v>0</v>
      </c>
      <c r="AJ856" s="103"/>
      <c r="AK856" s="103"/>
      <c r="AL856" s="103"/>
      <c r="AM856" s="103"/>
      <c r="AN856" s="103"/>
      <c r="AO856" s="103" t="str">
        <f t="shared" si="43"/>
        <v>Std_CFLscw(28w)_60pInc-r0248Two-pack</v>
      </c>
    </row>
    <row r="857" spans="1:41">
      <c r="A857" s="177">
        <f>IFERROR(MATCH(D857,'Measure &amp; Standard CostIDs'!C$5:C$177,0),MATCH(D857,'Measure &amp; Standard CostIDs'!S$5:S$177,0))</f>
        <v>21</v>
      </c>
      <c r="B857" s="177">
        <f t="shared" si="44"/>
        <v>3</v>
      </c>
      <c r="C857" s="103" t="s">
        <v>153</v>
      </c>
      <c r="D857" s="103" t="str">
        <f t="shared" si="45"/>
        <v>Std_CFLscw(29w)_60pInc-r0248</v>
      </c>
      <c r="E857" s="103" t="str">
        <f>IF(LEFT(D857,3)="Std","Base case cost for mix of 60% Incandescent and 40% CFL lamps for CFL TechID: "&amp;INDEX('Measure &amp; Standard CostIDs'!$C$5:$C$177,A857),"&lt;from TechID&gt;")</f>
        <v>Base case cost for mix of 60% Incandescent and 40% CFL lamps for CFL TechID: CFLscw(29w)</v>
      </c>
      <c r="F857" s="103" t="s">
        <v>860</v>
      </c>
      <c r="G857" s="103" t="s">
        <v>151</v>
      </c>
      <c r="H857" s="103" t="s">
        <v>861</v>
      </c>
      <c r="I857" s="103" t="s">
        <v>862</v>
      </c>
      <c r="J857" s="103" t="s">
        <v>863</v>
      </c>
      <c r="K857" s="103" t="s">
        <v>864</v>
      </c>
      <c r="L857" s="103" t="s">
        <v>153</v>
      </c>
      <c r="M857" s="103" t="s">
        <v>865</v>
      </c>
      <c r="N857" s="103" t="s">
        <v>866</v>
      </c>
      <c r="O857" s="103" t="str">
        <f t="shared" si="42"/>
        <v/>
      </c>
      <c r="P857" s="103" t="s">
        <v>153</v>
      </c>
      <c r="Q857" s="103" t="s">
        <v>153</v>
      </c>
      <c r="R857" s="103" t="s">
        <v>153</v>
      </c>
      <c r="S857" s="103" t="str">
        <f>INDEX('Measure &amp; Standard CostIDs'!$AK$8:$AK$12,B857)</f>
        <v>Two-pack</v>
      </c>
      <c r="T857" s="103" t="s">
        <v>867</v>
      </c>
      <c r="U857" s="103"/>
      <c r="V857" s="103"/>
      <c r="W857" s="103">
        <f>ROUND(IF(LEFT(D857,3)="Std",VLOOKUP(D857,'Measure &amp; Standard CostIDs'!$S$5:$X$177,1+B857,FALSE),VLOOKUP(D857,'Measure &amp; Standard CostIDs'!$C$5:$H$177,1+B857,FALSE)),2)</f>
        <v>3.05</v>
      </c>
      <c r="X857" s="103"/>
      <c r="Y857" s="103"/>
      <c r="Z857" s="103" t="s">
        <v>868</v>
      </c>
      <c r="AA857" s="103" t="s">
        <v>874</v>
      </c>
      <c r="AB857" s="103" t="s">
        <v>153</v>
      </c>
      <c r="AC857" s="103">
        <v>0</v>
      </c>
      <c r="AD857" s="156">
        <v>42005</v>
      </c>
      <c r="AE857" s="103"/>
      <c r="AF857" s="103" t="s">
        <v>870</v>
      </c>
      <c r="AG857" s="103" t="s">
        <v>871</v>
      </c>
      <c r="AH857" s="103" t="s">
        <v>976</v>
      </c>
      <c r="AI857" s="103">
        <v>0</v>
      </c>
      <c r="AJ857" s="103"/>
      <c r="AK857" s="103"/>
      <c r="AL857" s="103"/>
      <c r="AM857" s="103"/>
      <c r="AN857" s="103"/>
      <c r="AO857" s="103" t="str">
        <f t="shared" si="43"/>
        <v>Std_CFLscw(29w)_60pInc-r0248Two-pack</v>
      </c>
    </row>
    <row r="858" spans="1:41">
      <c r="A858" s="177">
        <f>IFERROR(MATCH(D858,'Measure &amp; Standard CostIDs'!C$5:C$177,0),MATCH(D858,'Measure &amp; Standard CostIDs'!S$5:S$177,0))</f>
        <v>22</v>
      </c>
      <c r="B858" s="177">
        <f t="shared" si="44"/>
        <v>3</v>
      </c>
      <c r="C858" s="103" t="s">
        <v>153</v>
      </c>
      <c r="D858" s="103" t="str">
        <f t="shared" si="45"/>
        <v>Std_CFLscw(30w)_60pInc-r0248</v>
      </c>
      <c r="E858" s="103" t="str">
        <f>IF(LEFT(D858,3)="Std","Base case cost for mix of 60% Incandescent and 40% CFL lamps for CFL TechID: "&amp;INDEX('Measure &amp; Standard CostIDs'!$C$5:$C$177,A858),"&lt;from TechID&gt;")</f>
        <v>Base case cost for mix of 60% Incandescent and 40% CFL lamps for CFL TechID: CFLscw(30w)</v>
      </c>
      <c r="F858" s="103" t="s">
        <v>860</v>
      </c>
      <c r="G858" s="103" t="s">
        <v>151</v>
      </c>
      <c r="H858" s="103" t="s">
        <v>861</v>
      </c>
      <c r="I858" s="103" t="s">
        <v>862</v>
      </c>
      <c r="J858" s="103" t="s">
        <v>863</v>
      </c>
      <c r="K858" s="103" t="s">
        <v>864</v>
      </c>
      <c r="L858" s="103" t="s">
        <v>153</v>
      </c>
      <c r="M858" s="103" t="s">
        <v>865</v>
      </c>
      <c r="N858" s="103" t="s">
        <v>866</v>
      </c>
      <c r="O858" s="103" t="str">
        <f t="shared" si="42"/>
        <v/>
      </c>
      <c r="P858" s="103" t="s">
        <v>153</v>
      </c>
      <c r="Q858" s="103" t="s">
        <v>153</v>
      </c>
      <c r="R858" s="103" t="s">
        <v>153</v>
      </c>
      <c r="S858" s="103" t="str">
        <f>INDEX('Measure &amp; Standard CostIDs'!$AK$8:$AK$12,B858)</f>
        <v>Two-pack</v>
      </c>
      <c r="T858" s="103" t="s">
        <v>867</v>
      </c>
      <c r="U858" s="103"/>
      <c r="V858" s="103"/>
      <c r="W858" s="103">
        <f>ROUND(IF(LEFT(D858,3)="Std",VLOOKUP(D858,'Measure &amp; Standard CostIDs'!$S$5:$X$177,1+B858,FALSE),VLOOKUP(D858,'Measure &amp; Standard CostIDs'!$C$5:$H$177,1+B858,FALSE)),2)</f>
        <v>3.11</v>
      </c>
      <c r="X858" s="103"/>
      <c r="Y858" s="103"/>
      <c r="Z858" s="103" t="s">
        <v>868</v>
      </c>
      <c r="AA858" s="103" t="s">
        <v>874</v>
      </c>
      <c r="AB858" s="103" t="s">
        <v>153</v>
      </c>
      <c r="AC858" s="103">
        <v>0</v>
      </c>
      <c r="AD858" s="156">
        <v>42005</v>
      </c>
      <c r="AE858" s="103"/>
      <c r="AF858" s="103" t="s">
        <v>870</v>
      </c>
      <c r="AG858" s="103" t="s">
        <v>871</v>
      </c>
      <c r="AH858" s="103" t="s">
        <v>976</v>
      </c>
      <c r="AI858" s="103">
        <v>0</v>
      </c>
      <c r="AJ858" s="103"/>
      <c r="AK858" s="103"/>
      <c r="AL858" s="103"/>
      <c r="AM858" s="103"/>
      <c r="AN858" s="103"/>
      <c r="AO858" s="103" t="str">
        <f t="shared" si="43"/>
        <v>Std_CFLscw(30w)_60pInc-r0248Two-pack</v>
      </c>
    </row>
    <row r="859" spans="1:41">
      <c r="A859" s="177">
        <f>IFERROR(MATCH(D859,'Measure &amp; Standard CostIDs'!C$5:C$177,0),MATCH(D859,'Measure &amp; Standard CostIDs'!S$5:S$177,0))</f>
        <v>23</v>
      </c>
      <c r="B859" s="177">
        <f t="shared" si="44"/>
        <v>3</v>
      </c>
      <c r="C859" s="103" t="s">
        <v>153</v>
      </c>
      <c r="D859" s="103" t="str">
        <f t="shared" si="45"/>
        <v>Std_CFLscw(31w)_60pInc-r0248</v>
      </c>
      <c r="E859" s="103" t="str">
        <f>IF(LEFT(D859,3)="Std","Base case cost for mix of 60% Incandescent and 40% CFL lamps for CFL TechID: "&amp;INDEX('Measure &amp; Standard CostIDs'!$C$5:$C$177,A859),"&lt;from TechID&gt;")</f>
        <v>Base case cost for mix of 60% Incandescent and 40% CFL lamps for CFL TechID: CFLscw(31w)</v>
      </c>
      <c r="F859" s="103" t="s">
        <v>860</v>
      </c>
      <c r="G859" s="103" t="s">
        <v>151</v>
      </c>
      <c r="H859" s="103" t="s">
        <v>861</v>
      </c>
      <c r="I859" s="103" t="s">
        <v>862</v>
      </c>
      <c r="J859" s="103" t="s">
        <v>863</v>
      </c>
      <c r="K859" s="103" t="s">
        <v>864</v>
      </c>
      <c r="L859" s="103" t="s">
        <v>153</v>
      </c>
      <c r="M859" s="103" t="s">
        <v>865</v>
      </c>
      <c r="N859" s="103" t="s">
        <v>866</v>
      </c>
      <c r="O859" s="103" t="str">
        <f t="shared" si="42"/>
        <v/>
      </c>
      <c r="P859" s="103" t="s">
        <v>153</v>
      </c>
      <c r="Q859" s="103" t="s">
        <v>153</v>
      </c>
      <c r="R859" s="103" t="s">
        <v>153</v>
      </c>
      <c r="S859" s="103" t="str">
        <f>INDEX('Measure &amp; Standard CostIDs'!$AK$8:$AK$12,B859)</f>
        <v>Two-pack</v>
      </c>
      <c r="T859" s="103" t="s">
        <v>867</v>
      </c>
      <c r="U859" s="103"/>
      <c r="V859" s="103"/>
      <c r="W859" s="103">
        <f>ROUND(IF(LEFT(D859,3)="Std",VLOOKUP(D859,'Measure &amp; Standard CostIDs'!$S$5:$X$177,1+B859,FALSE),VLOOKUP(D859,'Measure &amp; Standard CostIDs'!$C$5:$H$177,1+B859,FALSE)),2)</f>
        <v>3.18</v>
      </c>
      <c r="X859" s="103"/>
      <c r="Y859" s="103"/>
      <c r="Z859" s="103" t="s">
        <v>868</v>
      </c>
      <c r="AA859" s="103" t="s">
        <v>874</v>
      </c>
      <c r="AB859" s="103" t="s">
        <v>153</v>
      </c>
      <c r="AC859" s="103">
        <v>0</v>
      </c>
      <c r="AD859" s="156">
        <v>42005</v>
      </c>
      <c r="AE859" s="103"/>
      <c r="AF859" s="103" t="s">
        <v>870</v>
      </c>
      <c r="AG859" s="103" t="s">
        <v>871</v>
      </c>
      <c r="AH859" s="103" t="s">
        <v>976</v>
      </c>
      <c r="AI859" s="103">
        <v>0</v>
      </c>
      <c r="AJ859" s="103"/>
      <c r="AK859" s="103"/>
      <c r="AL859" s="103"/>
      <c r="AM859" s="103"/>
      <c r="AN859" s="103"/>
      <c r="AO859" s="103" t="str">
        <f t="shared" si="43"/>
        <v>Std_CFLscw(31w)_60pInc-r0248Two-pack</v>
      </c>
    </row>
    <row r="860" spans="1:41">
      <c r="A860" s="177">
        <f>IFERROR(MATCH(D860,'Measure &amp; Standard CostIDs'!C$5:C$177,0),MATCH(D860,'Measure &amp; Standard CostIDs'!S$5:S$177,0))</f>
        <v>24</v>
      </c>
      <c r="B860" s="177">
        <f t="shared" si="44"/>
        <v>3</v>
      </c>
      <c r="C860" s="103" t="s">
        <v>153</v>
      </c>
      <c r="D860" s="103" t="str">
        <f t="shared" si="45"/>
        <v>Std_CFLscw(32w)_60pInc-r0248</v>
      </c>
      <c r="E860" s="103" t="str">
        <f>IF(LEFT(D860,3)="Std","Base case cost for mix of 60% Incandescent and 40% CFL lamps for CFL TechID: "&amp;INDEX('Measure &amp; Standard CostIDs'!$C$5:$C$177,A860),"&lt;from TechID&gt;")</f>
        <v>Base case cost for mix of 60% Incandescent and 40% CFL lamps for CFL TechID: CFLscw(32w)</v>
      </c>
      <c r="F860" s="103" t="s">
        <v>860</v>
      </c>
      <c r="G860" s="103" t="s">
        <v>151</v>
      </c>
      <c r="H860" s="103" t="s">
        <v>861</v>
      </c>
      <c r="I860" s="103" t="s">
        <v>862</v>
      </c>
      <c r="J860" s="103" t="s">
        <v>863</v>
      </c>
      <c r="K860" s="103" t="s">
        <v>864</v>
      </c>
      <c r="L860" s="103" t="s">
        <v>153</v>
      </c>
      <c r="M860" s="103" t="s">
        <v>865</v>
      </c>
      <c r="N860" s="103" t="s">
        <v>866</v>
      </c>
      <c r="O860" s="103" t="str">
        <f t="shared" si="42"/>
        <v/>
      </c>
      <c r="P860" s="103" t="s">
        <v>153</v>
      </c>
      <c r="Q860" s="103" t="s">
        <v>153</v>
      </c>
      <c r="R860" s="103" t="s">
        <v>153</v>
      </c>
      <c r="S860" s="103" t="str">
        <f>INDEX('Measure &amp; Standard CostIDs'!$AK$8:$AK$12,B860)</f>
        <v>Two-pack</v>
      </c>
      <c r="T860" s="103" t="s">
        <v>867</v>
      </c>
      <c r="U860" s="103"/>
      <c r="V860" s="103"/>
      <c r="W860" s="103">
        <f>ROUND(IF(LEFT(D860,3)="Std",VLOOKUP(D860,'Measure &amp; Standard CostIDs'!$S$5:$X$177,1+B860,FALSE),VLOOKUP(D860,'Measure &amp; Standard CostIDs'!$C$5:$H$177,1+B860,FALSE)),2)</f>
        <v>3.24</v>
      </c>
      <c r="X860" s="103"/>
      <c r="Y860" s="103"/>
      <c r="Z860" s="103" t="s">
        <v>868</v>
      </c>
      <c r="AA860" s="103" t="s">
        <v>874</v>
      </c>
      <c r="AB860" s="103" t="s">
        <v>153</v>
      </c>
      <c r="AC860" s="103">
        <v>0</v>
      </c>
      <c r="AD860" s="156">
        <v>42005</v>
      </c>
      <c r="AE860" s="103"/>
      <c r="AF860" s="103" t="s">
        <v>870</v>
      </c>
      <c r="AG860" s="103" t="s">
        <v>871</v>
      </c>
      <c r="AH860" s="103" t="s">
        <v>976</v>
      </c>
      <c r="AI860" s="103">
        <v>0</v>
      </c>
      <c r="AJ860" s="103"/>
      <c r="AK860" s="103"/>
      <c r="AL860" s="103"/>
      <c r="AM860" s="103"/>
      <c r="AN860" s="103"/>
      <c r="AO860" s="103" t="str">
        <f t="shared" si="43"/>
        <v>Std_CFLscw(32w)_60pInc-r0248Two-pack</v>
      </c>
    </row>
    <row r="861" spans="1:41">
      <c r="A861" s="177">
        <f>IFERROR(MATCH(D861,'Measure &amp; Standard CostIDs'!C$5:C$177,0),MATCH(D861,'Measure &amp; Standard CostIDs'!S$5:S$177,0))</f>
        <v>25</v>
      </c>
      <c r="B861" s="177">
        <f t="shared" si="44"/>
        <v>3</v>
      </c>
      <c r="C861" s="103" t="s">
        <v>153</v>
      </c>
      <c r="D861" s="103" t="str">
        <f t="shared" si="45"/>
        <v>Std_CFLscw(33w)_60pInc-r0248</v>
      </c>
      <c r="E861" s="103" t="str">
        <f>IF(LEFT(D861,3)="Std","Base case cost for mix of 60% Incandescent and 40% CFL lamps for CFL TechID: "&amp;INDEX('Measure &amp; Standard CostIDs'!$C$5:$C$177,A861),"&lt;from TechID&gt;")</f>
        <v>Base case cost for mix of 60% Incandescent and 40% CFL lamps for CFL TechID: CFLscw(33w)</v>
      </c>
      <c r="F861" s="103" t="s">
        <v>860</v>
      </c>
      <c r="G861" s="103" t="s">
        <v>151</v>
      </c>
      <c r="H861" s="103" t="s">
        <v>861</v>
      </c>
      <c r="I861" s="103" t="s">
        <v>862</v>
      </c>
      <c r="J861" s="103" t="s">
        <v>863</v>
      </c>
      <c r="K861" s="103" t="s">
        <v>864</v>
      </c>
      <c r="L861" s="103" t="s">
        <v>153</v>
      </c>
      <c r="M861" s="103" t="s">
        <v>865</v>
      </c>
      <c r="N861" s="103" t="s">
        <v>866</v>
      </c>
      <c r="O861" s="103" t="str">
        <f t="shared" si="42"/>
        <v/>
      </c>
      <c r="P861" s="103" t="s">
        <v>153</v>
      </c>
      <c r="Q861" s="103" t="s">
        <v>153</v>
      </c>
      <c r="R861" s="103" t="s">
        <v>153</v>
      </c>
      <c r="S861" s="103" t="str">
        <f>INDEX('Measure &amp; Standard CostIDs'!$AK$8:$AK$12,B861)</f>
        <v>Two-pack</v>
      </c>
      <c r="T861" s="103" t="s">
        <v>867</v>
      </c>
      <c r="U861" s="103"/>
      <c r="V861" s="103"/>
      <c r="W861" s="103">
        <f>ROUND(IF(LEFT(D861,3)="Std",VLOOKUP(D861,'Measure &amp; Standard CostIDs'!$S$5:$X$177,1+B861,FALSE),VLOOKUP(D861,'Measure &amp; Standard CostIDs'!$C$5:$H$177,1+B861,FALSE)),2)</f>
        <v>3.31</v>
      </c>
      <c r="X861" s="103"/>
      <c r="Y861" s="103"/>
      <c r="Z861" s="103" t="s">
        <v>868</v>
      </c>
      <c r="AA861" s="103" t="s">
        <v>874</v>
      </c>
      <c r="AB861" s="103" t="s">
        <v>153</v>
      </c>
      <c r="AC861" s="103">
        <v>0</v>
      </c>
      <c r="AD861" s="156">
        <v>42005</v>
      </c>
      <c r="AE861" s="103"/>
      <c r="AF861" s="103" t="s">
        <v>870</v>
      </c>
      <c r="AG861" s="103" t="s">
        <v>871</v>
      </c>
      <c r="AH861" s="103" t="s">
        <v>976</v>
      </c>
      <c r="AI861" s="103">
        <v>0</v>
      </c>
      <c r="AJ861" s="103"/>
      <c r="AK861" s="103"/>
      <c r="AL861" s="103"/>
      <c r="AM861" s="103"/>
      <c r="AN861" s="103"/>
      <c r="AO861" s="103" t="str">
        <f t="shared" si="43"/>
        <v>Std_CFLscw(33w)_60pInc-r0248Two-pack</v>
      </c>
    </row>
    <row r="862" spans="1:41">
      <c r="A862" s="177">
        <f>IFERROR(MATCH(D862,'Measure &amp; Standard CostIDs'!C$5:C$177,0),MATCH(D862,'Measure &amp; Standard CostIDs'!S$5:S$177,0))</f>
        <v>26</v>
      </c>
      <c r="B862" s="177">
        <f t="shared" si="44"/>
        <v>3</v>
      </c>
      <c r="C862" s="103" t="s">
        <v>153</v>
      </c>
      <c r="D862" s="103" t="str">
        <f t="shared" si="45"/>
        <v>Std_CFLscw(36w)_60pInc-r0248</v>
      </c>
      <c r="E862" s="103" t="str">
        <f>IF(LEFT(D862,3)="Std","Base case cost for mix of 60% Incandescent and 40% CFL lamps for CFL TechID: "&amp;INDEX('Measure &amp; Standard CostIDs'!$C$5:$C$177,A862),"&lt;from TechID&gt;")</f>
        <v>Base case cost for mix of 60% Incandescent and 40% CFL lamps for CFL TechID: CFLscw(36w)</v>
      </c>
      <c r="F862" s="103" t="s">
        <v>860</v>
      </c>
      <c r="G862" s="103" t="s">
        <v>151</v>
      </c>
      <c r="H862" s="103" t="s">
        <v>861</v>
      </c>
      <c r="I862" s="103" t="s">
        <v>862</v>
      </c>
      <c r="J862" s="103" t="s">
        <v>863</v>
      </c>
      <c r="K862" s="103" t="s">
        <v>864</v>
      </c>
      <c r="L862" s="103" t="s">
        <v>153</v>
      </c>
      <c r="M862" s="103" t="s">
        <v>865</v>
      </c>
      <c r="N862" s="103" t="s">
        <v>866</v>
      </c>
      <c r="O862" s="103" t="str">
        <f t="shared" si="42"/>
        <v/>
      </c>
      <c r="P862" s="103" t="s">
        <v>153</v>
      </c>
      <c r="Q862" s="103" t="s">
        <v>153</v>
      </c>
      <c r="R862" s="103" t="s">
        <v>153</v>
      </c>
      <c r="S862" s="103" t="str">
        <f>INDEX('Measure &amp; Standard CostIDs'!$AK$8:$AK$12,B862)</f>
        <v>Two-pack</v>
      </c>
      <c r="T862" s="103" t="s">
        <v>867</v>
      </c>
      <c r="U862" s="103"/>
      <c r="V862" s="103"/>
      <c r="W862" s="103">
        <f>ROUND(IF(LEFT(D862,3)="Std",VLOOKUP(D862,'Measure &amp; Standard CostIDs'!$S$5:$X$177,1+B862,FALSE),VLOOKUP(D862,'Measure &amp; Standard CostIDs'!$C$5:$H$177,1+B862,FALSE)),2)</f>
        <v>3.5</v>
      </c>
      <c r="X862" s="103"/>
      <c r="Y862" s="103"/>
      <c r="Z862" s="103" t="s">
        <v>868</v>
      </c>
      <c r="AA862" s="103" t="s">
        <v>874</v>
      </c>
      <c r="AB862" s="103" t="s">
        <v>153</v>
      </c>
      <c r="AC862" s="103">
        <v>0</v>
      </c>
      <c r="AD862" s="156">
        <v>42005</v>
      </c>
      <c r="AE862" s="103"/>
      <c r="AF862" s="103" t="s">
        <v>870</v>
      </c>
      <c r="AG862" s="103" t="s">
        <v>871</v>
      </c>
      <c r="AH862" s="103" t="s">
        <v>976</v>
      </c>
      <c r="AI862" s="103">
        <v>0</v>
      </c>
      <c r="AJ862" s="103"/>
      <c r="AK862" s="103"/>
      <c r="AL862" s="103"/>
      <c r="AM862" s="103"/>
      <c r="AN862" s="103"/>
      <c r="AO862" s="103" t="str">
        <f t="shared" si="43"/>
        <v>Std_CFLscw(36w)_60pInc-r0248Two-pack</v>
      </c>
    </row>
    <row r="863" spans="1:41">
      <c r="A863" s="177">
        <f>IFERROR(MATCH(D863,'Measure &amp; Standard CostIDs'!C$5:C$177,0),MATCH(D863,'Measure &amp; Standard CostIDs'!S$5:S$177,0))</f>
        <v>27</v>
      </c>
      <c r="B863" s="177">
        <f t="shared" si="44"/>
        <v>3</v>
      </c>
      <c r="C863" s="103" t="s">
        <v>153</v>
      </c>
      <c r="D863" s="103" t="str">
        <f t="shared" si="45"/>
        <v>Std_CFLscw(38w)_60pInc-r0248</v>
      </c>
      <c r="E863" s="103" t="str">
        <f>IF(LEFT(D863,3)="Std","Base case cost for mix of 60% Incandescent and 40% CFL lamps for CFL TechID: "&amp;INDEX('Measure &amp; Standard CostIDs'!$C$5:$C$177,A863),"&lt;from TechID&gt;")</f>
        <v>Base case cost for mix of 60% Incandescent and 40% CFL lamps for CFL TechID: CFLscw(38w)</v>
      </c>
      <c r="F863" s="103" t="s">
        <v>860</v>
      </c>
      <c r="G863" s="103" t="s">
        <v>151</v>
      </c>
      <c r="H863" s="103" t="s">
        <v>861</v>
      </c>
      <c r="I863" s="103" t="s">
        <v>862</v>
      </c>
      <c r="J863" s="103" t="s">
        <v>863</v>
      </c>
      <c r="K863" s="103" t="s">
        <v>864</v>
      </c>
      <c r="L863" s="103" t="s">
        <v>153</v>
      </c>
      <c r="M863" s="103" t="s">
        <v>865</v>
      </c>
      <c r="N863" s="103" t="s">
        <v>866</v>
      </c>
      <c r="O863" s="103" t="str">
        <f t="shared" si="42"/>
        <v/>
      </c>
      <c r="P863" s="103" t="s">
        <v>153</v>
      </c>
      <c r="Q863" s="103" t="s">
        <v>153</v>
      </c>
      <c r="R863" s="103" t="s">
        <v>153</v>
      </c>
      <c r="S863" s="103" t="str">
        <f>INDEX('Measure &amp; Standard CostIDs'!$AK$8:$AK$12,B863)</f>
        <v>Two-pack</v>
      </c>
      <c r="T863" s="103" t="s">
        <v>867</v>
      </c>
      <c r="U863" s="103"/>
      <c r="V863" s="103"/>
      <c r="W863" s="103">
        <f>ROUND(IF(LEFT(D863,3)="Std",VLOOKUP(D863,'Measure &amp; Standard CostIDs'!$S$5:$X$177,1+B863,FALSE),VLOOKUP(D863,'Measure &amp; Standard CostIDs'!$C$5:$H$177,1+B863,FALSE)),2)</f>
        <v>3.63</v>
      </c>
      <c r="X863" s="103"/>
      <c r="Y863" s="103"/>
      <c r="Z863" s="103" t="s">
        <v>868</v>
      </c>
      <c r="AA863" s="103" t="s">
        <v>874</v>
      </c>
      <c r="AB863" s="103" t="s">
        <v>153</v>
      </c>
      <c r="AC863" s="103">
        <v>0</v>
      </c>
      <c r="AD863" s="156">
        <v>42005</v>
      </c>
      <c r="AE863" s="103"/>
      <c r="AF863" s="103" t="s">
        <v>870</v>
      </c>
      <c r="AG863" s="103" t="s">
        <v>871</v>
      </c>
      <c r="AH863" s="103" t="s">
        <v>976</v>
      </c>
      <c r="AI863" s="103">
        <v>0</v>
      </c>
      <c r="AJ863" s="103"/>
      <c r="AK863" s="103"/>
      <c r="AL863" s="103"/>
      <c r="AM863" s="103"/>
      <c r="AN863" s="103"/>
      <c r="AO863" s="103" t="str">
        <f t="shared" si="43"/>
        <v>Std_CFLscw(38w)_60pInc-r0248Two-pack</v>
      </c>
    </row>
    <row r="864" spans="1:41">
      <c r="A864" s="177">
        <f>IFERROR(MATCH(D864,'Measure &amp; Standard CostIDs'!C$5:C$177,0),MATCH(D864,'Measure &amp; Standard CostIDs'!S$5:S$177,0))</f>
        <v>28</v>
      </c>
      <c r="B864" s="177">
        <f t="shared" si="44"/>
        <v>3</v>
      </c>
      <c r="C864" s="103" t="s">
        <v>153</v>
      </c>
      <c r="D864" s="103" t="str">
        <f t="shared" si="45"/>
        <v>Std_CFLscw(39w)_60pInc-r0248</v>
      </c>
      <c r="E864" s="103" t="str">
        <f>IF(LEFT(D864,3)="Std","Base case cost for mix of 60% Incandescent and 40% CFL lamps for CFL TechID: "&amp;INDEX('Measure &amp; Standard CostIDs'!$C$5:$C$177,A864),"&lt;from TechID&gt;")</f>
        <v>Base case cost for mix of 60% Incandescent and 40% CFL lamps for CFL TechID: CFLscw(39w)</v>
      </c>
      <c r="F864" s="103" t="s">
        <v>860</v>
      </c>
      <c r="G864" s="103" t="s">
        <v>151</v>
      </c>
      <c r="H864" s="103" t="s">
        <v>861</v>
      </c>
      <c r="I864" s="103" t="s">
        <v>862</v>
      </c>
      <c r="J864" s="103" t="s">
        <v>863</v>
      </c>
      <c r="K864" s="103" t="s">
        <v>864</v>
      </c>
      <c r="L864" s="103" t="s">
        <v>153</v>
      </c>
      <c r="M864" s="103" t="s">
        <v>865</v>
      </c>
      <c r="N864" s="103" t="s">
        <v>866</v>
      </c>
      <c r="O864" s="103" t="str">
        <f t="shared" si="42"/>
        <v/>
      </c>
      <c r="P864" s="103" t="s">
        <v>153</v>
      </c>
      <c r="Q864" s="103" t="s">
        <v>153</v>
      </c>
      <c r="R864" s="103" t="s">
        <v>153</v>
      </c>
      <c r="S864" s="103" t="str">
        <f>INDEX('Measure &amp; Standard CostIDs'!$AK$8:$AK$12,B864)</f>
        <v>Two-pack</v>
      </c>
      <c r="T864" s="103" t="s">
        <v>867</v>
      </c>
      <c r="U864" s="103"/>
      <c r="V864" s="103"/>
      <c r="W864" s="103">
        <f>ROUND(IF(LEFT(D864,3)="Std",VLOOKUP(D864,'Measure &amp; Standard CostIDs'!$S$5:$X$177,1+B864,FALSE),VLOOKUP(D864,'Measure &amp; Standard CostIDs'!$C$5:$H$177,1+B864,FALSE)),2)</f>
        <v>3.7</v>
      </c>
      <c r="X864" s="103"/>
      <c r="Y864" s="103"/>
      <c r="Z864" s="103" t="s">
        <v>868</v>
      </c>
      <c r="AA864" s="103" t="s">
        <v>874</v>
      </c>
      <c r="AB864" s="103" t="s">
        <v>153</v>
      </c>
      <c r="AC864" s="103">
        <v>0</v>
      </c>
      <c r="AD864" s="156">
        <v>42005</v>
      </c>
      <c r="AE864" s="103"/>
      <c r="AF864" s="103" t="s">
        <v>870</v>
      </c>
      <c r="AG864" s="103" t="s">
        <v>871</v>
      </c>
      <c r="AH864" s="103" t="s">
        <v>976</v>
      </c>
      <c r="AI864" s="103">
        <v>0</v>
      </c>
      <c r="AJ864" s="103"/>
      <c r="AK864" s="103"/>
      <c r="AL864" s="103"/>
      <c r="AM864" s="103"/>
      <c r="AN864" s="103"/>
      <c r="AO864" s="103" t="str">
        <f t="shared" si="43"/>
        <v>Std_CFLscw(39w)_60pInc-r0248Two-pack</v>
      </c>
    </row>
    <row r="865" spans="1:41">
      <c r="A865" s="177">
        <f>IFERROR(MATCH(D865,'Measure &amp; Standard CostIDs'!C$5:C$177,0),MATCH(D865,'Measure &amp; Standard CostIDs'!S$5:S$177,0))</f>
        <v>29</v>
      </c>
      <c r="B865" s="177">
        <f t="shared" si="44"/>
        <v>3</v>
      </c>
      <c r="C865" s="103" t="s">
        <v>153</v>
      </c>
      <c r="D865" s="103" t="str">
        <f t="shared" si="45"/>
        <v>Std_CFLscw(3w)_60pInc-r0248</v>
      </c>
      <c r="E865" s="103" t="str">
        <f>IF(LEFT(D865,3)="Std","Base case cost for mix of 60% Incandescent and 40% CFL lamps for CFL TechID: "&amp;INDEX('Measure &amp; Standard CostIDs'!$C$5:$C$177,A865),"&lt;from TechID&gt;")</f>
        <v>Base case cost for mix of 60% Incandescent and 40% CFL lamps for CFL TechID: CFLscw(3w)</v>
      </c>
      <c r="F865" s="103" t="s">
        <v>860</v>
      </c>
      <c r="G865" s="103" t="s">
        <v>151</v>
      </c>
      <c r="H865" s="103" t="s">
        <v>861</v>
      </c>
      <c r="I865" s="103" t="s">
        <v>862</v>
      </c>
      <c r="J865" s="103" t="s">
        <v>863</v>
      </c>
      <c r="K865" s="103" t="s">
        <v>864</v>
      </c>
      <c r="L865" s="103" t="s">
        <v>153</v>
      </c>
      <c r="M865" s="103" t="s">
        <v>865</v>
      </c>
      <c r="N865" s="103" t="s">
        <v>866</v>
      </c>
      <c r="O865" s="103" t="str">
        <f t="shared" si="42"/>
        <v/>
      </c>
      <c r="P865" s="103" t="s">
        <v>153</v>
      </c>
      <c r="Q865" s="103" t="s">
        <v>153</v>
      </c>
      <c r="R865" s="103" t="s">
        <v>153</v>
      </c>
      <c r="S865" s="103" t="str">
        <f>INDEX('Measure &amp; Standard CostIDs'!$AK$8:$AK$12,B865)</f>
        <v>Two-pack</v>
      </c>
      <c r="T865" s="103" t="s">
        <v>867</v>
      </c>
      <c r="U865" s="103"/>
      <c r="V865" s="103"/>
      <c r="W865" s="103">
        <f>ROUND(IF(LEFT(D865,3)="Std",VLOOKUP(D865,'Measure &amp; Standard CostIDs'!$S$5:$X$177,1+B865,FALSE),VLOOKUP(D865,'Measure &amp; Standard CostIDs'!$C$5:$H$177,1+B865,FALSE)),2)</f>
        <v>1.95</v>
      </c>
      <c r="X865" s="103"/>
      <c r="Y865" s="103"/>
      <c r="Z865" s="103" t="s">
        <v>868</v>
      </c>
      <c r="AA865" s="103" t="s">
        <v>874</v>
      </c>
      <c r="AB865" s="103" t="s">
        <v>153</v>
      </c>
      <c r="AC865" s="103">
        <v>0</v>
      </c>
      <c r="AD865" s="156">
        <v>42005</v>
      </c>
      <c r="AE865" s="103"/>
      <c r="AF865" s="103" t="s">
        <v>870</v>
      </c>
      <c r="AG865" s="103" t="s">
        <v>871</v>
      </c>
      <c r="AH865" s="103" t="s">
        <v>976</v>
      </c>
      <c r="AI865" s="103">
        <v>0</v>
      </c>
      <c r="AJ865" s="103"/>
      <c r="AK865" s="103"/>
      <c r="AL865" s="103"/>
      <c r="AM865" s="103"/>
      <c r="AN865" s="103"/>
      <c r="AO865" s="103" t="str">
        <f t="shared" si="43"/>
        <v>Std_CFLscw(3w)_60pInc-r0248Two-pack</v>
      </c>
    </row>
    <row r="866" spans="1:41">
      <c r="A866" s="177">
        <f>IFERROR(MATCH(D866,'Measure &amp; Standard CostIDs'!C$5:C$177,0),MATCH(D866,'Measure &amp; Standard CostIDs'!S$5:S$177,0))</f>
        <v>30</v>
      </c>
      <c r="B866" s="177">
        <f t="shared" si="44"/>
        <v>3</v>
      </c>
      <c r="C866" s="103" t="s">
        <v>153</v>
      </c>
      <c r="D866" s="103" t="str">
        <f t="shared" si="45"/>
        <v>Std_CFLscw(40w)_60pInc-r0248</v>
      </c>
      <c r="E866" s="103" t="str">
        <f>IF(LEFT(D866,3)="Std","Base case cost for mix of 60% Incandescent and 40% CFL lamps for CFL TechID: "&amp;INDEX('Measure &amp; Standard CostIDs'!$C$5:$C$177,A866),"&lt;from TechID&gt;")</f>
        <v>Base case cost for mix of 60% Incandescent and 40% CFL lamps for CFL TechID: CFLscw(40w)</v>
      </c>
      <c r="F866" s="103" t="s">
        <v>860</v>
      </c>
      <c r="G866" s="103" t="s">
        <v>151</v>
      </c>
      <c r="H866" s="103" t="s">
        <v>861</v>
      </c>
      <c r="I866" s="103" t="s">
        <v>862</v>
      </c>
      <c r="J866" s="103" t="s">
        <v>863</v>
      </c>
      <c r="K866" s="103" t="s">
        <v>864</v>
      </c>
      <c r="L866" s="103" t="s">
        <v>153</v>
      </c>
      <c r="M866" s="103" t="s">
        <v>865</v>
      </c>
      <c r="N866" s="103" t="s">
        <v>866</v>
      </c>
      <c r="O866" s="103" t="str">
        <f t="shared" si="42"/>
        <v/>
      </c>
      <c r="P866" s="103" t="s">
        <v>153</v>
      </c>
      <c r="Q866" s="103" t="s">
        <v>153</v>
      </c>
      <c r="R866" s="103" t="s">
        <v>153</v>
      </c>
      <c r="S866" s="103" t="str">
        <f>INDEX('Measure &amp; Standard CostIDs'!$AK$8:$AK$12,B866)</f>
        <v>Two-pack</v>
      </c>
      <c r="T866" s="103" t="s">
        <v>867</v>
      </c>
      <c r="U866" s="103"/>
      <c r="V866" s="103"/>
      <c r="W866" s="103">
        <f>ROUND(IF(LEFT(D866,3)="Std",VLOOKUP(D866,'Measure &amp; Standard CostIDs'!$S$5:$X$177,1+B866,FALSE),VLOOKUP(D866,'Measure &amp; Standard CostIDs'!$C$5:$H$177,1+B866,FALSE)),2)</f>
        <v>3.76</v>
      </c>
      <c r="X866" s="103"/>
      <c r="Y866" s="103"/>
      <c r="Z866" s="103" t="s">
        <v>868</v>
      </c>
      <c r="AA866" s="103" t="s">
        <v>874</v>
      </c>
      <c r="AB866" s="103" t="s">
        <v>153</v>
      </c>
      <c r="AC866" s="103">
        <v>0</v>
      </c>
      <c r="AD866" s="156">
        <v>42005</v>
      </c>
      <c r="AE866" s="103"/>
      <c r="AF866" s="103" t="s">
        <v>870</v>
      </c>
      <c r="AG866" s="103" t="s">
        <v>871</v>
      </c>
      <c r="AH866" s="103" t="s">
        <v>976</v>
      </c>
      <c r="AI866" s="103">
        <v>0</v>
      </c>
      <c r="AJ866" s="103"/>
      <c r="AK866" s="103"/>
      <c r="AL866" s="103"/>
      <c r="AM866" s="103"/>
      <c r="AN866" s="103"/>
      <c r="AO866" s="103" t="str">
        <f t="shared" si="43"/>
        <v>Std_CFLscw(40w)_60pInc-r0248Two-pack</v>
      </c>
    </row>
    <row r="867" spans="1:41">
      <c r="A867" s="177">
        <f>IFERROR(MATCH(D867,'Measure &amp; Standard CostIDs'!C$5:C$177,0),MATCH(D867,'Measure &amp; Standard CostIDs'!S$5:S$177,0))</f>
        <v>31</v>
      </c>
      <c r="B867" s="177">
        <f t="shared" si="44"/>
        <v>3</v>
      </c>
      <c r="C867" s="103" t="s">
        <v>153</v>
      </c>
      <c r="D867" s="103" t="str">
        <f t="shared" si="45"/>
        <v>Std_CFLscw(42w)_60pInc-r0248</v>
      </c>
      <c r="E867" s="103" t="str">
        <f>IF(LEFT(D867,3)="Std","Base case cost for mix of 60% Incandescent and 40% CFL lamps for CFL TechID: "&amp;INDEX('Measure &amp; Standard CostIDs'!$C$5:$C$177,A867),"&lt;from TechID&gt;")</f>
        <v>Base case cost for mix of 60% Incandescent and 40% CFL lamps for CFL TechID: CFLscw(42w)</v>
      </c>
      <c r="F867" s="103" t="s">
        <v>860</v>
      </c>
      <c r="G867" s="103" t="s">
        <v>151</v>
      </c>
      <c r="H867" s="103" t="s">
        <v>861</v>
      </c>
      <c r="I867" s="103" t="s">
        <v>862</v>
      </c>
      <c r="J867" s="103" t="s">
        <v>863</v>
      </c>
      <c r="K867" s="103" t="s">
        <v>864</v>
      </c>
      <c r="L867" s="103" t="s">
        <v>153</v>
      </c>
      <c r="M867" s="103" t="s">
        <v>865</v>
      </c>
      <c r="N867" s="103" t="s">
        <v>866</v>
      </c>
      <c r="O867" s="103" t="str">
        <f t="shared" si="42"/>
        <v/>
      </c>
      <c r="P867" s="103" t="s">
        <v>153</v>
      </c>
      <c r="Q867" s="103" t="s">
        <v>153</v>
      </c>
      <c r="R867" s="103" t="s">
        <v>153</v>
      </c>
      <c r="S867" s="103" t="str">
        <f>INDEX('Measure &amp; Standard CostIDs'!$AK$8:$AK$12,B867)</f>
        <v>Two-pack</v>
      </c>
      <c r="T867" s="103" t="s">
        <v>867</v>
      </c>
      <c r="U867" s="103"/>
      <c r="V867" s="103"/>
      <c r="W867" s="103">
        <f>ROUND(IF(LEFT(D867,3)="Std",VLOOKUP(D867,'Measure &amp; Standard CostIDs'!$S$5:$X$177,1+B867,FALSE),VLOOKUP(D867,'Measure &amp; Standard CostIDs'!$C$5:$H$177,1+B867,FALSE)),2)</f>
        <v>3.89</v>
      </c>
      <c r="X867" s="103"/>
      <c r="Y867" s="103"/>
      <c r="Z867" s="103" t="s">
        <v>868</v>
      </c>
      <c r="AA867" s="103" t="s">
        <v>874</v>
      </c>
      <c r="AB867" s="103" t="s">
        <v>153</v>
      </c>
      <c r="AC867" s="103">
        <v>0</v>
      </c>
      <c r="AD867" s="156">
        <v>42005</v>
      </c>
      <c r="AE867" s="103"/>
      <c r="AF867" s="103" t="s">
        <v>870</v>
      </c>
      <c r="AG867" s="103" t="s">
        <v>871</v>
      </c>
      <c r="AH867" s="103" t="s">
        <v>976</v>
      </c>
      <c r="AI867" s="103">
        <v>0</v>
      </c>
      <c r="AJ867" s="103"/>
      <c r="AK867" s="103"/>
      <c r="AL867" s="103"/>
      <c r="AM867" s="103"/>
      <c r="AN867" s="103"/>
      <c r="AO867" s="103" t="str">
        <f t="shared" si="43"/>
        <v>Std_CFLscw(42w)_60pInc-r0248Two-pack</v>
      </c>
    </row>
    <row r="868" spans="1:41">
      <c r="A868" s="177">
        <f>IFERROR(MATCH(D868,'Measure &amp; Standard CostIDs'!C$5:C$177,0),MATCH(D868,'Measure &amp; Standard CostIDs'!S$5:S$177,0))</f>
        <v>35</v>
      </c>
      <c r="B868" s="177">
        <f t="shared" si="44"/>
        <v>3</v>
      </c>
      <c r="C868" s="103" t="s">
        <v>153</v>
      </c>
      <c r="D868" s="103" t="str">
        <f t="shared" si="45"/>
        <v>Std_CFLscw(4w)_60pInc-r0248</v>
      </c>
      <c r="E868" s="103" t="str">
        <f>IF(LEFT(D868,3)="Std","Base case cost for mix of 60% Incandescent and 40% CFL lamps for CFL TechID: "&amp;INDEX('Measure &amp; Standard CostIDs'!$C$5:$C$177,A868),"&lt;from TechID&gt;")</f>
        <v>Base case cost for mix of 60% Incandescent and 40% CFL lamps for CFL TechID: CFLscw(4w)</v>
      </c>
      <c r="F868" s="103" t="s">
        <v>860</v>
      </c>
      <c r="G868" s="103" t="s">
        <v>151</v>
      </c>
      <c r="H868" s="103" t="s">
        <v>861</v>
      </c>
      <c r="I868" s="103" t="s">
        <v>862</v>
      </c>
      <c r="J868" s="103" t="s">
        <v>863</v>
      </c>
      <c r="K868" s="103" t="s">
        <v>864</v>
      </c>
      <c r="L868" s="103" t="s">
        <v>153</v>
      </c>
      <c r="M868" s="103" t="s">
        <v>865</v>
      </c>
      <c r="N868" s="103" t="s">
        <v>866</v>
      </c>
      <c r="O868" s="103" t="str">
        <f t="shared" si="42"/>
        <v/>
      </c>
      <c r="P868" s="103" t="s">
        <v>153</v>
      </c>
      <c r="Q868" s="103" t="s">
        <v>153</v>
      </c>
      <c r="R868" s="103" t="s">
        <v>153</v>
      </c>
      <c r="S868" s="103" t="str">
        <f>INDEX('Measure &amp; Standard CostIDs'!$AK$8:$AK$12,B868)</f>
        <v>Two-pack</v>
      </c>
      <c r="T868" s="103" t="s">
        <v>867</v>
      </c>
      <c r="U868" s="103"/>
      <c r="V868" s="103"/>
      <c r="W868" s="103">
        <f>ROUND(IF(LEFT(D868,3)="Std",VLOOKUP(D868,'Measure &amp; Standard CostIDs'!$S$5:$X$177,1+B868,FALSE),VLOOKUP(D868,'Measure &amp; Standard CostIDs'!$C$5:$H$177,1+B868,FALSE)),2)</f>
        <v>1.98</v>
      </c>
      <c r="X868" s="103"/>
      <c r="Y868" s="103"/>
      <c r="Z868" s="103" t="s">
        <v>868</v>
      </c>
      <c r="AA868" s="103" t="s">
        <v>874</v>
      </c>
      <c r="AB868" s="103" t="s">
        <v>153</v>
      </c>
      <c r="AC868" s="103">
        <v>0</v>
      </c>
      <c r="AD868" s="156">
        <v>42005</v>
      </c>
      <c r="AE868" s="103"/>
      <c r="AF868" s="103" t="s">
        <v>870</v>
      </c>
      <c r="AG868" s="103" t="s">
        <v>871</v>
      </c>
      <c r="AH868" s="103" t="s">
        <v>976</v>
      </c>
      <c r="AI868" s="103">
        <v>0</v>
      </c>
      <c r="AJ868" s="103"/>
      <c r="AK868" s="103"/>
      <c r="AL868" s="103"/>
      <c r="AM868" s="103"/>
      <c r="AN868" s="103"/>
      <c r="AO868" s="103" t="str">
        <f t="shared" si="43"/>
        <v>Std_CFLscw(4w)_60pInc-r0248Two-pack</v>
      </c>
    </row>
    <row r="869" spans="1:41">
      <c r="A869" s="177">
        <f>IFERROR(MATCH(D869,'Measure &amp; Standard CostIDs'!C$5:C$177,0),MATCH(D869,'Measure &amp; Standard CostIDs'!S$5:S$177,0))</f>
        <v>39</v>
      </c>
      <c r="B869" s="177">
        <f t="shared" si="44"/>
        <v>3</v>
      </c>
      <c r="C869" s="103" t="s">
        <v>153</v>
      </c>
      <c r="D869" s="103" t="str">
        <f t="shared" si="45"/>
        <v>Std_CFLscw(5w)_60pInc-r0248</v>
      </c>
      <c r="E869" s="103" t="str">
        <f>IF(LEFT(D869,3)="Std","Base case cost for mix of 60% Incandescent and 40% CFL lamps for CFL TechID: "&amp;INDEX('Measure &amp; Standard CostIDs'!$C$5:$C$177,A869),"&lt;from TechID&gt;")</f>
        <v>Base case cost for mix of 60% Incandescent and 40% CFL lamps for CFL TechID: CFLscw(5w)</v>
      </c>
      <c r="F869" s="103" t="s">
        <v>860</v>
      </c>
      <c r="G869" s="103" t="s">
        <v>151</v>
      </c>
      <c r="H869" s="103" t="s">
        <v>861</v>
      </c>
      <c r="I869" s="103" t="s">
        <v>862</v>
      </c>
      <c r="J869" s="103" t="s">
        <v>863</v>
      </c>
      <c r="K869" s="103" t="s">
        <v>864</v>
      </c>
      <c r="L869" s="103" t="s">
        <v>153</v>
      </c>
      <c r="M869" s="103" t="s">
        <v>865</v>
      </c>
      <c r="N869" s="103" t="s">
        <v>866</v>
      </c>
      <c r="O869" s="103" t="str">
        <f t="shared" si="42"/>
        <v/>
      </c>
      <c r="P869" s="103" t="s">
        <v>153</v>
      </c>
      <c r="Q869" s="103" t="s">
        <v>153</v>
      </c>
      <c r="R869" s="103" t="s">
        <v>153</v>
      </c>
      <c r="S869" s="103" t="str">
        <f>INDEX('Measure &amp; Standard CostIDs'!$AK$8:$AK$12,B869)</f>
        <v>Two-pack</v>
      </c>
      <c r="T869" s="103" t="s">
        <v>867</v>
      </c>
      <c r="U869" s="103"/>
      <c r="V869" s="103"/>
      <c r="W869" s="103">
        <f>ROUND(IF(LEFT(D869,3)="Std",VLOOKUP(D869,'Measure &amp; Standard CostIDs'!$S$5:$X$177,1+B869,FALSE),VLOOKUP(D869,'Measure &amp; Standard CostIDs'!$C$5:$H$177,1+B869,FALSE)),2)</f>
        <v>2.0099999999999998</v>
      </c>
      <c r="X869" s="103"/>
      <c r="Y869" s="103"/>
      <c r="Z869" s="103" t="s">
        <v>868</v>
      </c>
      <c r="AA869" s="103" t="s">
        <v>874</v>
      </c>
      <c r="AB869" s="103" t="s">
        <v>153</v>
      </c>
      <c r="AC869" s="103">
        <v>0</v>
      </c>
      <c r="AD869" s="156">
        <v>42005</v>
      </c>
      <c r="AE869" s="103"/>
      <c r="AF869" s="103" t="s">
        <v>870</v>
      </c>
      <c r="AG869" s="103" t="s">
        <v>871</v>
      </c>
      <c r="AH869" s="103" t="s">
        <v>976</v>
      </c>
      <c r="AI869" s="103">
        <v>0</v>
      </c>
      <c r="AJ869" s="103"/>
      <c r="AK869" s="103"/>
      <c r="AL869" s="103"/>
      <c r="AM869" s="103"/>
      <c r="AN869" s="103"/>
      <c r="AO869" s="103" t="str">
        <f t="shared" si="43"/>
        <v>Std_CFLscw(5w)_60pInc-r0248Two-pack</v>
      </c>
    </row>
    <row r="870" spans="1:41">
      <c r="A870" s="177">
        <f>IFERROR(MATCH(D870,'Measure &amp; Standard CostIDs'!C$5:C$177,0),MATCH(D870,'Measure &amp; Standard CostIDs'!S$5:S$177,0))</f>
        <v>42</v>
      </c>
      <c r="B870" s="177">
        <f t="shared" si="44"/>
        <v>3</v>
      </c>
      <c r="C870" s="103" t="s">
        <v>153</v>
      </c>
      <c r="D870" s="103" t="str">
        <f t="shared" si="45"/>
        <v>Std_CFLscw(6w)_60pInc-r0248</v>
      </c>
      <c r="E870" s="103" t="str">
        <f>IF(LEFT(D870,3)="Std","Base case cost for mix of 60% Incandescent and 40% CFL lamps for CFL TechID: "&amp;INDEX('Measure &amp; Standard CostIDs'!$C$5:$C$177,A870),"&lt;from TechID&gt;")</f>
        <v>Base case cost for mix of 60% Incandescent and 40% CFL lamps for CFL TechID: CFLscw(6w)</v>
      </c>
      <c r="F870" s="103" t="s">
        <v>860</v>
      </c>
      <c r="G870" s="103" t="s">
        <v>151</v>
      </c>
      <c r="H870" s="103" t="s">
        <v>861</v>
      </c>
      <c r="I870" s="103" t="s">
        <v>862</v>
      </c>
      <c r="J870" s="103" t="s">
        <v>863</v>
      </c>
      <c r="K870" s="103" t="s">
        <v>864</v>
      </c>
      <c r="L870" s="103" t="s">
        <v>153</v>
      </c>
      <c r="M870" s="103" t="s">
        <v>865</v>
      </c>
      <c r="N870" s="103" t="s">
        <v>866</v>
      </c>
      <c r="O870" s="103" t="str">
        <f t="shared" si="42"/>
        <v/>
      </c>
      <c r="P870" s="103" t="s">
        <v>153</v>
      </c>
      <c r="Q870" s="103" t="s">
        <v>153</v>
      </c>
      <c r="R870" s="103" t="s">
        <v>153</v>
      </c>
      <c r="S870" s="103" t="str">
        <f>INDEX('Measure &amp; Standard CostIDs'!$AK$8:$AK$12,B870)</f>
        <v>Two-pack</v>
      </c>
      <c r="T870" s="103" t="s">
        <v>867</v>
      </c>
      <c r="U870" s="103"/>
      <c r="V870" s="103"/>
      <c r="W870" s="103">
        <f>ROUND(IF(LEFT(D870,3)="Std",VLOOKUP(D870,'Measure &amp; Standard CostIDs'!$S$5:$X$177,1+B870,FALSE),VLOOKUP(D870,'Measure &amp; Standard CostIDs'!$C$5:$H$177,1+B870,FALSE)),2)</f>
        <v>2.0299999999999998</v>
      </c>
      <c r="X870" s="103"/>
      <c r="Y870" s="103"/>
      <c r="Z870" s="103" t="s">
        <v>868</v>
      </c>
      <c r="AA870" s="103" t="s">
        <v>874</v>
      </c>
      <c r="AB870" s="103" t="s">
        <v>153</v>
      </c>
      <c r="AC870" s="103">
        <v>0</v>
      </c>
      <c r="AD870" s="156">
        <v>42005</v>
      </c>
      <c r="AE870" s="103"/>
      <c r="AF870" s="103" t="s">
        <v>870</v>
      </c>
      <c r="AG870" s="103" t="s">
        <v>871</v>
      </c>
      <c r="AH870" s="103" t="s">
        <v>976</v>
      </c>
      <c r="AI870" s="103">
        <v>0</v>
      </c>
      <c r="AJ870" s="103"/>
      <c r="AK870" s="103"/>
      <c r="AL870" s="103"/>
      <c r="AM870" s="103"/>
      <c r="AN870" s="103"/>
      <c r="AO870" s="103" t="str">
        <f t="shared" si="43"/>
        <v>Std_CFLscw(6w)_60pInc-r0248Two-pack</v>
      </c>
    </row>
    <row r="871" spans="1:41">
      <c r="A871" s="177">
        <f>IFERROR(MATCH(D871,'Measure &amp; Standard CostIDs'!C$5:C$177,0),MATCH(D871,'Measure &amp; Standard CostIDs'!S$5:S$177,0))</f>
        <v>43</v>
      </c>
      <c r="B871" s="177">
        <f t="shared" si="44"/>
        <v>3</v>
      </c>
      <c r="C871" s="103" t="s">
        <v>153</v>
      </c>
      <c r="D871" s="103" t="str">
        <f t="shared" si="45"/>
        <v>Std_CFLscw(7w)_60pInc-r0248</v>
      </c>
      <c r="E871" s="103" t="str">
        <f>IF(LEFT(D871,3)="Std","Base case cost for mix of 60% Incandescent and 40% CFL lamps for CFL TechID: "&amp;INDEX('Measure &amp; Standard CostIDs'!$C$5:$C$177,A871),"&lt;from TechID&gt;")</f>
        <v>Base case cost for mix of 60% Incandescent and 40% CFL lamps for CFL TechID: CFLscw(7w)</v>
      </c>
      <c r="F871" s="103" t="s">
        <v>860</v>
      </c>
      <c r="G871" s="103" t="s">
        <v>151</v>
      </c>
      <c r="H871" s="103" t="s">
        <v>861</v>
      </c>
      <c r="I871" s="103" t="s">
        <v>862</v>
      </c>
      <c r="J871" s="103" t="s">
        <v>863</v>
      </c>
      <c r="K871" s="103" t="s">
        <v>864</v>
      </c>
      <c r="L871" s="103" t="s">
        <v>153</v>
      </c>
      <c r="M871" s="103" t="s">
        <v>865</v>
      </c>
      <c r="N871" s="103" t="s">
        <v>866</v>
      </c>
      <c r="O871" s="103" t="str">
        <f t="shared" si="42"/>
        <v/>
      </c>
      <c r="P871" s="103" t="s">
        <v>153</v>
      </c>
      <c r="Q871" s="103" t="s">
        <v>153</v>
      </c>
      <c r="R871" s="103" t="s">
        <v>153</v>
      </c>
      <c r="S871" s="103" t="str">
        <f>INDEX('Measure &amp; Standard CostIDs'!$AK$8:$AK$12,B871)</f>
        <v>Two-pack</v>
      </c>
      <c r="T871" s="103" t="s">
        <v>867</v>
      </c>
      <c r="U871" s="103"/>
      <c r="V871" s="103"/>
      <c r="W871" s="103">
        <f>ROUND(IF(LEFT(D871,3)="Std",VLOOKUP(D871,'Measure &amp; Standard CostIDs'!$S$5:$X$177,1+B871,FALSE),VLOOKUP(D871,'Measure &amp; Standard CostIDs'!$C$5:$H$177,1+B871,FALSE)),2)</f>
        <v>2.06</v>
      </c>
      <c r="X871" s="103"/>
      <c r="Y871" s="103"/>
      <c r="Z871" s="103" t="s">
        <v>868</v>
      </c>
      <c r="AA871" s="103" t="s">
        <v>874</v>
      </c>
      <c r="AB871" s="103" t="s">
        <v>153</v>
      </c>
      <c r="AC871" s="103">
        <v>0</v>
      </c>
      <c r="AD871" s="156">
        <v>42005</v>
      </c>
      <c r="AE871" s="103"/>
      <c r="AF871" s="103" t="s">
        <v>870</v>
      </c>
      <c r="AG871" s="103" t="s">
        <v>871</v>
      </c>
      <c r="AH871" s="103" t="s">
        <v>976</v>
      </c>
      <c r="AI871" s="103">
        <v>0</v>
      </c>
      <c r="AJ871" s="103"/>
      <c r="AK871" s="103"/>
      <c r="AL871" s="103"/>
      <c r="AM871" s="103"/>
      <c r="AN871" s="103"/>
      <c r="AO871" s="103" t="str">
        <f t="shared" si="43"/>
        <v>Std_CFLscw(7w)_60pInc-r0248Two-pack</v>
      </c>
    </row>
    <row r="872" spans="1:41">
      <c r="A872" s="177">
        <f>IFERROR(MATCH(D872,'Measure &amp; Standard CostIDs'!C$5:C$177,0),MATCH(D872,'Measure &amp; Standard CostIDs'!S$5:S$177,0))</f>
        <v>46</v>
      </c>
      <c r="B872" s="177">
        <f t="shared" si="44"/>
        <v>3</v>
      </c>
      <c r="C872" s="103" t="s">
        <v>153</v>
      </c>
      <c r="D872" s="103" t="str">
        <f t="shared" si="45"/>
        <v>Std_CFLscw(8w)_60pInc-r0248</v>
      </c>
      <c r="E872" s="103" t="str">
        <f>IF(LEFT(D872,3)="Std","Base case cost for mix of 60% Incandescent and 40% CFL lamps for CFL TechID: "&amp;INDEX('Measure &amp; Standard CostIDs'!$C$5:$C$177,A872),"&lt;from TechID&gt;")</f>
        <v>Base case cost for mix of 60% Incandescent and 40% CFL lamps for CFL TechID: CFLscw(8w)</v>
      </c>
      <c r="F872" s="103" t="s">
        <v>860</v>
      </c>
      <c r="G872" s="103" t="s">
        <v>151</v>
      </c>
      <c r="H872" s="103" t="s">
        <v>861</v>
      </c>
      <c r="I872" s="103" t="s">
        <v>862</v>
      </c>
      <c r="J872" s="103" t="s">
        <v>863</v>
      </c>
      <c r="K872" s="103" t="s">
        <v>864</v>
      </c>
      <c r="L872" s="103" t="s">
        <v>153</v>
      </c>
      <c r="M872" s="103" t="s">
        <v>865</v>
      </c>
      <c r="N872" s="103" t="s">
        <v>866</v>
      </c>
      <c r="O872" s="103" t="str">
        <f t="shared" si="42"/>
        <v/>
      </c>
      <c r="P872" s="103" t="s">
        <v>153</v>
      </c>
      <c r="Q872" s="103" t="s">
        <v>153</v>
      </c>
      <c r="R872" s="103" t="s">
        <v>153</v>
      </c>
      <c r="S872" s="103" t="str">
        <f>INDEX('Measure &amp; Standard CostIDs'!$AK$8:$AK$12,B872)</f>
        <v>Two-pack</v>
      </c>
      <c r="T872" s="103" t="s">
        <v>867</v>
      </c>
      <c r="U872" s="103"/>
      <c r="V872" s="103"/>
      <c r="W872" s="103">
        <f>ROUND(IF(LEFT(D872,3)="Std",VLOOKUP(D872,'Measure &amp; Standard CostIDs'!$S$5:$X$177,1+B872,FALSE),VLOOKUP(D872,'Measure &amp; Standard CostIDs'!$C$5:$H$177,1+B872,FALSE)),2)</f>
        <v>2.09</v>
      </c>
      <c r="X872" s="103"/>
      <c r="Y872" s="103"/>
      <c r="Z872" s="103" t="s">
        <v>868</v>
      </c>
      <c r="AA872" s="103" t="s">
        <v>874</v>
      </c>
      <c r="AB872" s="103" t="s">
        <v>153</v>
      </c>
      <c r="AC872" s="103">
        <v>0</v>
      </c>
      <c r="AD872" s="156">
        <v>42005</v>
      </c>
      <c r="AE872" s="103"/>
      <c r="AF872" s="103" t="s">
        <v>870</v>
      </c>
      <c r="AG872" s="103" t="s">
        <v>871</v>
      </c>
      <c r="AH872" s="103" t="s">
        <v>976</v>
      </c>
      <c r="AI872" s="103">
        <v>0</v>
      </c>
      <c r="AJ872" s="103"/>
      <c r="AK872" s="103"/>
      <c r="AL872" s="103"/>
      <c r="AM872" s="103"/>
      <c r="AN872" s="103"/>
      <c r="AO872" s="103" t="str">
        <f t="shared" si="43"/>
        <v>Std_CFLscw(8w)_60pInc-r0248Two-pack</v>
      </c>
    </row>
    <row r="873" spans="1:41">
      <c r="A873" s="177">
        <f>IFERROR(MATCH(D873,'Measure &amp; Standard CostIDs'!C$5:C$177,0),MATCH(D873,'Measure &amp; Standard CostIDs'!S$5:S$177,0))</f>
        <v>47</v>
      </c>
      <c r="B873" s="177">
        <f t="shared" si="44"/>
        <v>3</v>
      </c>
      <c r="C873" s="103" t="s">
        <v>153</v>
      </c>
      <c r="D873" s="103" t="str">
        <f t="shared" si="45"/>
        <v>Std_CFLscw(9w)_60pInc-r0248</v>
      </c>
      <c r="E873" s="103" t="str">
        <f>IF(LEFT(D873,3)="Std","Base case cost for mix of 60% Incandescent and 40% CFL lamps for CFL TechID: "&amp;INDEX('Measure &amp; Standard CostIDs'!$C$5:$C$177,A873),"&lt;from TechID&gt;")</f>
        <v>Base case cost for mix of 60% Incandescent and 40% CFL lamps for CFL TechID: CFLscw(9w)</v>
      </c>
      <c r="F873" s="103" t="s">
        <v>860</v>
      </c>
      <c r="G873" s="103" t="s">
        <v>151</v>
      </c>
      <c r="H873" s="103" t="s">
        <v>861</v>
      </c>
      <c r="I873" s="103" t="s">
        <v>862</v>
      </c>
      <c r="J873" s="103" t="s">
        <v>863</v>
      </c>
      <c r="K873" s="103" t="s">
        <v>864</v>
      </c>
      <c r="L873" s="103" t="s">
        <v>153</v>
      </c>
      <c r="M873" s="103" t="s">
        <v>865</v>
      </c>
      <c r="N873" s="103" t="s">
        <v>866</v>
      </c>
      <c r="O873" s="103" t="str">
        <f t="shared" si="42"/>
        <v/>
      </c>
      <c r="P873" s="103" t="s">
        <v>153</v>
      </c>
      <c r="Q873" s="103" t="s">
        <v>153</v>
      </c>
      <c r="R873" s="103" t="s">
        <v>153</v>
      </c>
      <c r="S873" s="103" t="str">
        <f>INDEX('Measure &amp; Standard CostIDs'!$AK$8:$AK$12,B873)</f>
        <v>Two-pack</v>
      </c>
      <c r="T873" s="103" t="s">
        <v>867</v>
      </c>
      <c r="U873" s="103"/>
      <c r="V873" s="103"/>
      <c r="W873" s="103">
        <f>ROUND(IF(LEFT(D873,3)="Std",VLOOKUP(D873,'Measure &amp; Standard CostIDs'!$S$5:$X$177,1+B873,FALSE),VLOOKUP(D873,'Measure &amp; Standard CostIDs'!$C$5:$H$177,1+B873,FALSE)),2)</f>
        <v>2.12</v>
      </c>
      <c r="X873" s="103"/>
      <c r="Y873" s="103"/>
      <c r="Z873" s="103" t="s">
        <v>868</v>
      </c>
      <c r="AA873" s="103" t="s">
        <v>874</v>
      </c>
      <c r="AB873" s="103" t="s">
        <v>153</v>
      </c>
      <c r="AC873" s="103">
        <v>0</v>
      </c>
      <c r="AD873" s="156">
        <v>42005</v>
      </c>
      <c r="AE873" s="103"/>
      <c r="AF873" s="103" t="s">
        <v>870</v>
      </c>
      <c r="AG873" s="103" t="s">
        <v>871</v>
      </c>
      <c r="AH873" s="103" t="s">
        <v>976</v>
      </c>
      <c r="AI873" s="103">
        <v>0</v>
      </c>
      <c r="AJ873" s="103"/>
      <c r="AK873" s="103"/>
      <c r="AL873" s="103"/>
      <c r="AM873" s="103"/>
      <c r="AN873" s="103"/>
      <c r="AO873" s="103" t="str">
        <f t="shared" si="43"/>
        <v>Std_CFLscw(9w)_60pInc-r0248Two-pack</v>
      </c>
    </row>
    <row r="874" spans="1:41">
      <c r="A874" s="177">
        <f>IFERROR(MATCH(D874,'Measure &amp; Standard CostIDs'!C$5:C$177,0),MATCH(D874,'Measure &amp; Standard CostIDs'!S$5:S$177,0))</f>
        <v>48</v>
      </c>
      <c r="B874" s="177">
        <f t="shared" si="44"/>
        <v>3</v>
      </c>
      <c r="C874" s="103" t="s">
        <v>153</v>
      </c>
      <c r="D874" s="103" t="str">
        <f t="shared" si="45"/>
        <v>Std_CFLscw-3way(13w)_60pInc-r0248</v>
      </c>
      <c r="E874" s="103" t="str">
        <f>IF(LEFT(D874,3)="Std","Base case cost for mix of 60% Incandescent and 40% CFL lamps for CFL TechID: "&amp;INDEX('Measure &amp; Standard CostIDs'!$C$5:$C$177,A874),"&lt;from TechID&gt;")</f>
        <v>Base case cost for mix of 60% Incandescent and 40% CFL lamps for CFL TechID: CFLscw-3way(13w)</v>
      </c>
      <c r="F874" s="103" t="s">
        <v>860</v>
      </c>
      <c r="G874" s="103" t="s">
        <v>151</v>
      </c>
      <c r="H874" s="103" t="s">
        <v>861</v>
      </c>
      <c r="I874" s="103" t="s">
        <v>862</v>
      </c>
      <c r="J874" s="103" t="s">
        <v>863</v>
      </c>
      <c r="K874" s="103" t="s">
        <v>864</v>
      </c>
      <c r="L874" s="103" t="s">
        <v>153</v>
      </c>
      <c r="M874" s="103" t="s">
        <v>865</v>
      </c>
      <c r="N874" s="103" t="s">
        <v>866</v>
      </c>
      <c r="O874" s="103" t="str">
        <f t="shared" si="42"/>
        <v/>
      </c>
      <c r="P874" s="103" t="s">
        <v>153</v>
      </c>
      <c r="Q874" s="103" t="s">
        <v>153</v>
      </c>
      <c r="R874" s="103" t="s">
        <v>153</v>
      </c>
      <c r="S874" s="103" t="str">
        <f>INDEX('Measure &amp; Standard CostIDs'!$AK$8:$AK$12,B874)</f>
        <v>Two-pack</v>
      </c>
      <c r="T874" s="103" t="s">
        <v>867</v>
      </c>
      <c r="U874" s="103"/>
      <c r="V874" s="103"/>
      <c r="W874" s="103">
        <f>ROUND(IF(LEFT(D874,3)="Std",VLOOKUP(D874,'Measure &amp; Standard CostIDs'!$S$5:$X$177,1+B874,FALSE),VLOOKUP(D874,'Measure &amp; Standard CostIDs'!$C$5:$H$177,1+B874,FALSE)),2)</f>
        <v>5.28</v>
      </c>
      <c r="X874" s="103"/>
      <c r="Y874" s="103"/>
      <c r="Z874" s="103" t="s">
        <v>868</v>
      </c>
      <c r="AA874" s="103" t="s">
        <v>874</v>
      </c>
      <c r="AB874" s="103" t="s">
        <v>153</v>
      </c>
      <c r="AC874" s="103">
        <v>0</v>
      </c>
      <c r="AD874" s="156">
        <v>42005</v>
      </c>
      <c r="AE874" s="103"/>
      <c r="AF874" s="103" t="s">
        <v>870</v>
      </c>
      <c r="AG874" s="103" t="s">
        <v>871</v>
      </c>
      <c r="AH874" s="103" t="s">
        <v>976</v>
      </c>
      <c r="AI874" s="103">
        <v>0</v>
      </c>
      <c r="AJ874" s="103"/>
      <c r="AK874" s="103"/>
      <c r="AL874" s="103"/>
      <c r="AM874" s="103"/>
      <c r="AN874" s="103"/>
      <c r="AO874" s="103" t="str">
        <f t="shared" si="43"/>
        <v>Std_CFLscw-3way(13w)_60pInc-r0248Two-pack</v>
      </c>
    </row>
    <row r="875" spans="1:41">
      <c r="A875" s="177">
        <f>IFERROR(MATCH(D875,'Measure &amp; Standard CostIDs'!C$5:C$177,0),MATCH(D875,'Measure &amp; Standard CostIDs'!S$5:S$177,0))</f>
        <v>49</v>
      </c>
      <c r="B875" s="177">
        <f t="shared" si="44"/>
        <v>3</v>
      </c>
      <c r="C875" s="103" t="s">
        <v>153</v>
      </c>
      <c r="D875" s="103" t="str">
        <f t="shared" si="45"/>
        <v>Std_CFLscw-3way(15w)_60pInc-r0248</v>
      </c>
      <c r="E875" s="103" t="str">
        <f>IF(LEFT(D875,3)="Std","Base case cost for mix of 60% Incandescent and 40% CFL lamps for CFL TechID: "&amp;INDEX('Measure &amp; Standard CostIDs'!$C$5:$C$177,A875),"&lt;from TechID&gt;")</f>
        <v>Base case cost for mix of 60% Incandescent and 40% CFL lamps for CFL TechID: CFLscw-3way(15w)</v>
      </c>
      <c r="F875" s="103" t="s">
        <v>860</v>
      </c>
      <c r="G875" s="103" t="s">
        <v>151</v>
      </c>
      <c r="H875" s="103" t="s">
        <v>861</v>
      </c>
      <c r="I875" s="103" t="s">
        <v>862</v>
      </c>
      <c r="J875" s="103" t="s">
        <v>863</v>
      </c>
      <c r="K875" s="103" t="s">
        <v>864</v>
      </c>
      <c r="L875" s="103" t="s">
        <v>153</v>
      </c>
      <c r="M875" s="103" t="s">
        <v>865</v>
      </c>
      <c r="N875" s="103" t="s">
        <v>866</v>
      </c>
      <c r="O875" s="103" t="str">
        <f t="shared" si="42"/>
        <v/>
      </c>
      <c r="P875" s="103" t="s">
        <v>153</v>
      </c>
      <c r="Q875" s="103" t="s">
        <v>153</v>
      </c>
      <c r="R875" s="103" t="s">
        <v>153</v>
      </c>
      <c r="S875" s="103" t="str">
        <f>INDEX('Measure &amp; Standard CostIDs'!$AK$8:$AK$12,B875)</f>
        <v>Two-pack</v>
      </c>
      <c r="T875" s="103" t="s">
        <v>867</v>
      </c>
      <c r="U875" s="103"/>
      <c r="V875" s="103"/>
      <c r="W875" s="103">
        <f>ROUND(IF(LEFT(D875,3)="Std",VLOOKUP(D875,'Measure &amp; Standard CostIDs'!$S$5:$X$177,1+B875,FALSE),VLOOKUP(D875,'Measure &amp; Standard CostIDs'!$C$5:$H$177,1+B875,FALSE)),2)</f>
        <v>5.37</v>
      </c>
      <c r="X875" s="103"/>
      <c r="Y875" s="103"/>
      <c r="Z875" s="103" t="s">
        <v>868</v>
      </c>
      <c r="AA875" s="103" t="s">
        <v>874</v>
      </c>
      <c r="AB875" s="103" t="s">
        <v>153</v>
      </c>
      <c r="AC875" s="103">
        <v>0</v>
      </c>
      <c r="AD875" s="156">
        <v>42005</v>
      </c>
      <c r="AE875" s="103"/>
      <c r="AF875" s="103" t="s">
        <v>870</v>
      </c>
      <c r="AG875" s="103" t="s">
        <v>871</v>
      </c>
      <c r="AH875" s="103" t="s">
        <v>976</v>
      </c>
      <c r="AI875" s="103">
        <v>0</v>
      </c>
      <c r="AJ875" s="103"/>
      <c r="AK875" s="103"/>
      <c r="AL875" s="103"/>
      <c r="AM875" s="103"/>
      <c r="AN875" s="103"/>
      <c r="AO875" s="103" t="str">
        <f t="shared" si="43"/>
        <v>Std_CFLscw-3way(15w)_60pInc-r0248Two-pack</v>
      </c>
    </row>
    <row r="876" spans="1:41">
      <c r="A876" s="177">
        <f>IFERROR(MATCH(D876,'Measure &amp; Standard CostIDs'!C$5:C$177,0),MATCH(D876,'Measure &amp; Standard CostIDs'!S$5:S$177,0))</f>
        <v>50</v>
      </c>
      <c r="B876" s="177">
        <f t="shared" si="44"/>
        <v>3</v>
      </c>
      <c r="C876" s="103" t="s">
        <v>153</v>
      </c>
      <c r="D876" s="103" t="str">
        <f t="shared" si="45"/>
        <v>Std_CFLscw-3way(16w)_60pInc-r0248</v>
      </c>
      <c r="E876" s="103" t="str">
        <f>IF(LEFT(D876,3)="Std","Base case cost for mix of 60% Incandescent and 40% CFL lamps for CFL TechID: "&amp;INDEX('Measure &amp; Standard CostIDs'!$C$5:$C$177,A876),"&lt;from TechID&gt;")</f>
        <v>Base case cost for mix of 60% Incandescent and 40% CFL lamps for CFL TechID: CFLscw-3way(16w)</v>
      </c>
      <c r="F876" s="103" t="s">
        <v>860</v>
      </c>
      <c r="G876" s="103" t="s">
        <v>151</v>
      </c>
      <c r="H876" s="103" t="s">
        <v>861</v>
      </c>
      <c r="I876" s="103" t="s">
        <v>862</v>
      </c>
      <c r="J876" s="103" t="s">
        <v>863</v>
      </c>
      <c r="K876" s="103" t="s">
        <v>864</v>
      </c>
      <c r="L876" s="103" t="s">
        <v>153</v>
      </c>
      <c r="M876" s="103" t="s">
        <v>865</v>
      </c>
      <c r="N876" s="103" t="s">
        <v>866</v>
      </c>
      <c r="O876" s="103" t="str">
        <f t="shared" si="42"/>
        <v/>
      </c>
      <c r="P876" s="103" t="s">
        <v>153</v>
      </c>
      <c r="Q876" s="103" t="s">
        <v>153</v>
      </c>
      <c r="R876" s="103" t="s">
        <v>153</v>
      </c>
      <c r="S876" s="103" t="str">
        <f>INDEX('Measure &amp; Standard CostIDs'!$AK$8:$AK$12,B876)</f>
        <v>Two-pack</v>
      </c>
      <c r="T876" s="103" t="s">
        <v>867</v>
      </c>
      <c r="U876" s="103"/>
      <c r="V876" s="103"/>
      <c r="W876" s="103">
        <f>ROUND(IF(LEFT(D876,3)="Std",VLOOKUP(D876,'Measure &amp; Standard CostIDs'!$S$5:$X$177,1+B876,FALSE),VLOOKUP(D876,'Measure &amp; Standard CostIDs'!$C$5:$H$177,1+B876,FALSE)),2)</f>
        <v>5.42</v>
      </c>
      <c r="X876" s="103"/>
      <c r="Y876" s="103"/>
      <c r="Z876" s="103" t="s">
        <v>868</v>
      </c>
      <c r="AA876" s="103" t="s">
        <v>874</v>
      </c>
      <c r="AB876" s="103" t="s">
        <v>153</v>
      </c>
      <c r="AC876" s="103">
        <v>0</v>
      </c>
      <c r="AD876" s="156">
        <v>42005</v>
      </c>
      <c r="AE876" s="103"/>
      <c r="AF876" s="103" t="s">
        <v>870</v>
      </c>
      <c r="AG876" s="103" t="s">
        <v>871</v>
      </c>
      <c r="AH876" s="103" t="s">
        <v>976</v>
      </c>
      <c r="AI876" s="103">
        <v>0</v>
      </c>
      <c r="AJ876" s="103"/>
      <c r="AK876" s="103"/>
      <c r="AL876" s="103"/>
      <c r="AM876" s="103"/>
      <c r="AN876" s="103"/>
      <c r="AO876" s="103" t="str">
        <f t="shared" si="43"/>
        <v>Std_CFLscw-3way(16w)_60pInc-r0248Two-pack</v>
      </c>
    </row>
    <row r="877" spans="1:41">
      <c r="A877" s="177">
        <f>IFERROR(MATCH(D877,'Measure &amp; Standard CostIDs'!C$5:C$177,0),MATCH(D877,'Measure &amp; Standard CostIDs'!S$5:S$177,0))</f>
        <v>51</v>
      </c>
      <c r="B877" s="177">
        <f t="shared" si="44"/>
        <v>3</v>
      </c>
      <c r="C877" s="103" t="s">
        <v>153</v>
      </c>
      <c r="D877" s="103" t="str">
        <f t="shared" si="45"/>
        <v>Std_CFLscw-3way(17w)_60pInc-r0248</v>
      </c>
      <c r="E877" s="103" t="str">
        <f>IF(LEFT(D877,3)="Std","Base case cost for mix of 60% Incandescent and 40% CFL lamps for CFL TechID: "&amp;INDEX('Measure &amp; Standard CostIDs'!$C$5:$C$177,A877),"&lt;from TechID&gt;")</f>
        <v>Base case cost for mix of 60% Incandescent and 40% CFL lamps for CFL TechID: CFLscw-3way(17w)</v>
      </c>
      <c r="F877" s="103" t="s">
        <v>860</v>
      </c>
      <c r="G877" s="103" t="s">
        <v>151</v>
      </c>
      <c r="H877" s="103" t="s">
        <v>861</v>
      </c>
      <c r="I877" s="103" t="s">
        <v>862</v>
      </c>
      <c r="J877" s="103" t="s">
        <v>863</v>
      </c>
      <c r="K877" s="103" t="s">
        <v>864</v>
      </c>
      <c r="L877" s="103" t="s">
        <v>153</v>
      </c>
      <c r="M877" s="103" t="s">
        <v>865</v>
      </c>
      <c r="N877" s="103" t="s">
        <v>866</v>
      </c>
      <c r="O877" s="103" t="str">
        <f t="shared" si="42"/>
        <v/>
      </c>
      <c r="P877" s="103" t="s">
        <v>153</v>
      </c>
      <c r="Q877" s="103" t="s">
        <v>153</v>
      </c>
      <c r="R877" s="103" t="s">
        <v>153</v>
      </c>
      <c r="S877" s="103" t="str">
        <f>INDEX('Measure &amp; Standard CostIDs'!$AK$8:$AK$12,B877)</f>
        <v>Two-pack</v>
      </c>
      <c r="T877" s="103" t="s">
        <v>867</v>
      </c>
      <c r="U877" s="103"/>
      <c r="V877" s="103"/>
      <c r="W877" s="103">
        <f>ROUND(IF(LEFT(D877,3)="Std",VLOOKUP(D877,'Measure &amp; Standard CostIDs'!$S$5:$X$177,1+B877,FALSE),VLOOKUP(D877,'Measure &amp; Standard CostIDs'!$C$5:$H$177,1+B877,FALSE)),2)</f>
        <v>5.46</v>
      </c>
      <c r="X877" s="103"/>
      <c r="Y877" s="103"/>
      <c r="Z877" s="103" t="s">
        <v>868</v>
      </c>
      <c r="AA877" s="103" t="s">
        <v>874</v>
      </c>
      <c r="AB877" s="103" t="s">
        <v>153</v>
      </c>
      <c r="AC877" s="103">
        <v>0</v>
      </c>
      <c r="AD877" s="156">
        <v>42005</v>
      </c>
      <c r="AE877" s="103"/>
      <c r="AF877" s="103" t="s">
        <v>870</v>
      </c>
      <c r="AG877" s="103" t="s">
        <v>871</v>
      </c>
      <c r="AH877" s="103" t="s">
        <v>976</v>
      </c>
      <c r="AI877" s="103">
        <v>0</v>
      </c>
      <c r="AJ877" s="103"/>
      <c r="AK877" s="103"/>
      <c r="AL877" s="103"/>
      <c r="AM877" s="103"/>
      <c r="AN877" s="103"/>
      <c r="AO877" s="103" t="str">
        <f t="shared" si="43"/>
        <v>Std_CFLscw-3way(17w)_60pInc-r0248Two-pack</v>
      </c>
    </row>
    <row r="878" spans="1:41">
      <c r="A878" s="177">
        <f>IFERROR(MATCH(D878,'Measure &amp; Standard CostIDs'!C$5:C$177,0),MATCH(D878,'Measure &amp; Standard CostIDs'!S$5:S$177,0))</f>
        <v>52</v>
      </c>
      <c r="B878" s="177">
        <f t="shared" si="44"/>
        <v>3</v>
      </c>
      <c r="C878" s="103" t="s">
        <v>153</v>
      </c>
      <c r="D878" s="103" t="str">
        <f t="shared" si="45"/>
        <v>Std_CFLscw-3way(18w)_60pInc-r0248</v>
      </c>
      <c r="E878" s="103" t="str">
        <f>IF(LEFT(D878,3)="Std","Base case cost for mix of 60% Incandescent and 40% CFL lamps for CFL TechID: "&amp;INDEX('Measure &amp; Standard CostIDs'!$C$5:$C$177,A878),"&lt;from TechID&gt;")</f>
        <v>Base case cost for mix of 60% Incandescent and 40% CFL lamps for CFL TechID: CFLscw-3way(18w)</v>
      </c>
      <c r="F878" s="103" t="s">
        <v>860</v>
      </c>
      <c r="G878" s="103" t="s">
        <v>151</v>
      </c>
      <c r="H878" s="103" t="s">
        <v>861</v>
      </c>
      <c r="I878" s="103" t="s">
        <v>862</v>
      </c>
      <c r="J878" s="103" t="s">
        <v>863</v>
      </c>
      <c r="K878" s="103" t="s">
        <v>864</v>
      </c>
      <c r="L878" s="103" t="s">
        <v>153</v>
      </c>
      <c r="M878" s="103" t="s">
        <v>865</v>
      </c>
      <c r="N878" s="103" t="s">
        <v>866</v>
      </c>
      <c r="O878" s="103" t="str">
        <f t="shared" si="42"/>
        <v/>
      </c>
      <c r="P878" s="103" t="s">
        <v>153</v>
      </c>
      <c r="Q878" s="103" t="s">
        <v>153</v>
      </c>
      <c r="R878" s="103" t="s">
        <v>153</v>
      </c>
      <c r="S878" s="103" t="str">
        <f>INDEX('Measure &amp; Standard CostIDs'!$AK$8:$AK$12,B878)</f>
        <v>Two-pack</v>
      </c>
      <c r="T878" s="103" t="s">
        <v>867</v>
      </c>
      <c r="U878" s="103"/>
      <c r="V878" s="103"/>
      <c r="W878" s="103">
        <f>ROUND(IF(LEFT(D878,3)="Std",VLOOKUP(D878,'Measure &amp; Standard CostIDs'!$S$5:$X$177,1+B878,FALSE),VLOOKUP(D878,'Measure &amp; Standard CostIDs'!$C$5:$H$177,1+B878,FALSE)),2)</f>
        <v>5.51</v>
      </c>
      <c r="X878" s="103"/>
      <c r="Y878" s="103"/>
      <c r="Z878" s="103" t="s">
        <v>868</v>
      </c>
      <c r="AA878" s="103" t="s">
        <v>874</v>
      </c>
      <c r="AB878" s="103" t="s">
        <v>153</v>
      </c>
      <c r="AC878" s="103">
        <v>0</v>
      </c>
      <c r="AD878" s="156">
        <v>42005</v>
      </c>
      <c r="AE878" s="103"/>
      <c r="AF878" s="103" t="s">
        <v>870</v>
      </c>
      <c r="AG878" s="103" t="s">
        <v>871</v>
      </c>
      <c r="AH878" s="103" t="s">
        <v>976</v>
      </c>
      <c r="AI878" s="103">
        <v>0</v>
      </c>
      <c r="AJ878" s="103"/>
      <c r="AK878" s="103"/>
      <c r="AL878" s="103"/>
      <c r="AM878" s="103"/>
      <c r="AN878" s="103"/>
      <c r="AO878" s="103" t="str">
        <f t="shared" si="43"/>
        <v>Std_CFLscw-3way(18w)_60pInc-r0248Two-pack</v>
      </c>
    </row>
    <row r="879" spans="1:41">
      <c r="A879" s="177">
        <f>IFERROR(MATCH(D879,'Measure &amp; Standard CostIDs'!C$5:C$177,0),MATCH(D879,'Measure &amp; Standard CostIDs'!S$5:S$177,0))</f>
        <v>53</v>
      </c>
      <c r="B879" s="177">
        <f t="shared" si="44"/>
        <v>3</v>
      </c>
      <c r="C879" s="103" t="s">
        <v>153</v>
      </c>
      <c r="D879" s="103" t="str">
        <f t="shared" si="45"/>
        <v>Std_CFLscw-3way(19w)_60pInc-r0248</v>
      </c>
      <c r="E879" s="103" t="str">
        <f>IF(LEFT(D879,3)="Std","Base case cost for mix of 60% Incandescent and 40% CFL lamps for CFL TechID: "&amp;INDEX('Measure &amp; Standard CostIDs'!$C$5:$C$177,A879),"&lt;from TechID&gt;")</f>
        <v>Base case cost for mix of 60% Incandescent and 40% CFL lamps for CFL TechID: CFLscw-3way(19w)</v>
      </c>
      <c r="F879" s="103" t="s">
        <v>860</v>
      </c>
      <c r="G879" s="103" t="s">
        <v>151</v>
      </c>
      <c r="H879" s="103" t="s">
        <v>861</v>
      </c>
      <c r="I879" s="103" t="s">
        <v>862</v>
      </c>
      <c r="J879" s="103" t="s">
        <v>863</v>
      </c>
      <c r="K879" s="103" t="s">
        <v>864</v>
      </c>
      <c r="L879" s="103" t="s">
        <v>153</v>
      </c>
      <c r="M879" s="103" t="s">
        <v>865</v>
      </c>
      <c r="N879" s="103" t="s">
        <v>866</v>
      </c>
      <c r="O879" s="103" t="str">
        <f t="shared" si="42"/>
        <v/>
      </c>
      <c r="P879" s="103" t="s">
        <v>153</v>
      </c>
      <c r="Q879" s="103" t="s">
        <v>153</v>
      </c>
      <c r="R879" s="103" t="s">
        <v>153</v>
      </c>
      <c r="S879" s="103" t="str">
        <f>INDEX('Measure &amp; Standard CostIDs'!$AK$8:$AK$12,B879)</f>
        <v>Two-pack</v>
      </c>
      <c r="T879" s="103" t="s">
        <v>867</v>
      </c>
      <c r="U879" s="103"/>
      <c r="V879" s="103"/>
      <c r="W879" s="103">
        <f>ROUND(IF(LEFT(D879,3)="Std",VLOOKUP(D879,'Measure &amp; Standard CostIDs'!$S$5:$X$177,1+B879,FALSE),VLOOKUP(D879,'Measure &amp; Standard CostIDs'!$C$5:$H$177,1+B879,FALSE)),2)</f>
        <v>5.56</v>
      </c>
      <c r="X879" s="103"/>
      <c r="Y879" s="103"/>
      <c r="Z879" s="103" t="s">
        <v>868</v>
      </c>
      <c r="AA879" s="103" t="s">
        <v>874</v>
      </c>
      <c r="AB879" s="103" t="s">
        <v>153</v>
      </c>
      <c r="AC879" s="103">
        <v>0</v>
      </c>
      <c r="AD879" s="156">
        <v>42005</v>
      </c>
      <c r="AE879" s="103"/>
      <c r="AF879" s="103" t="s">
        <v>870</v>
      </c>
      <c r="AG879" s="103" t="s">
        <v>871</v>
      </c>
      <c r="AH879" s="103" t="s">
        <v>976</v>
      </c>
      <c r="AI879" s="103">
        <v>0</v>
      </c>
      <c r="AJ879" s="103"/>
      <c r="AK879" s="103"/>
      <c r="AL879" s="103"/>
      <c r="AM879" s="103"/>
      <c r="AN879" s="103"/>
      <c r="AO879" s="103" t="str">
        <f t="shared" si="43"/>
        <v>Std_CFLscw-3way(19w)_60pInc-r0248Two-pack</v>
      </c>
    </row>
    <row r="880" spans="1:41">
      <c r="A880" s="177">
        <f>IFERROR(MATCH(D880,'Measure &amp; Standard CostIDs'!C$5:C$177,0),MATCH(D880,'Measure &amp; Standard CostIDs'!S$5:S$177,0))</f>
        <v>54</v>
      </c>
      <c r="B880" s="177">
        <f t="shared" si="44"/>
        <v>3</v>
      </c>
      <c r="C880" s="103" t="s">
        <v>153</v>
      </c>
      <c r="D880" s="103" t="str">
        <f t="shared" si="45"/>
        <v>Std_CFLscw-3way(20w)_60pInc-r0248</v>
      </c>
      <c r="E880" s="103" t="str">
        <f>IF(LEFT(D880,3)="Std","Base case cost for mix of 60% Incandescent and 40% CFL lamps for CFL TechID: "&amp;INDEX('Measure &amp; Standard CostIDs'!$C$5:$C$177,A880),"&lt;from TechID&gt;")</f>
        <v>Base case cost for mix of 60% Incandescent and 40% CFL lamps for CFL TechID: CFLscw-3way(20w)</v>
      </c>
      <c r="F880" s="103" t="s">
        <v>860</v>
      </c>
      <c r="G880" s="103" t="s">
        <v>151</v>
      </c>
      <c r="H880" s="103" t="s">
        <v>861</v>
      </c>
      <c r="I880" s="103" t="s">
        <v>862</v>
      </c>
      <c r="J880" s="103" t="s">
        <v>863</v>
      </c>
      <c r="K880" s="103" t="s">
        <v>864</v>
      </c>
      <c r="L880" s="103" t="s">
        <v>153</v>
      </c>
      <c r="M880" s="103" t="s">
        <v>865</v>
      </c>
      <c r="N880" s="103" t="s">
        <v>866</v>
      </c>
      <c r="O880" s="103" t="str">
        <f t="shared" si="42"/>
        <v/>
      </c>
      <c r="P880" s="103" t="s">
        <v>153</v>
      </c>
      <c r="Q880" s="103" t="s">
        <v>153</v>
      </c>
      <c r="R880" s="103" t="s">
        <v>153</v>
      </c>
      <c r="S880" s="103" t="str">
        <f>INDEX('Measure &amp; Standard CostIDs'!$AK$8:$AK$12,B880)</f>
        <v>Two-pack</v>
      </c>
      <c r="T880" s="103" t="s">
        <v>867</v>
      </c>
      <c r="U880" s="103"/>
      <c r="V880" s="103"/>
      <c r="W880" s="103">
        <f>ROUND(IF(LEFT(D880,3)="Std",VLOOKUP(D880,'Measure &amp; Standard CostIDs'!$S$5:$X$177,1+B880,FALSE),VLOOKUP(D880,'Measure &amp; Standard CostIDs'!$C$5:$H$177,1+B880,FALSE)),2)</f>
        <v>5.6</v>
      </c>
      <c r="X880" s="103"/>
      <c r="Y880" s="103"/>
      <c r="Z880" s="103" t="s">
        <v>868</v>
      </c>
      <c r="AA880" s="103" t="s">
        <v>874</v>
      </c>
      <c r="AB880" s="103" t="s">
        <v>153</v>
      </c>
      <c r="AC880" s="103">
        <v>0</v>
      </c>
      <c r="AD880" s="156">
        <v>42005</v>
      </c>
      <c r="AE880" s="103"/>
      <c r="AF880" s="103" t="s">
        <v>870</v>
      </c>
      <c r="AG880" s="103" t="s">
        <v>871</v>
      </c>
      <c r="AH880" s="103" t="s">
        <v>976</v>
      </c>
      <c r="AI880" s="103">
        <v>0</v>
      </c>
      <c r="AJ880" s="103"/>
      <c r="AK880" s="103"/>
      <c r="AL880" s="103"/>
      <c r="AM880" s="103"/>
      <c r="AN880" s="103"/>
      <c r="AO880" s="103" t="str">
        <f t="shared" si="43"/>
        <v>Std_CFLscw-3way(20w)_60pInc-r0248Two-pack</v>
      </c>
    </row>
    <row r="881" spans="1:41">
      <c r="A881" s="177">
        <f>IFERROR(MATCH(D881,'Measure &amp; Standard CostIDs'!C$5:C$177,0),MATCH(D881,'Measure &amp; Standard CostIDs'!S$5:S$177,0))</f>
        <v>55</v>
      </c>
      <c r="B881" s="177">
        <f t="shared" si="44"/>
        <v>3</v>
      </c>
      <c r="C881" s="103" t="s">
        <v>153</v>
      </c>
      <c r="D881" s="103" t="str">
        <f t="shared" si="45"/>
        <v>Std_CFLscw-3way(21w)_60pInc-r0248</v>
      </c>
      <c r="E881" s="103" t="str">
        <f>IF(LEFT(D881,3)="Std","Base case cost for mix of 60% Incandescent and 40% CFL lamps for CFL TechID: "&amp;INDEX('Measure &amp; Standard CostIDs'!$C$5:$C$177,A881),"&lt;from TechID&gt;")</f>
        <v>Base case cost for mix of 60% Incandescent and 40% CFL lamps for CFL TechID: CFLscw-3way(21w)</v>
      </c>
      <c r="F881" s="103" t="s">
        <v>860</v>
      </c>
      <c r="G881" s="103" t="s">
        <v>151</v>
      </c>
      <c r="H881" s="103" t="s">
        <v>861</v>
      </c>
      <c r="I881" s="103" t="s">
        <v>862</v>
      </c>
      <c r="J881" s="103" t="s">
        <v>863</v>
      </c>
      <c r="K881" s="103" t="s">
        <v>864</v>
      </c>
      <c r="L881" s="103" t="s">
        <v>153</v>
      </c>
      <c r="M881" s="103" t="s">
        <v>865</v>
      </c>
      <c r="N881" s="103" t="s">
        <v>866</v>
      </c>
      <c r="O881" s="103" t="str">
        <f t="shared" si="42"/>
        <v/>
      </c>
      <c r="P881" s="103" t="s">
        <v>153</v>
      </c>
      <c r="Q881" s="103" t="s">
        <v>153</v>
      </c>
      <c r="R881" s="103" t="s">
        <v>153</v>
      </c>
      <c r="S881" s="103" t="str">
        <f>INDEX('Measure &amp; Standard CostIDs'!$AK$8:$AK$12,B881)</f>
        <v>Two-pack</v>
      </c>
      <c r="T881" s="103" t="s">
        <v>867</v>
      </c>
      <c r="U881" s="103"/>
      <c r="V881" s="103"/>
      <c r="W881" s="103">
        <f>ROUND(IF(LEFT(D881,3)="Std",VLOOKUP(D881,'Measure &amp; Standard CostIDs'!$S$5:$X$177,1+B881,FALSE),VLOOKUP(D881,'Measure &amp; Standard CostIDs'!$C$5:$H$177,1+B881,FALSE)),2)</f>
        <v>5.65</v>
      </c>
      <c r="X881" s="103"/>
      <c r="Y881" s="103"/>
      <c r="Z881" s="103" t="s">
        <v>868</v>
      </c>
      <c r="AA881" s="103" t="s">
        <v>874</v>
      </c>
      <c r="AB881" s="103" t="s">
        <v>153</v>
      </c>
      <c r="AC881" s="103">
        <v>0</v>
      </c>
      <c r="AD881" s="156">
        <v>42005</v>
      </c>
      <c r="AE881" s="103"/>
      <c r="AF881" s="103" t="s">
        <v>870</v>
      </c>
      <c r="AG881" s="103" t="s">
        <v>871</v>
      </c>
      <c r="AH881" s="103" t="s">
        <v>976</v>
      </c>
      <c r="AI881" s="103">
        <v>0</v>
      </c>
      <c r="AJ881" s="103"/>
      <c r="AK881" s="103"/>
      <c r="AL881" s="103"/>
      <c r="AM881" s="103"/>
      <c r="AN881" s="103"/>
      <c r="AO881" s="103" t="str">
        <f t="shared" si="43"/>
        <v>Std_CFLscw-3way(21w)_60pInc-r0248Two-pack</v>
      </c>
    </row>
    <row r="882" spans="1:41">
      <c r="A882" s="177">
        <f>IFERROR(MATCH(D882,'Measure &amp; Standard CostIDs'!C$5:C$177,0),MATCH(D882,'Measure &amp; Standard CostIDs'!S$5:S$177,0))</f>
        <v>56</v>
      </c>
      <c r="B882" s="177">
        <f t="shared" si="44"/>
        <v>3</v>
      </c>
      <c r="C882" s="103" t="s">
        <v>153</v>
      </c>
      <c r="D882" s="103" t="str">
        <f t="shared" si="45"/>
        <v>Std_CFLscw-3way(22w)_60pInc-r0248</v>
      </c>
      <c r="E882" s="103" t="str">
        <f>IF(LEFT(D882,3)="Std","Base case cost for mix of 60% Incandescent and 40% CFL lamps for CFL TechID: "&amp;INDEX('Measure &amp; Standard CostIDs'!$C$5:$C$177,A882),"&lt;from TechID&gt;")</f>
        <v>Base case cost for mix of 60% Incandescent and 40% CFL lamps for CFL TechID: CFLscw-3way(22w)</v>
      </c>
      <c r="F882" s="103" t="s">
        <v>860</v>
      </c>
      <c r="G882" s="103" t="s">
        <v>151</v>
      </c>
      <c r="H882" s="103" t="s">
        <v>861</v>
      </c>
      <c r="I882" s="103" t="s">
        <v>862</v>
      </c>
      <c r="J882" s="103" t="s">
        <v>863</v>
      </c>
      <c r="K882" s="103" t="s">
        <v>864</v>
      </c>
      <c r="L882" s="103" t="s">
        <v>153</v>
      </c>
      <c r="M882" s="103" t="s">
        <v>865</v>
      </c>
      <c r="N882" s="103" t="s">
        <v>866</v>
      </c>
      <c r="O882" s="103" t="str">
        <f t="shared" si="42"/>
        <v/>
      </c>
      <c r="P882" s="103" t="s">
        <v>153</v>
      </c>
      <c r="Q882" s="103" t="s">
        <v>153</v>
      </c>
      <c r="R882" s="103" t="s">
        <v>153</v>
      </c>
      <c r="S882" s="103" t="str">
        <f>INDEX('Measure &amp; Standard CostIDs'!$AK$8:$AK$12,B882)</f>
        <v>Two-pack</v>
      </c>
      <c r="T882" s="103" t="s">
        <v>867</v>
      </c>
      <c r="U882" s="103"/>
      <c r="V882" s="103"/>
      <c r="W882" s="103">
        <f>ROUND(IF(LEFT(D882,3)="Std",VLOOKUP(D882,'Measure &amp; Standard CostIDs'!$S$5:$X$177,1+B882,FALSE),VLOOKUP(D882,'Measure &amp; Standard CostIDs'!$C$5:$H$177,1+B882,FALSE)),2)</f>
        <v>5.68</v>
      </c>
      <c r="X882" s="103"/>
      <c r="Y882" s="103"/>
      <c r="Z882" s="103" t="s">
        <v>868</v>
      </c>
      <c r="AA882" s="103" t="s">
        <v>874</v>
      </c>
      <c r="AB882" s="103" t="s">
        <v>153</v>
      </c>
      <c r="AC882" s="103">
        <v>0</v>
      </c>
      <c r="AD882" s="156">
        <v>42005</v>
      </c>
      <c r="AE882" s="103"/>
      <c r="AF882" s="103" t="s">
        <v>870</v>
      </c>
      <c r="AG882" s="103" t="s">
        <v>871</v>
      </c>
      <c r="AH882" s="103" t="s">
        <v>976</v>
      </c>
      <c r="AI882" s="103">
        <v>0</v>
      </c>
      <c r="AJ882" s="103"/>
      <c r="AK882" s="103"/>
      <c r="AL882" s="103"/>
      <c r="AM882" s="103"/>
      <c r="AN882" s="103"/>
      <c r="AO882" s="103" t="str">
        <f t="shared" si="43"/>
        <v>Std_CFLscw-3way(22w)_60pInc-r0248Two-pack</v>
      </c>
    </row>
    <row r="883" spans="1:41">
      <c r="A883" s="177">
        <f>IFERROR(MATCH(D883,'Measure &amp; Standard CostIDs'!C$5:C$177,0),MATCH(D883,'Measure &amp; Standard CostIDs'!S$5:S$177,0))</f>
        <v>57</v>
      </c>
      <c r="B883" s="177">
        <f t="shared" si="44"/>
        <v>3</v>
      </c>
      <c r="C883" s="103" t="s">
        <v>153</v>
      </c>
      <c r="D883" s="103" t="str">
        <f t="shared" si="45"/>
        <v>Std_CFLscw-3way(23w)_60pInc-r0248</v>
      </c>
      <c r="E883" s="103" t="str">
        <f>IF(LEFT(D883,3)="Std","Base case cost for mix of 60% Incandescent and 40% CFL lamps for CFL TechID: "&amp;INDEX('Measure &amp; Standard CostIDs'!$C$5:$C$177,A883),"&lt;from TechID&gt;")</f>
        <v>Base case cost for mix of 60% Incandescent and 40% CFL lamps for CFL TechID: CFLscw-3way(23w)</v>
      </c>
      <c r="F883" s="103" t="s">
        <v>860</v>
      </c>
      <c r="G883" s="103" t="s">
        <v>151</v>
      </c>
      <c r="H883" s="103" t="s">
        <v>861</v>
      </c>
      <c r="I883" s="103" t="s">
        <v>862</v>
      </c>
      <c r="J883" s="103" t="s">
        <v>863</v>
      </c>
      <c r="K883" s="103" t="s">
        <v>864</v>
      </c>
      <c r="L883" s="103" t="s">
        <v>153</v>
      </c>
      <c r="M883" s="103" t="s">
        <v>865</v>
      </c>
      <c r="N883" s="103" t="s">
        <v>866</v>
      </c>
      <c r="O883" s="103" t="str">
        <f t="shared" si="42"/>
        <v/>
      </c>
      <c r="P883" s="103" t="s">
        <v>153</v>
      </c>
      <c r="Q883" s="103" t="s">
        <v>153</v>
      </c>
      <c r="R883" s="103" t="s">
        <v>153</v>
      </c>
      <c r="S883" s="103" t="str">
        <f>INDEX('Measure &amp; Standard CostIDs'!$AK$8:$AK$12,B883)</f>
        <v>Two-pack</v>
      </c>
      <c r="T883" s="103" t="s">
        <v>867</v>
      </c>
      <c r="U883" s="103"/>
      <c r="V883" s="103"/>
      <c r="W883" s="103">
        <f>ROUND(IF(LEFT(D883,3)="Std",VLOOKUP(D883,'Measure &amp; Standard CostIDs'!$S$5:$X$177,1+B883,FALSE),VLOOKUP(D883,'Measure &amp; Standard CostIDs'!$C$5:$H$177,1+B883,FALSE)),2)</f>
        <v>5.71</v>
      </c>
      <c r="X883" s="103"/>
      <c r="Y883" s="103"/>
      <c r="Z883" s="103" t="s">
        <v>868</v>
      </c>
      <c r="AA883" s="103" t="s">
        <v>874</v>
      </c>
      <c r="AB883" s="103" t="s">
        <v>153</v>
      </c>
      <c r="AC883" s="103">
        <v>0</v>
      </c>
      <c r="AD883" s="156">
        <v>42005</v>
      </c>
      <c r="AE883" s="103"/>
      <c r="AF883" s="103" t="s">
        <v>870</v>
      </c>
      <c r="AG883" s="103" t="s">
        <v>871</v>
      </c>
      <c r="AH883" s="103" t="s">
        <v>976</v>
      </c>
      <c r="AI883" s="103">
        <v>0</v>
      </c>
      <c r="AJ883" s="103"/>
      <c r="AK883" s="103"/>
      <c r="AL883" s="103"/>
      <c r="AM883" s="103"/>
      <c r="AN883" s="103"/>
      <c r="AO883" s="103" t="str">
        <f t="shared" si="43"/>
        <v>Std_CFLscw-3way(23w)_60pInc-r0248Two-pack</v>
      </c>
    </row>
    <row r="884" spans="1:41">
      <c r="A884" s="177">
        <f>IFERROR(MATCH(D884,'Measure &amp; Standard CostIDs'!C$5:C$177,0),MATCH(D884,'Measure &amp; Standard CostIDs'!S$5:S$177,0))</f>
        <v>58</v>
      </c>
      <c r="B884" s="177">
        <f t="shared" si="44"/>
        <v>3</v>
      </c>
      <c r="C884" s="103" t="s">
        <v>153</v>
      </c>
      <c r="D884" s="103" t="str">
        <f t="shared" si="45"/>
        <v>Std_CFLscw-3way(24w)_60pInc-r0248</v>
      </c>
      <c r="E884" s="103" t="str">
        <f>IF(LEFT(D884,3)="Std","Base case cost for mix of 60% Incandescent and 40% CFL lamps for CFL TechID: "&amp;INDEX('Measure &amp; Standard CostIDs'!$C$5:$C$177,A884),"&lt;from TechID&gt;")</f>
        <v>Base case cost for mix of 60% Incandescent and 40% CFL lamps for CFL TechID: CFLscw-3way(24w)</v>
      </c>
      <c r="F884" s="103" t="s">
        <v>860</v>
      </c>
      <c r="G884" s="103" t="s">
        <v>151</v>
      </c>
      <c r="H884" s="103" t="s">
        <v>861</v>
      </c>
      <c r="I884" s="103" t="s">
        <v>862</v>
      </c>
      <c r="J884" s="103" t="s">
        <v>863</v>
      </c>
      <c r="K884" s="103" t="s">
        <v>864</v>
      </c>
      <c r="L884" s="103" t="s">
        <v>153</v>
      </c>
      <c r="M884" s="103" t="s">
        <v>865</v>
      </c>
      <c r="N884" s="103" t="s">
        <v>866</v>
      </c>
      <c r="O884" s="103" t="str">
        <f t="shared" si="42"/>
        <v/>
      </c>
      <c r="P884" s="103" t="s">
        <v>153</v>
      </c>
      <c r="Q884" s="103" t="s">
        <v>153</v>
      </c>
      <c r="R884" s="103" t="s">
        <v>153</v>
      </c>
      <c r="S884" s="103" t="str">
        <f>INDEX('Measure &amp; Standard CostIDs'!$AK$8:$AK$12,B884)</f>
        <v>Two-pack</v>
      </c>
      <c r="T884" s="103" t="s">
        <v>867</v>
      </c>
      <c r="U884" s="103"/>
      <c r="V884" s="103"/>
      <c r="W884" s="103">
        <f>ROUND(IF(LEFT(D884,3)="Std",VLOOKUP(D884,'Measure &amp; Standard CostIDs'!$S$5:$X$177,1+B884,FALSE),VLOOKUP(D884,'Measure &amp; Standard CostIDs'!$C$5:$H$177,1+B884,FALSE)),2)</f>
        <v>5.74</v>
      </c>
      <c r="X884" s="103"/>
      <c r="Y884" s="103"/>
      <c r="Z884" s="103" t="s">
        <v>868</v>
      </c>
      <c r="AA884" s="103" t="s">
        <v>874</v>
      </c>
      <c r="AB884" s="103" t="s">
        <v>153</v>
      </c>
      <c r="AC884" s="103">
        <v>0</v>
      </c>
      <c r="AD884" s="156">
        <v>42005</v>
      </c>
      <c r="AE884" s="103"/>
      <c r="AF884" s="103" t="s">
        <v>870</v>
      </c>
      <c r="AG884" s="103" t="s">
        <v>871</v>
      </c>
      <c r="AH884" s="103" t="s">
        <v>976</v>
      </c>
      <c r="AI884" s="103">
        <v>0</v>
      </c>
      <c r="AJ884" s="103"/>
      <c r="AK884" s="103"/>
      <c r="AL884" s="103"/>
      <c r="AM884" s="103"/>
      <c r="AN884" s="103"/>
      <c r="AO884" s="103" t="str">
        <f t="shared" si="43"/>
        <v>Std_CFLscw-3way(24w)_60pInc-r0248Two-pack</v>
      </c>
    </row>
    <row r="885" spans="1:41">
      <c r="A885" s="177">
        <f>IFERROR(MATCH(D885,'Measure &amp; Standard CostIDs'!C$5:C$177,0),MATCH(D885,'Measure &amp; Standard CostIDs'!S$5:S$177,0))</f>
        <v>59</v>
      </c>
      <c r="B885" s="177">
        <f t="shared" si="44"/>
        <v>3</v>
      </c>
      <c r="C885" s="103" t="s">
        <v>153</v>
      </c>
      <c r="D885" s="103" t="str">
        <f t="shared" si="45"/>
        <v>Std_CFLscw-3way(25w)_60pInc-r0248</v>
      </c>
      <c r="E885" s="103" t="str">
        <f>IF(LEFT(D885,3)="Std","Base case cost for mix of 60% Incandescent and 40% CFL lamps for CFL TechID: "&amp;INDEX('Measure &amp; Standard CostIDs'!$C$5:$C$177,A885),"&lt;from TechID&gt;")</f>
        <v>Base case cost for mix of 60% Incandescent and 40% CFL lamps for CFL TechID: CFLscw-3way(25w)</v>
      </c>
      <c r="F885" s="103" t="s">
        <v>860</v>
      </c>
      <c r="G885" s="103" t="s">
        <v>151</v>
      </c>
      <c r="H885" s="103" t="s">
        <v>861</v>
      </c>
      <c r="I885" s="103" t="s">
        <v>862</v>
      </c>
      <c r="J885" s="103" t="s">
        <v>863</v>
      </c>
      <c r="K885" s="103" t="s">
        <v>864</v>
      </c>
      <c r="L885" s="103" t="s">
        <v>153</v>
      </c>
      <c r="M885" s="103" t="s">
        <v>865</v>
      </c>
      <c r="N885" s="103" t="s">
        <v>866</v>
      </c>
      <c r="O885" s="103" t="str">
        <f t="shared" si="42"/>
        <v/>
      </c>
      <c r="P885" s="103" t="s">
        <v>153</v>
      </c>
      <c r="Q885" s="103" t="s">
        <v>153</v>
      </c>
      <c r="R885" s="103" t="s">
        <v>153</v>
      </c>
      <c r="S885" s="103" t="str">
        <f>INDEX('Measure &amp; Standard CostIDs'!$AK$8:$AK$12,B885)</f>
        <v>Two-pack</v>
      </c>
      <c r="T885" s="103" t="s">
        <v>867</v>
      </c>
      <c r="U885" s="103"/>
      <c r="V885" s="103"/>
      <c r="W885" s="103">
        <f>ROUND(IF(LEFT(D885,3)="Std",VLOOKUP(D885,'Measure &amp; Standard CostIDs'!$S$5:$X$177,1+B885,FALSE),VLOOKUP(D885,'Measure &amp; Standard CostIDs'!$C$5:$H$177,1+B885,FALSE)),2)</f>
        <v>5.77</v>
      </c>
      <c r="X885" s="103"/>
      <c r="Y885" s="103"/>
      <c r="Z885" s="103" t="s">
        <v>868</v>
      </c>
      <c r="AA885" s="103" t="s">
        <v>874</v>
      </c>
      <c r="AB885" s="103" t="s">
        <v>153</v>
      </c>
      <c r="AC885" s="103">
        <v>0</v>
      </c>
      <c r="AD885" s="156">
        <v>42005</v>
      </c>
      <c r="AE885" s="103"/>
      <c r="AF885" s="103" t="s">
        <v>870</v>
      </c>
      <c r="AG885" s="103" t="s">
        <v>871</v>
      </c>
      <c r="AH885" s="103" t="s">
        <v>976</v>
      </c>
      <c r="AI885" s="103">
        <v>0</v>
      </c>
      <c r="AJ885" s="103"/>
      <c r="AK885" s="103"/>
      <c r="AL885" s="103"/>
      <c r="AM885" s="103"/>
      <c r="AN885" s="103"/>
      <c r="AO885" s="103" t="str">
        <f t="shared" si="43"/>
        <v>Std_CFLscw-3way(25w)_60pInc-r0248Two-pack</v>
      </c>
    </row>
    <row r="886" spans="1:41">
      <c r="A886" s="177">
        <f>IFERROR(MATCH(D886,'Measure &amp; Standard CostIDs'!C$5:C$177,0),MATCH(D886,'Measure &amp; Standard CostIDs'!S$5:S$177,0))</f>
        <v>60</v>
      </c>
      <c r="B886" s="177">
        <f t="shared" si="44"/>
        <v>3</v>
      </c>
      <c r="C886" s="103" t="s">
        <v>153</v>
      </c>
      <c r="D886" s="103" t="str">
        <f t="shared" si="45"/>
        <v>Std_CFLscw-3way(26w)_60pInc-r0248</v>
      </c>
      <c r="E886" s="103" t="str">
        <f>IF(LEFT(D886,3)="Std","Base case cost for mix of 60% Incandescent and 40% CFL lamps for CFL TechID: "&amp;INDEX('Measure &amp; Standard CostIDs'!$C$5:$C$177,A886),"&lt;from TechID&gt;")</f>
        <v>Base case cost for mix of 60% Incandescent and 40% CFL lamps for CFL TechID: CFLscw-3way(26w)</v>
      </c>
      <c r="F886" s="103" t="s">
        <v>860</v>
      </c>
      <c r="G886" s="103" t="s">
        <v>151</v>
      </c>
      <c r="H886" s="103" t="s">
        <v>861</v>
      </c>
      <c r="I886" s="103" t="s">
        <v>862</v>
      </c>
      <c r="J886" s="103" t="s">
        <v>863</v>
      </c>
      <c r="K886" s="103" t="s">
        <v>864</v>
      </c>
      <c r="L886" s="103" t="s">
        <v>153</v>
      </c>
      <c r="M886" s="103" t="s">
        <v>865</v>
      </c>
      <c r="N886" s="103" t="s">
        <v>866</v>
      </c>
      <c r="O886" s="103" t="str">
        <f t="shared" si="42"/>
        <v/>
      </c>
      <c r="P886" s="103" t="s">
        <v>153</v>
      </c>
      <c r="Q886" s="103" t="s">
        <v>153</v>
      </c>
      <c r="R886" s="103" t="s">
        <v>153</v>
      </c>
      <c r="S886" s="103" t="str">
        <f>INDEX('Measure &amp; Standard CostIDs'!$AK$8:$AK$12,B886)</f>
        <v>Two-pack</v>
      </c>
      <c r="T886" s="103" t="s">
        <v>867</v>
      </c>
      <c r="U886" s="103"/>
      <c r="V886" s="103"/>
      <c r="W886" s="103">
        <f>ROUND(IF(LEFT(D886,3)="Std",VLOOKUP(D886,'Measure &amp; Standard CostIDs'!$S$5:$X$177,1+B886,FALSE),VLOOKUP(D886,'Measure &amp; Standard CostIDs'!$C$5:$H$177,1+B886,FALSE)),2)</f>
        <v>5.83</v>
      </c>
      <c r="X886" s="103"/>
      <c r="Y886" s="103"/>
      <c r="Z886" s="103" t="s">
        <v>868</v>
      </c>
      <c r="AA886" s="103" t="s">
        <v>874</v>
      </c>
      <c r="AB886" s="103" t="s">
        <v>153</v>
      </c>
      <c r="AC886" s="103">
        <v>0</v>
      </c>
      <c r="AD886" s="156">
        <v>42005</v>
      </c>
      <c r="AE886" s="103"/>
      <c r="AF886" s="103" t="s">
        <v>870</v>
      </c>
      <c r="AG886" s="103" t="s">
        <v>871</v>
      </c>
      <c r="AH886" s="103" t="s">
        <v>976</v>
      </c>
      <c r="AI886" s="103">
        <v>0</v>
      </c>
      <c r="AJ886" s="103"/>
      <c r="AK886" s="103"/>
      <c r="AL886" s="103"/>
      <c r="AM886" s="103"/>
      <c r="AN886" s="103"/>
      <c r="AO886" s="103" t="str">
        <f t="shared" si="43"/>
        <v>Std_CFLscw-3way(26w)_60pInc-r0248Two-pack</v>
      </c>
    </row>
    <row r="887" spans="1:41">
      <c r="A887" s="177">
        <f>IFERROR(MATCH(D887,'Measure &amp; Standard CostIDs'!C$5:C$177,0),MATCH(D887,'Measure &amp; Standard CostIDs'!S$5:S$177,0))</f>
        <v>61</v>
      </c>
      <c r="B887" s="177">
        <f t="shared" si="44"/>
        <v>3</v>
      </c>
      <c r="C887" s="103" t="s">
        <v>153</v>
      </c>
      <c r="D887" s="103" t="str">
        <f t="shared" si="45"/>
        <v>Std_CFLscw-3way(27w)_60pInc-r0248</v>
      </c>
      <c r="E887" s="103" t="str">
        <f>IF(LEFT(D887,3)="Std","Base case cost for mix of 60% Incandescent and 40% CFL lamps for CFL TechID: "&amp;INDEX('Measure &amp; Standard CostIDs'!$C$5:$C$177,A887),"&lt;from TechID&gt;")</f>
        <v>Base case cost for mix of 60% Incandescent and 40% CFL lamps for CFL TechID: CFLscw-3way(27w)</v>
      </c>
      <c r="F887" s="103" t="s">
        <v>860</v>
      </c>
      <c r="G887" s="103" t="s">
        <v>151</v>
      </c>
      <c r="H887" s="103" t="s">
        <v>861</v>
      </c>
      <c r="I887" s="103" t="s">
        <v>862</v>
      </c>
      <c r="J887" s="103" t="s">
        <v>863</v>
      </c>
      <c r="K887" s="103" t="s">
        <v>864</v>
      </c>
      <c r="L887" s="103" t="s">
        <v>153</v>
      </c>
      <c r="M887" s="103" t="s">
        <v>865</v>
      </c>
      <c r="N887" s="103" t="s">
        <v>866</v>
      </c>
      <c r="O887" s="103" t="str">
        <f t="shared" si="42"/>
        <v/>
      </c>
      <c r="P887" s="103" t="s">
        <v>153</v>
      </c>
      <c r="Q887" s="103" t="s">
        <v>153</v>
      </c>
      <c r="R887" s="103" t="s">
        <v>153</v>
      </c>
      <c r="S887" s="103" t="str">
        <f>INDEX('Measure &amp; Standard CostIDs'!$AK$8:$AK$12,B887)</f>
        <v>Two-pack</v>
      </c>
      <c r="T887" s="103" t="s">
        <v>867</v>
      </c>
      <c r="U887" s="103"/>
      <c r="V887" s="103"/>
      <c r="W887" s="103">
        <f>ROUND(IF(LEFT(D887,3)="Std",VLOOKUP(D887,'Measure &amp; Standard CostIDs'!$S$5:$X$177,1+B887,FALSE),VLOOKUP(D887,'Measure &amp; Standard CostIDs'!$C$5:$H$177,1+B887,FALSE)),2)</f>
        <v>5.9</v>
      </c>
      <c r="X887" s="103"/>
      <c r="Y887" s="103"/>
      <c r="Z887" s="103" t="s">
        <v>868</v>
      </c>
      <c r="AA887" s="103" t="s">
        <v>874</v>
      </c>
      <c r="AB887" s="103" t="s">
        <v>153</v>
      </c>
      <c r="AC887" s="103">
        <v>0</v>
      </c>
      <c r="AD887" s="156">
        <v>42005</v>
      </c>
      <c r="AE887" s="103"/>
      <c r="AF887" s="103" t="s">
        <v>870</v>
      </c>
      <c r="AG887" s="103" t="s">
        <v>871</v>
      </c>
      <c r="AH887" s="103" t="s">
        <v>976</v>
      </c>
      <c r="AI887" s="103">
        <v>0</v>
      </c>
      <c r="AJ887" s="103"/>
      <c r="AK887" s="103"/>
      <c r="AL887" s="103"/>
      <c r="AM887" s="103"/>
      <c r="AN887" s="103"/>
      <c r="AO887" s="103" t="str">
        <f t="shared" si="43"/>
        <v>Std_CFLscw-3way(27w)_60pInc-r0248Two-pack</v>
      </c>
    </row>
    <row r="888" spans="1:41">
      <c r="A888" s="177">
        <f>IFERROR(MATCH(D888,'Measure &amp; Standard CostIDs'!C$5:C$177,0),MATCH(D888,'Measure &amp; Standard CostIDs'!S$5:S$177,0))</f>
        <v>62</v>
      </c>
      <c r="B888" s="177">
        <f t="shared" si="44"/>
        <v>3</v>
      </c>
      <c r="C888" s="103" t="s">
        <v>153</v>
      </c>
      <c r="D888" s="103" t="str">
        <f t="shared" si="45"/>
        <v>Std_CFLscw-3way(28w)_60pInc-r0248</v>
      </c>
      <c r="E888" s="103" t="str">
        <f>IF(LEFT(D888,3)="Std","Base case cost for mix of 60% Incandescent and 40% CFL lamps for CFL TechID: "&amp;INDEX('Measure &amp; Standard CostIDs'!$C$5:$C$177,A888),"&lt;from TechID&gt;")</f>
        <v>Base case cost for mix of 60% Incandescent and 40% CFL lamps for CFL TechID: CFLscw-3way(28w)</v>
      </c>
      <c r="F888" s="103" t="s">
        <v>860</v>
      </c>
      <c r="G888" s="103" t="s">
        <v>151</v>
      </c>
      <c r="H888" s="103" t="s">
        <v>861</v>
      </c>
      <c r="I888" s="103" t="s">
        <v>862</v>
      </c>
      <c r="J888" s="103" t="s">
        <v>863</v>
      </c>
      <c r="K888" s="103" t="s">
        <v>864</v>
      </c>
      <c r="L888" s="103" t="s">
        <v>153</v>
      </c>
      <c r="M888" s="103" t="s">
        <v>865</v>
      </c>
      <c r="N888" s="103" t="s">
        <v>866</v>
      </c>
      <c r="O888" s="103" t="str">
        <f t="shared" si="42"/>
        <v/>
      </c>
      <c r="P888" s="103" t="s">
        <v>153</v>
      </c>
      <c r="Q888" s="103" t="s">
        <v>153</v>
      </c>
      <c r="R888" s="103" t="s">
        <v>153</v>
      </c>
      <c r="S888" s="103" t="str">
        <f>INDEX('Measure &amp; Standard CostIDs'!$AK$8:$AK$12,B888)</f>
        <v>Two-pack</v>
      </c>
      <c r="T888" s="103" t="s">
        <v>867</v>
      </c>
      <c r="U888" s="103"/>
      <c r="V888" s="103"/>
      <c r="W888" s="103">
        <f>ROUND(IF(LEFT(D888,3)="Std",VLOOKUP(D888,'Measure &amp; Standard CostIDs'!$S$5:$X$177,1+B888,FALSE),VLOOKUP(D888,'Measure &amp; Standard CostIDs'!$C$5:$H$177,1+B888,FALSE)),2)</f>
        <v>5.96</v>
      </c>
      <c r="X888" s="103"/>
      <c r="Y888" s="103"/>
      <c r="Z888" s="103" t="s">
        <v>868</v>
      </c>
      <c r="AA888" s="103" t="s">
        <v>874</v>
      </c>
      <c r="AB888" s="103" t="s">
        <v>153</v>
      </c>
      <c r="AC888" s="103">
        <v>0</v>
      </c>
      <c r="AD888" s="156">
        <v>42005</v>
      </c>
      <c r="AE888" s="103"/>
      <c r="AF888" s="103" t="s">
        <v>870</v>
      </c>
      <c r="AG888" s="103" t="s">
        <v>871</v>
      </c>
      <c r="AH888" s="103" t="s">
        <v>976</v>
      </c>
      <c r="AI888" s="103">
        <v>0</v>
      </c>
      <c r="AJ888" s="103"/>
      <c r="AK888" s="103"/>
      <c r="AL888" s="103"/>
      <c r="AM888" s="103"/>
      <c r="AN888" s="103"/>
      <c r="AO888" s="103" t="str">
        <f t="shared" si="43"/>
        <v>Std_CFLscw-3way(28w)_60pInc-r0248Two-pack</v>
      </c>
    </row>
    <row r="889" spans="1:41">
      <c r="A889" s="177">
        <f>IFERROR(MATCH(D889,'Measure &amp; Standard CostIDs'!C$5:C$177,0),MATCH(D889,'Measure &amp; Standard CostIDs'!S$5:S$177,0))</f>
        <v>63</v>
      </c>
      <c r="B889" s="177">
        <f t="shared" si="44"/>
        <v>3</v>
      </c>
      <c r="C889" s="103" t="s">
        <v>153</v>
      </c>
      <c r="D889" s="103" t="str">
        <f t="shared" si="45"/>
        <v>Std_CFLscw-3way(29w)_60pInc-r0248</v>
      </c>
      <c r="E889" s="103" t="str">
        <f>IF(LEFT(D889,3)="Std","Base case cost for mix of 60% Incandescent and 40% CFL lamps for CFL TechID: "&amp;INDEX('Measure &amp; Standard CostIDs'!$C$5:$C$177,A889),"&lt;from TechID&gt;")</f>
        <v>Base case cost for mix of 60% Incandescent and 40% CFL lamps for CFL TechID: CFLscw-3way(29w)</v>
      </c>
      <c r="F889" s="103" t="s">
        <v>860</v>
      </c>
      <c r="G889" s="103" t="s">
        <v>151</v>
      </c>
      <c r="H889" s="103" t="s">
        <v>861</v>
      </c>
      <c r="I889" s="103" t="s">
        <v>862</v>
      </c>
      <c r="J889" s="103" t="s">
        <v>863</v>
      </c>
      <c r="K889" s="103" t="s">
        <v>864</v>
      </c>
      <c r="L889" s="103" t="s">
        <v>153</v>
      </c>
      <c r="M889" s="103" t="s">
        <v>865</v>
      </c>
      <c r="N889" s="103" t="s">
        <v>866</v>
      </c>
      <c r="O889" s="103" t="str">
        <f t="shared" si="42"/>
        <v/>
      </c>
      <c r="P889" s="103" t="s">
        <v>153</v>
      </c>
      <c r="Q889" s="103" t="s">
        <v>153</v>
      </c>
      <c r="R889" s="103" t="s">
        <v>153</v>
      </c>
      <c r="S889" s="103" t="str">
        <f>INDEX('Measure &amp; Standard CostIDs'!$AK$8:$AK$12,B889)</f>
        <v>Two-pack</v>
      </c>
      <c r="T889" s="103" t="s">
        <v>867</v>
      </c>
      <c r="U889" s="103"/>
      <c r="V889" s="103"/>
      <c r="W889" s="103">
        <f>ROUND(IF(LEFT(D889,3)="Std",VLOOKUP(D889,'Measure &amp; Standard CostIDs'!$S$5:$X$177,1+B889,FALSE),VLOOKUP(D889,'Measure &amp; Standard CostIDs'!$C$5:$H$177,1+B889,FALSE)),2)</f>
        <v>6.03</v>
      </c>
      <c r="X889" s="103"/>
      <c r="Y889" s="103"/>
      <c r="Z889" s="103" t="s">
        <v>868</v>
      </c>
      <c r="AA889" s="103" t="s">
        <v>874</v>
      </c>
      <c r="AB889" s="103" t="s">
        <v>153</v>
      </c>
      <c r="AC889" s="103">
        <v>0</v>
      </c>
      <c r="AD889" s="156">
        <v>42005</v>
      </c>
      <c r="AE889" s="103"/>
      <c r="AF889" s="103" t="s">
        <v>870</v>
      </c>
      <c r="AG889" s="103" t="s">
        <v>871</v>
      </c>
      <c r="AH889" s="103" t="s">
        <v>976</v>
      </c>
      <c r="AI889" s="103">
        <v>0</v>
      </c>
      <c r="AJ889" s="103"/>
      <c r="AK889" s="103"/>
      <c r="AL889" s="103"/>
      <c r="AM889" s="103"/>
      <c r="AN889" s="103"/>
      <c r="AO889" s="103" t="str">
        <f t="shared" si="43"/>
        <v>Std_CFLscw-3way(29w)_60pInc-r0248Two-pack</v>
      </c>
    </row>
    <row r="890" spans="1:41">
      <c r="A890" s="177">
        <f>IFERROR(MATCH(D890,'Measure &amp; Standard CostIDs'!C$5:C$177,0),MATCH(D890,'Measure &amp; Standard CostIDs'!S$5:S$177,0))</f>
        <v>64</v>
      </c>
      <c r="B890" s="177">
        <f t="shared" si="44"/>
        <v>3</v>
      </c>
      <c r="C890" s="103" t="s">
        <v>153</v>
      </c>
      <c r="D890" s="103" t="str">
        <f t="shared" si="45"/>
        <v>Std_CFLscw-3way(30w)_60pInc-r0248</v>
      </c>
      <c r="E890" s="103" t="str">
        <f>IF(LEFT(D890,3)="Std","Base case cost for mix of 60% Incandescent and 40% CFL lamps for CFL TechID: "&amp;INDEX('Measure &amp; Standard CostIDs'!$C$5:$C$177,A890),"&lt;from TechID&gt;")</f>
        <v>Base case cost for mix of 60% Incandescent and 40% CFL lamps for CFL TechID: CFLscw-3way(30w)</v>
      </c>
      <c r="F890" s="103" t="s">
        <v>860</v>
      </c>
      <c r="G890" s="103" t="s">
        <v>151</v>
      </c>
      <c r="H890" s="103" t="s">
        <v>861</v>
      </c>
      <c r="I890" s="103" t="s">
        <v>862</v>
      </c>
      <c r="J890" s="103" t="s">
        <v>863</v>
      </c>
      <c r="K890" s="103" t="s">
        <v>864</v>
      </c>
      <c r="L890" s="103" t="s">
        <v>153</v>
      </c>
      <c r="M890" s="103" t="s">
        <v>865</v>
      </c>
      <c r="N890" s="103" t="s">
        <v>866</v>
      </c>
      <c r="O890" s="103" t="str">
        <f t="shared" si="42"/>
        <v/>
      </c>
      <c r="P890" s="103" t="s">
        <v>153</v>
      </c>
      <c r="Q890" s="103" t="s">
        <v>153</v>
      </c>
      <c r="R890" s="103" t="s">
        <v>153</v>
      </c>
      <c r="S890" s="103" t="str">
        <f>INDEX('Measure &amp; Standard CostIDs'!$AK$8:$AK$12,B890)</f>
        <v>Two-pack</v>
      </c>
      <c r="T890" s="103" t="s">
        <v>867</v>
      </c>
      <c r="U890" s="103"/>
      <c r="V890" s="103"/>
      <c r="W890" s="103">
        <f>ROUND(IF(LEFT(D890,3)="Std",VLOOKUP(D890,'Measure &amp; Standard CostIDs'!$S$5:$X$177,1+B890,FALSE),VLOOKUP(D890,'Measure &amp; Standard CostIDs'!$C$5:$H$177,1+B890,FALSE)),2)</f>
        <v>6.09</v>
      </c>
      <c r="X890" s="103"/>
      <c r="Y890" s="103"/>
      <c r="Z890" s="103" t="s">
        <v>868</v>
      </c>
      <c r="AA890" s="103" t="s">
        <v>874</v>
      </c>
      <c r="AB890" s="103" t="s">
        <v>153</v>
      </c>
      <c r="AC890" s="103">
        <v>0</v>
      </c>
      <c r="AD890" s="156">
        <v>42005</v>
      </c>
      <c r="AE890" s="103"/>
      <c r="AF890" s="103" t="s">
        <v>870</v>
      </c>
      <c r="AG890" s="103" t="s">
        <v>871</v>
      </c>
      <c r="AH890" s="103" t="s">
        <v>976</v>
      </c>
      <c r="AI890" s="103">
        <v>0</v>
      </c>
      <c r="AJ890" s="103"/>
      <c r="AK890" s="103"/>
      <c r="AL890" s="103"/>
      <c r="AM890" s="103"/>
      <c r="AN890" s="103"/>
      <c r="AO890" s="103" t="str">
        <f t="shared" si="43"/>
        <v>Std_CFLscw-3way(30w)_60pInc-r0248Two-pack</v>
      </c>
    </row>
    <row r="891" spans="1:41">
      <c r="A891" s="177">
        <f>IFERROR(MATCH(D891,'Measure &amp; Standard CostIDs'!C$5:C$177,0),MATCH(D891,'Measure &amp; Standard CostIDs'!S$5:S$177,0))</f>
        <v>65</v>
      </c>
      <c r="B891" s="177">
        <f t="shared" si="44"/>
        <v>3</v>
      </c>
      <c r="C891" s="103" t="s">
        <v>153</v>
      </c>
      <c r="D891" s="103" t="str">
        <f t="shared" si="45"/>
        <v>Std_CFLscw-3way(31w)_60pInc-r0248</v>
      </c>
      <c r="E891" s="103" t="str">
        <f>IF(LEFT(D891,3)="Std","Base case cost for mix of 60% Incandescent and 40% CFL lamps for CFL TechID: "&amp;INDEX('Measure &amp; Standard CostIDs'!$C$5:$C$177,A891),"&lt;from TechID&gt;")</f>
        <v>Base case cost for mix of 60% Incandescent and 40% CFL lamps for CFL TechID: CFLscw-3way(31w)</v>
      </c>
      <c r="F891" s="103" t="s">
        <v>860</v>
      </c>
      <c r="G891" s="103" t="s">
        <v>151</v>
      </c>
      <c r="H891" s="103" t="s">
        <v>861</v>
      </c>
      <c r="I891" s="103" t="s">
        <v>862</v>
      </c>
      <c r="J891" s="103" t="s">
        <v>863</v>
      </c>
      <c r="K891" s="103" t="s">
        <v>864</v>
      </c>
      <c r="L891" s="103" t="s">
        <v>153</v>
      </c>
      <c r="M891" s="103" t="s">
        <v>865</v>
      </c>
      <c r="N891" s="103" t="s">
        <v>866</v>
      </c>
      <c r="O891" s="103" t="str">
        <f t="shared" si="42"/>
        <v/>
      </c>
      <c r="P891" s="103" t="s">
        <v>153</v>
      </c>
      <c r="Q891" s="103" t="s">
        <v>153</v>
      </c>
      <c r="R891" s="103" t="s">
        <v>153</v>
      </c>
      <c r="S891" s="103" t="str">
        <f>INDEX('Measure &amp; Standard CostIDs'!$AK$8:$AK$12,B891)</f>
        <v>Two-pack</v>
      </c>
      <c r="T891" s="103" t="s">
        <v>867</v>
      </c>
      <c r="U891" s="103"/>
      <c r="V891" s="103"/>
      <c r="W891" s="103">
        <f>ROUND(IF(LEFT(D891,3)="Std",VLOOKUP(D891,'Measure &amp; Standard CostIDs'!$S$5:$X$177,1+B891,FALSE),VLOOKUP(D891,'Measure &amp; Standard CostIDs'!$C$5:$H$177,1+B891,FALSE)),2)</f>
        <v>6.16</v>
      </c>
      <c r="X891" s="103"/>
      <c r="Y891" s="103"/>
      <c r="Z891" s="103" t="s">
        <v>868</v>
      </c>
      <c r="AA891" s="103" t="s">
        <v>874</v>
      </c>
      <c r="AB891" s="103" t="s">
        <v>153</v>
      </c>
      <c r="AC891" s="103">
        <v>0</v>
      </c>
      <c r="AD891" s="156">
        <v>42005</v>
      </c>
      <c r="AE891" s="103"/>
      <c r="AF891" s="103" t="s">
        <v>870</v>
      </c>
      <c r="AG891" s="103" t="s">
        <v>871</v>
      </c>
      <c r="AH891" s="103" t="s">
        <v>976</v>
      </c>
      <c r="AI891" s="103">
        <v>0</v>
      </c>
      <c r="AJ891" s="103"/>
      <c r="AK891" s="103"/>
      <c r="AL891" s="103"/>
      <c r="AM891" s="103"/>
      <c r="AN891" s="103"/>
      <c r="AO891" s="103" t="str">
        <f t="shared" si="43"/>
        <v>Std_CFLscw-3way(31w)_60pInc-r0248Two-pack</v>
      </c>
    </row>
    <row r="892" spans="1:41">
      <c r="A892" s="177">
        <f>IFERROR(MATCH(D892,'Measure &amp; Standard CostIDs'!C$5:C$177,0),MATCH(D892,'Measure &amp; Standard CostIDs'!S$5:S$177,0))</f>
        <v>66</v>
      </c>
      <c r="B892" s="177">
        <f t="shared" si="44"/>
        <v>3</v>
      </c>
      <c r="C892" s="103" t="s">
        <v>153</v>
      </c>
      <c r="D892" s="103" t="str">
        <f t="shared" si="45"/>
        <v>Std_CFLscw-3way(32w)_60pInc-r0248</v>
      </c>
      <c r="E892" s="103" t="str">
        <f>IF(LEFT(D892,3)="Std","Base case cost for mix of 60% Incandescent and 40% CFL lamps for CFL TechID: "&amp;INDEX('Measure &amp; Standard CostIDs'!$C$5:$C$177,A892),"&lt;from TechID&gt;")</f>
        <v>Base case cost for mix of 60% Incandescent and 40% CFL lamps for CFL TechID: CFLscw-3way(32w)</v>
      </c>
      <c r="F892" s="103" t="s">
        <v>860</v>
      </c>
      <c r="G892" s="103" t="s">
        <v>151</v>
      </c>
      <c r="H892" s="103" t="s">
        <v>861</v>
      </c>
      <c r="I892" s="103" t="s">
        <v>862</v>
      </c>
      <c r="J892" s="103" t="s">
        <v>863</v>
      </c>
      <c r="K892" s="103" t="s">
        <v>864</v>
      </c>
      <c r="L892" s="103" t="s">
        <v>153</v>
      </c>
      <c r="M892" s="103" t="s">
        <v>865</v>
      </c>
      <c r="N892" s="103" t="s">
        <v>866</v>
      </c>
      <c r="O892" s="103" t="str">
        <f t="shared" si="42"/>
        <v/>
      </c>
      <c r="P892" s="103" t="s">
        <v>153</v>
      </c>
      <c r="Q892" s="103" t="s">
        <v>153</v>
      </c>
      <c r="R892" s="103" t="s">
        <v>153</v>
      </c>
      <c r="S892" s="103" t="str">
        <f>INDEX('Measure &amp; Standard CostIDs'!$AK$8:$AK$12,B892)</f>
        <v>Two-pack</v>
      </c>
      <c r="T892" s="103" t="s">
        <v>867</v>
      </c>
      <c r="U892" s="103"/>
      <c r="V892" s="103"/>
      <c r="W892" s="103">
        <f>ROUND(IF(LEFT(D892,3)="Std",VLOOKUP(D892,'Measure &amp; Standard CostIDs'!$S$5:$X$177,1+B892,FALSE),VLOOKUP(D892,'Measure &amp; Standard CostIDs'!$C$5:$H$177,1+B892,FALSE)),2)</f>
        <v>6.22</v>
      </c>
      <c r="X892" s="103"/>
      <c r="Y892" s="103"/>
      <c r="Z892" s="103" t="s">
        <v>868</v>
      </c>
      <c r="AA892" s="103" t="s">
        <v>874</v>
      </c>
      <c r="AB892" s="103" t="s">
        <v>153</v>
      </c>
      <c r="AC892" s="103">
        <v>0</v>
      </c>
      <c r="AD892" s="156">
        <v>42005</v>
      </c>
      <c r="AE892" s="103"/>
      <c r="AF892" s="103" t="s">
        <v>870</v>
      </c>
      <c r="AG892" s="103" t="s">
        <v>871</v>
      </c>
      <c r="AH892" s="103" t="s">
        <v>976</v>
      </c>
      <c r="AI892" s="103">
        <v>0</v>
      </c>
      <c r="AJ892" s="103"/>
      <c r="AK892" s="103"/>
      <c r="AL892" s="103"/>
      <c r="AM892" s="103"/>
      <c r="AN892" s="103"/>
      <c r="AO892" s="103" t="str">
        <f t="shared" si="43"/>
        <v>Std_CFLscw-3way(32w)_60pInc-r0248Two-pack</v>
      </c>
    </row>
    <row r="893" spans="1:41">
      <c r="A893" s="177">
        <f>IFERROR(MATCH(D893,'Measure &amp; Standard CostIDs'!C$5:C$177,0),MATCH(D893,'Measure &amp; Standard CostIDs'!S$5:S$177,0))</f>
        <v>67</v>
      </c>
      <c r="B893" s="177">
        <f t="shared" si="44"/>
        <v>3</v>
      </c>
      <c r="C893" s="103" t="s">
        <v>153</v>
      </c>
      <c r="D893" s="103" t="str">
        <f t="shared" si="45"/>
        <v>Std_CFLscw-3way(33w)_60pInc-r0248</v>
      </c>
      <c r="E893" s="103" t="str">
        <f>IF(LEFT(D893,3)="Std","Base case cost for mix of 60% Incandescent and 40% CFL lamps for CFL TechID: "&amp;INDEX('Measure &amp; Standard CostIDs'!$C$5:$C$177,A893),"&lt;from TechID&gt;")</f>
        <v>Base case cost for mix of 60% Incandescent and 40% CFL lamps for CFL TechID: CFLscw-3way(33w)</v>
      </c>
      <c r="F893" s="103" t="s">
        <v>860</v>
      </c>
      <c r="G893" s="103" t="s">
        <v>151</v>
      </c>
      <c r="H893" s="103" t="s">
        <v>861</v>
      </c>
      <c r="I893" s="103" t="s">
        <v>862</v>
      </c>
      <c r="J893" s="103" t="s">
        <v>863</v>
      </c>
      <c r="K893" s="103" t="s">
        <v>864</v>
      </c>
      <c r="L893" s="103" t="s">
        <v>153</v>
      </c>
      <c r="M893" s="103" t="s">
        <v>865</v>
      </c>
      <c r="N893" s="103" t="s">
        <v>866</v>
      </c>
      <c r="O893" s="103" t="str">
        <f t="shared" si="42"/>
        <v/>
      </c>
      <c r="P893" s="103" t="s">
        <v>153</v>
      </c>
      <c r="Q893" s="103" t="s">
        <v>153</v>
      </c>
      <c r="R893" s="103" t="s">
        <v>153</v>
      </c>
      <c r="S893" s="103" t="str">
        <f>INDEX('Measure &amp; Standard CostIDs'!$AK$8:$AK$12,B893)</f>
        <v>Two-pack</v>
      </c>
      <c r="T893" s="103" t="s">
        <v>867</v>
      </c>
      <c r="U893" s="103"/>
      <c r="V893" s="103"/>
      <c r="W893" s="103">
        <f>ROUND(IF(LEFT(D893,3)="Std",VLOOKUP(D893,'Measure &amp; Standard CostIDs'!$S$5:$X$177,1+B893,FALSE),VLOOKUP(D893,'Measure &amp; Standard CostIDs'!$C$5:$H$177,1+B893,FALSE)),2)</f>
        <v>6.29</v>
      </c>
      <c r="X893" s="103"/>
      <c r="Y893" s="103"/>
      <c r="Z893" s="103" t="s">
        <v>868</v>
      </c>
      <c r="AA893" s="103" t="s">
        <v>874</v>
      </c>
      <c r="AB893" s="103" t="s">
        <v>153</v>
      </c>
      <c r="AC893" s="103">
        <v>0</v>
      </c>
      <c r="AD893" s="156">
        <v>42005</v>
      </c>
      <c r="AE893" s="103"/>
      <c r="AF893" s="103" t="s">
        <v>870</v>
      </c>
      <c r="AG893" s="103" t="s">
        <v>871</v>
      </c>
      <c r="AH893" s="103" t="s">
        <v>976</v>
      </c>
      <c r="AI893" s="103">
        <v>0</v>
      </c>
      <c r="AJ893" s="103"/>
      <c r="AK893" s="103"/>
      <c r="AL893" s="103"/>
      <c r="AM893" s="103"/>
      <c r="AN893" s="103"/>
      <c r="AO893" s="103" t="str">
        <f t="shared" si="43"/>
        <v>Std_CFLscw-3way(33w)_60pInc-r0248Two-pack</v>
      </c>
    </row>
    <row r="894" spans="1:41">
      <c r="A894" s="177">
        <f>IFERROR(MATCH(D894,'Measure &amp; Standard CostIDs'!C$5:C$177,0),MATCH(D894,'Measure &amp; Standard CostIDs'!S$5:S$177,0))</f>
        <v>68</v>
      </c>
      <c r="B894" s="177">
        <f t="shared" si="44"/>
        <v>3</v>
      </c>
      <c r="C894" s="103" t="s">
        <v>153</v>
      </c>
      <c r="D894" s="103" t="str">
        <f t="shared" si="45"/>
        <v>Std_CFLscw-3way(40w)_60pInc-r0248</v>
      </c>
      <c r="E894" s="103" t="str">
        <f>IF(LEFT(D894,3)="Std","Base case cost for mix of 60% Incandescent and 40% CFL lamps for CFL TechID: "&amp;INDEX('Measure &amp; Standard CostIDs'!$C$5:$C$177,A894),"&lt;from TechID&gt;")</f>
        <v>Base case cost for mix of 60% Incandescent and 40% CFL lamps for CFL TechID: CFLscw-3way(40w)</v>
      </c>
      <c r="F894" s="103" t="s">
        <v>860</v>
      </c>
      <c r="G894" s="103" t="s">
        <v>151</v>
      </c>
      <c r="H894" s="103" t="s">
        <v>861</v>
      </c>
      <c r="I894" s="103" t="s">
        <v>862</v>
      </c>
      <c r="J894" s="103" t="s">
        <v>863</v>
      </c>
      <c r="K894" s="103" t="s">
        <v>864</v>
      </c>
      <c r="L894" s="103" t="s">
        <v>153</v>
      </c>
      <c r="M894" s="103" t="s">
        <v>865</v>
      </c>
      <c r="N894" s="103" t="s">
        <v>866</v>
      </c>
      <c r="O894" s="103" t="str">
        <f t="shared" si="42"/>
        <v/>
      </c>
      <c r="P894" s="103" t="s">
        <v>153</v>
      </c>
      <c r="Q894" s="103" t="s">
        <v>153</v>
      </c>
      <c r="R894" s="103" t="s">
        <v>153</v>
      </c>
      <c r="S894" s="103" t="str">
        <f>INDEX('Measure &amp; Standard CostIDs'!$AK$8:$AK$12,B894)</f>
        <v>Two-pack</v>
      </c>
      <c r="T894" s="103" t="s">
        <v>867</v>
      </c>
      <c r="U894" s="103"/>
      <c r="V894" s="103"/>
      <c r="W894" s="103">
        <f>ROUND(IF(LEFT(D894,3)="Std",VLOOKUP(D894,'Measure &amp; Standard CostIDs'!$S$5:$X$177,1+B894,FALSE),VLOOKUP(D894,'Measure &amp; Standard CostIDs'!$C$5:$H$177,1+B894,FALSE)),2)</f>
        <v>6.74</v>
      </c>
      <c r="X894" s="103"/>
      <c r="Y894" s="103"/>
      <c r="Z894" s="103" t="s">
        <v>868</v>
      </c>
      <c r="AA894" s="103" t="s">
        <v>874</v>
      </c>
      <c r="AB894" s="103" t="s">
        <v>153</v>
      </c>
      <c r="AC894" s="103">
        <v>0</v>
      </c>
      <c r="AD894" s="156">
        <v>42005</v>
      </c>
      <c r="AE894" s="103"/>
      <c r="AF894" s="103" t="s">
        <v>870</v>
      </c>
      <c r="AG894" s="103" t="s">
        <v>871</v>
      </c>
      <c r="AH894" s="103" t="s">
        <v>976</v>
      </c>
      <c r="AI894" s="103">
        <v>0</v>
      </c>
      <c r="AJ894" s="103"/>
      <c r="AK894" s="103"/>
      <c r="AL894" s="103"/>
      <c r="AM894" s="103"/>
      <c r="AN894" s="103"/>
      <c r="AO894" s="103" t="str">
        <f t="shared" si="43"/>
        <v>Std_CFLscw-3way(40w)_60pInc-r0248Two-pack</v>
      </c>
    </row>
    <row r="895" spans="1:41">
      <c r="A895" s="177">
        <f>IFERROR(MATCH(D895,'Measure &amp; Standard CostIDs'!C$5:C$177,0),MATCH(D895,'Measure &amp; Standard CostIDs'!S$5:S$177,0))</f>
        <v>69</v>
      </c>
      <c r="B895" s="177">
        <f t="shared" si="44"/>
        <v>3</v>
      </c>
      <c r="C895" s="103" t="s">
        <v>153</v>
      </c>
      <c r="D895" s="103" t="str">
        <f t="shared" si="45"/>
        <v>Std_CFLscw-3way(42w)_60pInc-r0248</v>
      </c>
      <c r="E895" s="103" t="str">
        <f>IF(LEFT(D895,3)="Std","Base case cost for mix of 60% Incandescent and 40% CFL lamps for CFL TechID: "&amp;INDEX('Measure &amp; Standard CostIDs'!$C$5:$C$177,A895),"&lt;from TechID&gt;")</f>
        <v>Base case cost for mix of 60% Incandescent and 40% CFL lamps for CFL TechID: CFLscw-3way(42w)</v>
      </c>
      <c r="F895" s="103" t="s">
        <v>860</v>
      </c>
      <c r="G895" s="103" t="s">
        <v>151</v>
      </c>
      <c r="H895" s="103" t="s">
        <v>861</v>
      </c>
      <c r="I895" s="103" t="s">
        <v>862</v>
      </c>
      <c r="J895" s="103" t="s">
        <v>863</v>
      </c>
      <c r="K895" s="103" t="s">
        <v>864</v>
      </c>
      <c r="L895" s="103" t="s">
        <v>153</v>
      </c>
      <c r="M895" s="103" t="s">
        <v>865</v>
      </c>
      <c r="N895" s="103" t="s">
        <v>866</v>
      </c>
      <c r="O895" s="103" t="str">
        <f t="shared" si="42"/>
        <v/>
      </c>
      <c r="P895" s="103" t="s">
        <v>153</v>
      </c>
      <c r="Q895" s="103" t="s">
        <v>153</v>
      </c>
      <c r="R895" s="103" t="s">
        <v>153</v>
      </c>
      <c r="S895" s="103" t="str">
        <f>INDEX('Measure &amp; Standard CostIDs'!$AK$8:$AK$12,B895)</f>
        <v>Two-pack</v>
      </c>
      <c r="T895" s="103" t="s">
        <v>867</v>
      </c>
      <c r="U895" s="103"/>
      <c r="V895" s="103"/>
      <c r="W895" s="103">
        <f>ROUND(IF(LEFT(D895,3)="Std",VLOOKUP(D895,'Measure &amp; Standard CostIDs'!$S$5:$X$177,1+B895,FALSE),VLOOKUP(D895,'Measure &amp; Standard CostIDs'!$C$5:$H$177,1+B895,FALSE)),2)</f>
        <v>6.87</v>
      </c>
      <c r="X895" s="103"/>
      <c r="Y895" s="103"/>
      <c r="Z895" s="103" t="s">
        <v>868</v>
      </c>
      <c r="AA895" s="103" t="s">
        <v>874</v>
      </c>
      <c r="AB895" s="103" t="s">
        <v>153</v>
      </c>
      <c r="AC895" s="103">
        <v>0</v>
      </c>
      <c r="AD895" s="156">
        <v>42005</v>
      </c>
      <c r="AE895" s="103"/>
      <c r="AF895" s="103" t="s">
        <v>870</v>
      </c>
      <c r="AG895" s="103" t="s">
        <v>871</v>
      </c>
      <c r="AH895" s="103" t="s">
        <v>976</v>
      </c>
      <c r="AI895" s="103">
        <v>0</v>
      </c>
      <c r="AJ895" s="103"/>
      <c r="AK895" s="103"/>
      <c r="AL895" s="103"/>
      <c r="AM895" s="103"/>
      <c r="AN895" s="103"/>
      <c r="AO895" s="103" t="str">
        <f t="shared" si="43"/>
        <v>Std_CFLscw-3way(42w)_60pInc-r0248Two-pack</v>
      </c>
    </row>
    <row r="896" spans="1:41">
      <c r="A896" s="177">
        <f>IFERROR(MATCH(D896,'Measure &amp; Standard CostIDs'!C$5:C$177,0),MATCH(D896,'Measure &amp; Standard CostIDs'!S$5:S$177,0))</f>
        <v>70</v>
      </c>
      <c r="B896" s="177">
        <f t="shared" si="44"/>
        <v>3</v>
      </c>
      <c r="C896" s="103" t="s">
        <v>153</v>
      </c>
      <c r="D896" s="103" t="str">
        <f t="shared" si="45"/>
        <v>Std_CFLscw-A(10w)_60pInc-r0248</v>
      </c>
      <c r="E896" s="103" t="str">
        <f>IF(LEFT(D896,3)="Std","Base case cost for mix of 60% Incandescent and 40% CFL lamps for CFL TechID: "&amp;INDEX('Measure &amp; Standard CostIDs'!$C$5:$C$177,A896),"&lt;from TechID&gt;")</f>
        <v>Base case cost for mix of 60% Incandescent and 40% CFL lamps for CFL TechID: CFLscw-A(10w)</v>
      </c>
      <c r="F896" s="103" t="s">
        <v>860</v>
      </c>
      <c r="G896" s="103" t="s">
        <v>151</v>
      </c>
      <c r="H896" s="103" t="s">
        <v>861</v>
      </c>
      <c r="I896" s="103" t="s">
        <v>862</v>
      </c>
      <c r="J896" s="103" t="s">
        <v>863</v>
      </c>
      <c r="K896" s="103" t="s">
        <v>864</v>
      </c>
      <c r="L896" s="103" t="s">
        <v>153</v>
      </c>
      <c r="M896" s="103" t="s">
        <v>865</v>
      </c>
      <c r="N896" s="103" t="s">
        <v>866</v>
      </c>
      <c r="O896" s="103" t="str">
        <f t="shared" si="42"/>
        <v/>
      </c>
      <c r="P896" s="103" t="s">
        <v>153</v>
      </c>
      <c r="Q896" s="103" t="s">
        <v>153</v>
      </c>
      <c r="R896" s="103" t="s">
        <v>153</v>
      </c>
      <c r="S896" s="103" t="str">
        <f>INDEX('Measure &amp; Standard CostIDs'!$AK$8:$AK$12,B896)</f>
        <v>Two-pack</v>
      </c>
      <c r="T896" s="103" t="s">
        <v>867</v>
      </c>
      <c r="U896" s="103"/>
      <c r="V896" s="103"/>
      <c r="W896" s="103">
        <f>ROUND(IF(LEFT(D896,3)="Std",VLOOKUP(D896,'Measure &amp; Standard CostIDs'!$S$5:$X$177,1+B896,FALSE),VLOOKUP(D896,'Measure &amp; Standard CostIDs'!$C$5:$H$177,1+B896,FALSE)),2)</f>
        <v>2.9</v>
      </c>
      <c r="X896" s="103"/>
      <c r="Y896" s="103"/>
      <c r="Z896" s="103" t="s">
        <v>868</v>
      </c>
      <c r="AA896" s="103" t="s">
        <v>874</v>
      </c>
      <c r="AB896" s="103" t="s">
        <v>153</v>
      </c>
      <c r="AC896" s="103">
        <v>0</v>
      </c>
      <c r="AD896" s="156">
        <v>42005</v>
      </c>
      <c r="AE896" s="103"/>
      <c r="AF896" s="103" t="s">
        <v>870</v>
      </c>
      <c r="AG896" s="103" t="s">
        <v>871</v>
      </c>
      <c r="AH896" s="103" t="s">
        <v>976</v>
      </c>
      <c r="AI896" s="103">
        <v>0</v>
      </c>
      <c r="AJ896" s="103"/>
      <c r="AK896" s="103"/>
      <c r="AL896" s="103"/>
      <c r="AM896" s="103"/>
      <c r="AN896" s="103"/>
      <c r="AO896" s="103" t="str">
        <f t="shared" si="43"/>
        <v>Std_CFLscw-A(10w)_60pInc-r0248Two-pack</v>
      </c>
    </row>
    <row r="897" spans="1:41">
      <c r="A897" s="177">
        <f>IFERROR(MATCH(D897,'Measure &amp; Standard CostIDs'!C$5:C$177,0),MATCH(D897,'Measure &amp; Standard CostIDs'!S$5:S$177,0))</f>
        <v>71</v>
      </c>
      <c r="B897" s="177">
        <f t="shared" si="44"/>
        <v>3</v>
      </c>
      <c r="C897" s="103" t="s">
        <v>153</v>
      </c>
      <c r="D897" s="103" t="str">
        <f t="shared" si="45"/>
        <v>Std_CFLscw-A(11w)_60pInc-r0248</v>
      </c>
      <c r="E897" s="103" t="str">
        <f>IF(LEFT(D897,3)="Std","Base case cost for mix of 60% Incandescent and 40% CFL lamps for CFL TechID: "&amp;INDEX('Measure &amp; Standard CostIDs'!$C$5:$C$177,A897),"&lt;from TechID&gt;")</f>
        <v>Base case cost for mix of 60% Incandescent and 40% CFL lamps for CFL TechID: CFLscw-A(11w)</v>
      </c>
      <c r="F897" s="103" t="s">
        <v>860</v>
      </c>
      <c r="G897" s="103" t="s">
        <v>151</v>
      </c>
      <c r="H897" s="103" t="s">
        <v>861</v>
      </c>
      <c r="I897" s="103" t="s">
        <v>862</v>
      </c>
      <c r="J897" s="103" t="s">
        <v>863</v>
      </c>
      <c r="K897" s="103" t="s">
        <v>864</v>
      </c>
      <c r="L897" s="103" t="s">
        <v>153</v>
      </c>
      <c r="M897" s="103" t="s">
        <v>865</v>
      </c>
      <c r="N897" s="103" t="s">
        <v>866</v>
      </c>
      <c r="O897" s="103" t="str">
        <f t="shared" si="42"/>
        <v/>
      </c>
      <c r="P897" s="103" t="s">
        <v>153</v>
      </c>
      <c r="Q897" s="103" t="s">
        <v>153</v>
      </c>
      <c r="R897" s="103" t="s">
        <v>153</v>
      </c>
      <c r="S897" s="103" t="str">
        <f>INDEX('Measure &amp; Standard CostIDs'!$AK$8:$AK$12,B897)</f>
        <v>Two-pack</v>
      </c>
      <c r="T897" s="103" t="s">
        <v>867</v>
      </c>
      <c r="U897" s="103"/>
      <c r="V897" s="103"/>
      <c r="W897" s="103">
        <f>ROUND(IF(LEFT(D897,3)="Std",VLOOKUP(D897,'Measure &amp; Standard CostIDs'!$S$5:$X$177,1+B897,FALSE),VLOOKUP(D897,'Measure &amp; Standard CostIDs'!$C$5:$H$177,1+B897,FALSE)),2)</f>
        <v>2.95</v>
      </c>
      <c r="X897" s="103"/>
      <c r="Y897" s="103"/>
      <c r="Z897" s="103" t="s">
        <v>868</v>
      </c>
      <c r="AA897" s="103" t="s">
        <v>874</v>
      </c>
      <c r="AB897" s="103" t="s">
        <v>153</v>
      </c>
      <c r="AC897" s="103">
        <v>0</v>
      </c>
      <c r="AD897" s="156">
        <v>42005</v>
      </c>
      <c r="AE897" s="103"/>
      <c r="AF897" s="103" t="s">
        <v>870</v>
      </c>
      <c r="AG897" s="103" t="s">
        <v>871</v>
      </c>
      <c r="AH897" s="103" t="s">
        <v>976</v>
      </c>
      <c r="AI897" s="103">
        <v>0</v>
      </c>
      <c r="AJ897" s="103"/>
      <c r="AK897" s="103"/>
      <c r="AL897" s="103"/>
      <c r="AM897" s="103"/>
      <c r="AN897" s="103"/>
      <c r="AO897" s="103" t="str">
        <f t="shared" si="43"/>
        <v>Std_CFLscw-A(11w)_60pInc-r0248Two-pack</v>
      </c>
    </row>
    <row r="898" spans="1:41">
      <c r="A898" s="177">
        <f>IFERROR(MATCH(D898,'Measure &amp; Standard CostIDs'!C$5:C$177,0),MATCH(D898,'Measure &amp; Standard CostIDs'!S$5:S$177,0))</f>
        <v>72</v>
      </c>
      <c r="B898" s="177">
        <f t="shared" si="44"/>
        <v>3</v>
      </c>
      <c r="C898" s="103" t="s">
        <v>153</v>
      </c>
      <c r="D898" s="103" t="str">
        <f t="shared" si="45"/>
        <v>Std_CFLscw-A(12w)_60pInc-r0248</v>
      </c>
      <c r="E898" s="103" t="str">
        <f>IF(LEFT(D898,3)="Std","Base case cost for mix of 60% Incandescent and 40% CFL lamps for CFL TechID: "&amp;INDEX('Measure &amp; Standard CostIDs'!$C$5:$C$177,A898),"&lt;from TechID&gt;")</f>
        <v>Base case cost for mix of 60% Incandescent and 40% CFL lamps for CFL TechID: CFLscw-A(12w)</v>
      </c>
      <c r="F898" s="103" t="s">
        <v>860</v>
      </c>
      <c r="G898" s="103" t="s">
        <v>151</v>
      </c>
      <c r="H898" s="103" t="s">
        <v>861</v>
      </c>
      <c r="I898" s="103" t="s">
        <v>862</v>
      </c>
      <c r="J898" s="103" t="s">
        <v>863</v>
      </c>
      <c r="K898" s="103" t="s">
        <v>864</v>
      </c>
      <c r="L898" s="103" t="s">
        <v>153</v>
      </c>
      <c r="M898" s="103" t="s">
        <v>865</v>
      </c>
      <c r="N898" s="103" t="s">
        <v>866</v>
      </c>
      <c r="O898" s="103" t="str">
        <f t="shared" si="42"/>
        <v/>
      </c>
      <c r="P898" s="103" t="s">
        <v>153</v>
      </c>
      <c r="Q898" s="103" t="s">
        <v>153</v>
      </c>
      <c r="R898" s="103" t="s">
        <v>153</v>
      </c>
      <c r="S898" s="103" t="str">
        <f>INDEX('Measure &amp; Standard CostIDs'!$AK$8:$AK$12,B898)</f>
        <v>Two-pack</v>
      </c>
      <c r="T898" s="103" t="s">
        <v>867</v>
      </c>
      <c r="U898" s="103"/>
      <c r="V898" s="103"/>
      <c r="W898" s="103">
        <f>ROUND(IF(LEFT(D898,3)="Std",VLOOKUP(D898,'Measure &amp; Standard CostIDs'!$S$5:$X$177,1+B898,FALSE),VLOOKUP(D898,'Measure &amp; Standard CostIDs'!$C$5:$H$177,1+B898,FALSE)),2)</f>
        <v>3</v>
      </c>
      <c r="X898" s="103"/>
      <c r="Y898" s="103"/>
      <c r="Z898" s="103" t="s">
        <v>868</v>
      </c>
      <c r="AA898" s="103" t="s">
        <v>874</v>
      </c>
      <c r="AB898" s="103" t="s">
        <v>153</v>
      </c>
      <c r="AC898" s="103">
        <v>0</v>
      </c>
      <c r="AD898" s="156">
        <v>42005</v>
      </c>
      <c r="AE898" s="103"/>
      <c r="AF898" s="103" t="s">
        <v>870</v>
      </c>
      <c r="AG898" s="103" t="s">
        <v>871</v>
      </c>
      <c r="AH898" s="103" t="s">
        <v>976</v>
      </c>
      <c r="AI898" s="103">
        <v>0</v>
      </c>
      <c r="AJ898" s="103"/>
      <c r="AK898" s="103"/>
      <c r="AL898" s="103"/>
      <c r="AM898" s="103"/>
      <c r="AN898" s="103"/>
      <c r="AO898" s="103" t="str">
        <f t="shared" si="43"/>
        <v>Std_CFLscw-A(12w)_60pInc-r0248Two-pack</v>
      </c>
    </row>
    <row r="899" spans="1:41">
      <c r="A899" s="177">
        <f>IFERROR(MATCH(D899,'Measure &amp; Standard CostIDs'!C$5:C$177,0),MATCH(D899,'Measure &amp; Standard CostIDs'!S$5:S$177,0))</f>
        <v>73</v>
      </c>
      <c r="B899" s="177">
        <f t="shared" si="44"/>
        <v>3</v>
      </c>
      <c r="C899" s="103" t="s">
        <v>153</v>
      </c>
      <c r="D899" s="103" t="str">
        <f t="shared" si="45"/>
        <v>Std_CFLscw-A(13w)_60pInc-r0248</v>
      </c>
      <c r="E899" s="103" t="str">
        <f>IF(LEFT(D899,3)="Std","Base case cost for mix of 60% Incandescent and 40% CFL lamps for CFL TechID: "&amp;INDEX('Measure &amp; Standard CostIDs'!$C$5:$C$177,A899),"&lt;from TechID&gt;")</f>
        <v>Base case cost for mix of 60% Incandescent and 40% CFL lamps for CFL TechID: CFLscw-A(13w)</v>
      </c>
      <c r="F899" s="103" t="s">
        <v>860</v>
      </c>
      <c r="G899" s="103" t="s">
        <v>151</v>
      </c>
      <c r="H899" s="103" t="s">
        <v>861</v>
      </c>
      <c r="I899" s="103" t="s">
        <v>862</v>
      </c>
      <c r="J899" s="103" t="s">
        <v>863</v>
      </c>
      <c r="K899" s="103" t="s">
        <v>864</v>
      </c>
      <c r="L899" s="103" t="s">
        <v>153</v>
      </c>
      <c r="M899" s="103" t="s">
        <v>865</v>
      </c>
      <c r="N899" s="103" t="s">
        <v>866</v>
      </c>
      <c r="O899" s="103" t="str">
        <f t="shared" si="42"/>
        <v/>
      </c>
      <c r="P899" s="103" t="s">
        <v>153</v>
      </c>
      <c r="Q899" s="103" t="s">
        <v>153</v>
      </c>
      <c r="R899" s="103" t="s">
        <v>153</v>
      </c>
      <c r="S899" s="103" t="str">
        <f>INDEX('Measure &amp; Standard CostIDs'!$AK$8:$AK$12,B899)</f>
        <v>Two-pack</v>
      </c>
      <c r="T899" s="103" t="s">
        <v>867</v>
      </c>
      <c r="U899" s="103"/>
      <c r="V899" s="103"/>
      <c r="W899" s="103">
        <f>ROUND(IF(LEFT(D899,3)="Std",VLOOKUP(D899,'Measure &amp; Standard CostIDs'!$S$5:$X$177,1+B899,FALSE),VLOOKUP(D899,'Measure &amp; Standard CostIDs'!$C$5:$H$177,1+B899,FALSE)),2)</f>
        <v>3.04</v>
      </c>
      <c r="X899" s="103"/>
      <c r="Y899" s="103"/>
      <c r="Z899" s="103" t="s">
        <v>868</v>
      </c>
      <c r="AA899" s="103" t="s">
        <v>874</v>
      </c>
      <c r="AB899" s="103" t="s">
        <v>153</v>
      </c>
      <c r="AC899" s="103">
        <v>0</v>
      </c>
      <c r="AD899" s="156">
        <v>42005</v>
      </c>
      <c r="AE899" s="103"/>
      <c r="AF899" s="103" t="s">
        <v>870</v>
      </c>
      <c r="AG899" s="103" t="s">
        <v>871</v>
      </c>
      <c r="AH899" s="103" t="s">
        <v>976</v>
      </c>
      <c r="AI899" s="103">
        <v>0</v>
      </c>
      <c r="AJ899" s="103"/>
      <c r="AK899" s="103"/>
      <c r="AL899" s="103"/>
      <c r="AM899" s="103"/>
      <c r="AN899" s="103"/>
      <c r="AO899" s="103" t="str">
        <f t="shared" si="43"/>
        <v>Std_CFLscw-A(13w)_60pInc-r0248Two-pack</v>
      </c>
    </row>
    <row r="900" spans="1:41">
      <c r="A900" s="177">
        <f>IFERROR(MATCH(D900,'Measure &amp; Standard CostIDs'!C$5:C$177,0),MATCH(D900,'Measure &amp; Standard CostIDs'!S$5:S$177,0))</f>
        <v>74</v>
      </c>
      <c r="B900" s="177">
        <f t="shared" si="44"/>
        <v>3</v>
      </c>
      <c r="C900" s="103" t="s">
        <v>153</v>
      </c>
      <c r="D900" s="103" t="str">
        <f t="shared" si="45"/>
        <v>Std_CFLscw-A(14w)_60pInc-r0248</v>
      </c>
      <c r="E900" s="103" t="str">
        <f>IF(LEFT(D900,3)="Std","Base case cost for mix of 60% Incandescent and 40% CFL lamps for CFL TechID: "&amp;INDEX('Measure &amp; Standard CostIDs'!$C$5:$C$177,A900),"&lt;from TechID&gt;")</f>
        <v>Base case cost for mix of 60% Incandescent and 40% CFL lamps for CFL TechID: CFLscw-A(14w)</v>
      </c>
      <c r="F900" s="103" t="s">
        <v>860</v>
      </c>
      <c r="G900" s="103" t="s">
        <v>151</v>
      </c>
      <c r="H900" s="103" t="s">
        <v>861</v>
      </c>
      <c r="I900" s="103" t="s">
        <v>862</v>
      </c>
      <c r="J900" s="103" t="s">
        <v>863</v>
      </c>
      <c r="K900" s="103" t="s">
        <v>864</v>
      </c>
      <c r="L900" s="103" t="s">
        <v>153</v>
      </c>
      <c r="M900" s="103" t="s">
        <v>865</v>
      </c>
      <c r="N900" s="103" t="s">
        <v>866</v>
      </c>
      <c r="O900" s="103" t="str">
        <f t="shared" si="42"/>
        <v/>
      </c>
      <c r="P900" s="103" t="s">
        <v>153</v>
      </c>
      <c r="Q900" s="103" t="s">
        <v>153</v>
      </c>
      <c r="R900" s="103" t="s">
        <v>153</v>
      </c>
      <c r="S900" s="103" t="str">
        <f>INDEX('Measure &amp; Standard CostIDs'!$AK$8:$AK$12,B900)</f>
        <v>Two-pack</v>
      </c>
      <c r="T900" s="103" t="s">
        <v>867</v>
      </c>
      <c r="U900" s="103"/>
      <c r="V900" s="103"/>
      <c r="W900" s="103">
        <f>ROUND(IF(LEFT(D900,3)="Std",VLOOKUP(D900,'Measure &amp; Standard CostIDs'!$S$5:$X$177,1+B900,FALSE),VLOOKUP(D900,'Measure &amp; Standard CostIDs'!$C$5:$H$177,1+B900,FALSE)),2)</f>
        <v>3.09</v>
      </c>
      <c r="X900" s="103"/>
      <c r="Y900" s="103"/>
      <c r="Z900" s="103" t="s">
        <v>868</v>
      </c>
      <c r="AA900" s="103" t="s">
        <v>874</v>
      </c>
      <c r="AB900" s="103" t="s">
        <v>153</v>
      </c>
      <c r="AC900" s="103">
        <v>0</v>
      </c>
      <c r="AD900" s="156">
        <v>42005</v>
      </c>
      <c r="AE900" s="103"/>
      <c r="AF900" s="103" t="s">
        <v>870</v>
      </c>
      <c r="AG900" s="103" t="s">
        <v>871</v>
      </c>
      <c r="AH900" s="103" t="s">
        <v>976</v>
      </c>
      <c r="AI900" s="103">
        <v>0</v>
      </c>
      <c r="AJ900" s="103"/>
      <c r="AK900" s="103"/>
      <c r="AL900" s="103"/>
      <c r="AM900" s="103"/>
      <c r="AN900" s="103"/>
      <c r="AO900" s="103" t="str">
        <f t="shared" si="43"/>
        <v>Std_CFLscw-A(14w)_60pInc-r0248Two-pack</v>
      </c>
    </row>
    <row r="901" spans="1:41">
      <c r="A901" s="177">
        <f>IFERROR(MATCH(D901,'Measure &amp; Standard CostIDs'!C$5:C$177,0),MATCH(D901,'Measure &amp; Standard CostIDs'!S$5:S$177,0))</f>
        <v>75</v>
      </c>
      <c r="B901" s="177">
        <f t="shared" si="44"/>
        <v>3</v>
      </c>
      <c r="C901" s="103" t="s">
        <v>153</v>
      </c>
      <c r="D901" s="103" t="str">
        <f t="shared" si="45"/>
        <v>Std_CFLscw-A(15w)_60pInc-r0248</v>
      </c>
      <c r="E901" s="103" t="str">
        <f>IF(LEFT(D901,3)="Std","Base case cost for mix of 60% Incandescent and 40% CFL lamps for CFL TechID: "&amp;INDEX('Measure &amp; Standard CostIDs'!$C$5:$C$177,A901),"&lt;from TechID&gt;")</f>
        <v>Base case cost for mix of 60% Incandescent and 40% CFL lamps for CFL TechID: CFLscw-A(15w)</v>
      </c>
      <c r="F901" s="103" t="s">
        <v>860</v>
      </c>
      <c r="G901" s="103" t="s">
        <v>151</v>
      </c>
      <c r="H901" s="103" t="s">
        <v>861</v>
      </c>
      <c r="I901" s="103" t="s">
        <v>862</v>
      </c>
      <c r="J901" s="103" t="s">
        <v>863</v>
      </c>
      <c r="K901" s="103" t="s">
        <v>864</v>
      </c>
      <c r="L901" s="103" t="s">
        <v>153</v>
      </c>
      <c r="M901" s="103" t="s">
        <v>865</v>
      </c>
      <c r="N901" s="103" t="s">
        <v>866</v>
      </c>
      <c r="O901" s="103" t="str">
        <f t="shared" si="42"/>
        <v/>
      </c>
      <c r="P901" s="103" t="s">
        <v>153</v>
      </c>
      <c r="Q901" s="103" t="s">
        <v>153</v>
      </c>
      <c r="R901" s="103" t="s">
        <v>153</v>
      </c>
      <c r="S901" s="103" t="str">
        <f>INDEX('Measure &amp; Standard CostIDs'!$AK$8:$AK$12,B901)</f>
        <v>Two-pack</v>
      </c>
      <c r="T901" s="103" t="s">
        <v>867</v>
      </c>
      <c r="U901" s="103"/>
      <c r="V901" s="103"/>
      <c r="W901" s="103">
        <f>ROUND(IF(LEFT(D901,3)="Std",VLOOKUP(D901,'Measure &amp; Standard CostIDs'!$S$5:$X$177,1+B901,FALSE),VLOOKUP(D901,'Measure &amp; Standard CostIDs'!$C$5:$H$177,1+B901,FALSE)),2)</f>
        <v>3.13</v>
      </c>
      <c r="X901" s="103"/>
      <c r="Y901" s="103"/>
      <c r="Z901" s="103" t="s">
        <v>868</v>
      </c>
      <c r="AA901" s="103" t="s">
        <v>874</v>
      </c>
      <c r="AB901" s="103" t="s">
        <v>153</v>
      </c>
      <c r="AC901" s="103">
        <v>0</v>
      </c>
      <c r="AD901" s="156">
        <v>42005</v>
      </c>
      <c r="AE901" s="103"/>
      <c r="AF901" s="103" t="s">
        <v>870</v>
      </c>
      <c r="AG901" s="103" t="s">
        <v>871</v>
      </c>
      <c r="AH901" s="103" t="s">
        <v>976</v>
      </c>
      <c r="AI901" s="103">
        <v>0</v>
      </c>
      <c r="AJ901" s="103"/>
      <c r="AK901" s="103"/>
      <c r="AL901" s="103"/>
      <c r="AM901" s="103"/>
      <c r="AN901" s="103"/>
      <c r="AO901" s="103" t="str">
        <f t="shared" si="43"/>
        <v>Std_CFLscw-A(15w)_60pInc-r0248Two-pack</v>
      </c>
    </row>
    <row r="902" spans="1:41">
      <c r="A902" s="177">
        <f>IFERROR(MATCH(D902,'Measure &amp; Standard CostIDs'!C$5:C$177,0),MATCH(D902,'Measure &amp; Standard CostIDs'!S$5:S$177,0))</f>
        <v>76</v>
      </c>
      <c r="B902" s="177">
        <f t="shared" si="44"/>
        <v>3</v>
      </c>
      <c r="C902" s="103" t="s">
        <v>153</v>
      </c>
      <c r="D902" s="103" t="str">
        <f t="shared" si="45"/>
        <v>Std_CFLscw-A(16w)_60pInc-r0248</v>
      </c>
      <c r="E902" s="103" t="str">
        <f>IF(LEFT(D902,3)="Std","Base case cost for mix of 60% Incandescent and 40% CFL lamps for CFL TechID: "&amp;INDEX('Measure &amp; Standard CostIDs'!$C$5:$C$177,A902),"&lt;from TechID&gt;")</f>
        <v>Base case cost for mix of 60% Incandescent and 40% CFL lamps for CFL TechID: CFLscw-A(16w)</v>
      </c>
      <c r="F902" s="103" t="s">
        <v>860</v>
      </c>
      <c r="G902" s="103" t="s">
        <v>151</v>
      </c>
      <c r="H902" s="103" t="s">
        <v>861</v>
      </c>
      <c r="I902" s="103" t="s">
        <v>862</v>
      </c>
      <c r="J902" s="103" t="s">
        <v>863</v>
      </c>
      <c r="K902" s="103" t="s">
        <v>864</v>
      </c>
      <c r="L902" s="103" t="s">
        <v>153</v>
      </c>
      <c r="M902" s="103" t="s">
        <v>865</v>
      </c>
      <c r="N902" s="103" t="s">
        <v>866</v>
      </c>
      <c r="O902" s="103" t="str">
        <f t="shared" ref="O902:O965" si="46">IF(LEFT(D902,3)="Std","",D902)</f>
        <v/>
      </c>
      <c r="P902" s="103" t="s">
        <v>153</v>
      </c>
      <c r="Q902" s="103" t="s">
        <v>153</v>
      </c>
      <c r="R902" s="103" t="s">
        <v>153</v>
      </c>
      <c r="S902" s="103" t="str">
        <f>INDEX('Measure &amp; Standard CostIDs'!$AK$8:$AK$12,B902)</f>
        <v>Two-pack</v>
      </c>
      <c r="T902" s="103" t="s">
        <v>867</v>
      </c>
      <c r="U902" s="103"/>
      <c r="V902" s="103"/>
      <c r="W902" s="103">
        <f>ROUND(IF(LEFT(D902,3)="Std",VLOOKUP(D902,'Measure &amp; Standard CostIDs'!$S$5:$X$177,1+B902,FALSE),VLOOKUP(D902,'Measure &amp; Standard CostIDs'!$C$5:$H$177,1+B902,FALSE)),2)</f>
        <v>3.18</v>
      </c>
      <c r="X902" s="103"/>
      <c r="Y902" s="103"/>
      <c r="Z902" s="103" t="s">
        <v>868</v>
      </c>
      <c r="AA902" s="103" t="s">
        <v>874</v>
      </c>
      <c r="AB902" s="103" t="s">
        <v>153</v>
      </c>
      <c r="AC902" s="103">
        <v>0</v>
      </c>
      <c r="AD902" s="156">
        <v>42005</v>
      </c>
      <c r="AE902" s="103"/>
      <c r="AF902" s="103" t="s">
        <v>870</v>
      </c>
      <c r="AG902" s="103" t="s">
        <v>871</v>
      </c>
      <c r="AH902" s="103" t="s">
        <v>976</v>
      </c>
      <c r="AI902" s="103">
        <v>0</v>
      </c>
      <c r="AJ902" s="103"/>
      <c r="AK902" s="103"/>
      <c r="AL902" s="103"/>
      <c r="AM902" s="103"/>
      <c r="AN902" s="103"/>
      <c r="AO902" s="103" t="str">
        <f t="shared" ref="AO902:AO965" si="47">D902&amp;S902</f>
        <v>Std_CFLscw-A(16w)_60pInc-r0248Two-pack</v>
      </c>
    </row>
    <row r="903" spans="1:41">
      <c r="A903" s="177">
        <f>IFERROR(MATCH(D903,'Measure &amp; Standard CostIDs'!C$5:C$177,0),MATCH(D903,'Measure &amp; Standard CostIDs'!S$5:S$177,0))</f>
        <v>77</v>
      </c>
      <c r="B903" s="177">
        <f t="shared" si="44"/>
        <v>3</v>
      </c>
      <c r="C903" s="103" t="s">
        <v>153</v>
      </c>
      <c r="D903" s="103" t="str">
        <f t="shared" si="45"/>
        <v>Std_CFLscw-A(18w)_60pInc-r0248</v>
      </c>
      <c r="E903" s="103" t="str">
        <f>IF(LEFT(D903,3)="Std","Base case cost for mix of 60% Incandescent and 40% CFL lamps for CFL TechID: "&amp;INDEX('Measure &amp; Standard CostIDs'!$C$5:$C$177,A903),"&lt;from TechID&gt;")</f>
        <v>Base case cost for mix of 60% Incandescent and 40% CFL lamps for CFL TechID: CFLscw-A(18w)</v>
      </c>
      <c r="F903" s="103" t="s">
        <v>860</v>
      </c>
      <c r="G903" s="103" t="s">
        <v>151</v>
      </c>
      <c r="H903" s="103" t="s">
        <v>861</v>
      </c>
      <c r="I903" s="103" t="s">
        <v>862</v>
      </c>
      <c r="J903" s="103" t="s">
        <v>863</v>
      </c>
      <c r="K903" s="103" t="s">
        <v>864</v>
      </c>
      <c r="L903" s="103" t="s">
        <v>153</v>
      </c>
      <c r="M903" s="103" t="s">
        <v>865</v>
      </c>
      <c r="N903" s="103" t="s">
        <v>866</v>
      </c>
      <c r="O903" s="103" t="str">
        <f t="shared" si="46"/>
        <v/>
      </c>
      <c r="P903" s="103" t="s">
        <v>153</v>
      </c>
      <c r="Q903" s="103" t="s">
        <v>153</v>
      </c>
      <c r="R903" s="103" t="s">
        <v>153</v>
      </c>
      <c r="S903" s="103" t="str">
        <f>INDEX('Measure &amp; Standard CostIDs'!$AK$8:$AK$12,B903)</f>
        <v>Two-pack</v>
      </c>
      <c r="T903" s="103" t="s">
        <v>867</v>
      </c>
      <c r="U903" s="103"/>
      <c r="V903" s="103"/>
      <c r="W903" s="103">
        <f>ROUND(IF(LEFT(D903,3)="Std",VLOOKUP(D903,'Measure &amp; Standard CostIDs'!$S$5:$X$177,1+B903,FALSE),VLOOKUP(D903,'Measure &amp; Standard CostIDs'!$C$5:$H$177,1+B903,FALSE)),2)</f>
        <v>3.27</v>
      </c>
      <c r="X903" s="103"/>
      <c r="Y903" s="103"/>
      <c r="Z903" s="103" t="s">
        <v>868</v>
      </c>
      <c r="AA903" s="103" t="s">
        <v>874</v>
      </c>
      <c r="AB903" s="103" t="s">
        <v>153</v>
      </c>
      <c r="AC903" s="103">
        <v>0</v>
      </c>
      <c r="AD903" s="156">
        <v>42005</v>
      </c>
      <c r="AE903" s="103"/>
      <c r="AF903" s="103" t="s">
        <v>870</v>
      </c>
      <c r="AG903" s="103" t="s">
        <v>871</v>
      </c>
      <c r="AH903" s="103" t="s">
        <v>976</v>
      </c>
      <c r="AI903" s="103">
        <v>0</v>
      </c>
      <c r="AJ903" s="103"/>
      <c r="AK903" s="103"/>
      <c r="AL903" s="103"/>
      <c r="AM903" s="103"/>
      <c r="AN903" s="103"/>
      <c r="AO903" s="103" t="str">
        <f t="shared" si="47"/>
        <v>Std_CFLscw-A(18w)_60pInc-r0248Two-pack</v>
      </c>
    </row>
    <row r="904" spans="1:41">
      <c r="A904" s="177">
        <f>IFERROR(MATCH(D904,'Measure &amp; Standard CostIDs'!C$5:C$177,0),MATCH(D904,'Measure &amp; Standard CostIDs'!S$5:S$177,0))</f>
        <v>78</v>
      </c>
      <c r="B904" s="177">
        <f t="shared" si="44"/>
        <v>3</v>
      </c>
      <c r="C904" s="103" t="s">
        <v>153</v>
      </c>
      <c r="D904" s="103" t="str">
        <f t="shared" si="45"/>
        <v>Std_CFLscw-A(19w)_60pInc-r0248</v>
      </c>
      <c r="E904" s="103" t="str">
        <f>IF(LEFT(D904,3)="Std","Base case cost for mix of 60% Incandescent and 40% CFL lamps for CFL TechID: "&amp;INDEX('Measure &amp; Standard CostIDs'!$C$5:$C$177,A904),"&lt;from TechID&gt;")</f>
        <v>Base case cost for mix of 60% Incandescent and 40% CFL lamps for CFL TechID: CFLscw-A(19w)</v>
      </c>
      <c r="F904" s="103" t="s">
        <v>860</v>
      </c>
      <c r="G904" s="103" t="s">
        <v>151</v>
      </c>
      <c r="H904" s="103" t="s">
        <v>861</v>
      </c>
      <c r="I904" s="103" t="s">
        <v>862</v>
      </c>
      <c r="J904" s="103" t="s">
        <v>863</v>
      </c>
      <c r="K904" s="103" t="s">
        <v>864</v>
      </c>
      <c r="L904" s="103" t="s">
        <v>153</v>
      </c>
      <c r="M904" s="103" t="s">
        <v>865</v>
      </c>
      <c r="N904" s="103" t="s">
        <v>866</v>
      </c>
      <c r="O904" s="103" t="str">
        <f t="shared" si="46"/>
        <v/>
      </c>
      <c r="P904" s="103" t="s">
        <v>153</v>
      </c>
      <c r="Q904" s="103" t="s">
        <v>153</v>
      </c>
      <c r="R904" s="103" t="s">
        <v>153</v>
      </c>
      <c r="S904" s="103" t="str">
        <f>INDEX('Measure &amp; Standard CostIDs'!$AK$8:$AK$12,B904)</f>
        <v>Two-pack</v>
      </c>
      <c r="T904" s="103" t="s">
        <v>867</v>
      </c>
      <c r="U904" s="103"/>
      <c r="V904" s="103"/>
      <c r="W904" s="103">
        <f>ROUND(IF(LEFT(D904,3)="Std",VLOOKUP(D904,'Measure &amp; Standard CostIDs'!$S$5:$X$177,1+B904,FALSE),VLOOKUP(D904,'Measure &amp; Standard CostIDs'!$C$5:$H$177,1+B904,FALSE)),2)</f>
        <v>3.31</v>
      </c>
      <c r="X904" s="103"/>
      <c r="Y904" s="103"/>
      <c r="Z904" s="103" t="s">
        <v>868</v>
      </c>
      <c r="AA904" s="103" t="s">
        <v>874</v>
      </c>
      <c r="AB904" s="103" t="s">
        <v>153</v>
      </c>
      <c r="AC904" s="103">
        <v>0</v>
      </c>
      <c r="AD904" s="156">
        <v>42005</v>
      </c>
      <c r="AE904" s="103"/>
      <c r="AF904" s="103" t="s">
        <v>870</v>
      </c>
      <c r="AG904" s="103" t="s">
        <v>871</v>
      </c>
      <c r="AH904" s="103" t="s">
        <v>976</v>
      </c>
      <c r="AI904" s="103">
        <v>0</v>
      </c>
      <c r="AJ904" s="103"/>
      <c r="AK904" s="103"/>
      <c r="AL904" s="103"/>
      <c r="AM904" s="103"/>
      <c r="AN904" s="103"/>
      <c r="AO904" s="103" t="str">
        <f t="shared" si="47"/>
        <v>Std_CFLscw-A(19w)_60pInc-r0248Two-pack</v>
      </c>
    </row>
    <row r="905" spans="1:41">
      <c r="A905" s="177">
        <f>IFERROR(MATCH(D905,'Measure &amp; Standard CostIDs'!C$5:C$177,0),MATCH(D905,'Measure &amp; Standard CostIDs'!S$5:S$177,0))</f>
        <v>79</v>
      </c>
      <c r="B905" s="177">
        <f t="shared" si="44"/>
        <v>3</v>
      </c>
      <c r="C905" s="103" t="s">
        <v>153</v>
      </c>
      <c r="D905" s="103" t="str">
        <f t="shared" si="45"/>
        <v>Std_CFLscw-A(20w)_60pInc-r0248</v>
      </c>
      <c r="E905" s="103" t="str">
        <f>IF(LEFT(D905,3)="Std","Base case cost for mix of 60% Incandescent and 40% CFL lamps for CFL TechID: "&amp;INDEX('Measure &amp; Standard CostIDs'!$C$5:$C$177,A905),"&lt;from TechID&gt;")</f>
        <v>Base case cost for mix of 60% Incandescent and 40% CFL lamps for CFL TechID: CFLscw-A(20w)</v>
      </c>
      <c r="F905" s="103" t="s">
        <v>860</v>
      </c>
      <c r="G905" s="103" t="s">
        <v>151</v>
      </c>
      <c r="H905" s="103" t="s">
        <v>861</v>
      </c>
      <c r="I905" s="103" t="s">
        <v>862</v>
      </c>
      <c r="J905" s="103" t="s">
        <v>863</v>
      </c>
      <c r="K905" s="103" t="s">
        <v>864</v>
      </c>
      <c r="L905" s="103" t="s">
        <v>153</v>
      </c>
      <c r="M905" s="103" t="s">
        <v>865</v>
      </c>
      <c r="N905" s="103" t="s">
        <v>866</v>
      </c>
      <c r="O905" s="103" t="str">
        <f t="shared" si="46"/>
        <v/>
      </c>
      <c r="P905" s="103" t="s">
        <v>153</v>
      </c>
      <c r="Q905" s="103" t="s">
        <v>153</v>
      </c>
      <c r="R905" s="103" t="s">
        <v>153</v>
      </c>
      <c r="S905" s="103" t="str">
        <f>INDEX('Measure &amp; Standard CostIDs'!$AK$8:$AK$12,B905)</f>
        <v>Two-pack</v>
      </c>
      <c r="T905" s="103" t="s">
        <v>867</v>
      </c>
      <c r="U905" s="103"/>
      <c r="V905" s="103"/>
      <c r="W905" s="103">
        <f>ROUND(IF(LEFT(D905,3)="Std",VLOOKUP(D905,'Measure &amp; Standard CostIDs'!$S$5:$X$177,1+B905,FALSE),VLOOKUP(D905,'Measure &amp; Standard CostIDs'!$C$5:$H$177,1+B905,FALSE)),2)</f>
        <v>3.36</v>
      </c>
      <c r="X905" s="103"/>
      <c r="Y905" s="103"/>
      <c r="Z905" s="103" t="s">
        <v>868</v>
      </c>
      <c r="AA905" s="103" t="s">
        <v>874</v>
      </c>
      <c r="AB905" s="103" t="s">
        <v>153</v>
      </c>
      <c r="AC905" s="103">
        <v>0</v>
      </c>
      <c r="AD905" s="156">
        <v>42005</v>
      </c>
      <c r="AE905" s="103"/>
      <c r="AF905" s="103" t="s">
        <v>870</v>
      </c>
      <c r="AG905" s="103" t="s">
        <v>871</v>
      </c>
      <c r="AH905" s="103" t="s">
        <v>976</v>
      </c>
      <c r="AI905" s="103">
        <v>0</v>
      </c>
      <c r="AJ905" s="103"/>
      <c r="AK905" s="103"/>
      <c r="AL905" s="103"/>
      <c r="AM905" s="103"/>
      <c r="AN905" s="103"/>
      <c r="AO905" s="103" t="str">
        <f t="shared" si="47"/>
        <v>Std_CFLscw-A(20w)_60pInc-r0248Two-pack</v>
      </c>
    </row>
    <row r="906" spans="1:41">
      <c r="A906" s="177">
        <f>IFERROR(MATCH(D906,'Measure &amp; Standard CostIDs'!C$5:C$177,0),MATCH(D906,'Measure &amp; Standard CostIDs'!S$5:S$177,0))</f>
        <v>80</v>
      </c>
      <c r="B906" s="177">
        <f t="shared" si="44"/>
        <v>3</v>
      </c>
      <c r="C906" s="103" t="s">
        <v>153</v>
      </c>
      <c r="D906" s="103" t="str">
        <f t="shared" si="45"/>
        <v>Std_CFLscw-A(22w)_60pInc-r0248</v>
      </c>
      <c r="E906" s="103" t="str">
        <f>IF(LEFT(D906,3)="Std","Base case cost for mix of 60% Incandescent and 40% CFL lamps for CFL TechID: "&amp;INDEX('Measure &amp; Standard CostIDs'!$C$5:$C$177,A906),"&lt;from TechID&gt;")</f>
        <v>Base case cost for mix of 60% Incandescent and 40% CFL lamps for CFL TechID: CFLscw-A(22w)</v>
      </c>
      <c r="F906" s="103" t="s">
        <v>860</v>
      </c>
      <c r="G906" s="103" t="s">
        <v>151</v>
      </c>
      <c r="H906" s="103" t="s">
        <v>861</v>
      </c>
      <c r="I906" s="103" t="s">
        <v>862</v>
      </c>
      <c r="J906" s="103" t="s">
        <v>863</v>
      </c>
      <c r="K906" s="103" t="s">
        <v>864</v>
      </c>
      <c r="L906" s="103" t="s">
        <v>153</v>
      </c>
      <c r="M906" s="103" t="s">
        <v>865</v>
      </c>
      <c r="N906" s="103" t="s">
        <v>866</v>
      </c>
      <c r="O906" s="103" t="str">
        <f t="shared" si="46"/>
        <v/>
      </c>
      <c r="P906" s="103" t="s">
        <v>153</v>
      </c>
      <c r="Q906" s="103" t="s">
        <v>153</v>
      </c>
      <c r="R906" s="103" t="s">
        <v>153</v>
      </c>
      <c r="S906" s="103" t="str">
        <f>INDEX('Measure &amp; Standard CostIDs'!$AK$8:$AK$12,B906)</f>
        <v>Two-pack</v>
      </c>
      <c r="T906" s="103" t="s">
        <v>867</v>
      </c>
      <c r="U906" s="103"/>
      <c r="V906" s="103"/>
      <c r="W906" s="103">
        <f>ROUND(IF(LEFT(D906,3)="Std",VLOOKUP(D906,'Measure &amp; Standard CostIDs'!$S$5:$X$177,1+B906,FALSE),VLOOKUP(D906,'Measure &amp; Standard CostIDs'!$C$5:$H$177,1+B906,FALSE)),2)</f>
        <v>3.44</v>
      </c>
      <c r="X906" s="103"/>
      <c r="Y906" s="103"/>
      <c r="Z906" s="103" t="s">
        <v>868</v>
      </c>
      <c r="AA906" s="103" t="s">
        <v>874</v>
      </c>
      <c r="AB906" s="103" t="s">
        <v>153</v>
      </c>
      <c r="AC906" s="103">
        <v>0</v>
      </c>
      <c r="AD906" s="156">
        <v>42005</v>
      </c>
      <c r="AE906" s="103"/>
      <c r="AF906" s="103" t="s">
        <v>870</v>
      </c>
      <c r="AG906" s="103" t="s">
        <v>871</v>
      </c>
      <c r="AH906" s="103" t="s">
        <v>976</v>
      </c>
      <c r="AI906" s="103">
        <v>0</v>
      </c>
      <c r="AJ906" s="103"/>
      <c r="AK906" s="103"/>
      <c r="AL906" s="103"/>
      <c r="AM906" s="103"/>
      <c r="AN906" s="103"/>
      <c r="AO906" s="103" t="str">
        <f t="shared" si="47"/>
        <v>Std_CFLscw-A(22w)_60pInc-r0248Two-pack</v>
      </c>
    </row>
    <row r="907" spans="1:41">
      <c r="A907" s="177">
        <f>IFERROR(MATCH(D907,'Measure &amp; Standard CostIDs'!C$5:C$177,0),MATCH(D907,'Measure &amp; Standard CostIDs'!S$5:S$177,0))</f>
        <v>81</v>
      </c>
      <c r="B907" s="177">
        <f t="shared" si="44"/>
        <v>3</v>
      </c>
      <c r="C907" s="103" t="s">
        <v>153</v>
      </c>
      <c r="D907" s="103" t="str">
        <f t="shared" si="45"/>
        <v>Std_CFLscw-A(23w)_60pInc-r0248</v>
      </c>
      <c r="E907" s="103" t="str">
        <f>IF(LEFT(D907,3)="Std","Base case cost for mix of 60% Incandescent and 40% CFL lamps for CFL TechID: "&amp;INDEX('Measure &amp; Standard CostIDs'!$C$5:$C$177,A907),"&lt;from TechID&gt;")</f>
        <v>Base case cost for mix of 60% Incandescent and 40% CFL lamps for CFL TechID: CFLscw-A(23w)</v>
      </c>
      <c r="F907" s="103" t="s">
        <v>860</v>
      </c>
      <c r="G907" s="103" t="s">
        <v>151</v>
      </c>
      <c r="H907" s="103" t="s">
        <v>861</v>
      </c>
      <c r="I907" s="103" t="s">
        <v>862</v>
      </c>
      <c r="J907" s="103" t="s">
        <v>863</v>
      </c>
      <c r="K907" s="103" t="s">
        <v>864</v>
      </c>
      <c r="L907" s="103" t="s">
        <v>153</v>
      </c>
      <c r="M907" s="103" t="s">
        <v>865</v>
      </c>
      <c r="N907" s="103" t="s">
        <v>866</v>
      </c>
      <c r="O907" s="103" t="str">
        <f t="shared" si="46"/>
        <v/>
      </c>
      <c r="P907" s="103" t="s">
        <v>153</v>
      </c>
      <c r="Q907" s="103" t="s">
        <v>153</v>
      </c>
      <c r="R907" s="103" t="s">
        <v>153</v>
      </c>
      <c r="S907" s="103" t="str">
        <f>INDEX('Measure &amp; Standard CostIDs'!$AK$8:$AK$12,B907)</f>
        <v>Two-pack</v>
      </c>
      <c r="T907" s="103" t="s">
        <v>867</v>
      </c>
      <c r="U907" s="103"/>
      <c r="V907" s="103"/>
      <c r="W907" s="103">
        <f>ROUND(IF(LEFT(D907,3)="Std",VLOOKUP(D907,'Measure &amp; Standard CostIDs'!$S$5:$X$177,1+B907,FALSE),VLOOKUP(D907,'Measure &amp; Standard CostIDs'!$C$5:$H$177,1+B907,FALSE)),2)</f>
        <v>3.47</v>
      </c>
      <c r="X907" s="103"/>
      <c r="Y907" s="103"/>
      <c r="Z907" s="103" t="s">
        <v>868</v>
      </c>
      <c r="AA907" s="103" t="s">
        <v>874</v>
      </c>
      <c r="AB907" s="103" t="s">
        <v>153</v>
      </c>
      <c r="AC907" s="103">
        <v>0</v>
      </c>
      <c r="AD907" s="156">
        <v>42005</v>
      </c>
      <c r="AE907" s="103"/>
      <c r="AF907" s="103" t="s">
        <v>870</v>
      </c>
      <c r="AG907" s="103" t="s">
        <v>871</v>
      </c>
      <c r="AH907" s="103" t="s">
        <v>976</v>
      </c>
      <c r="AI907" s="103">
        <v>0</v>
      </c>
      <c r="AJ907" s="103"/>
      <c r="AK907" s="103"/>
      <c r="AL907" s="103"/>
      <c r="AM907" s="103"/>
      <c r="AN907" s="103"/>
      <c r="AO907" s="103" t="str">
        <f t="shared" si="47"/>
        <v>Std_CFLscw-A(23w)_60pInc-r0248Two-pack</v>
      </c>
    </row>
    <row r="908" spans="1:41">
      <c r="A908" s="177">
        <f>IFERROR(MATCH(D908,'Measure &amp; Standard CostIDs'!C$5:C$177,0),MATCH(D908,'Measure &amp; Standard CostIDs'!S$5:S$177,0))</f>
        <v>82</v>
      </c>
      <c r="B908" s="177">
        <f t="shared" si="44"/>
        <v>3</v>
      </c>
      <c r="C908" s="103" t="s">
        <v>153</v>
      </c>
      <c r="D908" s="103" t="str">
        <f t="shared" si="45"/>
        <v>Std_CFLscw-A(24w)_60pInc-r0248</v>
      </c>
      <c r="E908" s="103" t="str">
        <f>IF(LEFT(D908,3)="Std","Base case cost for mix of 60% Incandescent and 40% CFL lamps for CFL TechID: "&amp;INDEX('Measure &amp; Standard CostIDs'!$C$5:$C$177,A908),"&lt;from TechID&gt;")</f>
        <v>Base case cost for mix of 60% Incandescent and 40% CFL lamps for CFL TechID: CFLscw-A(24w)</v>
      </c>
      <c r="F908" s="103" t="s">
        <v>860</v>
      </c>
      <c r="G908" s="103" t="s">
        <v>151</v>
      </c>
      <c r="H908" s="103" t="s">
        <v>861</v>
      </c>
      <c r="I908" s="103" t="s">
        <v>862</v>
      </c>
      <c r="J908" s="103" t="s">
        <v>863</v>
      </c>
      <c r="K908" s="103" t="s">
        <v>864</v>
      </c>
      <c r="L908" s="103" t="s">
        <v>153</v>
      </c>
      <c r="M908" s="103" t="s">
        <v>865</v>
      </c>
      <c r="N908" s="103" t="s">
        <v>866</v>
      </c>
      <c r="O908" s="103" t="str">
        <f t="shared" si="46"/>
        <v/>
      </c>
      <c r="P908" s="103" t="s">
        <v>153</v>
      </c>
      <c r="Q908" s="103" t="s">
        <v>153</v>
      </c>
      <c r="R908" s="103" t="s">
        <v>153</v>
      </c>
      <c r="S908" s="103" t="str">
        <f>INDEX('Measure &amp; Standard CostIDs'!$AK$8:$AK$12,B908)</f>
        <v>Two-pack</v>
      </c>
      <c r="T908" s="103" t="s">
        <v>867</v>
      </c>
      <c r="U908" s="103"/>
      <c r="V908" s="103"/>
      <c r="W908" s="103">
        <f>ROUND(IF(LEFT(D908,3)="Std",VLOOKUP(D908,'Measure &amp; Standard CostIDs'!$S$5:$X$177,1+B908,FALSE),VLOOKUP(D908,'Measure &amp; Standard CostIDs'!$C$5:$H$177,1+B908,FALSE)),2)</f>
        <v>3.5</v>
      </c>
      <c r="X908" s="103"/>
      <c r="Y908" s="103"/>
      <c r="Z908" s="103" t="s">
        <v>868</v>
      </c>
      <c r="AA908" s="103" t="s">
        <v>874</v>
      </c>
      <c r="AB908" s="103" t="s">
        <v>153</v>
      </c>
      <c r="AC908" s="103">
        <v>0</v>
      </c>
      <c r="AD908" s="156">
        <v>42005</v>
      </c>
      <c r="AE908" s="103"/>
      <c r="AF908" s="103" t="s">
        <v>870</v>
      </c>
      <c r="AG908" s="103" t="s">
        <v>871</v>
      </c>
      <c r="AH908" s="103" t="s">
        <v>976</v>
      </c>
      <c r="AI908" s="103">
        <v>0</v>
      </c>
      <c r="AJ908" s="103"/>
      <c r="AK908" s="103"/>
      <c r="AL908" s="103"/>
      <c r="AM908" s="103"/>
      <c r="AN908" s="103"/>
      <c r="AO908" s="103" t="str">
        <f t="shared" si="47"/>
        <v>Std_CFLscw-A(24w)_60pInc-r0248Two-pack</v>
      </c>
    </row>
    <row r="909" spans="1:41">
      <c r="A909" s="177">
        <f>IFERROR(MATCH(D909,'Measure &amp; Standard CostIDs'!C$5:C$177,0),MATCH(D909,'Measure &amp; Standard CostIDs'!S$5:S$177,0))</f>
        <v>83</v>
      </c>
      <c r="B909" s="177">
        <f t="shared" si="44"/>
        <v>3</v>
      </c>
      <c r="C909" s="103" t="s">
        <v>153</v>
      </c>
      <c r="D909" s="103" t="str">
        <f t="shared" si="45"/>
        <v>Std_CFLscw-A(25w)_60pInc-r0248</v>
      </c>
      <c r="E909" s="103" t="str">
        <f>IF(LEFT(D909,3)="Std","Base case cost for mix of 60% Incandescent and 40% CFL lamps for CFL TechID: "&amp;INDEX('Measure &amp; Standard CostIDs'!$C$5:$C$177,A909),"&lt;from TechID&gt;")</f>
        <v>Base case cost for mix of 60% Incandescent and 40% CFL lamps for CFL TechID: CFLscw-A(25w)</v>
      </c>
      <c r="F909" s="103" t="s">
        <v>860</v>
      </c>
      <c r="G909" s="103" t="s">
        <v>151</v>
      </c>
      <c r="H909" s="103" t="s">
        <v>861</v>
      </c>
      <c r="I909" s="103" t="s">
        <v>862</v>
      </c>
      <c r="J909" s="103" t="s">
        <v>863</v>
      </c>
      <c r="K909" s="103" t="s">
        <v>864</v>
      </c>
      <c r="L909" s="103" t="s">
        <v>153</v>
      </c>
      <c r="M909" s="103" t="s">
        <v>865</v>
      </c>
      <c r="N909" s="103" t="s">
        <v>866</v>
      </c>
      <c r="O909" s="103" t="str">
        <f t="shared" si="46"/>
        <v/>
      </c>
      <c r="P909" s="103" t="s">
        <v>153</v>
      </c>
      <c r="Q909" s="103" t="s">
        <v>153</v>
      </c>
      <c r="R909" s="103" t="s">
        <v>153</v>
      </c>
      <c r="S909" s="103" t="str">
        <f>INDEX('Measure &amp; Standard CostIDs'!$AK$8:$AK$12,B909)</f>
        <v>Two-pack</v>
      </c>
      <c r="T909" s="103" t="s">
        <v>867</v>
      </c>
      <c r="U909" s="103"/>
      <c r="V909" s="103"/>
      <c r="W909" s="103">
        <f>ROUND(IF(LEFT(D909,3)="Std",VLOOKUP(D909,'Measure &amp; Standard CostIDs'!$S$5:$X$177,1+B909,FALSE),VLOOKUP(D909,'Measure &amp; Standard CostIDs'!$C$5:$H$177,1+B909,FALSE)),2)</f>
        <v>3.53</v>
      </c>
      <c r="X909" s="103"/>
      <c r="Y909" s="103"/>
      <c r="Z909" s="103" t="s">
        <v>868</v>
      </c>
      <c r="AA909" s="103" t="s">
        <v>874</v>
      </c>
      <c r="AB909" s="103" t="s">
        <v>153</v>
      </c>
      <c r="AC909" s="103">
        <v>0</v>
      </c>
      <c r="AD909" s="156">
        <v>42005</v>
      </c>
      <c r="AE909" s="103"/>
      <c r="AF909" s="103" t="s">
        <v>870</v>
      </c>
      <c r="AG909" s="103" t="s">
        <v>871</v>
      </c>
      <c r="AH909" s="103" t="s">
        <v>976</v>
      </c>
      <c r="AI909" s="103">
        <v>0</v>
      </c>
      <c r="AJ909" s="103"/>
      <c r="AK909" s="103"/>
      <c r="AL909" s="103"/>
      <c r="AM909" s="103"/>
      <c r="AN909" s="103"/>
      <c r="AO909" s="103" t="str">
        <f t="shared" si="47"/>
        <v>Std_CFLscw-A(25w)_60pInc-r0248Two-pack</v>
      </c>
    </row>
    <row r="910" spans="1:41">
      <c r="A910" s="177">
        <f>IFERROR(MATCH(D910,'Measure &amp; Standard CostIDs'!C$5:C$177,0),MATCH(D910,'Measure &amp; Standard CostIDs'!S$5:S$177,0))</f>
        <v>84</v>
      </c>
      <c r="B910" s="177">
        <f t="shared" si="44"/>
        <v>3</v>
      </c>
      <c r="C910" s="103" t="s">
        <v>153</v>
      </c>
      <c r="D910" s="103" t="str">
        <f t="shared" si="45"/>
        <v>Std_CFLscw-A(26w)_60pInc-r0248</v>
      </c>
      <c r="E910" s="103" t="str">
        <f>IF(LEFT(D910,3)="Std","Base case cost for mix of 60% Incandescent and 40% CFL lamps for CFL TechID: "&amp;INDEX('Measure &amp; Standard CostIDs'!$C$5:$C$177,A910),"&lt;from TechID&gt;")</f>
        <v>Base case cost for mix of 60% Incandescent and 40% CFL lamps for CFL TechID: CFLscw-A(26w)</v>
      </c>
      <c r="F910" s="103" t="s">
        <v>860</v>
      </c>
      <c r="G910" s="103" t="s">
        <v>151</v>
      </c>
      <c r="H910" s="103" t="s">
        <v>861</v>
      </c>
      <c r="I910" s="103" t="s">
        <v>862</v>
      </c>
      <c r="J910" s="103" t="s">
        <v>863</v>
      </c>
      <c r="K910" s="103" t="s">
        <v>864</v>
      </c>
      <c r="L910" s="103" t="s">
        <v>153</v>
      </c>
      <c r="M910" s="103" t="s">
        <v>865</v>
      </c>
      <c r="N910" s="103" t="s">
        <v>866</v>
      </c>
      <c r="O910" s="103" t="str">
        <f t="shared" si="46"/>
        <v/>
      </c>
      <c r="P910" s="103" t="s">
        <v>153</v>
      </c>
      <c r="Q910" s="103" t="s">
        <v>153</v>
      </c>
      <c r="R910" s="103" t="s">
        <v>153</v>
      </c>
      <c r="S910" s="103" t="str">
        <f>INDEX('Measure &amp; Standard CostIDs'!$AK$8:$AK$12,B910)</f>
        <v>Two-pack</v>
      </c>
      <c r="T910" s="103" t="s">
        <v>867</v>
      </c>
      <c r="U910" s="103"/>
      <c r="V910" s="103"/>
      <c r="W910" s="103">
        <f>ROUND(IF(LEFT(D910,3)="Std",VLOOKUP(D910,'Measure &amp; Standard CostIDs'!$S$5:$X$177,1+B910,FALSE),VLOOKUP(D910,'Measure &amp; Standard CostIDs'!$C$5:$H$177,1+B910,FALSE)),2)</f>
        <v>3.59</v>
      </c>
      <c r="X910" s="103"/>
      <c r="Y910" s="103"/>
      <c r="Z910" s="103" t="s">
        <v>868</v>
      </c>
      <c r="AA910" s="103" t="s">
        <v>874</v>
      </c>
      <c r="AB910" s="103" t="s">
        <v>153</v>
      </c>
      <c r="AC910" s="103">
        <v>0</v>
      </c>
      <c r="AD910" s="156">
        <v>42005</v>
      </c>
      <c r="AE910" s="103"/>
      <c r="AF910" s="103" t="s">
        <v>870</v>
      </c>
      <c r="AG910" s="103" t="s">
        <v>871</v>
      </c>
      <c r="AH910" s="103" t="s">
        <v>976</v>
      </c>
      <c r="AI910" s="103">
        <v>0</v>
      </c>
      <c r="AJ910" s="103"/>
      <c r="AK910" s="103"/>
      <c r="AL910" s="103"/>
      <c r="AM910" s="103"/>
      <c r="AN910" s="103"/>
      <c r="AO910" s="103" t="str">
        <f t="shared" si="47"/>
        <v>Std_CFLscw-A(26w)_60pInc-r0248Two-pack</v>
      </c>
    </row>
    <row r="911" spans="1:41">
      <c r="A911" s="177">
        <f>IFERROR(MATCH(D911,'Measure &amp; Standard CostIDs'!C$5:C$177,0),MATCH(D911,'Measure &amp; Standard CostIDs'!S$5:S$177,0))</f>
        <v>85</v>
      </c>
      <c r="B911" s="177">
        <f t="shared" si="44"/>
        <v>3</v>
      </c>
      <c r="C911" s="103" t="s">
        <v>153</v>
      </c>
      <c r="D911" s="103" t="str">
        <f t="shared" si="45"/>
        <v>Std_CFLscw-A(27w)_60pInc-r0248</v>
      </c>
      <c r="E911" s="103" t="str">
        <f>IF(LEFT(D911,3)="Std","Base case cost for mix of 60% Incandescent and 40% CFL lamps for CFL TechID: "&amp;INDEX('Measure &amp; Standard CostIDs'!$C$5:$C$177,A911),"&lt;from TechID&gt;")</f>
        <v>Base case cost for mix of 60% Incandescent and 40% CFL lamps for CFL TechID: CFLscw-A(27w)</v>
      </c>
      <c r="F911" s="103" t="s">
        <v>860</v>
      </c>
      <c r="G911" s="103" t="s">
        <v>151</v>
      </c>
      <c r="H911" s="103" t="s">
        <v>861</v>
      </c>
      <c r="I911" s="103" t="s">
        <v>862</v>
      </c>
      <c r="J911" s="103" t="s">
        <v>863</v>
      </c>
      <c r="K911" s="103" t="s">
        <v>864</v>
      </c>
      <c r="L911" s="103" t="s">
        <v>153</v>
      </c>
      <c r="M911" s="103" t="s">
        <v>865</v>
      </c>
      <c r="N911" s="103" t="s">
        <v>866</v>
      </c>
      <c r="O911" s="103" t="str">
        <f t="shared" si="46"/>
        <v/>
      </c>
      <c r="P911" s="103" t="s">
        <v>153</v>
      </c>
      <c r="Q911" s="103" t="s">
        <v>153</v>
      </c>
      <c r="R911" s="103" t="s">
        <v>153</v>
      </c>
      <c r="S911" s="103" t="str">
        <f>INDEX('Measure &amp; Standard CostIDs'!$AK$8:$AK$12,B911)</f>
        <v>Two-pack</v>
      </c>
      <c r="T911" s="103" t="s">
        <v>867</v>
      </c>
      <c r="U911" s="103"/>
      <c r="V911" s="103"/>
      <c r="W911" s="103">
        <f>ROUND(IF(LEFT(D911,3)="Std",VLOOKUP(D911,'Measure &amp; Standard CostIDs'!$S$5:$X$177,1+B911,FALSE),VLOOKUP(D911,'Measure &amp; Standard CostIDs'!$C$5:$H$177,1+B911,FALSE)),2)</f>
        <v>3.66</v>
      </c>
      <c r="X911" s="103"/>
      <c r="Y911" s="103"/>
      <c r="Z911" s="103" t="s">
        <v>868</v>
      </c>
      <c r="AA911" s="103" t="s">
        <v>874</v>
      </c>
      <c r="AB911" s="103" t="s">
        <v>153</v>
      </c>
      <c r="AC911" s="103">
        <v>0</v>
      </c>
      <c r="AD911" s="156">
        <v>42005</v>
      </c>
      <c r="AE911" s="103"/>
      <c r="AF911" s="103" t="s">
        <v>870</v>
      </c>
      <c r="AG911" s="103" t="s">
        <v>871</v>
      </c>
      <c r="AH911" s="103" t="s">
        <v>976</v>
      </c>
      <c r="AI911" s="103">
        <v>0</v>
      </c>
      <c r="AJ911" s="103"/>
      <c r="AK911" s="103"/>
      <c r="AL911" s="103"/>
      <c r="AM911" s="103"/>
      <c r="AN911" s="103"/>
      <c r="AO911" s="103" t="str">
        <f t="shared" si="47"/>
        <v>Std_CFLscw-A(27w)_60pInc-r0248Two-pack</v>
      </c>
    </row>
    <row r="912" spans="1:41">
      <c r="A912" s="177">
        <f>IFERROR(MATCH(D912,'Measure &amp; Standard CostIDs'!C$5:C$177,0),MATCH(D912,'Measure &amp; Standard CostIDs'!S$5:S$177,0))</f>
        <v>86</v>
      </c>
      <c r="B912" s="177">
        <f t="shared" si="44"/>
        <v>3</v>
      </c>
      <c r="C912" s="103" t="s">
        <v>153</v>
      </c>
      <c r="D912" s="103" t="str">
        <f t="shared" ref="D912:D975" si="48">+D582</f>
        <v>Std_CFLscw-A(28w)_60pInc-r0248</v>
      </c>
      <c r="E912" s="103" t="str">
        <f>IF(LEFT(D912,3)="Std","Base case cost for mix of 60% Incandescent and 40% CFL lamps for CFL TechID: "&amp;INDEX('Measure &amp; Standard CostIDs'!$C$5:$C$177,A912),"&lt;from TechID&gt;")</f>
        <v>Base case cost for mix of 60% Incandescent and 40% CFL lamps for CFL TechID: CFLscw-A(28w)</v>
      </c>
      <c r="F912" s="103" t="s">
        <v>860</v>
      </c>
      <c r="G912" s="103" t="s">
        <v>151</v>
      </c>
      <c r="H912" s="103" t="s">
        <v>861</v>
      </c>
      <c r="I912" s="103" t="s">
        <v>862</v>
      </c>
      <c r="J912" s="103" t="s">
        <v>863</v>
      </c>
      <c r="K912" s="103" t="s">
        <v>864</v>
      </c>
      <c r="L912" s="103" t="s">
        <v>153</v>
      </c>
      <c r="M912" s="103" t="s">
        <v>865</v>
      </c>
      <c r="N912" s="103" t="s">
        <v>866</v>
      </c>
      <c r="O912" s="103" t="str">
        <f t="shared" si="46"/>
        <v/>
      </c>
      <c r="P912" s="103" t="s">
        <v>153</v>
      </c>
      <c r="Q912" s="103" t="s">
        <v>153</v>
      </c>
      <c r="R912" s="103" t="s">
        <v>153</v>
      </c>
      <c r="S912" s="103" t="str">
        <f>INDEX('Measure &amp; Standard CostIDs'!$AK$8:$AK$12,B912)</f>
        <v>Two-pack</v>
      </c>
      <c r="T912" s="103" t="s">
        <v>867</v>
      </c>
      <c r="U912" s="103"/>
      <c r="V912" s="103"/>
      <c r="W912" s="103">
        <f>ROUND(IF(LEFT(D912,3)="Std",VLOOKUP(D912,'Measure &amp; Standard CostIDs'!$S$5:$X$177,1+B912,FALSE),VLOOKUP(D912,'Measure &amp; Standard CostIDs'!$C$5:$H$177,1+B912,FALSE)),2)</f>
        <v>3.72</v>
      </c>
      <c r="X912" s="103"/>
      <c r="Y912" s="103"/>
      <c r="Z912" s="103" t="s">
        <v>868</v>
      </c>
      <c r="AA912" s="103" t="s">
        <v>874</v>
      </c>
      <c r="AB912" s="103" t="s">
        <v>153</v>
      </c>
      <c r="AC912" s="103">
        <v>0</v>
      </c>
      <c r="AD912" s="156">
        <v>42005</v>
      </c>
      <c r="AE912" s="103"/>
      <c r="AF912" s="103" t="s">
        <v>870</v>
      </c>
      <c r="AG912" s="103" t="s">
        <v>871</v>
      </c>
      <c r="AH912" s="103" t="s">
        <v>976</v>
      </c>
      <c r="AI912" s="103">
        <v>0</v>
      </c>
      <c r="AJ912" s="103"/>
      <c r="AK912" s="103"/>
      <c r="AL912" s="103"/>
      <c r="AM912" s="103"/>
      <c r="AN912" s="103"/>
      <c r="AO912" s="103" t="str">
        <f t="shared" si="47"/>
        <v>Std_CFLscw-A(28w)_60pInc-r0248Two-pack</v>
      </c>
    </row>
    <row r="913" spans="1:41">
      <c r="A913" s="177">
        <f>IFERROR(MATCH(D913,'Measure &amp; Standard CostIDs'!C$5:C$177,0),MATCH(D913,'Measure &amp; Standard CostIDs'!S$5:S$177,0))</f>
        <v>87</v>
      </c>
      <c r="B913" s="177">
        <f t="shared" ref="B913:B976" si="49">+B583+1</f>
        <v>3</v>
      </c>
      <c r="C913" s="103" t="s">
        <v>153</v>
      </c>
      <c r="D913" s="103" t="str">
        <f t="shared" si="48"/>
        <v>Std_CFLscw-A(30w)_60pInc-r0248</v>
      </c>
      <c r="E913" s="103" t="str">
        <f>IF(LEFT(D913,3)="Std","Base case cost for mix of 60% Incandescent and 40% CFL lamps for CFL TechID: "&amp;INDEX('Measure &amp; Standard CostIDs'!$C$5:$C$177,A913),"&lt;from TechID&gt;")</f>
        <v>Base case cost for mix of 60% Incandescent and 40% CFL lamps for CFL TechID: CFLscw-A(30w)</v>
      </c>
      <c r="F913" s="103" t="s">
        <v>860</v>
      </c>
      <c r="G913" s="103" t="s">
        <v>151</v>
      </c>
      <c r="H913" s="103" t="s">
        <v>861</v>
      </c>
      <c r="I913" s="103" t="s">
        <v>862</v>
      </c>
      <c r="J913" s="103" t="s">
        <v>863</v>
      </c>
      <c r="K913" s="103" t="s">
        <v>864</v>
      </c>
      <c r="L913" s="103" t="s">
        <v>153</v>
      </c>
      <c r="M913" s="103" t="s">
        <v>865</v>
      </c>
      <c r="N913" s="103" t="s">
        <v>866</v>
      </c>
      <c r="O913" s="103" t="str">
        <f t="shared" si="46"/>
        <v/>
      </c>
      <c r="P913" s="103" t="s">
        <v>153</v>
      </c>
      <c r="Q913" s="103" t="s">
        <v>153</v>
      </c>
      <c r="R913" s="103" t="s">
        <v>153</v>
      </c>
      <c r="S913" s="103" t="str">
        <f>INDEX('Measure &amp; Standard CostIDs'!$AK$8:$AK$12,B913)</f>
        <v>Two-pack</v>
      </c>
      <c r="T913" s="103" t="s">
        <v>867</v>
      </c>
      <c r="U913" s="103"/>
      <c r="V913" s="103"/>
      <c r="W913" s="103">
        <f>ROUND(IF(LEFT(D913,3)="Std",VLOOKUP(D913,'Measure &amp; Standard CostIDs'!$S$5:$X$177,1+B913,FALSE),VLOOKUP(D913,'Measure &amp; Standard CostIDs'!$C$5:$H$177,1+B913,FALSE)),2)</f>
        <v>3.85</v>
      </c>
      <c r="X913" s="103"/>
      <c r="Y913" s="103"/>
      <c r="Z913" s="103" t="s">
        <v>868</v>
      </c>
      <c r="AA913" s="103" t="s">
        <v>874</v>
      </c>
      <c r="AB913" s="103" t="s">
        <v>153</v>
      </c>
      <c r="AC913" s="103">
        <v>0</v>
      </c>
      <c r="AD913" s="156">
        <v>42005</v>
      </c>
      <c r="AE913" s="103"/>
      <c r="AF913" s="103" t="s">
        <v>870</v>
      </c>
      <c r="AG913" s="103" t="s">
        <v>871</v>
      </c>
      <c r="AH913" s="103" t="s">
        <v>976</v>
      </c>
      <c r="AI913" s="103">
        <v>0</v>
      </c>
      <c r="AJ913" s="103"/>
      <c r="AK913" s="103"/>
      <c r="AL913" s="103"/>
      <c r="AM913" s="103"/>
      <c r="AN913" s="103"/>
      <c r="AO913" s="103" t="str">
        <f t="shared" si="47"/>
        <v>Std_CFLscw-A(30w)_60pInc-r0248Two-pack</v>
      </c>
    </row>
    <row r="914" spans="1:41">
      <c r="A914" s="177">
        <f>IFERROR(MATCH(D914,'Measure &amp; Standard CostIDs'!C$5:C$177,0),MATCH(D914,'Measure &amp; Standard CostIDs'!S$5:S$177,0))</f>
        <v>88</v>
      </c>
      <c r="B914" s="177">
        <f t="shared" si="49"/>
        <v>3</v>
      </c>
      <c r="C914" s="103" t="s">
        <v>153</v>
      </c>
      <c r="D914" s="103" t="str">
        <f t="shared" si="48"/>
        <v>Std_CFLscw-A(32w)_60pInc-r0248</v>
      </c>
      <c r="E914" s="103" t="str">
        <f>IF(LEFT(D914,3)="Std","Base case cost for mix of 60% Incandescent and 40% CFL lamps for CFL TechID: "&amp;INDEX('Measure &amp; Standard CostIDs'!$C$5:$C$177,A914),"&lt;from TechID&gt;")</f>
        <v>Base case cost for mix of 60% Incandescent and 40% CFL lamps for CFL TechID: CFLscw-A(32w)</v>
      </c>
      <c r="F914" s="103" t="s">
        <v>860</v>
      </c>
      <c r="G914" s="103" t="s">
        <v>151</v>
      </c>
      <c r="H914" s="103" t="s">
        <v>861</v>
      </c>
      <c r="I914" s="103" t="s">
        <v>862</v>
      </c>
      <c r="J914" s="103" t="s">
        <v>863</v>
      </c>
      <c r="K914" s="103" t="s">
        <v>864</v>
      </c>
      <c r="L914" s="103" t="s">
        <v>153</v>
      </c>
      <c r="M914" s="103" t="s">
        <v>865</v>
      </c>
      <c r="N914" s="103" t="s">
        <v>866</v>
      </c>
      <c r="O914" s="103" t="str">
        <f t="shared" si="46"/>
        <v/>
      </c>
      <c r="P914" s="103" t="s">
        <v>153</v>
      </c>
      <c r="Q914" s="103" t="s">
        <v>153</v>
      </c>
      <c r="R914" s="103" t="s">
        <v>153</v>
      </c>
      <c r="S914" s="103" t="str">
        <f>INDEX('Measure &amp; Standard CostIDs'!$AK$8:$AK$12,B914)</f>
        <v>Two-pack</v>
      </c>
      <c r="T914" s="103" t="s">
        <v>867</v>
      </c>
      <c r="U914" s="103"/>
      <c r="V914" s="103"/>
      <c r="W914" s="103">
        <f>ROUND(IF(LEFT(D914,3)="Std",VLOOKUP(D914,'Measure &amp; Standard CostIDs'!$S$5:$X$177,1+B914,FALSE),VLOOKUP(D914,'Measure &amp; Standard CostIDs'!$C$5:$H$177,1+B914,FALSE)),2)</f>
        <v>3.98</v>
      </c>
      <c r="X914" s="103"/>
      <c r="Y914" s="103"/>
      <c r="Z914" s="103" t="s">
        <v>868</v>
      </c>
      <c r="AA914" s="103" t="s">
        <v>874</v>
      </c>
      <c r="AB914" s="103" t="s">
        <v>153</v>
      </c>
      <c r="AC914" s="103">
        <v>0</v>
      </c>
      <c r="AD914" s="156">
        <v>42005</v>
      </c>
      <c r="AE914" s="103"/>
      <c r="AF914" s="103" t="s">
        <v>870</v>
      </c>
      <c r="AG914" s="103" t="s">
        <v>871</v>
      </c>
      <c r="AH914" s="103" t="s">
        <v>976</v>
      </c>
      <c r="AI914" s="103">
        <v>0</v>
      </c>
      <c r="AJ914" s="103"/>
      <c r="AK914" s="103"/>
      <c r="AL914" s="103"/>
      <c r="AM914" s="103"/>
      <c r="AN914" s="103"/>
      <c r="AO914" s="103" t="str">
        <f t="shared" si="47"/>
        <v>Std_CFLscw-A(32w)_60pInc-r0248Two-pack</v>
      </c>
    </row>
    <row r="915" spans="1:41">
      <c r="A915" s="177">
        <f>IFERROR(MATCH(D915,'Measure &amp; Standard CostIDs'!C$5:C$177,0),MATCH(D915,'Measure &amp; Standard CostIDs'!S$5:S$177,0))</f>
        <v>89</v>
      </c>
      <c r="B915" s="177">
        <f t="shared" si="49"/>
        <v>3</v>
      </c>
      <c r="C915" s="103" t="s">
        <v>153</v>
      </c>
      <c r="D915" s="103" t="str">
        <f t="shared" si="48"/>
        <v>Std_CFLscw-A(40w)_60pInc-r0248</v>
      </c>
      <c r="E915" s="103" t="str">
        <f>IF(LEFT(D915,3)="Std","Base case cost for mix of 60% Incandescent and 40% CFL lamps for CFL TechID: "&amp;INDEX('Measure &amp; Standard CostIDs'!$C$5:$C$177,A915),"&lt;from TechID&gt;")</f>
        <v>Base case cost for mix of 60% Incandescent and 40% CFL lamps for CFL TechID: CFLscw-A(40w)</v>
      </c>
      <c r="F915" s="103" t="s">
        <v>860</v>
      </c>
      <c r="G915" s="103" t="s">
        <v>151</v>
      </c>
      <c r="H915" s="103" t="s">
        <v>861</v>
      </c>
      <c r="I915" s="103" t="s">
        <v>862</v>
      </c>
      <c r="J915" s="103" t="s">
        <v>863</v>
      </c>
      <c r="K915" s="103" t="s">
        <v>864</v>
      </c>
      <c r="L915" s="103" t="s">
        <v>153</v>
      </c>
      <c r="M915" s="103" t="s">
        <v>865</v>
      </c>
      <c r="N915" s="103" t="s">
        <v>866</v>
      </c>
      <c r="O915" s="103" t="str">
        <f t="shared" si="46"/>
        <v/>
      </c>
      <c r="P915" s="103" t="s">
        <v>153</v>
      </c>
      <c r="Q915" s="103" t="s">
        <v>153</v>
      </c>
      <c r="R915" s="103" t="s">
        <v>153</v>
      </c>
      <c r="S915" s="103" t="str">
        <f>INDEX('Measure &amp; Standard CostIDs'!$AK$8:$AK$12,B915)</f>
        <v>Two-pack</v>
      </c>
      <c r="T915" s="103" t="s">
        <v>867</v>
      </c>
      <c r="U915" s="103"/>
      <c r="V915" s="103"/>
      <c r="W915" s="103">
        <f>ROUND(IF(LEFT(D915,3)="Std",VLOOKUP(D915,'Measure &amp; Standard CostIDs'!$S$5:$X$177,1+B915,FALSE),VLOOKUP(D915,'Measure &amp; Standard CostIDs'!$C$5:$H$177,1+B915,FALSE)),2)</f>
        <v>4.5</v>
      </c>
      <c r="X915" s="103"/>
      <c r="Y915" s="103"/>
      <c r="Z915" s="103" t="s">
        <v>868</v>
      </c>
      <c r="AA915" s="103" t="s">
        <v>874</v>
      </c>
      <c r="AB915" s="103" t="s">
        <v>153</v>
      </c>
      <c r="AC915" s="103">
        <v>0</v>
      </c>
      <c r="AD915" s="156">
        <v>42005</v>
      </c>
      <c r="AE915" s="103"/>
      <c r="AF915" s="103" t="s">
        <v>870</v>
      </c>
      <c r="AG915" s="103" t="s">
        <v>871</v>
      </c>
      <c r="AH915" s="103" t="s">
        <v>976</v>
      </c>
      <c r="AI915" s="103">
        <v>0</v>
      </c>
      <c r="AJ915" s="103"/>
      <c r="AK915" s="103"/>
      <c r="AL915" s="103"/>
      <c r="AM915" s="103"/>
      <c r="AN915" s="103"/>
      <c r="AO915" s="103" t="str">
        <f t="shared" si="47"/>
        <v>Std_CFLscw-A(40w)_60pInc-r0248Two-pack</v>
      </c>
    </row>
    <row r="916" spans="1:41">
      <c r="A916" s="177">
        <f>IFERROR(MATCH(D916,'Measure &amp; Standard CostIDs'!C$5:C$177,0),MATCH(D916,'Measure &amp; Standard CostIDs'!S$5:S$177,0))</f>
        <v>90</v>
      </c>
      <c r="B916" s="177">
        <f t="shared" si="49"/>
        <v>3</v>
      </c>
      <c r="C916" s="103" t="s">
        <v>153</v>
      </c>
      <c r="D916" s="103" t="str">
        <f t="shared" si="48"/>
        <v>Std_CFLscw-A(42w)_60pInc-r0248</v>
      </c>
      <c r="E916" s="103" t="str">
        <f>IF(LEFT(D916,3)="Std","Base case cost for mix of 60% Incandescent and 40% CFL lamps for CFL TechID: "&amp;INDEX('Measure &amp; Standard CostIDs'!$C$5:$C$177,A916),"&lt;from TechID&gt;")</f>
        <v>Base case cost for mix of 60% Incandescent and 40% CFL lamps for CFL TechID: CFLscw-A(42w)</v>
      </c>
      <c r="F916" s="103" t="s">
        <v>860</v>
      </c>
      <c r="G916" s="103" t="s">
        <v>151</v>
      </c>
      <c r="H916" s="103" t="s">
        <v>861</v>
      </c>
      <c r="I916" s="103" t="s">
        <v>862</v>
      </c>
      <c r="J916" s="103" t="s">
        <v>863</v>
      </c>
      <c r="K916" s="103" t="s">
        <v>864</v>
      </c>
      <c r="L916" s="103" t="s">
        <v>153</v>
      </c>
      <c r="M916" s="103" t="s">
        <v>865</v>
      </c>
      <c r="N916" s="103" t="s">
        <v>866</v>
      </c>
      <c r="O916" s="103" t="str">
        <f t="shared" si="46"/>
        <v/>
      </c>
      <c r="P916" s="103" t="s">
        <v>153</v>
      </c>
      <c r="Q916" s="103" t="s">
        <v>153</v>
      </c>
      <c r="R916" s="103" t="s">
        <v>153</v>
      </c>
      <c r="S916" s="103" t="str">
        <f>INDEX('Measure &amp; Standard CostIDs'!$AK$8:$AK$12,B916)</f>
        <v>Two-pack</v>
      </c>
      <c r="T916" s="103" t="s">
        <v>867</v>
      </c>
      <c r="U916" s="103"/>
      <c r="V916" s="103"/>
      <c r="W916" s="103">
        <f>ROUND(IF(LEFT(D916,3)="Std",VLOOKUP(D916,'Measure &amp; Standard CostIDs'!$S$5:$X$177,1+B916,FALSE),VLOOKUP(D916,'Measure &amp; Standard CostIDs'!$C$5:$H$177,1+B916,FALSE)),2)</f>
        <v>4.63</v>
      </c>
      <c r="X916" s="103"/>
      <c r="Y916" s="103"/>
      <c r="Z916" s="103" t="s">
        <v>868</v>
      </c>
      <c r="AA916" s="103" t="s">
        <v>874</v>
      </c>
      <c r="AB916" s="103" t="s">
        <v>153</v>
      </c>
      <c r="AC916" s="103">
        <v>0</v>
      </c>
      <c r="AD916" s="156">
        <v>42005</v>
      </c>
      <c r="AE916" s="103"/>
      <c r="AF916" s="103" t="s">
        <v>870</v>
      </c>
      <c r="AG916" s="103" t="s">
        <v>871</v>
      </c>
      <c r="AH916" s="103" t="s">
        <v>976</v>
      </c>
      <c r="AI916" s="103">
        <v>0</v>
      </c>
      <c r="AJ916" s="103"/>
      <c r="AK916" s="103"/>
      <c r="AL916" s="103"/>
      <c r="AM916" s="103"/>
      <c r="AN916" s="103"/>
      <c r="AO916" s="103" t="str">
        <f t="shared" si="47"/>
        <v>Std_CFLscw-A(42w)_60pInc-r0248Two-pack</v>
      </c>
    </row>
    <row r="917" spans="1:41">
      <c r="A917" s="177">
        <f>IFERROR(MATCH(D917,'Measure &amp; Standard CostIDs'!C$5:C$177,0),MATCH(D917,'Measure &amp; Standard CostIDs'!S$5:S$177,0))</f>
        <v>93</v>
      </c>
      <c r="B917" s="177">
        <f t="shared" si="49"/>
        <v>3</v>
      </c>
      <c r="C917" s="103" t="s">
        <v>153</v>
      </c>
      <c r="D917" s="103" t="str">
        <f t="shared" si="48"/>
        <v>Std_CFLscw-A(7w)_60pInc-r0248</v>
      </c>
      <c r="E917" s="103" t="str">
        <f>IF(LEFT(D917,3)="Std","Base case cost for mix of 60% Incandescent and 40% CFL lamps for CFL TechID: "&amp;INDEX('Measure &amp; Standard CostIDs'!$C$5:$C$177,A917),"&lt;from TechID&gt;")</f>
        <v>Base case cost for mix of 60% Incandescent and 40% CFL lamps for CFL TechID: CFLscw-A(7w)</v>
      </c>
      <c r="F917" s="103" t="s">
        <v>860</v>
      </c>
      <c r="G917" s="103" t="s">
        <v>151</v>
      </c>
      <c r="H917" s="103" t="s">
        <v>861</v>
      </c>
      <c r="I917" s="103" t="s">
        <v>862</v>
      </c>
      <c r="J917" s="103" t="s">
        <v>863</v>
      </c>
      <c r="K917" s="103" t="s">
        <v>864</v>
      </c>
      <c r="L917" s="103" t="s">
        <v>153</v>
      </c>
      <c r="M917" s="103" t="s">
        <v>865</v>
      </c>
      <c r="N917" s="103" t="s">
        <v>866</v>
      </c>
      <c r="O917" s="103" t="str">
        <f t="shared" si="46"/>
        <v/>
      </c>
      <c r="P917" s="103" t="s">
        <v>153</v>
      </c>
      <c r="Q917" s="103" t="s">
        <v>153</v>
      </c>
      <c r="R917" s="103" t="s">
        <v>153</v>
      </c>
      <c r="S917" s="103" t="str">
        <f>INDEX('Measure &amp; Standard CostIDs'!$AK$8:$AK$12,B917)</f>
        <v>Two-pack</v>
      </c>
      <c r="T917" s="103" t="s">
        <v>867</v>
      </c>
      <c r="U917" s="103"/>
      <c r="V917" s="103"/>
      <c r="W917" s="103">
        <f>ROUND(IF(LEFT(D917,3)="Std",VLOOKUP(D917,'Measure &amp; Standard CostIDs'!$S$5:$X$177,1+B917,FALSE),VLOOKUP(D917,'Measure &amp; Standard CostIDs'!$C$5:$H$177,1+B917,FALSE)),2)</f>
        <v>2.8</v>
      </c>
      <c r="X917" s="103"/>
      <c r="Y917" s="103"/>
      <c r="Z917" s="103" t="s">
        <v>868</v>
      </c>
      <c r="AA917" s="103" t="s">
        <v>874</v>
      </c>
      <c r="AB917" s="103" t="s">
        <v>153</v>
      </c>
      <c r="AC917" s="103">
        <v>0</v>
      </c>
      <c r="AD917" s="156">
        <v>42005</v>
      </c>
      <c r="AE917" s="103"/>
      <c r="AF917" s="103" t="s">
        <v>870</v>
      </c>
      <c r="AG917" s="103" t="s">
        <v>871</v>
      </c>
      <c r="AH917" s="103" t="s">
        <v>976</v>
      </c>
      <c r="AI917" s="103">
        <v>0</v>
      </c>
      <c r="AJ917" s="103"/>
      <c r="AK917" s="103"/>
      <c r="AL917" s="103"/>
      <c r="AM917" s="103"/>
      <c r="AN917" s="103"/>
      <c r="AO917" s="103" t="str">
        <f t="shared" si="47"/>
        <v>Std_CFLscw-A(7w)_60pInc-r0248Two-pack</v>
      </c>
    </row>
    <row r="918" spans="1:41">
      <c r="A918" s="177">
        <f>IFERROR(MATCH(D918,'Measure &amp; Standard CostIDs'!C$5:C$177,0),MATCH(D918,'Measure &amp; Standard CostIDs'!S$5:S$177,0))</f>
        <v>94</v>
      </c>
      <c r="B918" s="177">
        <f t="shared" si="49"/>
        <v>3</v>
      </c>
      <c r="C918" s="103" t="s">
        <v>153</v>
      </c>
      <c r="D918" s="103" t="str">
        <f t="shared" si="48"/>
        <v>Std_CFLscw-A(8w)_60pInc-r0248</v>
      </c>
      <c r="E918" s="103" t="str">
        <f>IF(LEFT(D918,3)="Std","Base case cost for mix of 60% Incandescent and 40% CFL lamps for CFL TechID: "&amp;INDEX('Measure &amp; Standard CostIDs'!$C$5:$C$177,A918),"&lt;from TechID&gt;")</f>
        <v>Base case cost for mix of 60% Incandescent and 40% CFL lamps for CFL TechID: CFLscw-A(8w)</v>
      </c>
      <c r="F918" s="103" t="s">
        <v>860</v>
      </c>
      <c r="G918" s="103" t="s">
        <v>151</v>
      </c>
      <c r="H918" s="103" t="s">
        <v>861</v>
      </c>
      <c r="I918" s="103" t="s">
        <v>862</v>
      </c>
      <c r="J918" s="103" t="s">
        <v>863</v>
      </c>
      <c r="K918" s="103" t="s">
        <v>864</v>
      </c>
      <c r="L918" s="103" t="s">
        <v>153</v>
      </c>
      <c r="M918" s="103" t="s">
        <v>865</v>
      </c>
      <c r="N918" s="103" t="s">
        <v>866</v>
      </c>
      <c r="O918" s="103" t="str">
        <f t="shared" si="46"/>
        <v/>
      </c>
      <c r="P918" s="103" t="s">
        <v>153</v>
      </c>
      <c r="Q918" s="103" t="s">
        <v>153</v>
      </c>
      <c r="R918" s="103" t="s">
        <v>153</v>
      </c>
      <c r="S918" s="103" t="str">
        <f>INDEX('Measure &amp; Standard CostIDs'!$AK$8:$AK$12,B918)</f>
        <v>Two-pack</v>
      </c>
      <c r="T918" s="103" t="s">
        <v>867</v>
      </c>
      <c r="U918" s="103"/>
      <c r="V918" s="103"/>
      <c r="W918" s="103">
        <f>ROUND(IF(LEFT(D918,3)="Std",VLOOKUP(D918,'Measure &amp; Standard CostIDs'!$S$5:$X$177,1+B918,FALSE),VLOOKUP(D918,'Measure &amp; Standard CostIDs'!$C$5:$H$177,1+B918,FALSE)),2)</f>
        <v>2.82</v>
      </c>
      <c r="X918" s="103"/>
      <c r="Y918" s="103"/>
      <c r="Z918" s="103" t="s">
        <v>868</v>
      </c>
      <c r="AA918" s="103" t="s">
        <v>874</v>
      </c>
      <c r="AB918" s="103" t="s">
        <v>153</v>
      </c>
      <c r="AC918" s="103">
        <v>0</v>
      </c>
      <c r="AD918" s="156">
        <v>42005</v>
      </c>
      <c r="AE918" s="103"/>
      <c r="AF918" s="103" t="s">
        <v>870</v>
      </c>
      <c r="AG918" s="103" t="s">
        <v>871</v>
      </c>
      <c r="AH918" s="103" t="s">
        <v>976</v>
      </c>
      <c r="AI918" s="103">
        <v>0</v>
      </c>
      <c r="AJ918" s="103"/>
      <c r="AK918" s="103"/>
      <c r="AL918" s="103"/>
      <c r="AM918" s="103"/>
      <c r="AN918" s="103"/>
      <c r="AO918" s="103" t="str">
        <f t="shared" si="47"/>
        <v>Std_CFLscw-A(8w)_60pInc-r0248Two-pack</v>
      </c>
    </row>
    <row r="919" spans="1:41">
      <c r="A919" s="177">
        <f>IFERROR(MATCH(D919,'Measure &amp; Standard CostIDs'!C$5:C$177,0),MATCH(D919,'Measure &amp; Standard CostIDs'!S$5:S$177,0))</f>
        <v>95</v>
      </c>
      <c r="B919" s="177">
        <f t="shared" si="49"/>
        <v>3</v>
      </c>
      <c r="C919" s="103" t="s">
        <v>153</v>
      </c>
      <c r="D919" s="103" t="str">
        <f t="shared" si="48"/>
        <v>Std_CFLscw-A(9w)_60pInc-r0248</v>
      </c>
      <c r="E919" s="103" t="str">
        <f>IF(LEFT(D919,3)="Std","Base case cost for mix of 60% Incandescent and 40% CFL lamps for CFL TechID: "&amp;INDEX('Measure &amp; Standard CostIDs'!$C$5:$C$177,A919),"&lt;from TechID&gt;")</f>
        <v>Base case cost for mix of 60% Incandescent and 40% CFL lamps for CFL TechID: CFLscw-A(9w)</v>
      </c>
      <c r="F919" s="103" t="s">
        <v>860</v>
      </c>
      <c r="G919" s="103" t="s">
        <v>151</v>
      </c>
      <c r="H919" s="103" t="s">
        <v>861</v>
      </c>
      <c r="I919" s="103" t="s">
        <v>862</v>
      </c>
      <c r="J919" s="103" t="s">
        <v>863</v>
      </c>
      <c r="K919" s="103" t="s">
        <v>864</v>
      </c>
      <c r="L919" s="103" t="s">
        <v>153</v>
      </c>
      <c r="M919" s="103" t="s">
        <v>865</v>
      </c>
      <c r="N919" s="103" t="s">
        <v>866</v>
      </c>
      <c r="O919" s="103" t="str">
        <f t="shared" si="46"/>
        <v/>
      </c>
      <c r="P919" s="103" t="s">
        <v>153</v>
      </c>
      <c r="Q919" s="103" t="s">
        <v>153</v>
      </c>
      <c r="R919" s="103" t="s">
        <v>153</v>
      </c>
      <c r="S919" s="103" t="str">
        <f>INDEX('Measure &amp; Standard CostIDs'!$AK$8:$AK$12,B919)</f>
        <v>Two-pack</v>
      </c>
      <c r="T919" s="103" t="s">
        <v>867</v>
      </c>
      <c r="U919" s="103"/>
      <c r="V919" s="103"/>
      <c r="W919" s="103">
        <f>ROUND(IF(LEFT(D919,3)="Std",VLOOKUP(D919,'Measure &amp; Standard CostIDs'!$S$5:$X$177,1+B919,FALSE),VLOOKUP(D919,'Measure &amp; Standard CostIDs'!$C$5:$H$177,1+B919,FALSE)),2)</f>
        <v>2.85</v>
      </c>
      <c r="X919" s="103"/>
      <c r="Y919" s="103"/>
      <c r="Z919" s="103" t="s">
        <v>868</v>
      </c>
      <c r="AA919" s="103" t="s">
        <v>874</v>
      </c>
      <c r="AB919" s="103" t="s">
        <v>153</v>
      </c>
      <c r="AC919" s="103">
        <v>0</v>
      </c>
      <c r="AD919" s="156">
        <v>42005</v>
      </c>
      <c r="AE919" s="103"/>
      <c r="AF919" s="103" t="s">
        <v>870</v>
      </c>
      <c r="AG919" s="103" t="s">
        <v>871</v>
      </c>
      <c r="AH919" s="103" t="s">
        <v>976</v>
      </c>
      <c r="AI919" s="103">
        <v>0</v>
      </c>
      <c r="AJ919" s="103"/>
      <c r="AK919" s="103"/>
      <c r="AL919" s="103"/>
      <c r="AM919" s="103"/>
      <c r="AN919" s="103"/>
      <c r="AO919" s="103" t="str">
        <f t="shared" si="47"/>
        <v>Std_CFLscw-A(9w)_60pInc-r0248Two-pack</v>
      </c>
    </row>
    <row r="920" spans="1:41">
      <c r="A920" s="177">
        <f>IFERROR(MATCH(D920,'Measure &amp; Standard CostIDs'!C$5:C$177,0),MATCH(D920,'Measure &amp; Standard CostIDs'!S$5:S$177,0))</f>
        <v>96</v>
      </c>
      <c r="B920" s="177">
        <f t="shared" si="49"/>
        <v>3</v>
      </c>
      <c r="C920" s="103" t="s">
        <v>153</v>
      </c>
      <c r="D920" s="103" t="str">
        <f t="shared" si="48"/>
        <v>Std_CFLscw-Candle(10w)_60pInc-r0248</v>
      </c>
      <c r="E920" s="103" t="str">
        <f>IF(LEFT(D920,3)="Std","Base case cost for mix of 60% Incandescent and 40% CFL lamps for CFL TechID: "&amp;INDEX('Measure &amp; Standard CostIDs'!$C$5:$C$177,A920),"&lt;from TechID&gt;")</f>
        <v>Base case cost for mix of 60% Incandescent and 40% CFL lamps for CFL TechID: CFLscw-Candle(10w)</v>
      </c>
      <c r="F920" s="103" t="s">
        <v>860</v>
      </c>
      <c r="G920" s="103" t="s">
        <v>151</v>
      </c>
      <c r="H920" s="103" t="s">
        <v>861</v>
      </c>
      <c r="I920" s="103" t="s">
        <v>862</v>
      </c>
      <c r="J920" s="103" t="s">
        <v>863</v>
      </c>
      <c r="K920" s="103" t="s">
        <v>864</v>
      </c>
      <c r="L920" s="103" t="s">
        <v>153</v>
      </c>
      <c r="M920" s="103" t="s">
        <v>865</v>
      </c>
      <c r="N920" s="103" t="s">
        <v>866</v>
      </c>
      <c r="O920" s="103" t="str">
        <f t="shared" si="46"/>
        <v/>
      </c>
      <c r="P920" s="103" t="s">
        <v>153</v>
      </c>
      <c r="Q920" s="103" t="s">
        <v>153</v>
      </c>
      <c r="R920" s="103" t="s">
        <v>153</v>
      </c>
      <c r="S920" s="103" t="str">
        <f>INDEX('Measure &amp; Standard CostIDs'!$AK$8:$AK$12,B920)</f>
        <v>Two-pack</v>
      </c>
      <c r="T920" s="103" t="s">
        <v>867</v>
      </c>
      <c r="U920" s="103"/>
      <c r="V920" s="103"/>
      <c r="W920" s="103">
        <f>ROUND(IF(LEFT(D920,3)="Std",VLOOKUP(D920,'Measure &amp; Standard CostIDs'!$S$5:$X$177,1+B920,FALSE),VLOOKUP(D920,'Measure &amp; Standard CostIDs'!$C$5:$H$177,1+B920,FALSE)),2)</f>
        <v>3.57</v>
      </c>
      <c r="X920" s="103"/>
      <c r="Y920" s="103"/>
      <c r="Z920" s="103" t="s">
        <v>868</v>
      </c>
      <c r="AA920" s="103" t="s">
        <v>874</v>
      </c>
      <c r="AB920" s="103" t="s">
        <v>153</v>
      </c>
      <c r="AC920" s="103">
        <v>0</v>
      </c>
      <c r="AD920" s="156">
        <v>42005</v>
      </c>
      <c r="AE920" s="103"/>
      <c r="AF920" s="103" t="s">
        <v>870</v>
      </c>
      <c r="AG920" s="103" t="s">
        <v>871</v>
      </c>
      <c r="AH920" s="103" t="s">
        <v>976</v>
      </c>
      <c r="AI920" s="103">
        <v>0</v>
      </c>
      <c r="AJ920" s="103"/>
      <c r="AK920" s="103"/>
      <c r="AL920" s="103"/>
      <c r="AM920" s="103"/>
      <c r="AN920" s="103"/>
      <c r="AO920" s="103" t="str">
        <f t="shared" si="47"/>
        <v>Std_CFLscw-Candle(10w)_60pInc-r0248Two-pack</v>
      </c>
    </row>
    <row r="921" spans="1:41">
      <c r="A921" s="177">
        <f>IFERROR(MATCH(D921,'Measure &amp; Standard CostIDs'!C$5:C$177,0),MATCH(D921,'Measure &amp; Standard CostIDs'!S$5:S$177,0))</f>
        <v>97</v>
      </c>
      <c r="B921" s="177">
        <f t="shared" si="49"/>
        <v>3</v>
      </c>
      <c r="C921" s="103" t="s">
        <v>153</v>
      </c>
      <c r="D921" s="103" t="str">
        <f t="shared" si="48"/>
        <v>Std_CFLscw-Candle(11w)_60pInc-r0248</v>
      </c>
      <c r="E921" s="103" t="str">
        <f>IF(LEFT(D921,3)="Std","Base case cost for mix of 60% Incandescent and 40% CFL lamps for CFL TechID: "&amp;INDEX('Measure &amp; Standard CostIDs'!$C$5:$C$177,A921),"&lt;from TechID&gt;")</f>
        <v>Base case cost for mix of 60% Incandescent and 40% CFL lamps for CFL TechID: CFLscw-Candle(11w)</v>
      </c>
      <c r="F921" s="103" t="s">
        <v>860</v>
      </c>
      <c r="G921" s="103" t="s">
        <v>151</v>
      </c>
      <c r="H921" s="103" t="s">
        <v>861</v>
      </c>
      <c r="I921" s="103" t="s">
        <v>862</v>
      </c>
      <c r="J921" s="103" t="s">
        <v>863</v>
      </c>
      <c r="K921" s="103" t="s">
        <v>864</v>
      </c>
      <c r="L921" s="103" t="s">
        <v>153</v>
      </c>
      <c r="M921" s="103" t="s">
        <v>865</v>
      </c>
      <c r="N921" s="103" t="s">
        <v>866</v>
      </c>
      <c r="O921" s="103" t="str">
        <f t="shared" si="46"/>
        <v/>
      </c>
      <c r="P921" s="103" t="s">
        <v>153</v>
      </c>
      <c r="Q921" s="103" t="s">
        <v>153</v>
      </c>
      <c r="R921" s="103" t="s">
        <v>153</v>
      </c>
      <c r="S921" s="103" t="str">
        <f>INDEX('Measure &amp; Standard CostIDs'!$AK$8:$AK$12,B921)</f>
        <v>Two-pack</v>
      </c>
      <c r="T921" s="103" t="s">
        <v>867</v>
      </c>
      <c r="U921" s="103"/>
      <c r="V921" s="103"/>
      <c r="W921" s="103">
        <f>ROUND(IF(LEFT(D921,3)="Std",VLOOKUP(D921,'Measure &amp; Standard CostIDs'!$S$5:$X$177,1+B921,FALSE),VLOOKUP(D921,'Measure &amp; Standard CostIDs'!$C$5:$H$177,1+B921,FALSE)),2)</f>
        <v>3.65</v>
      </c>
      <c r="X921" s="103"/>
      <c r="Y921" s="103"/>
      <c r="Z921" s="103" t="s">
        <v>868</v>
      </c>
      <c r="AA921" s="103" t="s">
        <v>874</v>
      </c>
      <c r="AB921" s="103" t="s">
        <v>153</v>
      </c>
      <c r="AC921" s="103">
        <v>0</v>
      </c>
      <c r="AD921" s="156">
        <v>42005</v>
      </c>
      <c r="AE921" s="103"/>
      <c r="AF921" s="103" t="s">
        <v>870</v>
      </c>
      <c r="AG921" s="103" t="s">
        <v>871</v>
      </c>
      <c r="AH921" s="103" t="s">
        <v>976</v>
      </c>
      <c r="AI921" s="103">
        <v>0</v>
      </c>
      <c r="AJ921" s="103"/>
      <c r="AK921" s="103"/>
      <c r="AL921" s="103"/>
      <c r="AM921" s="103"/>
      <c r="AN921" s="103"/>
      <c r="AO921" s="103" t="str">
        <f t="shared" si="47"/>
        <v>Std_CFLscw-Candle(11w)_60pInc-r0248Two-pack</v>
      </c>
    </row>
    <row r="922" spans="1:41">
      <c r="A922" s="177">
        <f>IFERROR(MATCH(D922,'Measure &amp; Standard CostIDs'!C$5:C$177,0),MATCH(D922,'Measure &amp; Standard CostIDs'!S$5:S$177,0))</f>
        <v>98</v>
      </c>
      <c r="B922" s="177">
        <f t="shared" si="49"/>
        <v>3</v>
      </c>
      <c r="C922" s="103" t="s">
        <v>153</v>
      </c>
      <c r="D922" s="103" t="str">
        <f t="shared" si="48"/>
        <v>Std_CFLscw-Candle(12w)_60pInc-r0248</v>
      </c>
      <c r="E922" s="103" t="str">
        <f>IF(LEFT(D922,3)="Std","Base case cost for mix of 60% Incandescent and 40% CFL lamps for CFL TechID: "&amp;INDEX('Measure &amp; Standard CostIDs'!$C$5:$C$177,A922),"&lt;from TechID&gt;")</f>
        <v>Base case cost for mix of 60% Incandescent and 40% CFL lamps for CFL TechID: CFLscw-Candle(12w)</v>
      </c>
      <c r="F922" s="103" t="s">
        <v>860</v>
      </c>
      <c r="G922" s="103" t="s">
        <v>151</v>
      </c>
      <c r="H922" s="103" t="s">
        <v>861</v>
      </c>
      <c r="I922" s="103" t="s">
        <v>862</v>
      </c>
      <c r="J922" s="103" t="s">
        <v>863</v>
      </c>
      <c r="K922" s="103" t="s">
        <v>864</v>
      </c>
      <c r="L922" s="103" t="s">
        <v>153</v>
      </c>
      <c r="M922" s="103" t="s">
        <v>865</v>
      </c>
      <c r="N922" s="103" t="s">
        <v>866</v>
      </c>
      <c r="O922" s="103" t="str">
        <f t="shared" si="46"/>
        <v/>
      </c>
      <c r="P922" s="103" t="s">
        <v>153</v>
      </c>
      <c r="Q922" s="103" t="s">
        <v>153</v>
      </c>
      <c r="R922" s="103" t="s">
        <v>153</v>
      </c>
      <c r="S922" s="103" t="str">
        <f>INDEX('Measure &amp; Standard CostIDs'!$AK$8:$AK$12,B922)</f>
        <v>Two-pack</v>
      </c>
      <c r="T922" s="103" t="s">
        <v>867</v>
      </c>
      <c r="U922" s="103"/>
      <c r="V922" s="103"/>
      <c r="W922" s="103">
        <f>ROUND(IF(LEFT(D922,3)="Std",VLOOKUP(D922,'Measure &amp; Standard CostIDs'!$S$5:$X$177,1+B922,FALSE),VLOOKUP(D922,'Measure &amp; Standard CostIDs'!$C$5:$H$177,1+B922,FALSE)),2)</f>
        <v>3.73</v>
      </c>
      <c r="X922" s="103"/>
      <c r="Y922" s="103"/>
      <c r="Z922" s="103" t="s">
        <v>868</v>
      </c>
      <c r="AA922" s="103" t="s">
        <v>874</v>
      </c>
      <c r="AB922" s="103" t="s">
        <v>153</v>
      </c>
      <c r="AC922" s="103">
        <v>0</v>
      </c>
      <c r="AD922" s="156">
        <v>42005</v>
      </c>
      <c r="AE922" s="103"/>
      <c r="AF922" s="103" t="s">
        <v>870</v>
      </c>
      <c r="AG922" s="103" t="s">
        <v>871</v>
      </c>
      <c r="AH922" s="103" t="s">
        <v>976</v>
      </c>
      <c r="AI922" s="103">
        <v>0</v>
      </c>
      <c r="AJ922" s="103"/>
      <c r="AK922" s="103"/>
      <c r="AL922" s="103"/>
      <c r="AM922" s="103"/>
      <c r="AN922" s="103"/>
      <c r="AO922" s="103" t="str">
        <f t="shared" si="47"/>
        <v>Std_CFLscw-Candle(12w)_60pInc-r0248Two-pack</v>
      </c>
    </row>
    <row r="923" spans="1:41">
      <c r="A923" s="177">
        <f>IFERROR(MATCH(D923,'Measure &amp; Standard CostIDs'!C$5:C$177,0),MATCH(D923,'Measure &amp; Standard CostIDs'!S$5:S$177,0))</f>
        <v>99</v>
      </c>
      <c r="B923" s="177">
        <f t="shared" si="49"/>
        <v>3</v>
      </c>
      <c r="C923" s="103" t="s">
        <v>153</v>
      </c>
      <c r="D923" s="103" t="str">
        <f t="shared" si="48"/>
        <v>Std_CFLscw-Candle(13w)_60pInc-r0248</v>
      </c>
      <c r="E923" s="103" t="str">
        <f>IF(LEFT(D923,3)="Std","Base case cost for mix of 60% Incandescent and 40% CFL lamps for CFL TechID: "&amp;INDEX('Measure &amp; Standard CostIDs'!$C$5:$C$177,A923),"&lt;from TechID&gt;")</f>
        <v>Base case cost for mix of 60% Incandescent and 40% CFL lamps for CFL TechID: CFLscw-Candle(13w)</v>
      </c>
      <c r="F923" s="103" t="s">
        <v>860</v>
      </c>
      <c r="G923" s="103" t="s">
        <v>151</v>
      </c>
      <c r="H923" s="103" t="s">
        <v>861</v>
      </c>
      <c r="I923" s="103" t="s">
        <v>862</v>
      </c>
      <c r="J923" s="103" t="s">
        <v>863</v>
      </c>
      <c r="K923" s="103" t="s">
        <v>864</v>
      </c>
      <c r="L923" s="103" t="s">
        <v>153</v>
      </c>
      <c r="M923" s="103" t="s">
        <v>865</v>
      </c>
      <c r="N923" s="103" t="s">
        <v>866</v>
      </c>
      <c r="O923" s="103" t="str">
        <f t="shared" si="46"/>
        <v/>
      </c>
      <c r="P923" s="103" t="s">
        <v>153</v>
      </c>
      <c r="Q923" s="103" t="s">
        <v>153</v>
      </c>
      <c r="R923" s="103" t="s">
        <v>153</v>
      </c>
      <c r="S923" s="103" t="str">
        <f>INDEX('Measure &amp; Standard CostIDs'!$AK$8:$AK$12,B923)</f>
        <v>Two-pack</v>
      </c>
      <c r="T923" s="103" t="s">
        <v>867</v>
      </c>
      <c r="U923" s="103"/>
      <c r="V923" s="103"/>
      <c r="W923" s="103">
        <f>ROUND(IF(LEFT(D923,3)="Std",VLOOKUP(D923,'Measure &amp; Standard CostIDs'!$S$5:$X$177,1+B923,FALSE),VLOOKUP(D923,'Measure &amp; Standard CostIDs'!$C$5:$H$177,1+B923,FALSE)),2)</f>
        <v>3.81</v>
      </c>
      <c r="X923" s="103"/>
      <c r="Y923" s="103"/>
      <c r="Z923" s="103" t="s">
        <v>868</v>
      </c>
      <c r="AA923" s="103" t="s">
        <v>874</v>
      </c>
      <c r="AB923" s="103" t="s">
        <v>153</v>
      </c>
      <c r="AC923" s="103">
        <v>0</v>
      </c>
      <c r="AD923" s="156">
        <v>42005</v>
      </c>
      <c r="AE923" s="103"/>
      <c r="AF923" s="103" t="s">
        <v>870</v>
      </c>
      <c r="AG923" s="103" t="s">
        <v>871</v>
      </c>
      <c r="AH923" s="103" t="s">
        <v>976</v>
      </c>
      <c r="AI923" s="103">
        <v>0</v>
      </c>
      <c r="AJ923" s="103"/>
      <c r="AK923" s="103"/>
      <c r="AL923" s="103"/>
      <c r="AM923" s="103"/>
      <c r="AN923" s="103"/>
      <c r="AO923" s="103" t="str">
        <f t="shared" si="47"/>
        <v>Std_CFLscw-Candle(13w)_60pInc-r0248Two-pack</v>
      </c>
    </row>
    <row r="924" spans="1:41">
      <c r="A924" s="177">
        <f>IFERROR(MATCH(D924,'Measure &amp; Standard CostIDs'!C$5:C$177,0),MATCH(D924,'Measure &amp; Standard CostIDs'!S$5:S$177,0))</f>
        <v>100</v>
      </c>
      <c r="B924" s="177">
        <f t="shared" si="49"/>
        <v>3</v>
      </c>
      <c r="C924" s="103" t="s">
        <v>153</v>
      </c>
      <c r="D924" s="103" t="str">
        <f t="shared" si="48"/>
        <v>Std_CFLscw-Candle(14w)_60pInc-r0248</v>
      </c>
      <c r="E924" s="103" t="str">
        <f>IF(LEFT(D924,3)="Std","Base case cost for mix of 60% Incandescent and 40% CFL lamps for CFL TechID: "&amp;INDEX('Measure &amp; Standard CostIDs'!$C$5:$C$177,A924),"&lt;from TechID&gt;")</f>
        <v>Base case cost for mix of 60% Incandescent and 40% CFL lamps for CFL TechID: CFLscw-Candle(14w)</v>
      </c>
      <c r="F924" s="103" t="s">
        <v>860</v>
      </c>
      <c r="G924" s="103" t="s">
        <v>151</v>
      </c>
      <c r="H924" s="103" t="s">
        <v>861</v>
      </c>
      <c r="I924" s="103" t="s">
        <v>862</v>
      </c>
      <c r="J924" s="103" t="s">
        <v>863</v>
      </c>
      <c r="K924" s="103" t="s">
        <v>864</v>
      </c>
      <c r="L924" s="103" t="s">
        <v>153</v>
      </c>
      <c r="M924" s="103" t="s">
        <v>865</v>
      </c>
      <c r="N924" s="103" t="s">
        <v>866</v>
      </c>
      <c r="O924" s="103" t="str">
        <f t="shared" si="46"/>
        <v/>
      </c>
      <c r="P924" s="103" t="s">
        <v>153</v>
      </c>
      <c r="Q924" s="103" t="s">
        <v>153</v>
      </c>
      <c r="R924" s="103" t="s">
        <v>153</v>
      </c>
      <c r="S924" s="103" t="str">
        <f>INDEX('Measure &amp; Standard CostIDs'!$AK$8:$AK$12,B924)</f>
        <v>Two-pack</v>
      </c>
      <c r="T924" s="103" t="s">
        <v>867</v>
      </c>
      <c r="U924" s="103"/>
      <c r="V924" s="103"/>
      <c r="W924" s="103">
        <f>ROUND(IF(LEFT(D924,3)="Std",VLOOKUP(D924,'Measure &amp; Standard CostIDs'!$S$5:$X$177,1+B924,FALSE),VLOOKUP(D924,'Measure &amp; Standard CostIDs'!$C$5:$H$177,1+B924,FALSE)),2)</f>
        <v>3.9</v>
      </c>
      <c r="X924" s="103"/>
      <c r="Y924" s="103"/>
      <c r="Z924" s="103" t="s">
        <v>868</v>
      </c>
      <c r="AA924" s="103" t="s">
        <v>874</v>
      </c>
      <c r="AB924" s="103" t="s">
        <v>153</v>
      </c>
      <c r="AC924" s="103">
        <v>0</v>
      </c>
      <c r="AD924" s="156">
        <v>42005</v>
      </c>
      <c r="AE924" s="103"/>
      <c r="AF924" s="103" t="s">
        <v>870</v>
      </c>
      <c r="AG924" s="103" t="s">
        <v>871</v>
      </c>
      <c r="AH924" s="103" t="s">
        <v>976</v>
      </c>
      <c r="AI924" s="103">
        <v>0</v>
      </c>
      <c r="AJ924" s="103"/>
      <c r="AK924" s="103"/>
      <c r="AL924" s="103"/>
      <c r="AM924" s="103"/>
      <c r="AN924" s="103"/>
      <c r="AO924" s="103" t="str">
        <f t="shared" si="47"/>
        <v>Std_CFLscw-Candle(14w)_60pInc-r0248Two-pack</v>
      </c>
    </row>
    <row r="925" spans="1:41">
      <c r="A925" s="177">
        <f>IFERROR(MATCH(D925,'Measure &amp; Standard CostIDs'!C$5:C$177,0),MATCH(D925,'Measure &amp; Standard CostIDs'!S$5:S$177,0))</f>
        <v>101</v>
      </c>
      <c r="B925" s="177">
        <f t="shared" si="49"/>
        <v>3</v>
      </c>
      <c r="C925" s="103" t="s">
        <v>153</v>
      </c>
      <c r="D925" s="103" t="str">
        <f t="shared" si="48"/>
        <v>Std_CFLscw-Candle(15w)_60pInc-r0248</v>
      </c>
      <c r="E925" s="103" t="str">
        <f>IF(LEFT(D925,3)="Std","Base case cost for mix of 60% Incandescent and 40% CFL lamps for CFL TechID: "&amp;INDEX('Measure &amp; Standard CostIDs'!$C$5:$C$177,A925),"&lt;from TechID&gt;")</f>
        <v>Base case cost for mix of 60% Incandescent and 40% CFL lamps for CFL TechID: CFLscw-Candle(15w)</v>
      </c>
      <c r="F925" s="103" t="s">
        <v>860</v>
      </c>
      <c r="G925" s="103" t="s">
        <v>151</v>
      </c>
      <c r="H925" s="103" t="s">
        <v>861</v>
      </c>
      <c r="I925" s="103" t="s">
        <v>862</v>
      </c>
      <c r="J925" s="103" t="s">
        <v>863</v>
      </c>
      <c r="K925" s="103" t="s">
        <v>864</v>
      </c>
      <c r="L925" s="103" t="s">
        <v>153</v>
      </c>
      <c r="M925" s="103" t="s">
        <v>865</v>
      </c>
      <c r="N925" s="103" t="s">
        <v>866</v>
      </c>
      <c r="O925" s="103" t="str">
        <f t="shared" si="46"/>
        <v/>
      </c>
      <c r="P925" s="103" t="s">
        <v>153</v>
      </c>
      <c r="Q925" s="103" t="s">
        <v>153</v>
      </c>
      <c r="R925" s="103" t="s">
        <v>153</v>
      </c>
      <c r="S925" s="103" t="str">
        <f>INDEX('Measure &amp; Standard CostIDs'!$AK$8:$AK$12,B925)</f>
        <v>Two-pack</v>
      </c>
      <c r="T925" s="103" t="s">
        <v>867</v>
      </c>
      <c r="U925" s="103"/>
      <c r="V925" s="103"/>
      <c r="W925" s="103">
        <f>ROUND(IF(LEFT(D925,3)="Std",VLOOKUP(D925,'Measure &amp; Standard CostIDs'!$S$5:$X$177,1+B925,FALSE),VLOOKUP(D925,'Measure &amp; Standard CostIDs'!$C$5:$H$177,1+B925,FALSE)),2)</f>
        <v>3.98</v>
      </c>
      <c r="X925" s="103"/>
      <c r="Y925" s="103"/>
      <c r="Z925" s="103" t="s">
        <v>868</v>
      </c>
      <c r="AA925" s="103" t="s">
        <v>874</v>
      </c>
      <c r="AB925" s="103" t="s">
        <v>153</v>
      </c>
      <c r="AC925" s="103">
        <v>0</v>
      </c>
      <c r="AD925" s="156">
        <v>42005</v>
      </c>
      <c r="AE925" s="103"/>
      <c r="AF925" s="103" t="s">
        <v>870</v>
      </c>
      <c r="AG925" s="103" t="s">
        <v>871</v>
      </c>
      <c r="AH925" s="103" t="s">
        <v>976</v>
      </c>
      <c r="AI925" s="103">
        <v>0</v>
      </c>
      <c r="AJ925" s="103"/>
      <c r="AK925" s="103"/>
      <c r="AL925" s="103"/>
      <c r="AM925" s="103"/>
      <c r="AN925" s="103"/>
      <c r="AO925" s="103" t="str">
        <f t="shared" si="47"/>
        <v>Std_CFLscw-Candle(15w)_60pInc-r0248Two-pack</v>
      </c>
    </row>
    <row r="926" spans="1:41">
      <c r="A926" s="177">
        <f>IFERROR(MATCH(D926,'Measure &amp; Standard CostIDs'!C$5:C$177,0),MATCH(D926,'Measure &amp; Standard CostIDs'!S$5:S$177,0))</f>
        <v>102</v>
      </c>
      <c r="B926" s="177">
        <f t="shared" si="49"/>
        <v>3</v>
      </c>
      <c r="C926" s="103" t="s">
        <v>153</v>
      </c>
      <c r="D926" s="103" t="str">
        <f t="shared" si="48"/>
        <v>Std_CFLscw-Candle(7w)_60pInc-r0248</v>
      </c>
      <c r="E926" s="103" t="str">
        <f>IF(LEFT(D926,3)="Std","Base case cost for mix of 60% Incandescent and 40% CFL lamps for CFL TechID: "&amp;INDEX('Measure &amp; Standard CostIDs'!$C$5:$C$177,A926),"&lt;from TechID&gt;")</f>
        <v>Base case cost for mix of 60% Incandescent and 40% CFL lamps for CFL TechID: CFLscw-Candle(7w)</v>
      </c>
      <c r="F926" s="103" t="s">
        <v>860</v>
      </c>
      <c r="G926" s="103" t="s">
        <v>151</v>
      </c>
      <c r="H926" s="103" t="s">
        <v>861</v>
      </c>
      <c r="I926" s="103" t="s">
        <v>862</v>
      </c>
      <c r="J926" s="103" t="s">
        <v>863</v>
      </c>
      <c r="K926" s="103" t="s">
        <v>864</v>
      </c>
      <c r="L926" s="103" t="s">
        <v>153</v>
      </c>
      <c r="M926" s="103" t="s">
        <v>865</v>
      </c>
      <c r="N926" s="103" t="s">
        <v>866</v>
      </c>
      <c r="O926" s="103" t="str">
        <f t="shared" si="46"/>
        <v/>
      </c>
      <c r="P926" s="103" t="s">
        <v>153</v>
      </c>
      <c r="Q926" s="103" t="s">
        <v>153</v>
      </c>
      <c r="R926" s="103" t="s">
        <v>153</v>
      </c>
      <c r="S926" s="103" t="str">
        <f>INDEX('Measure &amp; Standard CostIDs'!$AK$8:$AK$12,B926)</f>
        <v>Two-pack</v>
      </c>
      <c r="T926" s="103" t="s">
        <v>867</v>
      </c>
      <c r="U926" s="103"/>
      <c r="V926" s="103"/>
      <c r="W926" s="103">
        <f>ROUND(IF(LEFT(D926,3)="Std",VLOOKUP(D926,'Measure &amp; Standard CostIDs'!$S$5:$X$177,1+B926,FALSE),VLOOKUP(D926,'Measure &amp; Standard CostIDs'!$C$5:$H$177,1+B926,FALSE)),2)</f>
        <v>3.33</v>
      </c>
      <c r="X926" s="103"/>
      <c r="Y926" s="103"/>
      <c r="Z926" s="103" t="s">
        <v>868</v>
      </c>
      <c r="AA926" s="103" t="s">
        <v>874</v>
      </c>
      <c r="AB926" s="103" t="s">
        <v>153</v>
      </c>
      <c r="AC926" s="103">
        <v>0</v>
      </c>
      <c r="AD926" s="156">
        <v>42005</v>
      </c>
      <c r="AE926" s="103"/>
      <c r="AF926" s="103" t="s">
        <v>870</v>
      </c>
      <c r="AG926" s="103" t="s">
        <v>871</v>
      </c>
      <c r="AH926" s="103" t="s">
        <v>976</v>
      </c>
      <c r="AI926" s="103">
        <v>0</v>
      </c>
      <c r="AJ926" s="103"/>
      <c r="AK926" s="103"/>
      <c r="AL926" s="103"/>
      <c r="AM926" s="103"/>
      <c r="AN926" s="103"/>
      <c r="AO926" s="103" t="str">
        <f t="shared" si="47"/>
        <v>Std_CFLscw-Candle(7w)_60pInc-r0248Two-pack</v>
      </c>
    </row>
    <row r="927" spans="1:41">
      <c r="A927" s="177">
        <f>IFERROR(MATCH(D927,'Measure &amp; Standard CostIDs'!C$5:C$177,0),MATCH(D927,'Measure &amp; Standard CostIDs'!S$5:S$177,0))</f>
        <v>103</v>
      </c>
      <c r="B927" s="177">
        <f t="shared" si="49"/>
        <v>3</v>
      </c>
      <c r="C927" s="103" t="s">
        <v>153</v>
      </c>
      <c r="D927" s="103" t="str">
        <f t="shared" si="48"/>
        <v>Std_CFLscw-Candle(8w)_60pInc-r0248</v>
      </c>
      <c r="E927" s="103" t="str">
        <f>IF(LEFT(D927,3)="Std","Base case cost for mix of 60% Incandescent and 40% CFL lamps for CFL TechID: "&amp;INDEX('Measure &amp; Standard CostIDs'!$C$5:$C$177,A927),"&lt;from TechID&gt;")</f>
        <v>Base case cost for mix of 60% Incandescent and 40% CFL lamps for CFL TechID: CFLscw-Candle(8w)</v>
      </c>
      <c r="F927" s="103" t="s">
        <v>860</v>
      </c>
      <c r="G927" s="103" t="s">
        <v>151</v>
      </c>
      <c r="H927" s="103" t="s">
        <v>861</v>
      </c>
      <c r="I927" s="103" t="s">
        <v>862</v>
      </c>
      <c r="J927" s="103" t="s">
        <v>863</v>
      </c>
      <c r="K927" s="103" t="s">
        <v>864</v>
      </c>
      <c r="L927" s="103" t="s">
        <v>153</v>
      </c>
      <c r="M927" s="103" t="s">
        <v>865</v>
      </c>
      <c r="N927" s="103" t="s">
        <v>866</v>
      </c>
      <c r="O927" s="103" t="str">
        <f t="shared" si="46"/>
        <v/>
      </c>
      <c r="P927" s="103" t="s">
        <v>153</v>
      </c>
      <c r="Q927" s="103" t="s">
        <v>153</v>
      </c>
      <c r="R927" s="103" t="s">
        <v>153</v>
      </c>
      <c r="S927" s="103" t="str">
        <f>INDEX('Measure &amp; Standard CostIDs'!$AK$8:$AK$12,B927)</f>
        <v>Two-pack</v>
      </c>
      <c r="T927" s="103" t="s">
        <v>867</v>
      </c>
      <c r="U927" s="103"/>
      <c r="V927" s="103"/>
      <c r="W927" s="103">
        <f>ROUND(IF(LEFT(D927,3)="Std",VLOOKUP(D927,'Measure &amp; Standard CostIDs'!$S$5:$X$177,1+B927,FALSE),VLOOKUP(D927,'Measure &amp; Standard CostIDs'!$C$5:$H$177,1+B927,FALSE)),2)</f>
        <v>3.41</v>
      </c>
      <c r="X927" s="103"/>
      <c r="Y927" s="103"/>
      <c r="Z927" s="103" t="s">
        <v>868</v>
      </c>
      <c r="AA927" s="103" t="s">
        <v>874</v>
      </c>
      <c r="AB927" s="103" t="s">
        <v>153</v>
      </c>
      <c r="AC927" s="103">
        <v>0</v>
      </c>
      <c r="AD927" s="156">
        <v>42005</v>
      </c>
      <c r="AE927" s="103"/>
      <c r="AF927" s="103" t="s">
        <v>870</v>
      </c>
      <c r="AG927" s="103" t="s">
        <v>871</v>
      </c>
      <c r="AH927" s="103" t="s">
        <v>976</v>
      </c>
      <c r="AI927" s="103">
        <v>0</v>
      </c>
      <c r="AJ927" s="103"/>
      <c r="AK927" s="103"/>
      <c r="AL927" s="103"/>
      <c r="AM927" s="103"/>
      <c r="AN927" s="103"/>
      <c r="AO927" s="103" t="str">
        <f t="shared" si="47"/>
        <v>Std_CFLscw-Candle(8w)_60pInc-r0248Two-pack</v>
      </c>
    </row>
    <row r="928" spans="1:41">
      <c r="A928" s="177">
        <f>IFERROR(MATCH(D928,'Measure &amp; Standard CostIDs'!C$5:C$177,0),MATCH(D928,'Measure &amp; Standard CostIDs'!S$5:S$177,0))</f>
        <v>104</v>
      </c>
      <c r="B928" s="177">
        <f t="shared" si="49"/>
        <v>3</v>
      </c>
      <c r="C928" s="103" t="s">
        <v>153</v>
      </c>
      <c r="D928" s="103" t="str">
        <f t="shared" si="48"/>
        <v>Std_CFLscw-Candle(9w)_60pInc-r0248</v>
      </c>
      <c r="E928" s="103" t="str">
        <f>IF(LEFT(D928,3)="Std","Base case cost for mix of 60% Incandescent and 40% CFL lamps for CFL TechID: "&amp;INDEX('Measure &amp; Standard CostIDs'!$C$5:$C$177,A928),"&lt;from TechID&gt;")</f>
        <v>Base case cost for mix of 60% Incandescent and 40% CFL lamps for CFL TechID: CFLscw-Candle(9w)</v>
      </c>
      <c r="F928" s="103" t="s">
        <v>860</v>
      </c>
      <c r="G928" s="103" t="s">
        <v>151</v>
      </c>
      <c r="H928" s="103" t="s">
        <v>861</v>
      </c>
      <c r="I928" s="103" t="s">
        <v>862</v>
      </c>
      <c r="J928" s="103" t="s">
        <v>863</v>
      </c>
      <c r="K928" s="103" t="s">
        <v>864</v>
      </c>
      <c r="L928" s="103" t="s">
        <v>153</v>
      </c>
      <c r="M928" s="103" t="s">
        <v>865</v>
      </c>
      <c r="N928" s="103" t="s">
        <v>866</v>
      </c>
      <c r="O928" s="103" t="str">
        <f t="shared" si="46"/>
        <v/>
      </c>
      <c r="P928" s="103" t="s">
        <v>153</v>
      </c>
      <c r="Q928" s="103" t="s">
        <v>153</v>
      </c>
      <c r="R928" s="103" t="s">
        <v>153</v>
      </c>
      <c r="S928" s="103" t="str">
        <f>INDEX('Measure &amp; Standard CostIDs'!$AK$8:$AK$12,B928)</f>
        <v>Two-pack</v>
      </c>
      <c r="T928" s="103" t="s">
        <v>867</v>
      </c>
      <c r="U928" s="103"/>
      <c r="V928" s="103"/>
      <c r="W928" s="103">
        <f>ROUND(IF(LEFT(D928,3)="Std",VLOOKUP(D928,'Measure &amp; Standard CostIDs'!$S$5:$X$177,1+B928,FALSE),VLOOKUP(D928,'Measure &amp; Standard CostIDs'!$C$5:$H$177,1+B928,FALSE)),2)</f>
        <v>3.49</v>
      </c>
      <c r="X928" s="103"/>
      <c r="Y928" s="103"/>
      <c r="Z928" s="103" t="s">
        <v>868</v>
      </c>
      <c r="AA928" s="103" t="s">
        <v>874</v>
      </c>
      <c r="AB928" s="103" t="s">
        <v>153</v>
      </c>
      <c r="AC928" s="103">
        <v>0</v>
      </c>
      <c r="AD928" s="156">
        <v>42005</v>
      </c>
      <c r="AE928" s="103"/>
      <c r="AF928" s="103" t="s">
        <v>870</v>
      </c>
      <c r="AG928" s="103" t="s">
        <v>871</v>
      </c>
      <c r="AH928" s="103" t="s">
        <v>976</v>
      </c>
      <c r="AI928" s="103">
        <v>0</v>
      </c>
      <c r="AJ928" s="103"/>
      <c r="AK928" s="103"/>
      <c r="AL928" s="103"/>
      <c r="AM928" s="103"/>
      <c r="AN928" s="103"/>
      <c r="AO928" s="103" t="str">
        <f t="shared" si="47"/>
        <v>Std_CFLscw-Candle(9w)_60pInc-r0248Two-pack</v>
      </c>
    </row>
    <row r="929" spans="1:41">
      <c r="A929" s="177">
        <f>IFERROR(MATCH(D929,'Measure &amp; Standard CostIDs'!C$5:C$177,0),MATCH(D929,'Measure &amp; Standard CostIDs'!S$5:S$177,0))</f>
        <v>105</v>
      </c>
      <c r="B929" s="177">
        <f t="shared" si="49"/>
        <v>3</v>
      </c>
      <c r="C929" s="103" t="s">
        <v>153</v>
      </c>
      <c r="D929" s="103" t="str">
        <f t="shared" si="48"/>
        <v>Std_CFLscw-Dim(10w)_60pInc-r0248</v>
      </c>
      <c r="E929" s="103" t="str">
        <f>IF(LEFT(D929,3)="Std","Base case cost for mix of 60% Incandescent and 40% CFL lamps for CFL TechID: "&amp;INDEX('Measure &amp; Standard CostIDs'!$C$5:$C$177,A929),"&lt;from TechID&gt;")</f>
        <v>Base case cost for mix of 60% Incandescent and 40% CFL lamps for CFL TechID: CFLscw-Dim(10w)</v>
      </c>
      <c r="F929" s="103" t="s">
        <v>860</v>
      </c>
      <c r="G929" s="103" t="s">
        <v>151</v>
      </c>
      <c r="H929" s="103" t="s">
        <v>861</v>
      </c>
      <c r="I929" s="103" t="s">
        <v>862</v>
      </c>
      <c r="J929" s="103" t="s">
        <v>863</v>
      </c>
      <c r="K929" s="103" t="s">
        <v>864</v>
      </c>
      <c r="L929" s="103" t="s">
        <v>153</v>
      </c>
      <c r="M929" s="103" t="s">
        <v>865</v>
      </c>
      <c r="N929" s="103" t="s">
        <v>866</v>
      </c>
      <c r="O929" s="103" t="str">
        <f t="shared" si="46"/>
        <v/>
      </c>
      <c r="P929" s="103" t="s">
        <v>153</v>
      </c>
      <c r="Q929" s="103" t="s">
        <v>153</v>
      </c>
      <c r="R929" s="103" t="s">
        <v>153</v>
      </c>
      <c r="S929" s="103" t="str">
        <f>INDEX('Measure &amp; Standard CostIDs'!$AK$8:$AK$12,B929)</f>
        <v>Two-pack</v>
      </c>
      <c r="T929" s="103" t="s">
        <v>867</v>
      </c>
      <c r="U929" s="103"/>
      <c r="V929" s="103"/>
      <c r="W929" s="103">
        <f>ROUND(IF(LEFT(D929,3)="Std",VLOOKUP(D929,'Measure &amp; Standard CostIDs'!$S$5:$X$177,1+B929,FALSE),VLOOKUP(D929,'Measure &amp; Standard CostIDs'!$C$5:$H$177,1+B929,FALSE)),2)</f>
        <v>4.49</v>
      </c>
      <c r="X929" s="103"/>
      <c r="Y929" s="103"/>
      <c r="Z929" s="103" t="s">
        <v>868</v>
      </c>
      <c r="AA929" s="103" t="s">
        <v>874</v>
      </c>
      <c r="AB929" s="103" t="s">
        <v>153</v>
      </c>
      <c r="AC929" s="103">
        <v>0</v>
      </c>
      <c r="AD929" s="156">
        <v>42005</v>
      </c>
      <c r="AE929" s="103"/>
      <c r="AF929" s="103" t="s">
        <v>870</v>
      </c>
      <c r="AG929" s="103" t="s">
        <v>871</v>
      </c>
      <c r="AH929" s="103" t="s">
        <v>976</v>
      </c>
      <c r="AI929" s="103">
        <v>0</v>
      </c>
      <c r="AJ929" s="103"/>
      <c r="AK929" s="103"/>
      <c r="AL929" s="103"/>
      <c r="AM929" s="103"/>
      <c r="AN929" s="103"/>
      <c r="AO929" s="103" t="str">
        <f t="shared" si="47"/>
        <v>Std_CFLscw-Dim(10w)_60pInc-r0248Two-pack</v>
      </c>
    </row>
    <row r="930" spans="1:41">
      <c r="A930" s="177">
        <f>IFERROR(MATCH(D930,'Measure &amp; Standard CostIDs'!C$5:C$177,0),MATCH(D930,'Measure &amp; Standard CostIDs'!S$5:S$177,0))</f>
        <v>106</v>
      </c>
      <c r="B930" s="177">
        <f t="shared" si="49"/>
        <v>3</v>
      </c>
      <c r="C930" s="103" t="s">
        <v>153</v>
      </c>
      <c r="D930" s="103" t="str">
        <f t="shared" si="48"/>
        <v>Std_CFLscw-Dim(11w)_60pInc-r0248</v>
      </c>
      <c r="E930" s="103" t="str">
        <f>IF(LEFT(D930,3)="Std","Base case cost for mix of 60% Incandescent and 40% CFL lamps for CFL TechID: "&amp;INDEX('Measure &amp; Standard CostIDs'!$C$5:$C$177,A930),"&lt;from TechID&gt;")</f>
        <v>Base case cost for mix of 60% Incandescent and 40% CFL lamps for CFL TechID: CFLscw-Dim(11w)</v>
      </c>
      <c r="F930" s="103" t="s">
        <v>860</v>
      </c>
      <c r="G930" s="103" t="s">
        <v>151</v>
      </c>
      <c r="H930" s="103" t="s">
        <v>861</v>
      </c>
      <c r="I930" s="103" t="s">
        <v>862</v>
      </c>
      <c r="J930" s="103" t="s">
        <v>863</v>
      </c>
      <c r="K930" s="103" t="s">
        <v>864</v>
      </c>
      <c r="L930" s="103" t="s">
        <v>153</v>
      </c>
      <c r="M930" s="103" t="s">
        <v>865</v>
      </c>
      <c r="N930" s="103" t="s">
        <v>866</v>
      </c>
      <c r="O930" s="103" t="str">
        <f t="shared" si="46"/>
        <v/>
      </c>
      <c r="P930" s="103" t="s">
        <v>153</v>
      </c>
      <c r="Q930" s="103" t="s">
        <v>153</v>
      </c>
      <c r="R930" s="103" t="s">
        <v>153</v>
      </c>
      <c r="S930" s="103" t="str">
        <f>INDEX('Measure &amp; Standard CostIDs'!$AK$8:$AK$12,B930)</f>
        <v>Two-pack</v>
      </c>
      <c r="T930" s="103" t="s">
        <v>867</v>
      </c>
      <c r="U930" s="103"/>
      <c r="V930" s="103"/>
      <c r="W930" s="103">
        <f>ROUND(IF(LEFT(D930,3)="Std",VLOOKUP(D930,'Measure &amp; Standard CostIDs'!$S$5:$X$177,1+B930,FALSE),VLOOKUP(D930,'Measure &amp; Standard CostIDs'!$C$5:$H$177,1+B930,FALSE)),2)</f>
        <v>4.53</v>
      </c>
      <c r="X930" s="103"/>
      <c r="Y930" s="103"/>
      <c r="Z930" s="103" t="s">
        <v>868</v>
      </c>
      <c r="AA930" s="103" t="s">
        <v>874</v>
      </c>
      <c r="AB930" s="103" t="s">
        <v>153</v>
      </c>
      <c r="AC930" s="103">
        <v>0</v>
      </c>
      <c r="AD930" s="156">
        <v>42005</v>
      </c>
      <c r="AE930" s="103"/>
      <c r="AF930" s="103" t="s">
        <v>870</v>
      </c>
      <c r="AG930" s="103" t="s">
        <v>871</v>
      </c>
      <c r="AH930" s="103" t="s">
        <v>976</v>
      </c>
      <c r="AI930" s="103">
        <v>0</v>
      </c>
      <c r="AJ930" s="103"/>
      <c r="AK930" s="103"/>
      <c r="AL930" s="103"/>
      <c r="AM930" s="103"/>
      <c r="AN930" s="103"/>
      <c r="AO930" s="103" t="str">
        <f t="shared" si="47"/>
        <v>Std_CFLscw-Dim(11w)_60pInc-r0248Two-pack</v>
      </c>
    </row>
    <row r="931" spans="1:41">
      <c r="A931" s="177">
        <f>IFERROR(MATCH(D931,'Measure &amp; Standard CostIDs'!C$5:C$177,0),MATCH(D931,'Measure &amp; Standard CostIDs'!S$5:S$177,0))</f>
        <v>107</v>
      </c>
      <c r="B931" s="177">
        <f t="shared" si="49"/>
        <v>3</v>
      </c>
      <c r="C931" s="103" t="s">
        <v>153</v>
      </c>
      <c r="D931" s="103" t="str">
        <f t="shared" si="48"/>
        <v>Std_CFLscw-Dim(14w)_60pInc-r0248</v>
      </c>
      <c r="E931" s="103" t="str">
        <f>IF(LEFT(D931,3)="Std","Base case cost for mix of 60% Incandescent and 40% CFL lamps for CFL TechID: "&amp;INDEX('Measure &amp; Standard CostIDs'!$C$5:$C$177,A931),"&lt;from TechID&gt;")</f>
        <v>Base case cost for mix of 60% Incandescent and 40% CFL lamps for CFL TechID: CFLscw-Dim(14w)</v>
      </c>
      <c r="F931" s="103" t="s">
        <v>860</v>
      </c>
      <c r="G931" s="103" t="s">
        <v>151</v>
      </c>
      <c r="H931" s="103" t="s">
        <v>861</v>
      </c>
      <c r="I931" s="103" t="s">
        <v>862</v>
      </c>
      <c r="J931" s="103" t="s">
        <v>863</v>
      </c>
      <c r="K931" s="103" t="s">
        <v>864</v>
      </c>
      <c r="L931" s="103" t="s">
        <v>153</v>
      </c>
      <c r="M931" s="103" t="s">
        <v>865</v>
      </c>
      <c r="N931" s="103" t="s">
        <v>866</v>
      </c>
      <c r="O931" s="103" t="str">
        <f t="shared" si="46"/>
        <v/>
      </c>
      <c r="P931" s="103" t="s">
        <v>153</v>
      </c>
      <c r="Q931" s="103" t="s">
        <v>153</v>
      </c>
      <c r="R931" s="103" t="s">
        <v>153</v>
      </c>
      <c r="S931" s="103" t="str">
        <f>INDEX('Measure &amp; Standard CostIDs'!$AK$8:$AK$12,B931)</f>
        <v>Two-pack</v>
      </c>
      <c r="T931" s="103" t="s">
        <v>867</v>
      </c>
      <c r="U931" s="103"/>
      <c r="V931" s="103"/>
      <c r="W931" s="103">
        <f>ROUND(IF(LEFT(D931,3)="Std",VLOOKUP(D931,'Measure &amp; Standard CostIDs'!$S$5:$X$177,1+B931,FALSE),VLOOKUP(D931,'Measure &amp; Standard CostIDs'!$C$5:$H$177,1+B931,FALSE)),2)</f>
        <v>4.67</v>
      </c>
      <c r="X931" s="103"/>
      <c r="Y931" s="103"/>
      <c r="Z931" s="103" t="s">
        <v>868</v>
      </c>
      <c r="AA931" s="103" t="s">
        <v>874</v>
      </c>
      <c r="AB931" s="103" t="s">
        <v>153</v>
      </c>
      <c r="AC931" s="103">
        <v>0</v>
      </c>
      <c r="AD931" s="156">
        <v>42005</v>
      </c>
      <c r="AE931" s="103"/>
      <c r="AF931" s="103" t="s">
        <v>870</v>
      </c>
      <c r="AG931" s="103" t="s">
        <v>871</v>
      </c>
      <c r="AH931" s="103" t="s">
        <v>976</v>
      </c>
      <c r="AI931" s="103">
        <v>0</v>
      </c>
      <c r="AJ931" s="103"/>
      <c r="AK931" s="103"/>
      <c r="AL931" s="103"/>
      <c r="AM931" s="103"/>
      <c r="AN931" s="103"/>
      <c r="AO931" s="103" t="str">
        <f t="shared" si="47"/>
        <v>Std_CFLscw-Dim(14w)_60pInc-r0248Two-pack</v>
      </c>
    </row>
    <row r="932" spans="1:41">
      <c r="A932" s="177">
        <f>IFERROR(MATCH(D932,'Measure &amp; Standard CostIDs'!C$5:C$177,0),MATCH(D932,'Measure &amp; Standard CostIDs'!S$5:S$177,0))</f>
        <v>108</v>
      </c>
      <c r="B932" s="177">
        <f t="shared" si="49"/>
        <v>3</v>
      </c>
      <c r="C932" s="103" t="s">
        <v>153</v>
      </c>
      <c r="D932" s="103" t="str">
        <f t="shared" si="48"/>
        <v>Std_CFLscw-Dim(15w)_60pInc-r0248</v>
      </c>
      <c r="E932" s="103" t="str">
        <f>IF(LEFT(D932,3)="Std","Base case cost for mix of 60% Incandescent and 40% CFL lamps for CFL TechID: "&amp;INDEX('Measure &amp; Standard CostIDs'!$C$5:$C$177,A932),"&lt;from TechID&gt;")</f>
        <v>Base case cost for mix of 60% Incandescent and 40% CFL lamps for CFL TechID: CFLscw-Dim(15w)</v>
      </c>
      <c r="F932" s="103" t="s">
        <v>860</v>
      </c>
      <c r="G932" s="103" t="s">
        <v>151</v>
      </c>
      <c r="H932" s="103" t="s">
        <v>861</v>
      </c>
      <c r="I932" s="103" t="s">
        <v>862</v>
      </c>
      <c r="J932" s="103" t="s">
        <v>863</v>
      </c>
      <c r="K932" s="103" t="s">
        <v>864</v>
      </c>
      <c r="L932" s="103" t="s">
        <v>153</v>
      </c>
      <c r="M932" s="103" t="s">
        <v>865</v>
      </c>
      <c r="N932" s="103" t="s">
        <v>866</v>
      </c>
      <c r="O932" s="103" t="str">
        <f t="shared" si="46"/>
        <v/>
      </c>
      <c r="P932" s="103" t="s">
        <v>153</v>
      </c>
      <c r="Q932" s="103" t="s">
        <v>153</v>
      </c>
      <c r="R932" s="103" t="s">
        <v>153</v>
      </c>
      <c r="S932" s="103" t="str">
        <f>INDEX('Measure &amp; Standard CostIDs'!$AK$8:$AK$12,B932)</f>
        <v>Two-pack</v>
      </c>
      <c r="T932" s="103" t="s">
        <v>867</v>
      </c>
      <c r="U932" s="103"/>
      <c r="V932" s="103"/>
      <c r="W932" s="103">
        <f>ROUND(IF(LEFT(D932,3)="Std",VLOOKUP(D932,'Measure &amp; Standard CostIDs'!$S$5:$X$177,1+B932,FALSE),VLOOKUP(D932,'Measure &amp; Standard CostIDs'!$C$5:$H$177,1+B932,FALSE)),2)</f>
        <v>4.72</v>
      </c>
      <c r="X932" s="103"/>
      <c r="Y932" s="103"/>
      <c r="Z932" s="103" t="s">
        <v>868</v>
      </c>
      <c r="AA932" s="103" t="s">
        <v>874</v>
      </c>
      <c r="AB932" s="103" t="s">
        <v>153</v>
      </c>
      <c r="AC932" s="103">
        <v>0</v>
      </c>
      <c r="AD932" s="156">
        <v>42005</v>
      </c>
      <c r="AE932" s="103"/>
      <c r="AF932" s="103" t="s">
        <v>870</v>
      </c>
      <c r="AG932" s="103" t="s">
        <v>871</v>
      </c>
      <c r="AH932" s="103" t="s">
        <v>976</v>
      </c>
      <c r="AI932" s="103">
        <v>0</v>
      </c>
      <c r="AJ932" s="103"/>
      <c r="AK932" s="103"/>
      <c r="AL932" s="103"/>
      <c r="AM932" s="103"/>
      <c r="AN932" s="103"/>
      <c r="AO932" s="103" t="str">
        <f t="shared" si="47"/>
        <v>Std_CFLscw-Dim(15w)_60pInc-r0248Two-pack</v>
      </c>
    </row>
    <row r="933" spans="1:41">
      <c r="A933" s="177">
        <f>IFERROR(MATCH(D933,'Measure &amp; Standard CostIDs'!C$5:C$177,0),MATCH(D933,'Measure &amp; Standard CostIDs'!S$5:S$177,0))</f>
        <v>109</v>
      </c>
      <c r="B933" s="177">
        <f t="shared" si="49"/>
        <v>3</v>
      </c>
      <c r="C933" s="103" t="s">
        <v>153</v>
      </c>
      <c r="D933" s="103" t="str">
        <f t="shared" si="48"/>
        <v>Std_CFLscw-Dim(16w)_60pInc-r0248</v>
      </c>
      <c r="E933" s="103" t="str">
        <f>IF(LEFT(D933,3)="Std","Base case cost for mix of 60% Incandescent and 40% CFL lamps for CFL TechID: "&amp;INDEX('Measure &amp; Standard CostIDs'!$C$5:$C$177,A933),"&lt;from TechID&gt;")</f>
        <v>Base case cost for mix of 60% Incandescent and 40% CFL lamps for CFL TechID: CFLscw-Dim(16w)</v>
      </c>
      <c r="F933" s="103" t="s">
        <v>860</v>
      </c>
      <c r="G933" s="103" t="s">
        <v>151</v>
      </c>
      <c r="H933" s="103" t="s">
        <v>861</v>
      </c>
      <c r="I933" s="103" t="s">
        <v>862</v>
      </c>
      <c r="J933" s="103" t="s">
        <v>863</v>
      </c>
      <c r="K933" s="103" t="s">
        <v>864</v>
      </c>
      <c r="L933" s="103" t="s">
        <v>153</v>
      </c>
      <c r="M933" s="103" t="s">
        <v>865</v>
      </c>
      <c r="N933" s="103" t="s">
        <v>866</v>
      </c>
      <c r="O933" s="103" t="str">
        <f t="shared" si="46"/>
        <v/>
      </c>
      <c r="P933" s="103" t="s">
        <v>153</v>
      </c>
      <c r="Q933" s="103" t="s">
        <v>153</v>
      </c>
      <c r="R933" s="103" t="s">
        <v>153</v>
      </c>
      <c r="S933" s="103" t="str">
        <f>INDEX('Measure &amp; Standard CostIDs'!$AK$8:$AK$12,B933)</f>
        <v>Two-pack</v>
      </c>
      <c r="T933" s="103" t="s">
        <v>867</v>
      </c>
      <c r="U933" s="103"/>
      <c r="V933" s="103"/>
      <c r="W933" s="103">
        <f>ROUND(IF(LEFT(D933,3)="Std",VLOOKUP(D933,'Measure &amp; Standard CostIDs'!$S$5:$X$177,1+B933,FALSE),VLOOKUP(D933,'Measure &amp; Standard CostIDs'!$C$5:$H$177,1+B933,FALSE)),2)</f>
        <v>4.76</v>
      </c>
      <c r="X933" s="103"/>
      <c r="Y933" s="103"/>
      <c r="Z933" s="103" t="s">
        <v>868</v>
      </c>
      <c r="AA933" s="103" t="s">
        <v>874</v>
      </c>
      <c r="AB933" s="103" t="s">
        <v>153</v>
      </c>
      <c r="AC933" s="103">
        <v>0</v>
      </c>
      <c r="AD933" s="156">
        <v>42005</v>
      </c>
      <c r="AE933" s="103"/>
      <c r="AF933" s="103" t="s">
        <v>870</v>
      </c>
      <c r="AG933" s="103" t="s">
        <v>871</v>
      </c>
      <c r="AH933" s="103" t="s">
        <v>976</v>
      </c>
      <c r="AI933" s="103">
        <v>0</v>
      </c>
      <c r="AJ933" s="103"/>
      <c r="AK933" s="103"/>
      <c r="AL933" s="103"/>
      <c r="AM933" s="103"/>
      <c r="AN933" s="103"/>
      <c r="AO933" s="103" t="str">
        <f t="shared" si="47"/>
        <v>Std_CFLscw-Dim(16w)_60pInc-r0248Two-pack</v>
      </c>
    </row>
    <row r="934" spans="1:41">
      <c r="A934" s="177">
        <f>IFERROR(MATCH(D934,'Measure &amp; Standard CostIDs'!C$5:C$177,0),MATCH(D934,'Measure &amp; Standard CostIDs'!S$5:S$177,0))</f>
        <v>110</v>
      </c>
      <c r="B934" s="177">
        <f t="shared" si="49"/>
        <v>3</v>
      </c>
      <c r="C934" s="103" t="s">
        <v>153</v>
      </c>
      <c r="D934" s="103" t="str">
        <f t="shared" si="48"/>
        <v>Std_CFLscw-Dim(18w)_60pInc-r0248</v>
      </c>
      <c r="E934" s="103" t="str">
        <f>IF(LEFT(D934,3)="Std","Base case cost for mix of 60% Incandescent and 40% CFL lamps for CFL TechID: "&amp;INDEX('Measure &amp; Standard CostIDs'!$C$5:$C$177,A934),"&lt;from TechID&gt;")</f>
        <v>Base case cost for mix of 60% Incandescent and 40% CFL lamps for CFL TechID: CFLscw-Dim(18w)</v>
      </c>
      <c r="F934" s="103" t="s">
        <v>860</v>
      </c>
      <c r="G934" s="103" t="s">
        <v>151</v>
      </c>
      <c r="H934" s="103" t="s">
        <v>861</v>
      </c>
      <c r="I934" s="103" t="s">
        <v>862</v>
      </c>
      <c r="J934" s="103" t="s">
        <v>863</v>
      </c>
      <c r="K934" s="103" t="s">
        <v>864</v>
      </c>
      <c r="L934" s="103" t="s">
        <v>153</v>
      </c>
      <c r="M934" s="103" t="s">
        <v>865</v>
      </c>
      <c r="N934" s="103" t="s">
        <v>866</v>
      </c>
      <c r="O934" s="103" t="str">
        <f t="shared" si="46"/>
        <v/>
      </c>
      <c r="P934" s="103" t="s">
        <v>153</v>
      </c>
      <c r="Q934" s="103" t="s">
        <v>153</v>
      </c>
      <c r="R934" s="103" t="s">
        <v>153</v>
      </c>
      <c r="S934" s="103" t="str">
        <f>INDEX('Measure &amp; Standard CostIDs'!$AK$8:$AK$12,B934)</f>
        <v>Two-pack</v>
      </c>
      <c r="T934" s="103" t="s">
        <v>867</v>
      </c>
      <c r="U934" s="103"/>
      <c r="V934" s="103"/>
      <c r="W934" s="103">
        <f>ROUND(IF(LEFT(D934,3)="Std",VLOOKUP(D934,'Measure &amp; Standard CostIDs'!$S$5:$X$177,1+B934,FALSE),VLOOKUP(D934,'Measure &amp; Standard CostIDs'!$C$5:$H$177,1+B934,FALSE)),2)</f>
        <v>4.8499999999999996</v>
      </c>
      <c r="X934" s="103"/>
      <c r="Y934" s="103"/>
      <c r="Z934" s="103" t="s">
        <v>868</v>
      </c>
      <c r="AA934" s="103" t="s">
        <v>874</v>
      </c>
      <c r="AB934" s="103" t="s">
        <v>153</v>
      </c>
      <c r="AC934" s="103">
        <v>0</v>
      </c>
      <c r="AD934" s="156">
        <v>42005</v>
      </c>
      <c r="AE934" s="103"/>
      <c r="AF934" s="103" t="s">
        <v>870</v>
      </c>
      <c r="AG934" s="103" t="s">
        <v>871</v>
      </c>
      <c r="AH934" s="103" t="s">
        <v>976</v>
      </c>
      <c r="AI934" s="103">
        <v>0</v>
      </c>
      <c r="AJ934" s="103"/>
      <c r="AK934" s="103"/>
      <c r="AL934" s="103"/>
      <c r="AM934" s="103"/>
      <c r="AN934" s="103"/>
      <c r="AO934" s="103" t="str">
        <f t="shared" si="47"/>
        <v>Std_CFLscw-Dim(18w)_60pInc-r0248Two-pack</v>
      </c>
    </row>
    <row r="935" spans="1:41">
      <c r="A935" s="177">
        <f>IFERROR(MATCH(D935,'Measure &amp; Standard CostIDs'!C$5:C$177,0),MATCH(D935,'Measure &amp; Standard CostIDs'!S$5:S$177,0))</f>
        <v>111</v>
      </c>
      <c r="B935" s="177">
        <f t="shared" si="49"/>
        <v>3</v>
      </c>
      <c r="C935" s="103" t="s">
        <v>153</v>
      </c>
      <c r="D935" s="103" t="str">
        <f t="shared" si="48"/>
        <v>Std_CFLscw-Dim(19w)_60pInc-r0248</v>
      </c>
      <c r="E935" s="103" t="str">
        <f>IF(LEFT(D935,3)="Std","Base case cost for mix of 60% Incandescent and 40% CFL lamps for CFL TechID: "&amp;INDEX('Measure &amp; Standard CostIDs'!$C$5:$C$177,A935),"&lt;from TechID&gt;")</f>
        <v>Base case cost for mix of 60% Incandescent and 40% CFL lamps for CFL TechID: CFLscw-Dim(19w)</v>
      </c>
      <c r="F935" s="103" t="s">
        <v>860</v>
      </c>
      <c r="G935" s="103" t="s">
        <v>151</v>
      </c>
      <c r="H935" s="103" t="s">
        <v>861</v>
      </c>
      <c r="I935" s="103" t="s">
        <v>862</v>
      </c>
      <c r="J935" s="103" t="s">
        <v>863</v>
      </c>
      <c r="K935" s="103" t="s">
        <v>864</v>
      </c>
      <c r="L935" s="103" t="s">
        <v>153</v>
      </c>
      <c r="M935" s="103" t="s">
        <v>865</v>
      </c>
      <c r="N935" s="103" t="s">
        <v>866</v>
      </c>
      <c r="O935" s="103" t="str">
        <f t="shared" si="46"/>
        <v/>
      </c>
      <c r="P935" s="103" t="s">
        <v>153</v>
      </c>
      <c r="Q935" s="103" t="s">
        <v>153</v>
      </c>
      <c r="R935" s="103" t="s">
        <v>153</v>
      </c>
      <c r="S935" s="103" t="str">
        <f>INDEX('Measure &amp; Standard CostIDs'!$AK$8:$AK$12,B935)</f>
        <v>Two-pack</v>
      </c>
      <c r="T935" s="103" t="s">
        <v>867</v>
      </c>
      <c r="U935" s="103"/>
      <c r="V935" s="103"/>
      <c r="W935" s="103">
        <f>ROUND(IF(LEFT(D935,3)="Std",VLOOKUP(D935,'Measure &amp; Standard CostIDs'!$S$5:$X$177,1+B935,FALSE),VLOOKUP(D935,'Measure &amp; Standard CostIDs'!$C$5:$H$177,1+B935,FALSE)),2)</f>
        <v>4.9000000000000004</v>
      </c>
      <c r="X935" s="103"/>
      <c r="Y935" s="103"/>
      <c r="Z935" s="103" t="s">
        <v>868</v>
      </c>
      <c r="AA935" s="103" t="s">
        <v>874</v>
      </c>
      <c r="AB935" s="103" t="s">
        <v>153</v>
      </c>
      <c r="AC935" s="103">
        <v>0</v>
      </c>
      <c r="AD935" s="156">
        <v>42005</v>
      </c>
      <c r="AE935" s="103"/>
      <c r="AF935" s="103" t="s">
        <v>870</v>
      </c>
      <c r="AG935" s="103" t="s">
        <v>871</v>
      </c>
      <c r="AH935" s="103" t="s">
        <v>976</v>
      </c>
      <c r="AI935" s="103">
        <v>0</v>
      </c>
      <c r="AJ935" s="103"/>
      <c r="AK935" s="103"/>
      <c r="AL935" s="103"/>
      <c r="AM935" s="103"/>
      <c r="AN935" s="103"/>
      <c r="AO935" s="103" t="str">
        <f t="shared" si="47"/>
        <v>Std_CFLscw-Dim(19w)_60pInc-r0248Two-pack</v>
      </c>
    </row>
    <row r="936" spans="1:41">
      <c r="A936" s="177">
        <f>IFERROR(MATCH(D936,'Measure &amp; Standard CostIDs'!C$5:C$177,0),MATCH(D936,'Measure &amp; Standard CostIDs'!S$5:S$177,0))</f>
        <v>112</v>
      </c>
      <c r="B936" s="177">
        <f t="shared" si="49"/>
        <v>3</v>
      </c>
      <c r="C936" s="103" t="s">
        <v>153</v>
      </c>
      <c r="D936" s="103" t="str">
        <f t="shared" si="48"/>
        <v>Std_CFLscw-Dim(20w)_60pInc-r0248</v>
      </c>
      <c r="E936" s="103" t="str">
        <f>IF(LEFT(D936,3)="Std","Base case cost for mix of 60% Incandescent and 40% CFL lamps for CFL TechID: "&amp;INDEX('Measure &amp; Standard CostIDs'!$C$5:$C$177,A936),"&lt;from TechID&gt;")</f>
        <v>Base case cost for mix of 60% Incandescent and 40% CFL lamps for CFL TechID: CFLscw-Dim(20w)</v>
      </c>
      <c r="F936" s="103" t="s">
        <v>860</v>
      </c>
      <c r="G936" s="103" t="s">
        <v>151</v>
      </c>
      <c r="H936" s="103" t="s">
        <v>861</v>
      </c>
      <c r="I936" s="103" t="s">
        <v>862</v>
      </c>
      <c r="J936" s="103" t="s">
        <v>863</v>
      </c>
      <c r="K936" s="103" t="s">
        <v>864</v>
      </c>
      <c r="L936" s="103" t="s">
        <v>153</v>
      </c>
      <c r="M936" s="103" t="s">
        <v>865</v>
      </c>
      <c r="N936" s="103" t="s">
        <v>866</v>
      </c>
      <c r="O936" s="103" t="str">
        <f t="shared" si="46"/>
        <v/>
      </c>
      <c r="P936" s="103" t="s">
        <v>153</v>
      </c>
      <c r="Q936" s="103" t="s">
        <v>153</v>
      </c>
      <c r="R936" s="103" t="s">
        <v>153</v>
      </c>
      <c r="S936" s="103" t="str">
        <f>INDEX('Measure &amp; Standard CostIDs'!$AK$8:$AK$12,B936)</f>
        <v>Two-pack</v>
      </c>
      <c r="T936" s="103" t="s">
        <v>867</v>
      </c>
      <c r="U936" s="103"/>
      <c r="V936" s="103"/>
      <c r="W936" s="103">
        <f>ROUND(IF(LEFT(D936,3)="Std",VLOOKUP(D936,'Measure &amp; Standard CostIDs'!$S$5:$X$177,1+B936,FALSE),VLOOKUP(D936,'Measure &amp; Standard CostIDs'!$C$5:$H$177,1+B936,FALSE)),2)</f>
        <v>4.9400000000000004</v>
      </c>
      <c r="X936" s="103"/>
      <c r="Y936" s="103"/>
      <c r="Z936" s="103" t="s">
        <v>868</v>
      </c>
      <c r="AA936" s="103" t="s">
        <v>874</v>
      </c>
      <c r="AB936" s="103" t="s">
        <v>153</v>
      </c>
      <c r="AC936" s="103">
        <v>0</v>
      </c>
      <c r="AD936" s="156">
        <v>42005</v>
      </c>
      <c r="AE936" s="103"/>
      <c r="AF936" s="103" t="s">
        <v>870</v>
      </c>
      <c r="AG936" s="103" t="s">
        <v>871</v>
      </c>
      <c r="AH936" s="103" t="s">
        <v>976</v>
      </c>
      <c r="AI936" s="103">
        <v>0</v>
      </c>
      <c r="AJ936" s="103"/>
      <c r="AK936" s="103"/>
      <c r="AL936" s="103"/>
      <c r="AM936" s="103"/>
      <c r="AN936" s="103"/>
      <c r="AO936" s="103" t="str">
        <f t="shared" si="47"/>
        <v>Std_CFLscw-Dim(20w)_60pInc-r0248Two-pack</v>
      </c>
    </row>
    <row r="937" spans="1:41">
      <c r="A937" s="177">
        <f>IFERROR(MATCH(D937,'Measure &amp; Standard CostIDs'!C$5:C$177,0),MATCH(D937,'Measure &amp; Standard CostIDs'!S$5:S$177,0))</f>
        <v>113</v>
      </c>
      <c r="B937" s="177">
        <f t="shared" si="49"/>
        <v>3</v>
      </c>
      <c r="C937" s="103" t="s">
        <v>153</v>
      </c>
      <c r="D937" s="103" t="str">
        <f t="shared" si="48"/>
        <v>Std_CFLscw-Dim(23w)_60pInc-r0248</v>
      </c>
      <c r="E937" s="103" t="str">
        <f>IF(LEFT(D937,3)="Std","Base case cost for mix of 60% Incandescent and 40% CFL lamps for CFL TechID: "&amp;INDEX('Measure &amp; Standard CostIDs'!$C$5:$C$177,A937),"&lt;from TechID&gt;")</f>
        <v>Base case cost for mix of 60% Incandescent and 40% CFL lamps for CFL TechID: CFLscw-Dim(23w)</v>
      </c>
      <c r="F937" s="103" t="s">
        <v>860</v>
      </c>
      <c r="G937" s="103" t="s">
        <v>151</v>
      </c>
      <c r="H937" s="103" t="s">
        <v>861</v>
      </c>
      <c r="I937" s="103" t="s">
        <v>862</v>
      </c>
      <c r="J937" s="103" t="s">
        <v>863</v>
      </c>
      <c r="K937" s="103" t="s">
        <v>864</v>
      </c>
      <c r="L937" s="103" t="s">
        <v>153</v>
      </c>
      <c r="M937" s="103" t="s">
        <v>865</v>
      </c>
      <c r="N937" s="103" t="s">
        <v>866</v>
      </c>
      <c r="O937" s="103" t="str">
        <f t="shared" si="46"/>
        <v/>
      </c>
      <c r="P937" s="103" t="s">
        <v>153</v>
      </c>
      <c r="Q937" s="103" t="s">
        <v>153</v>
      </c>
      <c r="R937" s="103" t="s">
        <v>153</v>
      </c>
      <c r="S937" s="103" t="str">
        <f>INDEX('Measure &amp; Standard CostIDs'!$AK$8:$AK$12,B937)</f>
        <v>Two-pack</v>
      </c>
      <c r="T937" s="103" t="s">
        <v>867</v>
      </c>
      <c r="U937" s="103"/>
      <c r="V937" s="103"/>
      <c r="W937" s="103">
        <f>ROUND(IF(LEFT(D937,3)="Std",VLOOKUP(D937,'Measure &amp; Standard CostIDs'!$S$5:$X$177,1+B937,FALSE),VLOOKUP(D937,'Measure &amp; Standard CostIDs'!$C$5:$H$177,1+B937,FALSE)),2)</f>
        <v>5.0599999999999996</v>
      </c>
      <c r="X937" s="103"/>
      <c r="Y937" s="103"/>
      <c r="Z937" s="103" t="s">
        <v>868</v>
      </c>
      <c r="AA937" s="103" t="s">
        <v>874</v>
      </c>
      <c r="AB937" s="103" t="s">
        <v>153</v>
      </c>
      <c r="AC937" s="103">
        <v>0</v>
      </c>
      <c r="AD937" s="156">
        <v>42005</v>
      </c>
      <c r="AE937" s="103"/>
      <c r="AF937" s="103" t="s">
        <v>870</v>
      </c>
      <c r="AG937" s="103" t="s">
        <v>871</v>
      </c>
      <c r="AH937" s="103" t="s">
        <v>976</v>
      </c>
      <c r="AI937" s="103">
        <v>0</v>
      </c>
      <c r="AJ937" s="103"/>
      <c r="AK937" s="103"/>
      <c r="AL937" s="103"/>
      <c r="AM937" s="103"/>
      <c r="AN937" s="103"/>
      <c r="AO937" s="103" t="str">
        <f t="shared" si="47"/>
        <v>Std_CFLscw-Dim(23w)_60pInc-r0248Two-pack</v>
      </c>
    </row>
    <row r="938" spans="1:41">
      <c r="A938" s="177">
        <f>IFERROR(MATCH(D938,'Measure &amp; Standard CostIDs'!C$5:C$177,0),MATCH(D938,'Measure &amp; Standard CostIDs'!S$5:S$177,0))</f>
        <v>114</v>
      </c>
      <c r="B938" s="177">
        <f t="shared" si="49"/>
        <v>3</v>
      </c>
      <c r="C938" s="103" t="s">
        <v>153</v>
      </c>
      <c r="D938" s="103" t="str">
        <f t="shared" si="48"/>
        <v>Std_CFLscw-Dim(25w)_60pInc-r0248</v>
      </c>
      <c r="E938" s="103" t="str">
        <f>IF(LEFT(D938,3)="Std","Base case cost for mix of 60% Incandescent and 40% CFL lamps for CFL TechID: "&amp;INDEX('Measure &amp; Standard CostIDs'!$C$5:$C$177,A938),"&lt;from TechID&gt;")</f>
        <v>Base case cost for mix of 60% Incandescent and 40% CFL lamps for CFL TechID: CFLscw-Dim(25w)</v>
      </c>
      <c r="F938" s="103" t="s">
        <v>860</v>
      </c>
      <c r="G938" s="103" t="s">
        <v>151</v>
      </c>
      <c r="H938" s="103" t="s">
        <v>861</v>
      </c>
      <c r="I938" s="103" t="s">
        <v>862</v>
      </c>
      <c r="J938" s="103" t="s">
        <v>863</v>
      </c>
      <c r="K938" s="103" t="s">
        <v>864</v>
      </c>
      <c r="L938" s="103" t="s">
        <v>153</v>
      </c>
      <c r="M938" s="103" t="s">
        <v>865</v>
      </c>
      <c r="N938" s="103" t="s">
        <v>866</v>
      </c>
      <c r="O938" s="103" t="str">
        <f t="shared" si="46"/>
        <v/>
      </c>
      <c r="P938" s="103" t="s">
        <v>153</v>
      </c>
      <c r="Q938" s="103" t="s">
        <v>153</v>
      </c>
      <c r="R938" s="103" t="s">
        <v>153</v>
      </c>
      <c r="S938" s="103" t="str">
        <f>INDEX('Measure &amp; Standard CostIDs'!$AK$8:$AK$12,B938)</f>
        <v>Two-pack</v>
      </c>
      <c r="T938" s="103" t="s">
        <v>867</v>
      </c>
      <c r="U938" s="103"/>
      <c r="V938" s="103"/>
      <c r="W938" s="103">
        <f>ROUND(IF(LEFT(D938,3)="Std",VLOOKUP(D938,'Measure &amp; Standard CostIDs'!$S$5:$X$177,1+B938,FALSE),VLOOKUP(D938,'Measure &amp; Standard CostIDs'!$C$5:$H$177,1+B938,FALSE)),2)</f>
        <v>5.1100000000000003</v>
      </c>
      <c r="X938" s="103"/>
      <c r="Y938" s="103"/>
      <c r="Z938" s="103" t="s">
        <v>868</v>
      </c>
      <c r="AA938" s="103" t="s">
        <v>874</v>
      </c>
      <c r="AB938" s="103" t="s">
        <v>153</v>
      </c>
      <c r="AC938" s="103">
        <v>0</v>
      </c>
      <c r="AD938" s="156">
        <v>42005</v>
      </c>
      <c r="AE938" s="103"/>
      <c r="AF938" s="103" t="s">
        <v>870</v>
      </c>
      <c r="AG938" s="103" t="s">
        <v>871</v>
      </c>
      <c r="AH938" s="103" t="s">
        <v>976</v>
      </c>
      <c r="AI938" s="103">
        <v>0</v>
      </c>
      <c r="AJ938" s="103"/>
      <c r="AK938" s="103"/>
      <c r="AL938" s="103"/>
      <c r="AM938" s="103"/>
      <c r="AN938" s="103"/>
      <c r="AO938" s="103" t="str">
        <f t="shared" si="47"/>
        <v>Std_CFLscw-Dim(25w)_60pInc-r0248Two-pack</v>
      </c>
    </row>
    <row r="939" spans="1:41">
      <c r="A939" s="177">
        <f>IFERROR(MATCH(D939,'Measure &amp; Standard CostIDs'!C$5:C$177,0),MATCH(D939,'Measure &amp; Standard CostIDs'!S$5:S$177,0))</f>
        <v>115</v>
      </c>
      <c r="B939" s="177">
        <f t="shared" si="49"/>
        <v>3</v>
      </c>
      <c r="C939" s="103" t="s">
        <v>153</v>
      </c>
      <c r="D939" s="103" t="str">
        <f t="shared" si="48"/>
        <v>Std_CFLscw-Dim(26w)_60pInc-r0248</v>
      </c>
      <c r="E939" s="103" t="str">
        <f>IF(LEFT(D939,3)="Std","Base case cost for mix of 60% Incandescent and 40% CFL lamps for CFL TechID: "&amp;INDEX('Measure &amp; Standard CostIDs'!$C$5:$C$177,A939),"&lt;from TechID&gt;")</f>
        <v>Base case cost for mix of 60% Incandescent and 40% CFL lamps for CFL TechID: CFLscw-Dim(26w)</v>
      </c>
      <c r="F939" s="103" t="s">
        <v>860</v>
      </c>
      <c r="G939" s="103" t="s">
        <v>151</v>
      </c>
      <c r="H939" s="103" t="s">
        <v>861</v>
      </c>
      <c r="I939" s="103" t="s">
        <v>862</v>
      </c>
      <c r="J939" s="103" t="s">
        <v>863</v>
      </c>
      <c r="K939" s="103" t="s">
        <v>864</v>
      </c>
      <c r="L939" s="103" t="s">
        <v>153</v>
      </c>
      <c r="M939" s="103" t="s">
        <v>865</v>
      </c>
      <c r="N939" s="103" t="s">
        <v>866</v>
      </c>
      <c r="O939" s="103" t="str">
        <f t="shared" si="46"/>
        <v/>
      </c>
      <c r="P939" s="103" t="s">
        <v>153</v>
      </c>
      <c r="Q939" s="103" t="s">
        <v>153</v>
      </c>
      <c r="R939" s="103" t="s">
        <v>153</v>
      </c>
      <c r="S939" s="103" t="str">
        <f>INDEX('Measure &amp; Standard CostIDs'!$AK$8:$AK$12,B939)</f>
        <v>Two-pack</v>
      </c>
      <c r="T939" s="103" t="s">
        <v>867</v>
      </c>
      <c r="U939" s="103"/>
      <c r="V939" s="103"/>
      <c r="W939" s="103">
        <f>ROUND(IF(LEFT(D939,3)="Std",VLOOKUP(D939,'Measure &amp; Standard CostIDs'!$S$5:$X$177,1+B939,FALSE),VLOOKUP(D939,'Measure &amp; Standard CostIDs'!$C$5:$H$177,1+B939,FALSE)),2)</f>
        <v>5.18</v>
      </c>
      <c r="X939" s="103"/>
      <c r="Y939" s="103"/>
      <c r="Z939" s="103" t="s">
        <v>868</v>
      </c>
      <c r="AA939" s="103" t="s">
        <v>874</v>
      </c>
      <c r="AB939" s="103" t="s">
        <v>153</v>
      </c>
      <c r="AC939" s="103">
        <v>0</v>
      </c>
      <c r="AD939" s="156">
        <v>42005</v>
      </c>
      <c r="AE939" s="103"/>
      <c r="AF939" s="103" t="s">
        <v>870</v>
      </c>
      <c r="AG939" s="103" t="s">
        <v>871</v>
      </c>
      <c r="AH939" s="103" t="s">
        <v>976</v>
      </c>
      <c r="AI939" s="103">
        <v>0</v>
      </c>
      <c r="AJ939" s="103"/>
      <c r="AK939" s="103"/>
      <c r="AL939" s="103"/>
      <c r="AM939" s="103"/>
      <c r="AN939" s="103"/>
      <c r="AO939" s="103" t="str">
        <f t="shared" si="47"/>
        <v>Std_CFLscw-Dim(26w)_60pInc-r0248Two-pack</v>
      </c>
    </row>
    <row r="940" spans="1:41">
      <c r="A940" s="177">
        <f>IFERROR(MATCH(D940,'Measure &amp; Standard CostIDs'!C$5:C$177,0),MATCH(D940,'Measure &amp; Standard CostIDs'!S$5:S$177,0))</f>
        <v>116</v>
      </c>
      <c r="B940" s="177">
        <f t="shared" si="49"/>
        <v>3</v>
      </c>
      <c r="C940" s="103" t="s">
        <v>153</v>
      </c>
      <c r="D940" s="103" t="str">
        <f t="shared" si="48"/>
        <v>Std_CFLscw-Dim(28w)_60pInc-r0248</v>
      </c>
      <c r="E940" s="103" t="str">
        <f>IF(LEFT(D940,3)="Std","Base case cost for mix of 60% Incandescent and 40% CFL lamps for CFL TechID: "&amp;INDEX('Measure &amp; Standard CostIDs'!$C$5:$C$177,A940),"&lt;from TechID&gt;")</f>
        <v>Base case cost for mix of 60% Incandescent and 40% CFL lamps for CFL TechID: CFLscw-Dim(28w)</v>
      </c>
      <c r="F940" s="103" t="s">
        <v>860</v>
      </c>
      <c r="G940" s="103" t="s">
        <v>151</v>
      </c>
      <c r="H940" s="103" t="s">
        <v>861</v>
      </c>
      <c r="I940" s="103" t="s">
        <v>862</v>
      </c>
      <c r="J940" s="103" t="s">
        <v>863</v>
      </c>
      <c r="K940" s="103" t="s">
        <v>864</v>
      </c>
      <c r="L940" s="103" t="s">
        <v>153</v>
      </c>
      <c r="M940" s="103" t="s">
        <v>865</v>
      </c>
      <c r="N940" s="103" t="s">
        <v>866</v>
      </c>
      <c r="O940" s="103" t="str">
        <f t="shared" si="46"/>
        <v/>
      </c>
      <c r="P940" s="103" t="s">
        <v>153</v>
      </c>
      <c r="Q940" s="103" t="s">
        <v>153</v>
      </c>
      <c r="R940" s="103" t="s">
        <v>153</v>
      </c>
      <c r="S940" s="103" t="str">
        <f>INDEX('Measure &amp; Standard CostIDs'!$AK$8:$AK$12,B940)</f>
        <v>Two-pack</v>
      </c>
      <c r="T940" s="103" t="s">
        <v>867</v>
      </c>
      <c r="U940" s="103"/>
      <c r="V940" s="103"/>
      <c r="W940" s="103">
        <f>ROUND(IF(LEFT(D940,3)="Std",VLOOKUP(D940,'Measure &amp; Standard CostIDs'!$S$5:$X$177,1+B940,FALSE),VLOOKUP(D940,'Measure &amp; Standard CostIDs'!$C$5:$H$177,1+B940,FALSE)),2)</f>
        <v>5.31</v>
      </c>
      <c r="X940" s="103"/>
      <c r="Y940" s="103"/>
      <c r="Z940" s="103" t="s">
        <v>868</v>
      </c>
      <c r="AA940" s="103" t="s">
        <v>874</v>
      </c>
      <c r="AB940" s="103" t="s">
        <v>153</v>
      </c>
      <c r="AC940" s="103">
        <v>0</v>
      </c>
      <c r="AD940" s="156">
        <v>42005</v>
      </c>
      <c r="AE940" s="103"/>
      <c r="AF940" s="103" t="s">
        <v>870</v>
      </c>
      <c r="AG940" s="103" t="s">
        <v>871</v>
      </c>
      <c r="AH940" s="103" t="s">
        <v>976</v>
      </c>
      <c r="AI940" s="103">
        <v>0</v>
      </c>
      <c r="AJ940" s="103"/>
      <c r="AK940" s="103"/>
      <c r="AL940" s="103"/>
      <c r="AM940" s="103"/>
      <c r="AN940" s="103"/>
      <c r="AO940" s="103" t="str">
        <f t="shared" si="47"/>
        <v>Std_CFLscw-Dim(28w)_60pInc-r0248Two-pack</v>
      </c>
    </row>
    <row r="941" spans="1:41">
      <c r="A941" s="177">
        <f>IFERROR(MATCH(D941,'Measure &amp; Standard CostIDs'!C$5:C$177,0),MATCH(D941,'Measure &amp; Standard CostIDs'!S$5:S$177,0))</f>
        <v>117</v>
      </c>
      <c r="B941" s="177">
        <f t="shared" si="49"/>
        <v>3</v>
      </c>
      <c r="C941" s="103" t="s">
        <v>153</v>
      </c>
      <c r="D941" s="103" t="str">
        <f t="shared" si="48"/>
        <v>Std_CFLscw-Dim(30w)_60pInc-r0248</v>
      </c>
      <c r="E941" s="103" t="str">
        <f>IF(LEFT(D941,3)="Std","Base case cost for mix of 60% Incandescent and 40% CFL lamps for CFL TechID: "&amp;INDEX('Measure &amp; Standard CostIDs'!$C$5:$C$177,A941),"&lt;from TechID&gt;")</f>
        <v>Base case cost for mix of 60% Incandescent and 40% CFL lamps for CFL TechID: CFLscw-Dim(30w)</v>
      </c>
      <c r="F941" s="103" t="s">
        <v>860</v>
      </c>
      <c r="G941" s="103" t="s">
        <v>151</v>
      </c>
      <c r="H941" s="103" t="s">
        <v>861</v>
      </c>
      <c r="I941" s="103" t="s">
        <v>862</v>
      </c>
      <c r="J941" s="103" t="s">
        <v>863</v>
      </c>
      <c r="K941" s="103" t="s">
        <v>864</v>
      </c>
      <c r="L941" s="103" t="s">
        <v>153</v>
      </c>
      <c r="M941" s="103" t="s">
        <v>865</v>
      </c>
      <c r="N941" s="103" t="s">
        <v>866</v>
      </c>
      <c r="O941" s="103" t="str">
        <f t="shared" si="46"/>
        <v/>
      </c>
      <c r="P941" s="103" t="s">
        <v>153</v>
      </c>
      <c r="Q941" s="103" t="s">
        <v>153</v>
      </c>
      <c r="R941" s="103" t="s">
        <v>153</v>
      </c>
      <c r="S941" s="103" t="str">
        <f>INDEX('Measure &amp; Standard CostIDs'!$AK$8:$AK$12,B941)</f>
        <v>Two-pack</v>
      </c>
      <c r="T941" s="103" t="s">
        <v>867</v>
      </c>
      <c r="U941" s="103"/>
      <c r="V941" s="103"/>
      <c r="W941" s="103">
        <f>ROUND(IF(LEFT(D941,3)="Std",VLOOKUP(D941,'Measure &amp; Standard CostIDs'!$S$5:$X$177,1+B941,FALSE),VLOOKUP(D941,'Measure &amp; Standard CostIDs'!$C$5:$H$177,1+B941,FALSE)),2)</f>
        <v>5.44</v>
      </c>
      <c r="X941" s="103"/>
      <c r="Y941" s="103"/>
      <c r="Z941" s="103" t="s">
        <v>868</v>
      </c>
      <c r="AA941" s="103" t="s">
        <v>874</v>
      </c>
      <c r="AB941" s="103" t="s">
        <v>153</v>
      </c>
      <c r="AC941" s="103">
        <v>0</v>
      </c>
      <c r="AD941" s="156">
        <v>42005</v>
      </c>
      <c r="AE941" s="103"/>
      <c r="AF941" s="103" t="s">
        <v>870</v>
      </c>
      <c r="AG941" s="103" t="s">
        <v>871</v>
      </c>
      <c r="AH941" s="103" t="s">
        <v>976</v>
      </c>
      <c r="AI941" s="103">
        <v>0</v>
      </c>
      <c r="AJ941" s="103"/>
      <c r="AK941" s="103"/>
      <c r="AL941" s="103"/>
      <c r="AM941" s="103"/>
      <c r="AN941" s="103"/>
      <c r="AO941" s="103" t="str">
        <f t="shared" si="47"/>
        <v>Std_CFLscw-Dim(30w)_60pInc-r0248Two-pack</v>
      </c>
    </row>
    <row r="942" spans="1:41">
      <c r="A942" s="177">
        <f>IFERROR(MATCH(D942,'Measure &amp; Standard CostIDs'!C$5:C$177,0),MATCH(D942,'Measure &amp; Standard CostIDs'!S$5:S$177,0))</f>
        <v>118</v>
      </c>
      <c r="B942" s="177">
        <f t="shared" si="49"/>
        <v>3</v>
      </c>
      <c r="C942" s="103" t="s">
        <v>153</v>
      </c>
      <c r="D942" s="103" t="str">
        <f t="shared" si="48"/>
        <v>Std_CFLscw-Dim(33w)_60pInc-r0248</v>
      </c>
      <c r="E942" s="103" t="str">
        <f>IF(LEFT(D942,3)="Std","Base case cost for mix of 60% Incandescent and 40% CFL lamps for CFL TechID: "&amp;INDEX('Measure &amp; Standard CostIDs'!$C$5:$C$177,A942),"&lt;from TechID&gt;")</f>
        <v>Base case cost for mix of 60% Incandescent and 40% CFL lamps for CFL TechID: CFLscw-Dim(33w)</v>
      </c>
      <c r="F942" s="103" t="s">
        <v>860</v>
      </c>
      <c r="G942" s="103" t="s">
        <v>151</v>
      </c>
      <c r="H942" s="103" t="s">
        <v>861</v>
      </c>
      <c r="I942" s="103" t="s">
        <v>862</v>
      </c>
      <c r="J942" s="103" t="s">
        <v>863</v>
      </c>
      <c r="K942" s="103" t="s">
        <v>864</v>
      </c>
      <c r="L942" s="103" t="s">
        <v>153</v>
      </c>
      <c r="M942" s="103" t="s">
        <v>865</v>
      </c>
      <c r="N942" s="103" t="s">
        <v>866</v>
      </c>
      <c r="O942" s="103" t="str">
        <f t="shared" si="46"/>
        <v/>
      </c>
      <c r="P942" s="103" t="s">
        <v>153</v>
      </c>
      <c r="Q942" s="103" t="s">
        <v>153</v>
      </c>
      <c r="R942" s="103" t="s">
        <v>153</v>
      </c>
      <c r="S942" s="103" t="str">
        <f>INDEX('Measure &amp; Standard CostIDs'!$AK$8:$AK$12,B942)</f>
        <v>Two-pack</v>
      </c>
      <c r="T942" s="103" t="s">
        <v>867</v>
      </c>
      <c r="U942" s="103"/>
      <c r="V942" s="103"/>
      <c r="W942" s="103">
        <f>ROUND(IF(LEFT(D942,3)="Std",VLOOKUP(D942,'Measure &amp; Standard CostIDs'!$S$5:$X$177,1+B942,FALSE),VLOOKUP(D942,'Measure &amp; Standard CostIDs'!$C$5:$H$177,1+B942,FALSE)),2)</f>
        <v>5.63</v>
      </c>
      <c r="X942" s="103"/>
      <c r="Y942" s="103"/>
      <c r="Z942" s="103" t="s">
        <v>868</v>
      </c>
      <c r="AA942" s="103" t="s">
        <v>874</v>
      </c>
      <c r="AB942" s="103" t="s">
        <v>153</v>
      </c>
      <c r="AC942" s="103">
        <v>0</v>
      </c>
      <c r="AD942" s="156">
        <v>42005</v>
      </c>
      <c r="AE942" s="103"/>
      <c r="AF942" s="103" t="s">
        <v>870</v>
      </c>
      <c r="AG942" s="103" t="s">
        <v>871</v>
      </c>
      <c r="AH942" s="103" t="s">
        <v>976</v>
      </c>
      <c r="AI942" s="103">
        <v>0</v>
      </c>
      <c r="AJ942" s="103"/>
      <c r="AK942" s="103"/>
      <c r="AL942" s="103"/>
      <c r="AM942" s="103"/>
      <c r="AN942" s="103"/>
      <c r="AO942" s="103" t="str">
        <f t="shared" si="47"/>
        <v>Std_CFLscw-Dim(33w)_60pInc-r0248Two-pack</v>
      </c>
    </row>
    <row r="943" spans="1:41">
      <c r="A943" s="177">
        <f>IFERROR(MATCH(D943,'Measure &amp; Standard CostIDs'!C$5:C$177,0),MATCH(D943,'Measure &amp; Standard CostIDs'!S$5:S$177,0))</f>
        <v>119</v>
      </c>
      <c r="B943" s="177">
        <f t="shared" si="49"/>
        <v>3</v>
      </c>
      <c r="C943" s="103" t="s">
        <v>153</v>
      </c>
      <c r="D943" s="103" t="str">
        <f t="shared" si="48"/>
        <v>Std_CFLscw-Dim(35w)_60pInc-r0248</v>
      </c>
      <c r="E943" s="103" t="str">
        <f>IF(LEFT(D943,3)="Std","Base case cost for mix of 60% Incandescent and 40% CFL lamps for CFL TechID: "&amp;INDEX('Measure &amp; Standard CostIDs'!$C$5:$C$177,A943),"&lt;from TechID&gt;")</f>
        <v>Base case cost for mix of 60% Incandescent and 40% CFL lamps for CFL TechID: CFLscw-Dim(35w)</v>
      </c>
      <c r="F943" s="103" t="s">
        <v>860</v>
      </c>
      <c r="G943" s="103" t="s">
        <v>151</v>
      </c>
      <c r="H943" s="103" t="s">
        <v>861</v>
      </c>
      <c r="I943" s="103" t="s">
        <v>862</v>
      </c>
      <c r="J943" s="103" t="s">
        <v>863</v>
      </c>
      <c r="K943" s="103" t="s">
        <v>864</v>
      </c>
      <c r="L943" s="103" t="s">
        <v>153</v>
      </c>
      <c r="M943" s="103" t="s">
        <v>865</v>
      </c>
      <c r="N943" s="103" t="s">
        <v>866</v>
      </c>
      <c r="O943" s="103" t="str">
        <f t="shared" si="46"/>
        <v/>
      </c>
      <c r="P943" s="103" t="s">
        <v>153</v>
      </c>
      <c r="Q943" s="103" t="s">
        <v>153</v>
      </c>
      <c r="R943" s="103" t="s">
        <v>153</v>
      </c>
      <c r="S943" s="103" t="str">
        <f>INDEX('Measure &amp; Standard CostIDs'!$AK$8:$AK$12,B943)</f>
        <v>Two-pack</v>
      </c>
      <c r="T943" s="103" t="s">
        <v>867</v>
      </c>
      <c r="U943" s="103"/>
      <c r="V943" s="103"/>
      <c r="W943" s="103">
        <f>ROUND(IF(LEFT(D943,3)="Std",VLOOKUP(D943,'Measure &amp; Standard CostIDs'!$S$5:$X$177,1+B943,FALSE),VLOOKUP(D943,'Measure &amp; Standard CostIDs'!$C$5:$H$177,1+B943,FALSE)),2)</f>
        <v>5.76</v>
      </c>
      <c r="X943" s="103"/>
      <c r="Y943" s="103"/>
      <c r="Z943" s="103" t="s">
        <v>868</v>
      </c>
      <c r="AA943" s="103" t="s">
        <v>874</v>
      </c>
      <c r="AB943" s="103" t="s">
        <v>153</v>
      </c>
      <c r="AC943" s="103">
        <v>0</v>
      </c>
      <c r="AD943" s="156">
        <v>42005</v>
      </c>
      <c r="AE943" s="103"/>
      <c r="AF943" s="103" t="s">
        <v>870</v>
      </c>
      <c r="AG943" s="103" t="s">
        <v>871</v>
      </c>
      <c r="AH943" s="103" t="s">
        <v>976</v>
      </c>
      <c r="AI943" s="103">
        <v>0</v>
      </c>
      <c r="AJ943" s="103"/>
      <c r="AK943" s="103"/>
      <c r="AL943" s="103"/>
      <c r="AM943" s="103"/>
      <c r="AN943" s="103"/>
      <c r="AO943" s="103" t="str">
        <f t="shared" si="47"/>
        <v>Std_CFLscw-Dim(35w)_60pInc-r0248Two-pack</v>
      </c>
    </row>
    <row r="944" spans="1:41">
      <c r="A944" s="177">
        <f>IFERROR(MATCH(D944,'Measure &amp; Standard CostIDs'!C$5:C$177,0),MATCH(D944,'Measure &amp; Standard CostIDs'!S$5:S$177,0))</f>
        <v>120</v>
      </c>
      <c r="B944" s="177">
        <f t="shared" si="49"/>
        <v>3</v>
      </c>
      <c r="C944" s="103" t="s">
        <v>153</v>
      </c>
      <c r="D944" s="103" t="str">
        <f t="shared" si="48"/>
        <v>Std_CFLscw-Dim(38w)_60pInc-r0248</v>
      </c>
      <c r="E944" s="103" t="str">
        <f>IF(LEFT(D944,3)="Std","Base case cost for mix of 60% Incandescent and 40% CFL lamps for CFL TechID: "&amp;INDEX('Measure &amp; Standard CostIDs'!$C$5:$C$177,A944),"&lt;from TechID&gt;")</f>
        <v>Base case cost for mix of 60% Incandescent and 40% CFL lamps for CFL TechID: CFLscw-Dim(38w)</v>
      </c>
      <c r="F944" s="103" t="s">
        <v>860</v>
      </c>
      <c r="G944" s="103" t="s">
        <v>151</v>
      </c>
      <c r="H944" s="103" t="s">
        <v>861</v>
      </c>
      <c r="I944" s="103" t="s">
        <v>862</v>
      </c>
      <c r="J944" s="103" t="s">
        <v>863</v>
      </c>
      <c r="K944" s="103" t="s">
        <v>864</v>
      </c>
      <c r="L944" s="103" t="s">
        <v>153</v>
      </c>
      <c r="M944" s="103" t="s">
        <v>865</v>
      </c>
      <c r="N944" s="103" t="s">
        <v>866</v>
      </c>
      <c r="O944" s="103" t="str">
        <f t="shared" si="46"/>
        <v/>
      </c>
      <c r="P944" s="103" t="s">
        <v>153</v>
      </c>
      <c r="Q944" s="103" t="s">
        <v>153</v>
      </c>
      <c r="R944" s="103" t="s">
        <v>153</v>
      </c>
      <c r="S944" s="103" t="str">
        <f>INDEX('Measure &amp; Standard CostIDs'!$AK$8:$AK$12,B944)</f>
        <v>Two-pack</v>
      </c>
      <c r="T944" s="103" t="s">
        <v>867</v>
      </c>
      <c r="U944" s="103"/>
      <c r="V944" s="103"/>
      <c r="W944" s="103">
        <f>ROUND(IF(LEFT(D944,3)="Std",VLOOKUP(D944,'Measure &amp; Standard CostIDs'!$S$5:$X$177,1+B944,FALSE),VLOOKUP(D944,'Measure &amp; Standard CostIDs'!$C$5:$H$177,1+B944,FALSE)),2)</f>
        <v>5.95</v>
      </c>
      <c r="X944" s="103"/>
      <c r="Y944" s="103"/>
      <c r="Z944" s="103" t="s">
        <v>868</v>
      </c>
      <c r="AA944" s="103" t="s">
        <v>874</v>
      </c>
      <c r="AB944" s="103" t="s">
        <v>153</v>
      </c>
      <c r="AC944" s="103">
        <v>0</v>
      </c>
      <c r="AD944" s="156">
        <v>42005</v>
      </c>
      <c r="AE944" s="103"/>
      <c r="AF944" s="103" t="s">
        <v>870</v>
      </c>
      <c r="AG944" s="103" t="s">
        <v>871</v>
      </c>
      <c r="AH944" s="103" t="s">
        <v>976</v>
      </c>
      <c r="AI944" s="103">
        <v>0</v>
      </c>
      <c r="AJ944" s="103"/>
      <c r="AK944" s="103"/>
      <c r="AL944" s="103"/>
      <c r="AM944" s="103"/>
      <c r="AN944" s="103"/>
      <c r="AO944" s="103" t="str">
        <f t="shared" si="47"/>
        <v>Std_CFLscw-Dim(38w)_60pInc-r0248Two-pack</v>
      </c>
    </row>
    <row r="945" spans="1:41">
      <c r="A945" s="177">
        <f>IFERROR(MATCH(D945,'Measure &amp; Standard CostIDs'!C$5:C$177,0),MATCH(D945,'Measure &amp; Standard CostIDs'!S$5:S$177,0))</f>
        <v>121</v>
      </c>
      <c r="B945" s="177">
        <f t="shared" si="49"/>
        <v>3</v>
      </c>
      <c r="C945" s="103" t="s">
        <v>153</v>
      </c>
      <c r="D945" s="103" t="str">
        <f t="shared" si="48"/>
        <v>Std_CFLscw-Dim(40w)_60pInc-r0248</v>
      </c>
      <c r="E945" s="103" t="str">
        <f>IF(LEFT(D945,3)="Std","Base case cost for mix of 60% Incandescent and 40% CFL lamps for CFL TechID: "&amp;INDEX('Measure &amp; Standard CostIDs'!$C$5:$C$177,A945),"&lt;from TechID&gt;")</f>
        <v>Base case cost for mix of 60% Incandescent and 40% CFL lamps for CFL TechID: CFLscw-Dim(40w)</v>
      </c>
      <c r="F945" s="103" t="s">
        <v>860</v>
      </c>
      <c r="G945" s="103" t="s">
        <v>151</v>
      </c>
      <c r="H945" s="103" t="s">
        <v>861</v>
      </c>
      <c r="I945" s="103" t="s">
        <v>862</v>
      </c>
      <c r="J945" s="103" t="s">
        <v>863</v>
      </c>
      <c r="K945" s="103" t="s">
        <v>864</v>
      </c>
      <c r="L945" s="103" t="s">
        <v>153</v>
      </c>
      <c r="M945" s="103" t="s">
        <v>865</v>
      </c>
      <c r="N945" s="103" t="s">
        <v>866</v>
      </c>
      <c r="O945" s="103" t="str">
        <f t="shared" si="46"/>
        <v/>
      </c>
      <c r="P945" s="103" t="s">
        <v>153</v>
      </c>
      <c r="Q945" s="103" t="s">
        <v>153</v>
      </c>
      <c r="R945" s="103" t="s">
        <v>153</v>
      </c>
      <c r="S945" s="103" t="str">
        <f>INDEX('Measure &amp; Standard CostIDs'!$AK$8:$AK$12,B945)</f>
        <v>Two-pack</v>
      </c>
      <c r="T945" s="103" t="s">
        <v>867</v>
      </c>
      <c r="U945" s="103"/>
      <c r="V945" s="103"/>
      <c r="W945" s="103">
        <f>ROUND(IF(LEFT(D945,3)="Std",VLOOKUP(D945,'Measure &amp; Standard CostIDs'!$S$5:$X$177,1+B945,FALSE),VLOOKUP(D945,'Measure &amp; Standard CostIDs'!$C$5:$H$177,1+B945,FALSE)),2)</f>
        <v>6.08</v>
      </c>
      <c r="X945" s="103"/>
      <c r="Y945" s="103"/>
      <c r="Z945" s="103" t="s">
        <v>868</v>
      </c>
      <c r="AA945" s="103" t="s">
        <v>874</v>
      </c>
      <c r="AB945" s="103" t="s">
        <v>153</v>
      </c>
      <c r="AC945" s="103">
        <v>0</v>
      </c>
      <c r="AD945" s="156">
        <v>42005</v>
      </c>
      <c r="AE945" s="103"/>
      <c r="AF945" s="103" t="s">
        <v>870</v>
      </c>
      <c r="AG945" s="103" t="s">
        <v>871</v>
      </c>
      <c r="AH945" s="103" t="s">
        <v>976</v>
      </c>
      <c r="AI945" s="103">
        <v>0</v>
      </c>
      <c r="AJ945" s="103"/>
      <c r="AK945" s="103"/>
      <c r="AL945" s="103"/>
      <c r="AM945" s="103"/>
      <c r="AN945" s="103"/>
      <c r="AO945" s="103" t="str">
        <f t="shared" si="47"/>
        <v>Std_CFLscw-Dim(40w)_60pInc-r0248Two-pack</v>
      </c>
    </row>
    <row r="946" spans="1:41">
      <c r="A946" s="177">
        <f>IFERROR(MATCH(D946,'Measure &amp; Standard CostIDs'!C$5:C$177,0),MATCH(D946,'Measure &amp; Standard CostIDs'!S$5:S$177,0))</f>
        <v>125</v>
      </c>
      <c r="B946" s="177">
        <f t="shared" si="49"/>
        <v>3</v>
      </c>
      <c r="C946" s="103" t="s">
        <v>153</v>
      </c>
      <c r="D946" s="103" t="str">
        <f t="shared" si="48"/>
        <v>Std_CFLscw-Glb(10w)_60pInc-r0248</v>
      </c>
      <c r="E946" s="103" t="str">
        <f>IF(LEFT(D946,3)="Std","Base case cost for mix of 60% Incandescent and 40% CFL lamps for CFL TechID: "&amp;INDEX('Measure &amp; Standard CostIDs'!$C$5:$C$177,A946),"&lt;from TechID&gt;")</f>
        <v>Base case cost for mix of 60% Incandescent and 40% CFL lamps for CFL TechID: CFLscw-Glb(10w)</v>
      </c>
      <c r="F946" s="103" t="s">
        <v>860</v>
      </c>
      <c r="G946" s="103" t="s">
        <v>151</v>
      </c>
      <c r="H946" s="103" t="s">
        <v>861</v>
      </c>
      <c r="I946" s="103" t="s">
        <v>862</v>
      </c>
      <c r="J946" s="103" t="s">
        <v>863</v>
      </c>
      <c r="K946" s="103" t="s">
        <v>864</v>
      </c>
      <c r="L946" s="103" t="s">
        <v>153</v>
      </c>
      <c r="M946" s="103" t="s">
        <v>865</v>
      </c>
      <c r="N946" s="103" t="s">
        <v>866</v>
      </c>
      <c r="O946" s="103" t="str">
        <f t="shared" si="46"/>
        <v/>
      </c>
      <c r="P946" s="103" t="s">
        <v>153</v>
      </c>
      <c r="Q946" s="103" t="s">
        <v>153</v>
      </c>
      <c r="R946" s="103" t="s">
        <v>153</v>
      </c>
      <c r="S946" s="103" t="str">
        <f>INDEX('Measure &amp; Standard CostIDs'!$AK$8:$AK$12,B946)</f>
        <v>Two-pack</v>
      </c>
      <c r="T946" s="103" t="s">
        <v>867</v>
      </c>
      <c r="U946" s="103"/>
      <c r="V946" s="103"/>
      <c r="W946" s="103">
        <f>ROUND(IF(LEFT(D946,3)="Std",VLOOKUP(D946,'Measure &amp; Standard CostIDs'!$S$5:$X$177,1+B946,FALSE),VLOOKUP(D946,'Measure &amp; Standard CostIDs'!$C$5:$H$177,1+B946,FALSE)),2)</f>
        <v>4.1399999999999997</v>
      </c>
      <c r="X946" s="103"/>
      <c r="Y946" s="103"/>
      <c r="Z946" s="103" t="s">
        <v>868</v>
      </c>
      <c r="AA946" s="103" t="s">
        <v>874</v>
      </c>
      <c r="AB946" s="103" t="s">
        <v>153</v>
      </c>
      <c r="AC946" s="103">
        <v>0</v>
      </c>
      <c r="AD946" s="156">
        <v>42005</v>
      </c>
      <c r="AE946" s="103"/>
      <c r="AF946" s="103" t="s">
        <v>870</v>
      </c>
      <c r="AG946" s="103" t="s">
        <v>871</v>
      </c>
      <c r="AH946" s="103" t="s">
        <v>976</v>
      </c>
      <c r="AI946" s="103">
        <v>0</v>
      </c>
      <c r="AJ946" s="103"/>
      <c r="AK946" s="103"/>
      <c r="AL946" s="103"/>
      <c r="AM946" s="103"/>
      <c r="AN946" s="103"/>
      <c r="AO946" s="103" t="str">
        <f t="shared" si="47"/>
        <v>Std_CFLscw-Glb(10w)_60pInc-r0248Two-pack</v>
      </c>
    </row>
    <row r="947" spans="1:41">
      <c r="A947" s="177">
        <f>IFERROR(MATCH(D947,'Measure &amp; Standard CostIDs'!C$5:C$177,0),MATCH(D947,'Measure &amp; Standard CostIDs'!S$5:S$177,0))</f>
        <v>126</v>
      </c>
      <c r="B947" s="177">
        <f t="shared" si="49"/>
        <v>3</v>
      </c>
      <c r="C947" s="103" t="s">
        <v>153</v>
      </c>
      <c r="D947" s="103" t="str">
        <f t="shared" si="48"/>
        <v>Std_CFLscw-Glb(11w)_60pInc-r0248</v>
      </c>
      <c r="E947" s="103" t="str">
        <f>IF(LEFT(D947,3)="Std","Base case cost for mix of 60% Incandescent and 40% CFL lamps for CFL TechID: "&amp;INDEX('Measure &amp; Standard CostIDs'!$C$5:$C$177,A947),"&lt;from TechID&gt;")</f>
        <v>Base case cost for mix of 60% Incandescent and 40% CFL lamps for CFL TechID: CFLscw-Glb(11w)</v>
      </c>
      <c r="F947" s="103" t="s">
        <v>860</v>
      </c>
      <c r="G947" s="103" t="s">
        <v>151</v>
      </c>
      <c r="H947" s="103" t="s">
        <v>861</v>
      </c>
      <c r="I947" s="103" t="s">
        <v>862</v>
      </c>
      <c r="J947" s="103" t="s">
        <v>863</v>
      </c>
      <c r="K947" s="103" t="s">
        <v>864</v>
      </c>
      <c r="L947" s="103" t="s">
        <v>153</v>
      </c>
      <c r="M947" s="103" t="s">
        <v>865</v>
      </c>
      <c r="N947" s="103" t="s">
        <v>866</v>
      </c>
      <c r="O947" s="103" t="str">
        <f t="shared" si="46"/>
        <v/>
      </c>
      <c r="P947" s="103" t="s">
        <v>153</v>
      </c>
      <c r="Q947" s="103" t="s">
        <v>153</v>
      </c>
      <c r="R947" s="103" t="s">
        <v>153</v>
      </c>
      <c r="S947" s="103" t="str">
        <f>INDEX('Measure &amp; Standard CostIDs'!$AK$8:$AK$12,B947)</f>
        <v>Two-pack</v>
      </c>
      <c r="T947" s="103" t="s">
        <v>867</v>
      </c>
      <c r="U947" s="103"/>
      <c r="V947" s="103"/>
      <c r="W947" s="103">
        <f>ROUND(IF(LEFT(D947,3)="Std",VLOOKUP(D947,'Measure &amp; Standard CostIDs'!$S$5:$X$177,1+B947,FALSE),VLOOKUP(D947,'Measure &amp; Standard CostIDs'!$C$5:$H$177,1+B947,FALSE)),2)</f>
        <v>4.1500000000000004</v>
      </c>
      <c r="X947" s="103"/>
      <c r="Y947" s="103"/>
      <c r="Z947" s="103" t="s">
        <v>868</v>
      </c>
      <c r="AA947" s="103" t="s">
        <v>874</v>
      </c>
      <c r="AB947" s="103" t="s">
        <v>153</v>
      </c>
      <c r="AC947" s="103">
        <v>0</v>
      </c>
      <c r="AD947" s="156">
        <v>42005</v>
      </c>
      <c r="AE947" s="103"/>
      <c r="AF947" s="103" t="s">
        <v>870</v>
      </c>
      <c r="AG947" s="103" t="s">
        <v>871</v>
      </c>
      <c r="AH947" s="103" t="s">
        <v>976</v>
      </c>
      <c r="AI947" s="103">
        <v>0</v>
      </c>
      <c r="AJ947" s="103"/>
      <c r="AK947" s="103"/>
      <c r="AL947" s="103"/>
      <c r="AM947" s="103"/>
      <c r="AN947" s="103"/>
      <c r="AO947" s="103" t="str">
        <f t="shared" si="47"/>
        <v>Std_CFLscw-Glb(11w)_60pInc-r0248Two-pack</v>
      </c>
    </row>
    <row r="948" spans="1:41">
      <c r="A948" s="177">
        <f>IFERROR(MATCH(D948,'Measure &amp; Standard CostIDs'!C$5:C$177,0),MATCH(D948,'Measure &amp; Standard CostIDs'!S$5:S$177,0))</f>
        <v>127</v>
      </c>
      <c r="B948" s="177">
        <f t="shared" si="49"/>
        <v>3</v>
      </c>
      <c r="C948" s="103" t="s">
        <v>153</v>
      </c>
      <c r="D948" s="103" t="str">
        <f t="shared" si="48"/>
        <v>Std_CFLscw-Glb(12w)_60pInc-r0248</v>
      </c>
      <c r="E948" s="103" t="str">
        <f>IF(LEFT(D948,3)="Std","Base case cost for mix of 60% Incandescent and 40% CFL lamps for CFL TechID: "&amp;INDEX('Measure &amp; Standard CostIDs'!$C$5:$C$177,A948),"&lt;from TechID&gt;")</f>
        <v>Base case cost for mix of 60% Incandescent and 40% CFL lamps for CFL TechID: CFLscw-Glb(12w)</v>
      </c>
      <c r="F948" s="103" t="s">
        <v>860</v>
      </c>
      <c r="G948" s="103" t="s">
        <v>151</v>
      </c>
      <c r="H948" s="103" t="s">
        <v>861</v>
      </c>
      <c r="I948" s="103" t="s">
        <v>862</v>
      </c>
      <c r="J948" s="103" t="s">
        <v>863</v>
      </c>
      <c r="K948" s="103" t="s">
        <v>864</v>
      </c>
      <c r="L948" s="103" t="s">
        <v>153</v>
      </c>
      <c r="M948" s="103" t="s">
        <v>865</v>
      </c>
      <c r="N948" s="103" t="s">
        <v>866</v>
      </c>
      <c r="O948" s="103" t="str">
        <f t="shared" si="46"/>
        <v/>
      </c>
      <c r="P948" s="103" t="s">
        <v>153</v>
      </c>
      <c r="Q948" s="103" t="s">
        <v>153</v>
      </c>
      <c r="R948" s="103" t="s">
        <v>153</v>
      </c>
      <c r="S948" s="103" t="str">
        <f>INDEX('Measure &amp; Standard CostIDs'!$AK$8:$AK$12,B948)</f>
        <v>Two-pack</v>
      </c>
      <c r="T948" s="103" t="s">
        <v>867</v>
      </c>
      <c r="U948" s="103"/>
      <c r="V948" s="103"/>
      <c r="W948" s="103">
        <f>ROUND(IF(LEFT(D948,3)="Std",VLOOKUP(D948,'Measure &amp; Standard CostIDs'!$S$5:$X$177,1+B948,FALSE),VLOOKUP(D948,'Measure &amp; Standard CostIDs'!$C$5:$H$177,1+B948,FALSE)),2)</f>
        <v>4.16</v>
      </c>
      <c r="X948" s="103"/>
      <c r="Y948" s="103"/>
      <c r="Z948" s="103" t="s">
        <v>868</v>
      </c>
      <c r="AA948" s="103" t="s">
        <v>874</v>
      </c>
      <c r="AB948" s="103" t="s">
        <v>153</v>
      </c>
      <c r="AC948" s="103">
        <v>0</v>
      </c>
      <c r="AD948" s="156">
        <v>42005</v>
      </c>
      <c r="AE948" s="103"/>
      <c r="AF948" s="103" t="s">
        <v>870</v>
      </c>
      <c r="AG948" s="103" t="s">
        <v>871</v>
      </c>
      <c r="AH948" s="103" t="s">
        <v>976</v>
      </c>
      <c r="AI948" s="103">
        <v>0</v>
      </c>
      <c r="AJ948" s="103"/>
      <c r="AK948" s="103"/>
      <c r="AL948" s="103"/>
      <c r="AM948" s="103"/>
      <c r="AN948" s="103"/>
      <c r="AO948" s="103" t="str">
        <f t="shared" si="47"/>
        <v>Std_CFLscw-Glb(12w)_60pInc-r0248Two-pack</v>
      </c>
    </row>
    <row r="949" spans="1:41">
      <c r="A949" s="177">
        <f>IFERROR(MATCH(D949,'Measure &amp; Standard CostIDs'!C$5:C$177,0),MATCH(D949,'Measure &amp; Standard CostIDs'!S$5:S$177,0))</f>
        <v>128</v>
      </c>
      <c r="B949" s="177">
        <f t="shared" si="49"/>
        <v>3</v>
      </c>
      <c r="C949" s="103" t="s">
        <v>153</v>
      </c>
      <c r="D949" s="103" t="str">
        <f t="shared" si="48"/>
        <v>Std_CFLscw-Glb(13w)_60pInc-r0248</v>
      </c>
      <c r="E949" s="103" t="str">
        <f>IF(LEFT(D949,3)="Std","Base case cost for mix of 60% Incandescent and 40% CFL lamps for CFL TechID: "&amp;INDEX('Measure &amp; Standard CostIDs'!$C$5:$C$177,A949),"&lt;from TechID&gt;")</f>
        <v>Base case cost for mix of 60% Incandescent and 40% CFL lamps for CFL TechID: CFLscw-Glb(13w)</v>
      </c>
      <c r="F949" s="103" t="s">
        <v>860</v>
      </c>
      <c r="G949" s="103" t="s">
        <v>151</v>
      </c>
      <c r="H949" s="103" t="s">
        <v>861</v>
      </c>
      <c r="I949" s="103" t="s">
        <v>862</v>
      </c>
      <c r="J949" s="103" t="s">
        <v>863</v>
      </c>
      <c r="K949" s="103" t="s">
        <v>864</v>
      </c>
      <c r="L949" s="103" t="s">
        <v>153</v>
      </c>
      <c r="M949" s="103" t="s">
        <v>865</v>
      </c>
      <c r="N949" s="103" t="s">
        <v>866</v>
      </c>
      <c r="O949" s="103" t="str">
        <f t="shared" si="46"/>
        <v/>
      </c>
      <c r="P949" s="103" t="s">
        <v>153</v>
      </c>
      <c r="Q949" s="103" t="s">
        <v>153</v>
      </c>
      <c r="R949" s="103" t="s">
        <v>153</v>
      </c>
      <c r="S949" s="103" t="str">
        <f>INDEX('Measure &amp; Standard CostIDs'!$AK$8:$AK$12,B949)</f>
        <v>Two-pack</v>
      </c>
      <c r="T949" s="103" t="s">
        <v>867</v>
      </c>
      <c r="U949" s="103"/>
      <c r="V949" s="103"/>
      <c r="W949" s="103">
        <f>ROUND(IF(LEFT(D949,3)="Std",VLOOKUP(D949,'Measure &amp; Standard CostIDs'!$S$5:$X$177,1+B949,FALSE),VLOOKUP(D949,'Measure &amp; Standard CostIDs'!$C$5:$H$177,1+B949,FALSE)),2)</f>
        <v>4.17</v>
      </c>
      <c r="X949" s="103"/>
      <c r="Y949" s="103"/>
      <c r="Z949" s="103" t="s">
        <v>868</v>
      </c>
      <c r="AA949" s="103" t="s">
        <v>874</v>
      </c>
      <c r="AB949" s="103" t="s">
        <v>153</v>
      </c>
      <c r="AC949" s="103">
        <v>0</v>
      </c>
      <c r="AD949" s="156">
        <v>42005</v>
      </c>
      <c r="AE949" s="103"/>
      <c r="AF949" s="103" t="s">
        <v>870</v>
      </c>
      <c r="AG949" s="103" t="s">
        <v>871</v>
      </c>
      <c r="AH949" s="103" t="s">
        <v>976</v>
      </c>
      <c r="AI949" s="103">
        <v>0</v>
      </c>
      <c r="AJ949" s="103"/>
      <c r="AK949" s="103"/>
      <c r="AL949" s="103"/>
      <c r="AM949" s="103"/>
      <c r="AN949" s="103"/>
      <c r="AO949" s="103" t="str">
        <f t="shared" si="47"/>
        <v>Std_CFLscw-Glb(13w)_60pInc-r0248Two-pack</v>
      </c>
    </row>
    <row r="950" spans="1:41">
      <c r="A950" s="177">
        <f>IFERROR(MATCH(D950,'Measure &amp; Standard CostIDs'!C$5:C$177,0),MATCH(D950,'Measure &amp; Standard CostIDs'!S$5:S$177,0))</f>
        <v>129</v>
      </c>
      <c r="B950" s="177">
        <f t="shared" si="49"/>
        <v>3</v>
      </c>
      <c r="C950" s="103" t="s">
        <v>153</v>
      </c>
      <c r="D950" s="103" t="str">
        <f t="shared" si="48"/>
        <v>Std_CFLscw-Glb(14w)_60pInc-r0248</v>
      </c>
      <c r="E950" s="103" t="str">
        <f>IF(LEFT(D950,3)="Std","Base case cost for mix of 60% Incandescent and 40% CFL lamps for CFL TechID: "&amp;INDEX('Measure &amp; Standard CostIDs'!$C$5:$C$177,A950),"&lt;from TechID&gt;")</f>
        <v>Base case cost for mix of 60% Incandescent and 40% CFL lamps for CFL TechID: CFLscw-Glb(14w)</v>
      </c>
      <c r="F950" s="103" t="s">
        <v>860</v>
      </c>
      <c r="G950" s="103" t="s">
        <v>151</v>
      </c>
      <c r="H950" s="103" t="s">
        <v>861</v>
      </c>
      <c r="I950" s="103" t="s">
        <v>862</v>
      </c>
      <c r="J950" s="103" t="s">
        <v>863</v>
      </c>
      <c r="K950" s="103" t="s">
        <v>864</v>
      </c>
      <c r="L950" s="103" t="s">
        <v>153</v>
      </c>
      <c r="M950" s="103" t="s">
        <v>865</v>
      </c>
      <c r="N950" s="103" t="s">
        <v>866</v>
      </c>
      <c r="O950" s="103" t="str">
        <f t="shared" si="46"/>
        <v/>
      </c>
      <c r="P950" s="103" t="s">
        <v>153</v>
      </c>
      <c r="Q950" s="103" t="s">
        <v>153</v>
      </c>
      <c r="R950" s="103" t="s">
        <v>153</v>
      </c>
      <c r="S950" s="103" t="str">
        <f>INDEX('Measure &amp; Standard CostIDs'!$AK$8:$AK$12,B950)</f>
        <v>Two-pack</v>
      </c>
      <c r="T950" s="103" t="s">
        <v>867</v>
      </c>
      <c r="U950" s="103"/>
      <c r="V950" s="103"/>
      <c r="W950" s="103">
        <f>ROUND(IF(LEFT(D950,3)="Std",VLOOKUP(D950,'Measure &amp; Standard CostIDs'!$S$5:$X$177,1+B950,FALSE),VLOOKUP(D950,'Measure &amp; Standard CostIDs'!$C$5:$H$177,1+B950,FALSE)),2)</f>
        <v>4.18</v>
      </c>
      <c r="X950" s="103"/>
      <c r="Y950" s="103"/>
      <c r="Z950" s="103" t="s">
        <v>868</v>
      </c>
      <c r="AA950" s="103" t="s">
        <v>874</v>
      </c>
      <c r="AB950" s="103" t="s">
        <v>153</v>
      </c>
      <c r="AC950" s="103">
        <v>0</v>
      </c>
      <c r="AD950" s="156">
        <v>42005</v>
      </c>
      <c r="AE950" s="103"/>
      <c r="AF950" s="103" t="s">
        <v>870</v>
      </c>
      <c r="AG950" s="103" t="s">
        <v>871</v>
      </c>
      <c r="AH950" s="103" t="s">
        <v>976</v>
      </c>
      <c r="AI950" s="103">
        <v>0</v>
      </c>
      <c r="AJ950" s="103"/>
      <c r="AK950" s="103"/>
      <c r="AL950" s="103"/>
      <c r="AM950" s="103"/>
      <c r="AN950" s="103"/>
      <c r="AO950" s="103" t="str">
        <f t="shared" si="47"/>
        <v>Std_CFLscw-Glb(14w)_60pInc-r0248Two-pack</v>
      </c>
    </row>
    <row r="951" spans="1:41">
      <c r="A951" s="177">
        <f>IFERROR(MATCH(D951,'Measure &amp; Standard CostIDs'!C$5:C$177,0),MATCH(D951,'Measure &amp; Standard CostIDs'!S$5:S$177,0))</f>
        <v>130</v>
      </c>
      <c r="B951" s="177">
        <f t="shared" si="49"/>
        <v>3</v>
      </c>
      <c r="C951" s="103" t="s">
        <v>153</v>
      </c>
      <c r="D951" s="103" t="str">
        <f t="shared" si="48"/>
        <v>Std_CFLscw-Glb(15w)_60pInc-r0248</v>
      </c>
      <c r="E951" s="103" t="str">
        <f>IF(LEFT(D951,3)="Std","Base case cost for mix of 60% Incandescent and 40% CFL lamps for CFL TechID: "&amp;INDEX('Measure &amp; Standard CostIDs'!$C$5:$C$177,A951),"&lt;from TechID&gt;")</f>
        <v>Base case cost for mix of 60% Incandescent and 40% CFL lamps for CFL TechID: CFLscw-Glb(15w)</v>
      </c>
      <c r="F951" s="103" t="s">
        <v>860</v>
      </c>
      <c r="G951" s="103" t="s">
        <v>151</v>
      </c>
      <c r="H951" s="103" t="s">
        <v>861</v>
      </c>
      <c r="I951" s="103" t="s">
        <v>862</v>
      </c>
      <c r="J951" s="103" t="s">
        <v>863</v>
      </c>
      <c r="K951" s="103" t="s">
        <v>864</v>
      </c>
      <c r="L951" s="103" t="s">
        <v>153</v>
      </c>
      <c r="M951" s="103" t="s">
        <v>865</v>
      </c>
      <c r="N951" s="103" t="s">
        <v>866</v>
      </c>
      <c r="O951" s="103" t="str">
        <f t="shared" si="46"/>
        <v/>
      </c>
      <c r="P951" s="103" t="s">
        <v>153</v>
      </c>
      <c r="Q951" s="103" t="s">
        <v>153</v>
      </c>
      <c r="R951" s="103" t="s">
        <v>153</v>
      </c>
      <c r="S951" s="103" t="str">
        <f>INDEX('Measure &amp; Standard CostIDs'!$AK$8:$AK$12,B951)</f>
        <v>Two-pack</v>
      </c>
      <c r="T951" s="103" t="s">
        <v>867</v>
      </c>
      <c r="U951" s="103"/>
      <c r="V951" s="103"/>
      <c r="W951" s="103">
        <f>ROUND(IF(LEFT(D951,3)="Std",VLOOKUP(D951,'Measure &amp; Standard CostIDs'!$S$5:$X$177,1+B951,FALSE),VLOOKUP(D951,'Measure &amp; Standard CostIDs'!$C$5:$H$177,1+B951,FALSE)),2)</f>
        <v>4.1900000000000004</v>
      </c>
      <c r="X951" s="103"/>
      <c r="Y951" s="103"/>
      <c r="Z951" s="103" t="s">
        <v>868</v>
      </c>
      <c r="AA951" s="103" t="s">
        <v>874</v>
      </c>
      <c r="AB951" s="103" t="s">
        <v>153</v>
      </c>
      <c r="AC951" s="103">
        <v>0</v>
      </c>
      <c r="AD951" s="156">
        <v>42005</v>
      </c>
      <c r="AE951" s="103"/>
      <c r="AF951" s="103" t="s">
        <v>870</v>
      </c>
      <c r="AG951" s="103" t="s">
        <v>871</v>
      </c>
      <c r="AH951" s="103" t="s">
        <v>976</v>
      </c>
      <c r="AI951" s="103">
        <v>0</v>
      </c>
      <c r="AJ951" s="103"/>
      <c r="AK951" s="103"/>
      <c r="AL951" s="103"/>
      <c r="AM951" s="103"/>
      <c r="AN951" s="103"/>
      <c r="AO951" s="103" t="str">
        <f t="shared" si="47"/>
        <v>Std_CFLscw-Glb(15w)_60pInc-r0248Two-pack</v>
      </c>
    </row>
    <row r="952" spans="1:41">
      <c r="A952" s="177">
        <f>IFERROR(MATCH(D952,'Measure &amp; Standard CostIDs'!C$5:C$177,0),MATCH(D952,'Measure &amp; Standard CostIDs'!S$5:S$177,0))</f>
        <v>131</v>
      </c>
      <c r="B952" s="177">
        <f t="shared" si="49"/>
        <v>3</v>
      </c>
      <c r="C952" s="103" t="s">
        <v>153</v>
      </c>
      <c r="D952" s="103" t="str">
        <f t="shared" si="48"/>
        <v>Std_CFLscw-Glb(16w)_60pInc-r0248</v>
      </c>
      <c r="E952" s="103" t="str">
        <f>IF(LEFT(D952,3)="Std","Base case cost for mix of 60% Incandescent and 40% CFL lamps for CFL TechID: "&amp;INDEX('Measure &amp; Standard CostIDs'!$C$5:$C$177,A952),"&lt;from TechID&gt;")</f>
        <v>Base case cost for mix of 60% Incandescent and 40% CFL lamps for CFL TechID: CFLscw-Glb(16w)</v>
      </c>
      <c r="F952" s="103" t="s">
        <v>860</v>
      </c>
      <c r="G952" s="103" t="s">
        <v>151</v>
      </c>
      <c r="H952" s="103" t="s">
        <v>861</v>
      </c>
      <c r="I952" s="103" t="s">
        <v>862</v>
      </c>
      <c r="J952" s="103" t="s">
        <v>863</v>
      </c>
      <c r="K952" s="103" t="s">
        <v>864</v>
      </c>
      <c r="L952" s="103" t="s">
        <v>153</v>
      </c>
      <c r="M952" s="103" t="s">
        <v>865</v>
      </c>
      <c r="N952" s="103" t="s">
        <v>866</v>
      </c>
      <c r="O952" s="103" t="str">
        <f t="shared" si="46"/>
        <v/>
      </c>
      <c r="P952" s="103" t="s">
        <v>153</v>
      </c>
      <c r="Q952" s="103" t="s">
        <v>153</v>
      </c>
      <c r="R952" s="103" t="s">
        <v>153</v>
      </c>
      <c r="S952" s="103" t="str">
        <f>INDEX('Measure &amp; Standard CostIDs'!$AK$8:$AK$12,B952)</f>
        <v>Two-pack</v>
      </c>
      <c r="T952" s="103" t="s">
        <v>867</v>
      </c>
      <c r="U952" s="103"/>
      <c r="V952" s="103"/>
      <c r="W952" s="103">
        <f>ROUND(IF(LEFT(D952,3)="Std",VLOOKUP(D952,'Measure &amp; Standard CostIDs'!$S$5:$X$177,1+B952,FALSE),VLOOKUP(D952,'Measure &amp; Standard CostIDs'!$C$5:$H$177,1+B952,FALSE)),2)</f>
        <v>4.2</v>
      </c>
      <c r="X952" s="103"/>
      <c r="Y952" s="103"/>
      <c r="Z952" s="103" t="s">
        <v>868</v>
      </c>
      <c r="AA952" s="103" t="s">
        <v>874</v>
      </c>
      <c r="AB952" s="103" t="s">
        <v>153</v>
      </c>
      <c r="AC952" s="103">
        <v>0</v>
      </c>
      <c r="AD952" s="156">
        <v>42005</v>
      </c>
      <c r="AE952" s="103"/>
      <c r="AF952" s="103" t="s">
        <v>870</v>
      </c>
      <c r="AG952" s="103" t="s">
        <v>871</v>
      </c>
      <c r="AH952" s="103" t="s">
        <v>976</v>
      </c>
      <c r="AI952" s="103">
        <v>0</v>
      </c>
      <c r="AJ952" s="103"/>
      <c r="AK952" s="103"/>
      <c r="AL952" s="103"/>
      <c r="AM952" s="103"/>
      <c r="AN952" s="103"/>
      <c r="AO952" s="103" t="str">
        <f t="shared" si="47"/>
        <v>Std_CFLscw-Glb(16w)_60pInc-r0248Two-pack</v>
      </c>
    </row>
    <row r="953" spans="1:41">
      <c r="A953" s="177">
        <f>IFERROR(MATCH(D953,'Measure &amp; Standard CostIDs'!C$5:C$177,0),MATCH(D953,'Measure &amp; Standard CostIDs'!S$5:S$177,0))</f>
        <v>132</v>
      </c>
      <c r="B953" s="177">
        <f t="shared" si="49"/>
        <v>3</v>
      </c>
      <c r="C953" s="103" t="s">
        <v>153</v>
      </c>
      <c r="D953" s="103" t="str">
        <f t="shared" si="48"/>
        <v>Std_CFLscw-Glb(18w)_60pInc-r0248</v>
      </c>
      <c r="E953" s="103" t="str">
        <f>IF(LEFT(D953,3)="Std","Base case cost for mix of 60% Incandescent and 40% CFL lamps for CFL TechID: "&amp;INDEX('Measure &amp; Standard CostIDs'!$C$5:$C$177,A953),"&lt;from TechID&gt;")</f>
        <v>Base case cost for mix of 60% Incandescent and 40% CFL lamps for CFL TechID: CFLscw-Glb(18w)</v>
      </c>
      <c r="F953" s="103" t="s">
        <v>860</v>
      </c>
      <c r="G953" s="103" t="s">
        <v>151</v>
      </c>
      <c r="H953" s="103" t="s">
        <v>861</v>
      </c>
      <c r="I953" s="103" t="s">
        <v>862</v>
      </c>
      <c r="J953" s="103" t="s">
        <v>863</v>
      </c>
      <c r="K953" s="103" t="s">
        <v>864</v>
      </c>
      <c r="L953" s="103" t="s">
        <v>153</v>
      </c>
      <c r="M953" s="103" t="s">
        <v>865</v>
      </c>
      <c r="N953" s="103" t="s">
        <v>866</v>
      </c>
      <c r="O953" s="103" t="str">
        <f t="shared" si="46"/>
        <v/>
      </c>
      <c r="P953" s="103" t="s">
        <v>153</v>
      </c>
      <c r="Q953" s="103" t="s">
        <v>153</v>
      </c>
      <c r="R953" s="103" t="s">
        <v>153</v>
      </c>
      <c r="S953" s="103" t="str">
        <f>INDEX('Measure &amp; Standard CostIDs'!$AK$8:$AK$12,B953)</f>
        <v>Two-pack</v>
      </c>
      <c r="T953" s="103" t="s">
        <v>867</v>
      </c>
      <c r="U953" s="103"/>
      <c r="V953" s="103"/>
      <c r="W953" s="103">
        <f>ROUND(IF(LEFT(D953,3)="Std",VLOOKUP(D953,'Measure &amp; Standard CostIDs'!$S$5:$X$177,1+B953,FALSE),VLOOKUP(D953,'Measure &amp; Standard CostIDs'!$C$5:$H$177,1+B953,FALSE)),2)</f>
        <v>4.21</v>
      </c>
      <c r="X953" s="103"/>
      <c r="Y953" s="103"/>
      <c r="Z953" s="103" t="s">
        <v>868</v>
      </c>
      <c r="AA953" s="103" t="s">
        <v>874</v>
      </c>
      <c r="AB953" s="103" t="s">
        <v>153</v>
      </c>
      <c r="AC953" s="103">
        <v>0</v>
      </c>
      <c r="AD953" s="156">
        <v>42005</v>
      </c>
      <c r="AE953" s="103"/>
      <c r="AF953" s="103" t="s">
        <v>870</v>
      </c>
      <c r="AG953" s="103" t="s">
        <v>871</v>
      </c>
      <c r="AH953" s="103" t="s">
        <v>976</v>
      </c>
      <c r="AI953" s="103">
        <v>0</v>
      </c>
      <c r="AJ953" s="103"/>
      <c r="AK953" s="103"/>
      <c r="AL953" s="103"/>
      <c r="AM953" s="103"/>
      <c r="AN953" s="103"/>
      <c r="AO953" s="103" t="str">
        <f t="shared" si="47"/>
        <v>Std_CFLscw-Glb(18w)_60pInc-r0248Two-pack</v>
      </c>
    </row>
    <row r="954" spans="1:41">
      <c r="A954" s="177">
        <f>IFERROR(MATCH(D954,'Measure &amp; Standard CostIDs'!C$5:C$177,0),MATCH(D954,'Measure &amp; Standard CostIDs'!S$5:S$177,0))</f>
        <v>133</v>
      </c>
      <c r="B954" s="177">
        <f t="shared" si="49"/>
        <v>3</v>
      </c>
      <c r="C954" s="103" t="s">
        <v>153</v>
      </c>
      <c r="D954" s="103" t="str">
        <f t="shared" si="48"/>
        <v>Std_CFLscw-Glb(19w)_60pInc-r0248</v>
      </c>
      <c r="E954" s="103" t="str">
        <f>IF(LEFT(D954,3)="Std","Base case cost for mix of 60% Incandescent and 40% CFL lamps for CFL TechID: "&amp;INDEX('Measure &amp; Standard CostIDs'!$C$5:$C$177,A954),"&lt;from TechID&gt;")</f>
        <v>Base case cost for mix of 60% Incandescent and 40% CFL lamps for CFL TechID: CFLscw-Glb(19w)</v>
      </c>
      <c r="F954" s="103" t="s">
        <v>860</v>
      </c>
      <c r="G954" s="103" t="s">
        <v>151</v>
      </c>
      <c r="H954" s="103" t="s">
        <v>861</v>
      </c>
      <c r="I954" s="103" t="s">
        <v>862</v>
      </c>
      <c r="J954" s="103" t="s">
        <v>863</v>
      </c>
      <c r="K954" s="103" t="s">
        <v>864</v>
      </c>
      <c r="L954" s="103" t="s">
        <v>153</v>
      </c>
      <c r="M954" s="103" t="s">
        <v>865</v>
      </c>
      <c r="N954" s="103" t="s">
        <v>866</v>
      </c>
      <c r="O954" s="103" t="str">
        <f t="shared" si="46"/>
        <v/>
      </c>
      <c r="P954" s="103" t="s">
        <v>153</v>
      </c>
      <c r="Q954" s="103" t="s">
        <v>153</v>
      </c>
      <c r="R954" s="103" t="s">
        <v>153</v>
      </c>
      <c r="S954" s="103" t="str">
        <f>INDEX('Measure &amp; Standard CostIDs'!$AK$8:$AK$12,B954)</f>
        <v>Two-pack</v>
      </c>
      <c r="T954" s="103" t="s">
        <v>867</v>
      </c>
      <c r="U954" s="103"/>
      <c r="V954" s="103"/>
      <c r="W954" s="103">
        <f>ROUND(IF(LEFT(D954,3)="Std",VLOOKUP(D954,'Measure &amp; Standard CostIDs'!$S$5:$X$177,1+B954,FALSE),VLOOKUP(D954,'Measure &amp; Standard CostIDs'!$C$5:$H$177,1+B954,FALSE)),2)</f>
        <v>4.22</v>
      </c>
      <c r="X954" s="103"/>
      <c r="Y954" s="103"/>
      <c r="Z954" s="103" t="s">
        <v>868</v>
      </c>
      <c r="AA954" s="103" t="s">
        <v>874</v>
      </c>
      <c r="AB954" s="103" t="s">
        <v>153</v>
      </c>
      <c r="AC954" s="103">
        <v>0</v>
      </c>
      <c r="AD954" s="156">
        <v>42005</v>
      </c>
      <c r="AE954" s="103"/>
      <c r="AF954" s="103" t="s">
        <v>870</v>
      </c>
      <c r="AG954" s="103" t="s">
        <v>871</v>
      </c>
      <c r="AH954" s="103" t="s">
        <v>976</v>
      </c>
      <c r="AI954" s="103">
        <v>0</v>
      </c>
      <c r="AJ954" s="103"/>
      <c r="AK954" s="103"/>
      <c r="AL954" s="103"/>
      <c r="AM954" s="103"/>
      <c r="AN954" s="103"/>
      <c r="AO954" s="103" t="str">
        <f t="shared" si="47"/>
        <v>Std_CFLscw-Glb(19w)_60pInc-r0248Two-pack</v>
      </c>
    </row>
    <row r="955" spans="1:41">
      <c r="A955" s="177">
        <f>IFERROR(MATCH(D955,'Measure &amp; Standard CostIDs'!C$5:C$177,0),MATCH(D955,'Measure &amp; Standard CostIDs'!S$5:S$177,0))</f>
        <v>134</v>
      </c>
      <c r="B955" s="177">
        <f t="shared" si="49"/>
        <v>3</v>
      </c>
      <c r="C955" s="103" t="s">
        <v>153</v>
      </c>
      <c r="D955" s="103" t="str">
        <f t="shared" si="48"/>
        <v>Std_CFLscw-Glb(20w)_60pInc-r0248</v>
      </c>
      <c r="E955" s="103" t="str">
        <f>IF(LEFT(D955,3)="Std","Base case cost for mix of 60% Incandescent and 40% CFL lamps for CFL TechID: "&amp;INDEX('Measure &amp; Standard CostIDs'!$C$5:$C$177,A955),"&lt;from TechID&gt;")</f>
        <v>Base case cost for mix of 60% Incandescent and 40% CFL lamps for CFL TechID: CFLscw-Glb(20w)</v>
      </c>
      <c r="F955" s="103" t="s">
        <v>860</v>
      </c>
      <c r="G955" s="103" t="s">
        <v>151</v>
      </c>
      <c r="H955" s="103" t="s">
        <v>861</v>
      </c>
      <c r="I955" s="103" t="s">
        <v>862</v>
      </c>
      <c r="J955" s="103" t="s">
        <v>863</v>
      </c>
      <c r="K955" s="103" t="s">
        <v>864</v>
      </c>
      <c r="L955" s="103" t="s">
        <v>153</v>
      </c>
      <c r="M955" s="103" t="s">
        <v>865</v>
      </c>
      <c r="N955" s="103" t="s">
        <v>866</v>
      </c>
      <c r="O955" s="103" t="str">
        <f t="shared" si="46"/>
        <v/>
      </c>
      <c r="P955" s="103" t="s">
        <v>153</v>
      </c>
      <c r="Q955" s="103" t="s">
        <v>153</v>
      </c>
      <c r="R955" s="103" t="s">
        <v>153</v>
      </c>
      <c r="S955" s="103" t="str">
        <f>INDEX('Measure &amp; Standard CostIDs'!$AK$8:$AK$12,B955)</f>
        <v>Two-pack</v>
      </c>
      <c r="T955" s="103" t="s">
        <v>867</v>
      </c>
      <c r="U955" s="103"/>
      <c r="V955" s="103"/>
      <c r="W955" s="103">
        <f>ROUND(IF(LEFT(D955,3)="Std",VLOOKUP(D955,'Measure &amp; Standard CostIDs'!$S$5:$X$177,1+B955,FALSE),VLOOKUP(D955,'Measure &amp; Standard CostIDs'!$C$5:$H$177,1+B955,FALSE)),2)</f>
        <v>4.2300000000000004</v>
      </c>
      <c r="X955" s="103"/>
      <c r="Y955" s="103"/>
      <c r="Z955" s="103" t="s">
        <v>868</v>
      </c>
      <c r="AA955" s="103" t="s">
        <v>874</v>
      </c>
      <c r="AB955" s="103" t="s">
        <v>153</v>
      </c>
      <c r="AC955" s="103">
        <v>0</v>
      </c>
      <c r="AD955" s="156">
        <v>42005</v>
      </c>
      <c r="AE955" s="103"/>
      <c r="AF955" s="103" t="s">
        <v>870</v>
      </c>
      <c r="AG955" s="103" t="s">
        <v>871</v>
      </c>
      <c r="AH955" s="103" t="s">
        <v>976</v>
      </c>
      <c r="AI955" s="103">
        <v>0</v>
      </c>
      <c r="AJ955" s="103"/>
      <c r="AK955" s="103"/>
      <c r="AL955" s="103"/>
      <c r="AM955" s="103"/>
      <c r="AN955" s="103"/>
      <c r="AO955" s="103" t="str">
        <f t="shared" si="47"/>
        <v>Std_CFLscw-Glb(20w)_60pInc-r0248Two-pack</v>
      </c>
    </row>
    <row r="956" spans="1:41">
      <c r="A956" s="177">
        <f>IFERROR(MATCH(D956,'Measure &amp; Standard CostIDs'!C$5:C$177,0),MATCH(D956,'Measure &amp; Standard CostIDs'!S$5:S$177,0))</f>
        <v>135</v>
      </c>
      <c r="B956" s="177">
        <f t="shared" si="49"/>
        <v>3</v>
      </c>
      <c r="C956" s="103" t="s">
        <v>153</v>
      </c>
      <c r="D956" s="103" t="str">
        <f t="shared" si="48"/>
        <v>Std_CFLscw-Glb(22w)_60pInc-r0248</v>
      </c>
      <c r="E956" s="103" t="str">
        <f>IF(LEFT(D956,3)="Std","Base case cost for mix of 60% Incandescent and 40% CFL lamps for CFL TechID: "&amp;INDEX('Measure &amp; Standard CostIDs'!$C$5:$C$177,A956),"&lt;from TechID&gt;")</f>
        <v>Base case cost for mix of 60% Incandescent and 40% CFL lamps for CFL TechID: CFLscw-Glb(22w)</v>
      </c>
      <c r="F956" s="103" t="s">
        <v>860</v>
      </c>
      <c r="G956" s="103" t="s">
        <v>151</v>
      </c>
      <c r="H956" s="103" t="s">
        <v>861</v>
      </c>
      <c r="I956" s="103" t="s">
        <v>862</v>
      </c>
      <c r="J956" s="103" t="s">
        <v>863</v>
      </c>
      <c r="K956" s="103" t="s">
        <v>864</v>
      </c>
      <c r="L956" s="103" t="s">
        <v>153</v>
      </c>
      <c r="M956" s="103" t="s">
        <v>865</v>
      </c>
      <c r="N956" s="103" t="s">
        <v>866</v>
      </c>
      <c r="O956" s="103" t="str">
        <f t="shared" si="46"/>
        <v/>
      </c>
      <c r="P956" s="103" t="s">
        <v>153</v>
      </c>
      <c r="Q956" s="103" t="s">
        <v>153</v>
      </c>
      <c r="R956" s="103" t="s">
        <v>153</v>
      </c>
      <c r="S956" s="103" t="str">
        <f>INDEX('Measure &amp; Standard CostIDs'!$AK$8:$AK$12,B956)</f>
        <v>Two-pack</v>
      </c>
      <c r="T956" s="103" t="s">
        <v>867</v>
      </c>
      <c r="U956" s="103"/>
      <c r="V956" s="103"/>
      <c r="W956" s="103">
        <f>ROUND(IF(LEFT(D956,3)="Std",VLOOKUP(D956,'Measure &amp; Standard CostIDs'!$S$5:$X$177,1+B956,FALSE),VLOOKUP(D956,'Measure &amp; Standard CostIDs'!$C$5:$H$177,1+B956,FALSE)),2)</f>
        <v>4.25</v>
      </c>
      <c r="X956" s="103"/>
      <c r="Y956" s="103"/>
      <c r="Z956" s="103" t="s">
        <v>868</v>
      </c>
      <c r="AA956" s="103" t="s">
        <v>874</v>
      </c>
      <c r="AB956" s="103" t="s">
        <v>153</v>
      </c>
      <c r="AC956" s="103">
        <v>0</v>
      </c>
      <c r="AD956" s="156">
        <v>42005</v>
      </c>
      <c r="AE956" s="103"/>
      <c r="AF956" s="103" t="s">
        <v>870</v>
      </c>
      <c r="AG956" s="103" t="s">
        <v>871</v>
      </c>
      <c r="AH956" s="103" t="s">
        <v>976</v>
      </c>
      <c r="AI956" s="103">
        <v>0</v>
      </c>
      <c r="AJ956" s="103"/>
      <c r="AK956" s="103"/>
      <c r="AL956" s="103"/>
      <c r="AM956" s="103"/>
      <c r="AN956" s="103"/>
      <c r="AO956" s="103" t="str">
        <f t="shared" si="47"/>
        <v>Std_CFLscw-Glb(22w)_60pInc-r0248Two-pack</v>
      </c>
    </row>
    <row r="957" spans="1:41">
      <c r="A957" s="177">
        <f>IFERROR(MATCH(D957,'Measure &amp; Standard CostIDs'!C$5:C$177,0),MATCH(D957,'Measure &amp; Standard CostIDs'!S$5:S$177,0))</f>
        <v>136</v>
      </c>
      <c r="B957" s="177">
        <f t="shared" si="49"/>
        <v>3</v>
      </c>
      <c r="C957" s="103" t="s">
        <v>153</v>
      </c>
      <c r="D957" s="103" t="str">
        <f t="shared" si="48"/>
        <v>Std_CFLscw-Glb(23w)_60pInc-r0248</v>
      </c>
      <c r="E957" s="103" t="str">
        <f>IF(LEFT(D957,3)="Std","Base case cost for mix of 60% Incandescent and 40% CFL lamps for CFL TechID: "&amp;INDEX('Measure &amp; Standard CostIDs'!$C$5:$C$177,A957),"&lt;from TechID&gt;")</f>
        <v>Base case cost for mix of 60% Incandescent and 40% CFL lamps for CFL TechID: CFLscw-Glb(23w)</v>
      </c>
      <c r="F957" s="103" t="s">
        <v>860</v>
      </c>
      <c r="G957" s="103" t="s">
        <v>151</v>
      </c>
      <c r="H957" s="103" t="s">
        <v>861</v>
      </c>
      <c r="I957" s="103" t="s">
        <v>862</v>
      </c>
      <c r="J957" s="103" t="s">
        <v>863</v>
      </c>
      <c r="K957" s="103" t="s">
        <v>864</v>
      </c>
      <c r="L957" s="103" t="s">
        <v>153</v>
      </c>
      <c r="M957" s="103" t="s">
        <v>865</v>
      </c>
      <c r="N957" s="103" t="s">
        <v>866</v>
      </c>
      <c r="O957" s="103" t="str">
        <f t="shared" si="46"/>
        <v/>
      </c>
      <c r="P957" s="103" t="s">
        <v>153</v>
      </c>
      <c r="Q957" s="103" t="s">
        <v>153</v>
      </c>
      <c r="R957" s="103" t="s">
        <v>153</v>
      </c>
      <c r="S957" s="103" t="str">
        <f>INDEX('Measure &amp; Standard CostIDs'!$AK$8:$AK$12,B957)</f>
        <v>Two-pack</v>
      </c>
      <c r="T957" s="103" t="s">
        <v>867</v>
      </c>
      <c r="U957" s="103"/>
      <c r="V957" s="103"/>
      <c r="W957" s="103">
        <f>ROUND(IF(LEFT(D957,3)="Std",VLOOKUP(D957,'Measure &amp; Standard CostIDs'!$S$5:$X$177,1+B957,FALSE),VLOOKUP(D957,'Measure &amp; Standard CostIDs'!$C$5:$H$177,1+B957,FALSE)),2)</f>
        <v>4.26</v>
      </c>
      <c r="X957" s="103"/>
      <c r="Y957" s="103"/>
      <c r="Z957" s="103" t="s">
        <v>868</v>
      </c>
      <c r="AA957" s="103" t="s">
        <v>874</v>
      </c>
      <c r="AB957" s="103" t="s">
        <v>153</v>
      </c>
      <c r="AC957" s="103">
        <v>0</v>
      </c>
      <c r="AD957" s="156">
        <v>42005</v>
      </c>
      <c r="AE957" s="103"/>
      <c r="AF957" s="103" t="s">
        <v>870</v>
      </c>
      <c r="AG957" s="103" t="s">
        <v>871</v>
      </c>
      <c r="AH957" s="103" t="s">
        <v>976</v>
      </c>
      <c r="AI957" s="103">
        <v>0</v>
      </c>
      <c r="AJ957" s="103"/>
      <c r="AK957" s="103"/>
      <c r="AL957" s="103"/>
      <c r="AM957" s="103"/>
      <c r="AN957" s="103"/>
      <c r="AO957" s="103" t="str">
        <f t="shared" si="47"/>
        <v>Std_CFLscw-Glb(23w)_60pInc-r0248Two-pack</v>
      </c>
    </row>
    <row r="958" spans="1:41">
      <c r="A958" s="177">
        <f>IFERROR(MATCH(D958,'Measure &amp; Standard CostIDs'!C$5:C$177,0),MATCH(D958,'Measure &amp; Standard CostIDs'!S$5:S$177,0))</f>
        <v>137</v>
      </c>
      <c r="B958" s="177">
        <f t="shared" si="49"/>
        <v>3</v>
      </c>
      <c r="C958" s="103" t="s">
        <v>153</v>
      </c>
      <c r="D958" s="103" t="str">
        <f t="shared" si="48"/>
        <v>Std_CFLscw-Glb(9w)_60pInc-r0248</v>
      </c>
      <c r="E958" s="103" t="str">
        <f>IF(LEFT(D958,3)="Std","Base case cost for mix of 60% Incandescent and 40% CFL lamps for CFL TechID: "&amp;INDEX('Measure &amp; Standard CostIDs'!$C$5:$C$177,A958),"&lt;from TechID&gt;")</f>
        <v>Base case cost for mix of 60% Incandescent and 40% CFL lamps for CFL TechID: CFLscw-Glb(9w)</v>
      </c>
      <c r="F958" s="103" t="s">
        <v>860</v>
      </c>
      <c r="G958" s="103" t="s">
        <v>151</v>
      </c>
      <c r="H958" s="103" t="s">
        <v>861</v>
      </c>
      <c r="I958" s="103" t="s">
        <v>862</v>
      </c>
      <c r="J958" s="103" t="s">
        <v>863</v>
      </c>
      <c r="K958" s="103" t="s">
        <v>864</v>
      </c>
      <c r="L958" s="103" t="s">
        <v>153</v>
      </c>
      <c r="M958" s="103" t="s">
        <v>865</v>
      </c>
      <c r="N958" s="103" t="s">
        <v>866</v>
      </c>
      <c r="O958" s="103" t="str">
        <f t="shared" si="46"/>
        <v/>
      </c>
      <c r="P958" s="103" t="s">
        <v>153</v>
      </c>
      <c r="Q958" s="103" t="s">
        <v>153</v>
      </c>
      <c r="R958" s="103" t="s">
        <v>153</v>
      </c>
      <c r="S958" s="103" t="str">
        <f>INDEX('Measure &amp; Standard CostIDs'!$AK$8:$AK$12,B958)</f>
        <v>Two-pack</v>
      </c>
      <c r="T958" s="103" t="s">
        <v>867</v>
      </c>
      <c r="U958" s="103"/>
      <c r="V958" s="103"/>
      <c r="W958" s="103">
        <f>ROUND(IF(LEFT(D958,3)="Std",VLOOKUP(D958,'Measure &amp; Standard CostIDs'!$S$5:$X$177,1+B958,FALSE),VLOOKUP(D958,'Measure &amp; Standard CostIDs'!$C$5:$H$177,1+B958,FALSE)),2)</f>
        <v>3.37</v>
      </c>
      <c r="X958" s="103"/>
      <c r="Y958" s="103"/>
      <c r="Z958" s="103" t="s">
        <v>868</v>
      </c>
      <c r="AA958" s="103" t="s">
        <v>874</v>
      </c>
      <c r="AB958" s="103" t="s">
        <v>153</v>
      </c>
      <c r="AC958" s="103">
        <v>0</v>
      </c>
      <c r="AD958" s="156">
        <v>42005</v>
      </c>
      <c r="AE958" s="103"/>
      <c r="AF958" s="103" t="s">
        <v>870</v>
      </c>
      <c r="AG958" s="103" t="s">
        <v>871</v>
      </c>
      <c r="AH958" s="103" t="s">
        <v>976</v>
      </c>
      <c r="AI958" s="103">
        <v>0</v>
      </c>
      <c r="AJ958" s="103"/>
      <c r="AK958" s="103"/>
      <c r="AL958" s="103"/>
      <c r="AM958" s="103"/>
      <c r="AN958" s="103"/>
      <c r="AO958" s="103" t="str">
        <f t="shared" si="47"/>
        <v>Std_CFLscw-Glb(9w)_60pInc-r0248Two-pack</v>
      </c>
    </row>
    <row r="959" spans="1:41">
      <c r="A959" s="177">
        <f>IFERROR(MATCH(D959,'Measure &amp; Standard CostIDs'!C$5:C$177,0),MATCH(D959,'Measure &amp; Standard CostIDs'!S$5:S$177,0))</f>
        <v>138</v>
      </c>
      <c r="B959" s="177">
        <f t="shared" si="49"/>
        <v>3</v>
      </c>
      <c r="C959" s="103" t="s">
        <v>153</v>
      </c>
      <c r="D959" s="103" t="str">
        <f t="shared" si="48"/>
        <v>Std_CFLscw-PAR38(23w)_60pInc-r0286</v>
      </c>
      <c r="E959" s="103" t="str">
        <f>IF(LEFT(D959,3)="Std","Base case cost for mix of 60% Incandescent and 40% CFL lamps for CFL TechID: "&amp;INDEX('Measure &amp; Standard CostIDs'!$C$5:$C$177,A959),"&lt;from TechID&gt;")</f>
        <v>Base case cost for mix of 60% Incandescent and 40% CFL lamps for CFL TechID: CFLscw-PAR38(23w)</v>
      </c>
      <c r="F959" s="103" t="s">
        <v>860</v>
      </c>
      <c r="G959" s="103" t="s">
        <v>151</v>
      </c>
      <c r="H959" s="103" t="s">
        <v>861</v>
      </c>
      <c r="I959" s="103" t="s">
        <v>862</v>
      </c>
      <c r="J959" s="103" t="s">
        <v>863</v>
      </c>
      <c r="K959" s="103" t="s">
        <v>864</v>
      </c>
      <c r="L959" s="103" t="s">
        <v>153</v>
      </c>
      <c r="M959" s="103" t="s">
        <v>865</v>
      </c>
      <c r="N959" s="103" t="s">
        <v>866</v>
      </c>
      <c r="O959" s="103" t="str">
        <f t="shared" si="46"/>
        <v/>
      </c>
      <c r="P959" s="103" t="s">
        <v>153</v>
      </c>
      <c r="Q959" s="103" t="s">
        <v>153</v>
      </c>
      <c r="R959" s="103" t="s">
        <v>153</v>
      </c>
      <c r="S959" s="103" t="str">
        <f>INDEX('Measure &amp; Standard CostIDs'!$AK$8:$AK$12,B959)</f>
        <v>Two-pack</v>
      </c>
      <c r="T959" s="103" t="s">
        <v>867</v>
      </c>
      <c r="U959" s="103"/>
      <c r="V959" s="103"/>
      <c r="W959" s="103">
        <f>ROUND(IF(LEFT(D959,3)="Std",VLOOKUP(D959,'Measure &amp; Standard CostIDs'!$S$5:$X$177,1+B959,FALSE),VLOOKUP(D959,'Measure &amp; Standard CostIDs'!$C$5:$H$177,1+B959,FALSE)),2)</f>
        <v>5.84</v>
      </c>
      <c r="X959" s="103"/>
      <c r="Y959" s="103"/>
      <c r="Z959" s="103" t="s">
        <v>868</v>
      </c>
      <c r="AA959" s="103" t="s">
        <v>874</v>
      </c>
      <c r="AB959" s="103" t="s">
        <v>153</v>
      </c>
      <c r="AC959" s="103">
        <v>0</v>
      </c>
      <c r="AD959" s="156">
        <v>42005</v>
      </c>
      <c r="AE959" s="103"/>
      <c r="AF959" s="103" t="s">
        <v>870</v>
      </c>
      <c r="AG959" s="103" t="s">
        <v>871</v>
      </c>
      <c r="AH959" s="103" t="s">
        <v>976</v>
      </c>
      <c r="AI959" s="103">
        <v>0</v>
      </c>
      <c r="AJ959" s="103"/>
      <c r="AK959" s="103"/>
      <c r="AL959" s="103"/>
      <c r="AM959" s="103"/>
      <c r="AN959" s="103"/>
      <c r="AO959" s="103" t="str">
        <f t="shared" si="47"/>
        <v>Std_CFLscw-PAR38(23w)_60pInc-r0286Two-pack</v>
      </c>
    </row>
    <row r="960" spans="1:41">
      <c r="A960" s="177">
        <f>IFERROR(MATCH(D960,'Measure &amp; Standard CostIDs'!C$5:C$177,0),MATCH(D960,'Measure &amp; Standard CostIDs'!S$5:S$177,0))</f>
        <v>139</v>
      </c>
      <c r="B960" s="177">
        <f t="shared" si="49"/>
        <v>3</v>
      </c>
      <c r="C960" s="103" t="s">
        <v>153</v>
      </c>
      <c r="D960" s="103" t="str">
        <f t="shared" si="48"/>
        <v>Std_CFLscw-Refl(10w)_60pInc-r0286</v>
      </c>
      <c r="E960" s="103" t="str">
        <f>IF(LEFT(D960,3)="Std","Base case cost for mix of 60% Incandescent and 40% CFL lamps for CFL TechID: "&amp;INDEX('Measure &amp; Standard CostIDs'!$C$5:$C$177,A960),"&lt;from TechID&gt;")</f>
        <v>Base case cost for mix of 60% Incandescent and 40% CFL lamps for CFL TechID: CFLscw-Refl(10w)</v>
      </c>
      <c r="F960" s="103" t="s">
        <v>860</v>
      </c>
      <c r="G960" s="103" t="s">
        <v>151</v>
      </c>
      <c r="H960" s="103" t="s">
        <v>861</v>
      </c>
      <c r="I960" s="103" t="s">
        <v>862</v>
      </c>
      <c r="J960" s="103" t="s">
        <v>863</v>
      </c>
      <c r="K960" s="103" t="s">
        <v>864</v>
      </c>
      <c r="L960" s="103" t="s">
        <v>153</v>
      </c>
      <c r="M960" s="103" t="s">
        <v>865</v>
      </c>
      <c r="N960" s="103" t="s">
        <v>866</v>
      </c>
      <c r="O960" s="103" t="str">
        <f t="shared" si="46"/>
        <v/>
      </c>
      <c r="P960" s="103" t="s">
        <v>153</v>
      </c>
      <c r="Q960" s="103" t="s">
        <v>153</v>
      </c>
      <c r="R960" s="103" t="s">
        <v>153</v>
      </c>
      <c r="S960" s="103" t="str">
        <f>INDEX('Measure &amp; Standard CostIDs'!$AK$8:$AK$12,B960)</f>
        <v>Two-pack</v>
      </c>
      <c r="T960" s="103" t="s">
        <v>867</v>
      </c>
      <c r="U960" s="103"/>
      <c r="V960" s="103"/>
      <c r="W960" s="103">
        <f>ROUND(IF(LEFT(D960,3)="Std",VLOOKUP(D960,'Measure &amp; Standard CostIDs'!$S$5:$X$177,1+B960,FALSE),VLOOKUP(D960,'Measure &amp; Standard CostIDs'!$C$5:$H$177,1+B960,FALSE)),2)</f>
        <v>4.74</v>
      </c>
      <c r="X960" s="103"/>
      <c r="Y960" s="103"/>
      <c r="Z960" s="103" t="s">
        <v>868</v>
      </c>
      <c r="AA960" s="103" t="s">
        <v>874</v>
      </c>
      <c r="AB960" s="103" t="s">
        <v>153</v>
      </c>
      <c r="AC960" s="103">
        <v>0</v>
      </c>
      <c r="AD960" s="156">
        <v>42005</v>
      </c>
      <c r="AE960" s="103"/>
      <c r="AF960" s="103" t="s">
        <v>870</v>
      </c>
      <c r="AG960" s="103" t="s">
        <v>871</v>
      </c>
      <c r="AH960" s="103" t="s">
        <v>976</v>
      </c>
      <c r="AI960" s="103">
        <v>0</v>
      </c>
      <c r="AJ960" s="103"/>
      <c r="AK960" s="103"/>
      <c r="AL960" s="103"/>
      <c r="AM960" s="103"/>
      <c r="AN960" s="103"/>
      <c r="AO960" s="103" t="str">
        <f t="shared" si="47"/>
        <v>Std_CFLscw-Refl(10w)_60pInc-r0286Two-pack</v>
      </c>
    </row>
    <row r="961" spans="1:41">
      <c r="A961" s="177">
        <f>IFERROR(MATCH(D961,'Measure &amp; Standard CostIDs'!C$5:C$177,0),MATCH(D961,'Measure &amp; Standard CostIDs'!S$5:S$177,0))</f>
        <v>140</v>
      </c>
      <c r="B961" s="177">
        <f t="shared" si="49"/>
        <v>3</v>
      </c>
      <c r="C961" s="103" t="s">
        <v>153</v>
      </c>
      <c r="D961" s="103" t="str">
        <f t="shared" si="48"/>
        <v>Std_CFLscw-Refl(11w)_60pInc-r0286</v>
      </c>
      <c r="E961" s="103" t="str">
        <f>IF(LEFT(D961,3)="Std","Base case cost for mix of 60% Incandescent and 40% CFL lamps for CFL TechID: "&amp;INDEX('Measure &amp; Standard CostIDs'!$C$5:$C$177,A961),"&lt;from TechID&gt;")</f>
        <v>Base case cost for mix of 60% Incandescent and 40% CFL lamps for CFL TechID: CFLscw-Refl(11w)</v>
      </c>
      <c r="F961" s="103" t="s">
        <v>860</v>
      </c>
      <c r="G961" s="103" t="s">
        <v>151</v>
      </c>
      <c r="H961" s="103" t="s">
        <v>861</v>
      </c>
      <c r="I961" s="103" t="s">
        <v>862</v>
      </c>
      <c r="J961" s="103" t="s">
        <v>863</v>
      </c>
      <c r="K961" s="103" t="s">
        <v>864</v>
      </c>
      <c r="L961" s="103" t="s">
        <v>153</v>
      </c>
      <c r="M961" s="103" t="s">
        <v>865</v>
      </c>
      <c r="N961" s="103" t="s">
        <v>866</v>
      </c>
      <c r="O961" s="103" t="str">
        <f t="shared" si="46"/>
        <v/>
      </c>
      <c r="P961" s="103" t="s">
        <v>153</v>
      </c>
      <c r="Q961" s="103" t="s">
        <v>153</v>
      </c>
      <c r="R961" s="103" t="s">
        <v>153</v>
      </c>
      <c r="S961" s="103" t="str">
        <f>INDEX('Measure &amp; Standard CostIDs'!$AK$8:$AK$12,B961)</f>
        <v>Two-pack</v>
      </c>
      <c r="T961" s="103" t="s">
        <v>867</v>
      </c>
      <c r="U961" s="103"/>
      <c r="V961" s="103"/>
      <c r="W961" s="103">
        <f>ROUND(IF(LEFT(D961,3)="Std",VLOOKUP(D961,'Measure &amp; Standard CostIDs'!$S$5:$X$177,1+B961,FALSE),VLOOKUP(D961,'Measure &amp; Standard CostIDs'!$C$5:$H$177,1+B961,FALSE)),2)</f>
        <v>4.82</v>
      </c>
      <c r="X961" s="103"/>
      <c r="Y961" s="103"/>
      <c r="Z961" s="103" t="s">
        <v>868</v>
      </c>
      <c r="AA961" s="103" t="s">
        <v>874</v>
      </c>
      <c r="AB961" s="103" t="s">
        <v>153</v>
      </c>
      <c r="AC961" s="103">
        <v>0</v>
      </c>
      <c r="AD961" s="156">
        <v>42005</v>
      </c>
      <c r="AE961" s="103"/>
      <c r="AF961" s="103" t="s">
        <v>870</v>
      </c>
      <c r="AG961" s="103" t="s">
        <v>871</v>
      </c>
      <c r="AH961" s="103" t="s">
        <v>976</v>
      </c>
      <c r="AI961" s="103">
        <v>0</v>
      </c>
      <c r="AJ961" s="103"/>
      <c r="AK961" s="103"/>
      <c r="AL961" s="103"/>
      <c r="AM961" s="103"/>
      <c r="AN961" s="103"/>
      <c r="AO961" s="103" t="str">
        <f t="shared" si="47"/>
        <v>Std_CFLscw-Refl(11w)_60pInc-r0286Two-pack</v>
      </c>
    </row>
    <row r="962" spans="1:41">
      <c r="A962" s="177">
        <f>IFERROR(MATCH(D962,'Measure &amp; Standard CostIDs'!C$5:C$177,0),MATCH(D962,'Measure &amp; Standard CostIDs'!S$5:S$177,0))</f>
        <v>141</v>
      </c>
      <c r="B962" s="177">
        <f t="shared" si="49"/>
        <v>3</v>
      </c>
      <c r="C962" s="103" t="s">
        <v>153</v>
      </c>
      <c r="D962" s="103" t="str">
        <f t="shared" si="48"/>
        <v>Std_CFLscw-Refl(12w)_60pInc-r0286</v>
      </c>
      <c r="E962" s="103" t="str">
        <f>IF(LEFT(D962,3)="Std","Base case cost for mix of 60% Incandescent and 40% CFL lamps for CFL TechID: "&amp;INDEX('Measure &amp; Standard CostIDs'!$C$5:$C$177,A962),"&lt;from TechID&gt;")</f>
        <v>Base case cost for mix of 60% Incandescent and 40% CFL lamps for CFL TechID: CFLscw-Refl(12w)</v>
      </c>
      <c r="F962" s="103" t="s">
        <v>860</v>
      </c>
      <c r="G962" s="103" t="s">
        <v>151</v>
      </c>
      <c r="H962" s="103" t="s">
        <v>861</v>
      </c>
      <c r="I962" s="103" t="s">
        <v>862</v>
      </c>
      <c r="J962" s="103" t="s">
        <v>863</v>
      </c>
      <c r="K962" s="103" t="s">
        <v>864</v>
      </c>
      <c r="L962" s="103" t="s">
        <v>153</v>
      </c>
      <c r="M962" s="103" t="s">
        <v>865</v>
      </c>
      <c r="N962" s="103" t="s">
        <v>866</v>
      </c>
      <c r="O962" s="103" t="str">
        <f t="shared" si="46"/>
        <v/>
      </c>
      <c r="P962" s="103" t="s">
        <v>153</v>
      </c>
      <c r="Q962" s="103" t="s">
        <v>153</v>
      </c>
      <c r="R962" s="103" t="s">
        <v>153</v>
      </c>
      <c r="S962" s="103" t="str">
        <f>INDEX('Measure &amp; Standard CostIDs'!$AK$8:$AK$12,B962)</f>
        <v>Two-pack</v>
      </c>
      <c r="T962" s="103" t="s">
        <v>867</v>
      </c>
      <c r="U962" s="103"/>
      <c r="V962" s="103"/>
      <c r="W962" s="103">
        <f>ROUND(IF(LEFT(D962,3)="Std",VLOOKUP(D962,'Measure &amp; Standard CostIDs'!$S$5:$X$177,1+B962,FALSE),VLOOKUP(D962,'Measure &amp; Standard CostIDs'!$C$5:$H$177,1+B962,FALSE)),2)</f>
        <v>4.91</v>
      </c>
      <c r="X962" s="103"/>
      <c r="Y962" s="103"/>
      <c r="Z962" s="103" t="s">
        <v>868</v>
      </c>
      <c r="AA962" s="103" t="s">
        <v>874</v>
      </c>
      <c r="AB962" s="103" t="s">
        <v>153</v>
      </c>
      <c r="AC962" s="103">
        <v>0</v>
      </c>
      <c r="AD962" s="156">
        <v>42005</v>
      </c>
      <c r="AE962" s="103"/>
      <c r="AF962" s="103" t="s">
        <v>870</v>
      </c>
      <c r="AG962" s="103" t="s">
        <v>871</v>
      </c>
      <c r="AH962" s="103" t="s">
        <v>976</v>
      </c>
      <c r="AI962" s="103">
        <v>0</v>
      </c>
      <c r="AJ962" s="103"/>
      <c r="AK962" s="103"/>
      <c r="AL962" s="103"/>
      <c r="AM962" s="103"/>
      <c r="AN962" s="103"/>
      <c r="AO962" s="103" t="str">
        <f t="shared" si="47"/>
        <v>Std_CFLscw-Refl(12w)_60pInc-r0286Two-pack</v>
      </c>
    </row>
    <row r="963" spans="1:41">
      <c r="A963" s="177">
        <f>IFERROR(MATCH(D963,'Measure &amp; Standard CostIDs'!C$5:C$177,0),MATCH(D963,'Measure &amp; Standard CostIDs'!S$5:S$177,0))</f>
        <v>142</v>
      </c>
      <c r="B963" s="177">
        <f t="shared" si="49"/>
        <v>3</v>
      </c>
      <c r="C963" s="103" t="s">
        <v>153</v>
      </c>
      <c r="D963" s="103" t="str">
        <f t="shared" si="48"/>
        <v>Std_CFLscw-Refl(13w)_60pInc-r0286</v>
      </c>
      <c r="E963" s="103" t="str">
        <f>IF(LEFT(D963,3)="Std","Base case cost for mix of 60% Incandescent and 40% CFL lamps for CFL TechID: "&amp;INDEX('Measure &amp; Standard CostIDs'!$C$5:$C$177,A963),"&lt;from TechID&gt;")</f>
        <v>Base case cost for mix of 60% Incandescent and 40% CFL lamps for CFL TechID: CFLscw-Refl(13w)</v>
      </c>
      <c r="F963" s="103" t="s">
        <v>860</v>
      </c>
      <c r="G963" s="103" t="s">
        <v>151</v>
      </c>
      <c r="H963" s="103" t="s">
        <v>861</v>
      </c>
      <c r="I963" s="103" t="s">
        <v>862</v>
      </c>
      <c r="J963" s="103" t="s">
        <v>863</v>
      </c>
      <c r="K963" s="103" t="s">
        <v>864</v>
      </c>
      <c r="L963" s="103" t="s">
        <v>153</v>
      </c>
      <c r="M963" s="103" t="s">
        <v>865</v>
      </c>
      <c r="N963" s="103" t="s">
        <v>866</v>
      </c>
      <c r="O963" s="103" t="str">
        <f t="shared" si="46"/>
        <v/>
      </c>
      <c r="P963" s="103" t="s">
        <v>153</v>
      </c>
      <c r="Q963" s="103" t="s">
        <v>153</v>
      </c>
      <c r="R963" s="103" t="s">
        <v>153</v>
      </c>
      <c r="S963" s="103" t="str">
        <f>INDEX('Measure &amp; Standard CostIDs'!$AK$8:$AK$12,B963)</f>
        <v>Two-pack</v>
      </c>
      <c r="T963" s="103" t="s">
        <v>867</v>
      </c>
      <c r="U963" s="103"/>
      <c r="V963" s="103"/>
      <c r="W963" s="103">
        <f>ROUND(IF(LEFT(D963,3)="Std",VLOOKUP(D963,'Measure &amp; Standard CostIDs'!$S$5:$X$177,1+B963,FALSE),VLOOKUP(D963,'Measure &amp; Standard CostIDs'!$C$5:$H$177,1+B963,FALSE)),2)</f>
        <v>4.99</v>
      </c>
      <c r="X963" s="103"/>
      <c r="Y963" s="103"/>
      <c r="Z963" s="103" t="s">
        <v>868</v>
      </c>
      <c r="AA963" s="103" t="s">
        <v>874</v>
      </c>
      <c r="AB963" s="103" t="s">
        <v>153</v>
      </c>
      <c r="AC963" s="103">
        <v>0</v>
      </c>
      <c r="AD963" s="156">
        <v>42005</v>
      </c>
      <c r="AE963" s="103"/>
      <c r="AF963" s="103" t="s">
        <v>870</v>
      </c>
      <c r="AG963" s="103" t="s">
        <v>871</v>
      </c>
      <c r="AH963" s="103" t="s">
        <v>976</v>
      </c>
      <c r="AI963" s="103">
        <v>0</v>
      </c>
      <c r="AJ963" s="103"/>
      <c r="AK963" s="103"/>
      <c r="AL963" s="103"/>
      <c r="AM963" s="103"/>
      <c r="AN963" s="103"/>
      <c r="AO963" s="103" t="str">
        <f t="shared" si="47"/>
        <v>Std_CFLscw-Refl(13w)_60pInc-r0286Two-pack</v>
      </c>
    </row>
    <row r="964" spans="1:41">
      <c r="A964" s="177">
        <f>IFERROR(MATCH(D964,'Measure &amp; Standard CostIDs'!C$5:C$177,0),MATCH(D964,'Measure &amp; Standard CostIDs'!S$5:S$177,0))</f>
        <v>143</v>
      </c>
      <c r="B964" s="177">
        <f t="shared" si="49"/>
        <v>3</v>
      </c>
      <c r="C964" s="103" t="s">
        <v>153</v>
      </c>
      <c r="D964" s="103" t="str">
        <f t="shared" si="48"/>
        <v>Std_CFLscw-Refl(14w)_60pInc-r0286</v>
      </c>
      <c r="E964" s="103" t="str">
        <f>IF(LEFT(D964,3)="Std","Base case cost for mix of 60% Incandescent and 40% CFL lamps for CFL TechID: "&amp;INDEX('Measure &amp; Standard CostIDs'!$C$5:$C$177,A964),"&lt;from TechID&gt;")</f>
        <v>Base case cost for mix of 60% Incandescent and 40% CFL lamps for CFL TechID: CFLscw-Refl(14w)</v>
      </c>
      <c r="F964" s="103" t="s">
        <v>860</v>
      </c>
      <c r="G964" s="103" t="s">
        <v>151</v>
      </c>
      <c r="H964" s="103" t="s">
        <v>861</v>
      </c>
      <c r="I964" s="103" t="s">
        <v>862</v>
      </c>
      <c r="J964" s="103" t="s">
        <v>863</v>
      </c>
      <c r="K964" s="103" t="s">
        <v>864</v>
      </c>
      <c r="L964" s="103" t="s">
        <v>153</v>
      </c>
      <c r="M964" s="103" t="s">
        <v>865</v>
      </c>
      <c r="N964" s="103" t="s">
        <v>866</v>
      </c>
      <c r="O964" s="103" t="str">
        <f t="shared" si="46"/>
        <v/>
      </c>
      <c r="P964" s="103" t="s">
        <v>153</v>
      </c>
      <c r="Q964" s="103" t="s">
        <v>153</v>
      </c>
      <c r="R964" s="103" t="s">
        <v>153</v>
      </c>
      <c r="S964" s="103" t="str">
        <f>INDEX('Measure &amp; Standard CostIDs'!$AK$8:$AK$12,B964)</f>
        <v>Two-pack</v>
      </c>
      <c r="T964" s="103" t="s">
        <v>867</v>
      </c>
      <c r="U964" s="103"/>
      <c r="V964" s="103"/>
      <c r="W964" s="103">
        <f>ROUND(IF(LEFT(D964,3)="Std",VLOOKUP(D964,'Measure &amp; Standard CostIDs'!$S$5:$X$177,1+B964,FALSE),VLOOKUP(D964,'Measure &amp; Standard CostIDs'!$C$5:$H$177,1+B964,FALSE)),2)</f>
        <v>5.08</v>
      </c>
      <c r="X964" s="103"/>
      <c r="Y964" s="103"/>
      <c r="Z964" s="103" t="s">
        <v>868</v>
      </c>
      <c r="AA964" s="103" t="s">
        <v>874</v>
      </c>
      <c r="AB964" s="103" t="s">
        <v>153</v>
      </c>
      <c r="AC964" s="103">
        <v>0</v>
      </c>
      <c r="AD964" s="156">
        <v>42005</v>
      </c>
      <c r="AE964" s="103"/>
      <c r="AF964" s="103" t="s">
        <v>870</v>
      </c>
      <c r="AG964" s="103" t="s">
        <v>871</v>
      </c>
      <c r="AH964" s="103" t="s">
        <v>976</v>
      </c>
      <c r="AI964" s="103">
        <v>0</v>
      </c>
      <c r="AJ964" s="103"/>
      <c r="AK964" s="103"/>
      <c r="AL964" s="103"/>
      <c r="AM964" s="103"/>
      <c r="AN964" s="103"/>
      <c r="AO964" s="103" t="str">
        <f t="shared" si="47"/>
        <v>Std_CFLscw-Refl(14w)_60pInc-r0286Two-pack</v>
      </c>
    </row>
    <row r="965" spans="1:41">
      <c r="A965" s="177">
        <f>IFERROR(MATCH(D965,'Measure &amp; Standard CostIDs'!C$5:C$177,0),MATCH(D965,'Measure &amp; Standard CostIDs'!S$5:S$177,0))</f>
        <v>144</v>
      </c>
      <c r="B965" s="177">
        <f t="shared" si="49"/>
        <v>3</v>
      </c>
      <c r="C965" s="103" t="s">
        <v>153</v>
      </c>
      <c r="D965" s="103" t="str">
        <f t="shared" si="48"/>
        <v>Std_CFLscw-Refl(16w)_60pInc-r0286</v>
      </c>
      <c r="E965" s="103" t="str">
        <f>IF(LEFT(D965,3)="Std","Base case cost for mix of 60% Incandescent and 40% CFL lamps for CFL TechID: "&amp;INDEX('Measure &amp; Standard CostIDs'!$C$5:$C$177,A965),"&lt;from TechID&gt;")</f>
        <v>Base case cost for mix of 60% Incandescent and 40% CFL lamps for CFL TechID: CFLscw-Refl(16w)</v>
      </c>
      <c r="F965" s="103" t="s">
        <v>860</v>
      </c>
      <c r="G965" s="103" t="s">
        <v>151</v>
      </c>
      <c r="H965" s="103" t="s">
        <v>861</v>
      </c>
      <c r="I965" s="103" t="s">
        <v>862</v>
      </c>
      <c r="J965" s="103" t="s">
        <v>863</v>
      </c>
      <c r="K965" s="103" t="s">
        <v>864</v>
      </c>
      <c r="L965" s="103" t="s">
        <v>153</v>
      </c>
      <c r="M965" s="103" t="s">
        <v>865</v>
      </c>
      <c r="N965" s="103" t="s">
        <v>866</v>
      </c>
      <c r="O965" s="103" t="str">
        <f t="shared" si="46"/>
        <v/>
      </c>
      <c r="P965" s="103" t="s">
        <v>153</v>
      </c>
      <c r="Q965" s="103" t="s">
        <v>153</v>
      </c>
      <c r="R965" s="103" t="s">
        <v>153</v>
      </c>
      <c r="S965" s="103" t="str">
        <f>INDEX('Measure &amp; Standard CostIDs'!$AK$8:$AK$12,B965)</f>
        <v>Two-pack</v>
      </c>
      <c r="T965" s="103" t="s">
        <v>867</v>
      </c>
      <c r="U965" s="103"/>
      <c r="V965" s="103"/>
      <c r="W965" s="103">
        <f>ROUND(IF(LEFT(D965,3)="Std",VLOOKUP(D965,'Measure &amp; Standard CostIDs'!$S$5:$X$177,1+B965,FALSE),VLOOKUP(D965,'Measure &amp; Standard CostIDs'!$C$5:$H$177,1+B965,FALSE)),2)</f>
        <v>5.24</v>
      </c>
      <c r="X965" s="103"/>
      <c r="Y965" s="103"/>
      <c r="Z965" s="103" t="s">
        <v>868</v>
      </c>
      <c r="AA965" s="103" t="s">
        <v>874</v>
      </c>
      <c r="AB965" s="103" t="s">
        <v>153</v>
      </c>
      <c r="AC965" s="103">
        <v>0</v>
      </c>
      <c r="AD965" s="156">
        <v>42005</v>
      </c>
      <c r="AE965" s="103"/>
      <c r="AF965" s="103" t="s">
        <v>870</v>
      </c>
      <c r="AG965" s="103" t="s">
        <v>871</v>
      </c>
      <c r="AH965" s="103" t="s">
        <v>976</v>
      </c>
      <c r="AI965" s="103">
        <v>0</v>
      </c>
      <c r="AJ965" s="103"/>
      <c r="AK965" s="103"/>
      <c r="AL965" s="103"/>
      <c r="AM965" s="103"/>
      <c r="AN965" s="103"/>
      <c r="AO965" s="103" t="str">
        <f t="shared" si="47"/>
        <v>Std_CFLscw-Refl(16w)_60pInc-r0286Two-pack</v>
      </c>
    </row>
    <row r="966" spans="1:41">
      <c r="A966" s="177">
        <f>IFERROR(MATCH(D966,'Measure &amp; Standard CostIDs'!C$5:C$177,0),MATCH(D966,'Measure &amp; Standard CostIDs'!S$5:S$177,0))</f>
        <v>145</v>
      </c>
      <c r="B966" s="177">
        <f t="shared" si="49"/>
        <v>3</v>
      </c>
      <c r="C966" s="103" t="s">
        <v>153</v>
      </c>
      <c r="D966" s="103" t="str">
        <f t="shared" si="48"/>
        <v>Std_CFLscw-Refl(17w)_60pInc-r0286</v>
      </c>
      <c r="E966" s="103" t="str">
        <f>IF(LEFT(D966,3)="Std","Base case cost for mix of 60% Incandescent and 40% CFL lamps for CFL TechID: "&amp;INDEX('Measure &amp; Standard CostIDs'!$C$5:$C$177,A966),"&lt;from TechID&gt;")</f>
        <v>Base case cost for mix of 60% Incandescent and 40% CFL lamps for CFL TechID: CFLscw-Refl(17w)</v>
      </c>
      <c r="F966" s="103" t="s">
        <v>860</v>
      </c>
      <c r="G966" s="103" t="s">
        <v>151</v>
      </c>
      <c r="H966" s="103" t="s">
        <v>861</v>
      </c>
      <c r="I966" s="103" t="s">
        <v>862</v>
      </c>
      <c r="J966" s="103" t="s">
        <v>863</v>
      </c>
      <c r="K966" s="103" t="s">
        <v>864</v>
      </c>
      <c r="L966" s="103" t="s">
        <v>153</v>
      </c>
      <c r="M966" s="103" t="s">
        <v>865</v>
      </c>
      <c r="N966" s="103" t="s">
        <v>866</v>
      </c>
      <c r="O966" s="103" t="str">
        <f t="shared" ref="O966:O1029" si="50">IF(LEFT(D966,3)="Std","",D966)</f>
        <v/>
      </c>
      <c r="P966" s="103" t="s">
        <v>153</v>
      </c>
      <c r="Q966" s="103" t="s">
        <v>153</v>
      </c>
      <c r="R966" s="103" t="s">
        <v>153</v>
      </c>
      <c r="S966" s="103" t="str">
        <f>INDEX('Measure &amp; Standard CostIDs'!$AK$8:$AK$12,B966)</f>
        <v>Two-pack</v>
      </c>
      <c r="T966" s="103" t="s">
        <v>867</v>
      </c>
      <c r="U966" s="103"/>
      <c r="V966" s="103"/>
      <c r="W966" s="103">
        <f>ROUND(IF(LEFT(D966,3)="Std",VLOOKUP(D966,'Measure &amp; Standard CostIDs'!$S$5:$X$177,1+B966,FALSE),VLOOKUP(D966,'Measure &amp; Standard CostIDs'!$C$5:$H$177,1+B966,FALSE)),2)</f>
        <v>5.33</v>
      </c>
      <c r="X966" s="103"/>
      <c r="Y966" s="103"/>
      <c r="Z966" s="103" t="s">
        <v>868</v>
      </c>
      <c r="AA966" s="103" t="s">
        <v>874</v>
      </c>
      <c r="AB966" s="103" t="s">
        <v>153</v>
      </c>
      <c r="AC966" s="103">
        <v>0</v>
      </c>
      <c r="AD966" s="156">
        <v>42005</v>
      </c>
      <c r="AE966" s="103"/>
      <c r="AF966" s="103" t="s">
        <v>870</v>
      </c>
      <c r="AG966" s="103" t="s">
        <v>871</v>
      </c>
      <c r="AH966" s="103" t="s">
        <v>976</v>
      </c>
      <c r="AI966" s="103">
        <v>0</v>
      </c>
      <c r="AJ966" s="103"/>
      <c r="AK966" s="103"/>
      <c r="AL966" s="103"/>
      <c r="AM966" s="103"/>
      <c r="AN966" s="103"/>
      <c r="AO966" s="103" t="str">
        <f t="shared" ref="AO966:AO1029" si="51">D966&amp;S966</f>
        <v>Std_CFLscw-Refl(17w)_60pInc-r0286Two-pack</v>
      </c>
    </row>
    <row r="967" spans="1:41">
      <c r="A967" s="177">
        <f>IFERROR(MATCH(D967,'Measure &amp; Standard CostIDs'!C$5:C$177,0),MATCH(D967,'Measure &amp; Standard CostIDs'!S$5:S$177,0))</f>
        <v>146</v>
      </c>
      <c r="B967" s="177">
        <f t="shared" si="49"/>
        <v>3</v>
      </c>
      <c r="C967" s="103" t="s">
        <v>153</v>
      </c>
      <c r="D967" s="103" t="str">
        <f t="shared" si="48"/>
        <v>Std_CFLscw-Refl(18w)_60pInc-r0286</v>
      </c>
      <c r="E967" s="103" t="str">
        <f>IF(LEFT(D967,3)="Std","Base case cost for mix of 60% Incandescent and 40% CFL lamps for CFL TechID: "&amp;INDEX('Measure &amp; Standard CostIDs'!$C$5:$C$177,A967),"&lt;from TechID&gt;")</f>
        <v>Base case cost for mix of 60% Incandescent and 40% CFL lamps for CFL TechID: CFLscw-Refl(18w)</v>
      </c>
      <c r="F967" s="103" t="s">
        <v>860</v>
      </c>
      <c r="G967" s="103" t="s">
        <v>151</v>
      </c>
      <c r="H967" s="103" t="s">
        <v>861</v>
      </c>
      <c r="I967" s="103" t="s">
        <v>862</v>
      </c>
      <c r="J967" s="103" t="s">
        <v>863</v>
      </c>
      <c r="K967" s="103" t="s">
        <v>864</v>
      </c>
      <c r="L967" s="103" t="s">
        <v>153</v>
      </c>
      <c r="M967" s="103" t="s">
        <v>865</v>
      </c>
      <c r="N967" s="103" t="s">
        <v>866</v>
      </c>
      <c r="O967" s="103" t="str">
        <f t="shared" si="50"/>
        <v/>
      </c>
      <c r="P967" s="103" t="s">
        <v>153</v>
      </c>
      <c r="Q967" s="103" t="s">
        <v>153</v>
      </c>
      <c r="R967" s="103" t="s">
        <v>153</v>
      </c>
      <c r="S967" s="103" t="str">
        <f>INDEX('Measure &amp; Standard CostIDs'!$AK$8:$AK$12,B967)</f>
        <v>Two-pack</v>
      </c>
      <c r="T967" s="103" t="s">
        <v>867</v>
      </c>
      <c r="U967" s="103"/>
      <c r="V967" s="103"/>
      <c r="W967" s="103">
        <f>ROUND(IF(LEFT(D967,3)="Std",VLOOKUP(D967,'Measure &amp; Standard CostIDs'!$S$5:$X$177,1+B967,FALSE),VLOOKUP(D967,'Measure &amp; Standard CostIDs'!$C$5:$H$177,1+B967,FALSE)),2)</f>
        <v>5.42</v>
      </c>
      <c r="X967" s="103"/>
      <c r="Y967" s="103"/>
      <c r="Z967" s="103" t="s">
        <v>868</v>
      </c>
      <c r="AA967" s="103" t="s">
        <v>874</v>
      </c>
      <c r="AB967" s="103" t="s">
        <v>153</v>
      </c>
      <c r="AC967" s="103">
        <v>0</v>
      </c>
      <c r="AD967" s="156">
        <v>42005</v>
      </c>
      <c r="AE967" s="103"/>
      <c r="AF967" s="103" t="s">
        <v>870</v>
      </c>
      <c r="AG967" s="103" t="s">
        <v>871</v>
      </c>
      <c r="AH967" s="103" t="s">
        <v>976</v>
      </c>
      <c r="AI967" s="103">
        <v>0</v>
      </c>
      <c r="AJ967" s="103"/>
      <c r="AK967" s="103"/>
      <c r="AL967" s="103"/>
      <c r="AM967" s="103"/>
      <c r="AN967" s="103"/>
      <c r="AO967" s="103" t="str">
        <f t="shared" si="51"/>
        <v>Std_CFLscw-Refl(18w)_60pInc-r0286Two-pack</v>
      </c>
    </row>
    <row r="968" spans="1:41">
      <c r="A968" s="177">
        <f>IFERROR(MATCH(D968,'Measure &amp; Standard CostIDs'!C$5:C$177,0),MATCH(D968,'Measure &amp; Standard CostIDs'!S$5:S$177,0))</f>
        <v>147</v>
      </c>
      <c r="B968" s="177">
        <f t="shared" si="49"/>
        <v>3</v>
      </c>
      <c r="C968" s="103" t="s">
        <v>153</v>
      </c>
      <c r="D968" s="103" t="str">
        <f t="shared" si="48"/>
        <v>Std_CFLscw-Refl(19w)_60pInc-r0286</v>
      </c>
      <c r="E968" s="103" t="str">
        <f>IF(LEFT(D968,3)="Std","Base case cost for mix of 60% Incandescent and 40% CFL lamps for CFL TechID: "&amp;INDEX('Measure &amp; Standard CostIDs'!$C$5:$C$177,A968),"&lt;from TechID&gt;")</f>
        <v>Base case cost for mix of 60% Incandescent and 40% CFL lamps for CFL TechID: CFLscw-Refl(19w)</v>
      </c>
      <c r="F968" s="103" t="s">
        <v>860</v>
      </c>
      <c r="G968" s="103" t="s">
        <v>151</v>
      </c>
      <c r="H968" s="103" t="s">
        <v>861</v>
      </c>
      <c r="I968" s="103" t="s">
        <v>862</v>
      </c>
      <c r="J968" s="103" t="s">
        <v>863</v>
      </c>
      <c r="K968" s="103" t="s">
        <v>864</v>
      </c>
      <c r="L968" s="103" t="s">
        <v>153</v>
      </c>
      <c r="M968" s="103" t="s">
        <v>865</v>
      </c>
      <c r="N968" s="103" t="s">
        <v>866</v>
      </c>
      <c r="O968" s="103" t="str">
        <f t="shared" si="50"/>
        <v/>
      </c>
      <c r="P968" s="103" t="s">
        <v>153</v>
      </c>
      <c r="Q968" s="103" t="s">
        <v>153</v>
      </c>
      <c r="R968" s="103" t="s">
        <v>153</v>
      </c>
      <c r="S968" s="103" t="str">
        <f>INDEX('Measure &amp; Standard CostIDs'!$AK$8:$AK$12,B968)</f>
        <v>Two-pack</v>
      </c>
      <c r="T968" s="103" t="s">
        <v>867</v>
      </c>
      <c r="U968" s="103"/>
      <c r="V968" s="103"/>
      <c r="W968" s="103">
        <f>ROUND(IF(LEFT(D968,3)="Std",VLOOKUP(D968,'Measure &amp; Standard CostIDs'!$S$5:$X$177,1+B968,FALSE),VLOOKUP(D968,'Measure &amp; Standard CostIDs'!$C$5:$H$177,1+B968,FALSE)),2)</f>
        <v>5.5</v>
      </c>
      <c r="X968" s="103"/>
      <c r="Y968" s="103"/>
      <c r="Z968" s="103" t="s">
        <v>868</v>
      </c>
      <c r="AA968" s="103" t="s">
        <v>874</v>
      </c>
      <c r="AB968" s="103" t="s">
        <v>153</v>
      </c>
      <c r="AC968" s="103">
        <v>0</v>
      </c>
      <c r="AD968" s="156">
        <v>42005</v>
      </c>
      <c r="AE968" s="103"/>
      <c r="AF968" s="103" t="s">
        <v>870</v>
      </c>
      <c r="AG968" s="103" t="s">
        <v>871</v>
      </c>
      <c r="AH968" s="103" t="s">
        <v>976</v>
      </c>
      <c r="AI968" s="103">
        <v>0</v>
      </c>
      <c r="AJ968" s="103"/>
      <c r="AK968" s="103"/>
      <c r="AL968" s="103"/>
      <c r="AM968" s="103"/>
      <c r="AN968" s="103"/>
      <c r="AO968" s="103" t="str">
        <f t="shared" si="51"/>
        <v>Std_CFLscw-Refl(19w)_60pInc-r0286Two-pack</v>
      </c>
    </row>
    <row r="969" spans="1:41">
      <c r="A969" s="177">
        <f>IFERROR(MATCH(D969,'Measure &amp; Standard CostIDs'!C$5:C$177,0),MATCH(D969,'Measure &amp; Standard CostIDs'!S$5:S$177,0))</f>
        <v>148</v>
      </c>
      <c r="B969" s="177">
        <f t="shared" si="49"/>
        <v>3</v>
      </c>
      <c r="C969" s="103" t="s">
        <v>153</v>
      </c>
      <c r="D969" s="103" t="str">
        <f t="shared" si="48"/>
        <v>Std_CFLscw-Refl(20w)_60pInc-r0286</v>
      </c>
      <c r="E969" s="103" t="str">
        <f>IF(LEFT(D969,3)="Std","Base case cost for mix of 60% Incandescent and 40% CFL lamps for CFL TechID: "&amp;INDEX('Measure &amp; Standard CostIDs'!$C$5:$C$177,A969),"&lt;from TechID&gt;")</f>
        <v>Base case cost for mix of 60% Incandescent and 40% CFL lamps for CFL TechID: CFLscw-Refl(20w)</v>
      </c>
      <c r="F969" s="103" t="s">
        <v>860</v>
      </c>
      <c r="G969" s="103" t="s">
        <v>151</v>
      </c>
      <c r="H969" s="103" t="s">
        <v>861</v>
      </c>
      <c r="I969" s="103" t="s">
        <v>862</v>
      </c>
      <c r="J969" s="103" t="s">
        <v>863</v>
      </c>
      <c r="K969" s="103" t="s">
        <v>864</v>
      </c>
      <c r="L969" s="103" t="s">
        <v>153</v>
      </c>
      <c r="M969" s="103" t="s">
        <v>865</v>
      </c>
      <c r="N969" s="103" t="s">
        <v>866</v>
      </c>
      <c r="O969" s="103" t="str">
        <f t="shared" si="50"/>
        <v/>
      </c>
      <c r="P969" s="103" t="s">
        <v>153</v>
      </c>
      <c r="Q969" s="103" t="s">
        <v>153</v>
      </c>
      <c r="R969" s="103" t="s">
        <v>153</v>
      </c>
      <c r="S969" s="103" t="str">
        <f>INDEX('Measure &amp; Standard CostIDs'!$AK$8:$AK$12,B969)</f>
        <v>Two-pack</v>
      </c>
      <c r="T969" s="103" t="s">
        <v>867</v>
      </c>
      <c r="U969" s="103"/>
      <c r="V969" s="103"/>
      <c r="W969" s="103">
        <f>ROUND(IF(LEFT(D969,3)="Std",VLOOKUP(D969,'Measure &amp; Standard CostIDs'!$S$5:$X$177,1+B969,FALSE),VLOOKUP(D969,'Measure &amp; Standard CostIDs'!$C$5:$H$177,1+B969,FALSE)),2)</f>
        <v>5.59</v>
      </c>
      <c r="X969" s="103"/>
      <c r="Y969" s="103"/>
      <c r="Z969" s="103" t="s">
        <v>868</v>
      </c>
      <c r="AA969" s="103" t="s">
        <v>874</v>
      </c>
      <c r="AB969" s="103" t="s">
        <v>153</v>
      </c>
      <c r="AC969" s="103">
        <v>0</v>
      </c>
      <c r="AD969" s="156">
        <v>42005</v>
      </c>
      <c r="AE969" s="103"/>
      <c r="AF969" s="103" t="s">
        <v>870</v>
      </c>
      <c r="AG969" s="103" t="s">
        <v>871</v>
      </c>
      <c r="AH969" s="103" t="s">
        <v>976</v>
      </c>
      <c r="AI969" s="103">
        <v>0</v>
      </c>
      <c r="AJ969" s="103"/>
      <c r="AK969" s="103"/>
      <c r="AL969" s="103"/>
      <c r="AM969" s="103"/>
      <c r="AN969" s="103"/>
      <c r="AO969" s="103" t="str">
        <f t="shared" si="51"/>
        <v>Std_CFLscw-Refl(20w)_60pInc-r0286Two-pack</v>
      </c>
    </row>
    <row r="970" spans="1:41">
      <c r="A970" s="177">
        <f>IFERROR(MATCH(D970,'Measure &amp; Standard CostIDs'!C$5:C$177,0),MATCH(D970,'Measure &amp; Standard CostIDs'!S$5:S$177,0))</f>
        <v>149</v>
      </c>
      <c r="B970" s="177">
        <f t="shared" si="49"/>
        <v>3</v>
      </c>
      <c r="C970" s="103" t="s">
        <v>153</v>
      </c>
      <c r="D970" s="103" t="str">
        <f t="shared" si="48"/>
        <v>Std_CFLscw-Refl(21w)_60pInc-r0286</v>
      </c>
      <c r="E970" s="103" t="str">
        <f>IF(LEFT(D970,3)="Std","Base case cost for mix of 60% Incandescent and 40% CFL lamps for CFL TechID: "&amp;INDEX('Measure &amp; Standard CostIDs'!$C$5:$C$177,A970),"&lt;from TechID&gt;")</f>
        <v>Base case cost for mix of 60% Incandescent and 40% CFL lamps for CFL TechID: CFLscw-Refl(21w)</v>
      </c>
      <c r="F970" s="103" t="s">
        <v>860</v>
      </c>
      <c r="G970" s="103" t="s">
        <v>151</v>
      </c>
      <c r="H970" s="103" t="s">
        <v>861</v>
      </c>
      <c r="I970" s="103" t="s">
        <v>862</v>
      </c>
      <c r="J970" s="103" t="s">
        <v>863</v>
      </c>
      <c r="K970" s="103" t="s">
        <v>864</v>
      </c>
      <c r="L970" s="103" t="s">
        <v>153</v>
      </c>
      <c r="M970" s="103" t="s">
        <v>865</v>
      </c>
      <c r="N970" s="103" t="s">
        <v>866</v>
      </c>
      <c r="O970" s="103" t="str">
        <f t="shared" si="50"/>
        <v/>
      </c>
      <c r="P970" s="103" t="s">
        <v>153</v>
      </c>
      <c r="Q970" s="103" t="s">
        <v>153</v>
      </c>
      <c r="R970" s="103" t="s">
        <v>153</v>
      </c>
      <c r="S970" s="103" t="str">
        <f>INDEX('Measure &amp; Standard CostIDs'!$AK$8:$AK$12,B970)</f>
        <v>Two-pack</v>
      </c>
      <c r="T970" s="103" t="s">
        <v>867</v>
      </c>
      <c r="U970" s="103"/>
      <c r="V970" s="103"/>
      <c r="W970" s="103">
        <f>ROUND(IF(LEFT(D970,3)="Std",VLOOKUP(D970,'Measure &amp; Standard CostIDs'!$S$5:$X$177,1+B970,FALSE),VLOOKUP(D970,'Measure &amp; Standard CostIDs'!$C$5:$H$177,1+B970,FALSE)),2)</f>
        <v>5.67</v>
      </c>
      <c r="X970" s="103"/>
      <c r="Y970" s="103"/>
      <c r="Z970" s="103" t="s">
        <v>868</v>
      </c>
      <c r="AA970" s="103" t="s">
        <v>874</v>
      </c>
      <c r="AB970" s="103" t="s">
        <v>153</v>
      </c>
      <c r="AC970" s="103">
        <v>0</v>
      </c>
      <c r="AD970" s="156">
        <v>42005</v>
      </c>
      <c r="AE970" s="103"/>
      <c r="AF970" s="103" t="s">
        <v>870</v>
      </c>
      <c r="AG970" s="103" t="s">
        <v>871</v>
      </c>
      <c r="AH970" s="103" t="s">
        <v>976</v>
      </c>
      <c r="AI970" s="103">
        <v>0</v>
      </c>
      <c r="AJ970" s="103"/>
      <c r="AK970" s="103"/>
      <c r="AL970" s="103"/>
      <c r="AM970" s="103"/>
      <c r="AN970" s="103"/>
      <c r="AO970" s="103" t="str">
        <f t="shared" si="51"/>
        <v>Std_CFLscw-Refl(21w)_60pInc-r0286Two-pack</v>
      </c>
    </row>
    <row r="971" spans="1:41">
      <c r="A971" s="177">
        <f>IFERROR(MATCH(D971,'Measure &amp; Standard CostIDs'!C$5:C$177,0),MATCH(D971,'Measure &amp; Standard CostIDs'!S$5:S$177,0))</f>
        <v>150</v>
      </c>
      <c r="B971" s="177">
        <f t="shared" si="49"/>
        <v>3</v>
      </c>
      <c r="C971" s="103" t="s">
        <v>153</v>
      </c>
      <c r="D971" s="103" t="str">
        <f t="shared" si="48"/>
        <v>Std_CFLscw-Refl(22w)_60pInc-r0286</v>
      </c>
      <c r="E971" s="103" t="str">
        <f>IF(LEFT(D971,3)="Std","Base case cost for mix of 60% Incandescent and 40% CFL lamps for CFL TechID: "&amp;INDEX('Measure &amp; Standard CostIDs'!$C$5:$C$177,A971),"&lt;from TechID&gt;")</f>
        <v>Base case cost for mix of 60% Incandescent and 40% CFL lamps for CFL TechID: CFLscw-Refl(22w)</v>
      </c>
      <c r="F971" s="103" t="s">
        <v>860</v>
      </c>
      <c r="G971" s="103" t="s">
        <v>151</v>
      </c>
      <c r="H971" s="103" t="s">
        <v>861</v>
      </c>
      <c r="I971" s="103" t="s">
        <v>862</v>
      </c>
      <c r="J971" s="103" t="s">
        <v>863</v>
      </c>
      <c r="K971" s="103" t="s">
        <v>864</v>
      </c>
      <c r="L971" s="103" t="s">
        <v>153</v>
      </c>
      <c r="M971" s="103" t="s">
        <v>865</v>
      </c>
      <c r="N971" s="103" t="s">
        <v>866</v>
      </c>
      <c r="O971" s="103" t="str">
        <f t="shared" si="50"/>
        <v/>
      </c>
      <c r="P971" s="103" t="s">
        <v>153</v>
      </c>
      <c r="Q971" s="103" t="s">
        <v>153</v>
      </c>
      <c r="R971" s="103" t="s">
        <v>153</v>
      </c>
      <c r="S971" s="103" t="str">
        <f>INDEX('Measure &amp; Standard CostIDs'!$AK$8:$AK$12,B971)</f>
        <v>Two-pack</v>
      </c>
      <c r="T971" s="103" t="s">
        <v>867</v>
      </c>
      <c r="U971" s="103"/>
      <c r="V971" s="103"/>
      <c r="W971" s="103">
        <f>ROUND(IF(LEFT(D971,3)="Std",VLOOKUP(D971,'Measure &amp; Standard CostIDs'!$S$5:$X$177,1+B971,FALSE),VLOOKUP(D971,'Measure &amp; Standard CostIDs'!$C$5:$H$177,1+B971,FALSE)),2)</f>
        <v>5.75</v>
      </c>
      <c r="X971" s="103"/>
      <c r="Y971" s="103"/>
      <c r="Z971" s="103" t="s">
        <v>868</v>
      </c>
      <c r="AA971" s="103" t="s">
        <v>874</v>
      </c>
      <c r="AB971" s="103" t="s">
        <v>153</v>
      </c>
      <c r="AC971" s="103">
        <v>0</v>
      </c>
      <c r="AD971" s="156">
        <v>42005</v>
      </c>
      <c r="AE971" s="103"/>
      <c r="AF971" s="103" t="s">
        <v>870</v>
      </c>
      <c r="AG971" s="103" t="s">
        <v>871</v>
      </c>
      <c r="AH971" s="103" t="s">
        <v>976</v>
      </c>
      <c r="AI971" s="103">
        <v>0</v>
      </c>
      <c r="AJ971" s="103"/>
      <c r="AK971" s="103"/>
      <c r="AL971" s="103"/>
      <c r="AM971" s="103"/>
      <c r="AN971" s="103"/>
      <c r="AO971" s="103" t="str">
        <f t="shared" si="51"/>
        <v>Std_CFLscw-Refl(22w)_60pInc-r0286Two-pack</v>
      </c>
    </row>
    <row r="972" spans="1:41">
      <c r="A972" s="177">
        <f>IFERROR(MATCH(D972,'Measure &amp; Standard CostIDs'!C$5:C$177,0),MATCH(D972,'Measure &amp; Standard CostIDs'!S$5:S$177,0))</f>
        <v>151</v>
      </c>
      <c r="B972" s="177">
        <f t="shared" si="49"/>
        <v>3</v>
      </c>
      <c r="C972" s="103" t="s">
        <v>153</v>
      </c>
      <c r="D972" s="103" t="str">
        <f t="shared" si="48"/>
        <v>Std_CFLscw-Refl(24w)_60pInc-r0286</v>
      </c>
      <c r="E972" s="103" t="str">
        <f>IF(LEFT(D972,3)="Std","Base case cost for mix of 60% Incandescent and 40% CFL lamps for CFL TechID: "&amp;INDEX('Measure &amp; Standard CostIDs'!$C$5:$C$177,A972),"&lt;from TechID&gt;")</f>
        <v>Base case cost for mix of 60% Incandescent and 40% CFL lamps for CFL TechID: CFLscw-Refl(24w)</v>
      </c>
      <c r="F972" s="103" t="s">
        <v>860</v>
      </c>
      <c r="G972" s="103" t="s">
        <v>151</v>
      </c>
      <c r="H972" s="103" t="s">
        <v>861</v>
      </c>
      <c r="I972" s="103" t="s">
        <v>862</v>
      </c>
      <c r="J972" s="103" t="s">
        <v>863</v>
      </c>
      <c r="K972" s="103" t="s">
        <v>864</v>
      </c>
      <c r="L972" s="103" t="s">
        <v>153</v>
      </c>
      <c r="M972" s="103" t="s">
        <v>865</v>
      </c>
      <c r="N972" s="103" t="s">
        <v>866</v>
      </c>
      <c r="O972" s="103" t="str">
        <f t="shared" si="50"/>
        <v/>
      </c>
      <c r="P972" s="103" t="s">
        <v>153</v>
      </c>
      <c r="Q972" s="103" t="s">
        <v>153</v>
      </c>
      <c r="R972" s="103" t="s">
        <v>153</v>
      </c>
      <c r="S972" s="103" t="str">
        <f>INDEX('Measure &amp; Standard CostIDs'!$AK$8:$AK$12,B972)</f>
        <v>Two-pack</v>
      </c>
      <c r="T972" s="103" t="s">
        <v>867</v>
      </c>
      <c r="U972" s="103"/>
      <c r="V972" s="103"/>
      <c r="W972" s="103">
        <f>ROUND(IF(LEFT(D972,3)="Std",VLOOKUP(D972,'Measure &amp; Standard CostIDs'!$S$5:$X$177,1+B972,FALSE),VLOOKUP(D972,'Measure &amp; Standard CostIDs'!$C$5:$H$177,1+B972,FALSE)),2)</f>
        <v>5.92</v>
      </c>
      <c r="X972" s="103"/>
      <c r="Y972" s="103"/>
      <c r="Z972" s="103" t="s">
        <v>868</v>
      </c>
      <c r="AA972" s="103" t="s">
        <v>874</v>
      </c>
      <c r="AB972" s="103" t="s">
        <v>153</v>
      </c>
      <c r="AC972" s="103">
        <v>0</v>
      </c>
      <c r="AD972" s="156">
        <v>42005</v>
      </c>
      <c r="AE972" s="103"/>
      <c r="AF972" s="103" t="s">
        <v>870</v>
      </c>
      <c r="AG972" s="103" t="s">
        <v>871</v>
      </c>
      <c r="AH972" s="103" t="s">
        <v>976</v>
      </c>
      <c r="AI972" s="103">
        <v>0</v>
      </c>
      <c r="AJ972" s="103"/>
      <c r="AK972" s="103"/>
      <c r="AL972" s="103"/>
      <c r="AM972" s="103"/>
      <c r="AN972" s="103"/>
      <c r="AO972" s="103" t="str">
        <f t="shared" si="51"/>
        <v>Std_CFLscw-Refl(24w)_60pInc-r0286Two-pack</v>
      </c>
    </row>
    <row r="973" spans="1:41">
      <c r="A973" s="177">
        <f>IFERROR(MATCH(D973,'Measure &amp; Standard CostIDs'!C$5:C$177,0),MATCH(D973,'Measure &amp; Standard CostIDs'!S$5:S$177,0))</f>
        <v>152</v>
      </c>
      <c r="B973" s="177">
        <f t="shared" si="49"/>
        <v>3</v>
      </c>
      <c r="C973" s="103" t="s">
        <v>153</v>
      </c>
      <c r="D973" s="103" t="str">
        <f t="shared" si="48"/>
        <v>Std_CFLscw-Refl(25w)_60pInc-r0286</v>
      </c>
      <c r="E973" s="103" t="str">
        <f>IF(LEFT(D973,3)="Std","Base case cost for mix of 60% Incandescent and 40% CFL lamps for CFL TechID: "&amp;INDEX('Measure &amp; Standard CostIDs'!$C$5:$C$177,A973),"&lt;from TechID&gt;")</f>
        <v>Base case cost for mix of 60% Incandescent and 40% CFL lamps for CFL TechID: CFLscw-Refl(25w)</v>
      </c>
      <c r="F973" s="103" t="s">
        <v>860</v>
      </c>
      <c r="G973" s="103" t="s">
        <v>151</v>
      </c>
      <c r="H973" s="103" t="s">
        <v>861</v>
      </c>
      <c r="I973" s="103" t="s">
        <v>862</v>
      </c>
      <c r="J973" s="103" t="s">
        <v>863</v>
      </c>
      <c r="K973" s="103" t="s">
        <v>864</v>
      </c>
      <c r="L973" s="103" t="s">
        <v>153</v>
      </c>
      <c r="M973" s="103" t="s">
        <v>865</v>
      </c>
      <c r="N973" s="103" t="s">
        <v>866</v>
      </c>
      <c r="O973" s="103" t="str">
        <f t="shared" si="50"/>
        <v/>
      </c>
      <c r="P973" s="103" t="s">
        <v>153</v>
      </c>
      <c r="Q973" s="103" t="s">
        <v>153</v>
      </c>
      <c r="R973" s="103" t="s">
        <v>153</v>
      </c>
      <c r="S973" s="103" t="str">
        <f>INDEX('Measure &amp; Standard CostIDs'!$AK$8:$AK$12,B973)</f>
        <v>Two-pack</v>
      </c>
      <c r="T973" s="103" t="s">
        <v>867</v>
      </c>
      <c r="U973" s="103"/>
      <c r="V973" s="103"/>
      <c r="W973" s="103">
        <f>ROUND(IF(LEFT(D973,3)="Std",VLOOKUP(D973,'Measure &amp; Standard CostIDs'!$S$5:$X$177,1+B973,FALSE),VLOOKUP(D973,'Measure &amp; Standard CostIDs'!$C$5:$H$177,1+B973,FALSE)),2)</f>
        <v>6.01</v>
      </c>
      <c r="X973" s="103"/>
      <c r="Y973" s="103"/>
      <c r="Z973" s="103" t="s">
        <v>868</v>
      </c>
      <c r="AA973" s="103" t="s">
        <v>874</v>
      </c>
      <c r="AB973" s="103" t="s">
        <v>153</v>
      </c>
      <c r="AC973" s="103">
        <v>0</v>
      </c>
      <c r="AD973" s="156">
        <v>42005</v>
      </c>
      <c r="AE973" s="103"/>
      <c r="AF973" s="103" t="s">
        <v>870</v>
      </c>
      <c r="AG973" s="103" t="s">
        <v>871</v>
      </c>
      <c r="AH973" s="103" t="s">
        <v>976</v>
      </c>
      <c r="AI973" s="103">
        <v>0</v>
      </c>
      <c r="AJ973" s="103"/>
      <c r="AK973" s="103"/>
      <c r="AL973" s="103"/>
      <c r="AM973" s="103"/>
      <c r="AN973" s="103"/>
      <c r="AO973" s="103" t="str">
        <f t="shared" si="51"/>
        <v>Std_CFLscw-Refl(25w)_60pInc-r0286Two-pack</v>
      </c>
    </row>
    <row r="974" spans="1:41">
      <c r="A974" s="177">
        <f>IFERROR(MATCH(D974,'Measure &amp; Standard CostIDs'!C$5:C$177,0),MATCH(D974,'Measure &amp; Standard CostIDs'!S$5:S$177,0))</f>
        <v>153</v>
      </c>
      <c r="B974" s="177">
        <f t="shared" si="49"/>
        <v>3</v>
      </c>
      <c r="C974" s="103" t="s">
        <v>153</v>
      </c>
      <c r="D974" s="103" t="str">
        <f t="shared" si="48"/>
        <v>Std_CFLscw-Refl(26w)_60pInc-r0286</v>
      </c>
      <c r="E974" s="103" t="str">
        <f>IF(LEFT(D974,3)="Std","Base case cost for mix of 60% Incandescent and 40% CFL lamps for CFL TechID: "&amp;INDEX('Measure &amp; Standard CostIDs'!$C$5:$C$177,A974),"&lt;from TechID&gt;")</f>
        <v>Base case cost for mix of 60% Incandescent and 40% CFL lamps for CFL TechID: CFLscw-Refl(26w)</v>
      </c>
      <c r="F974" s="103" t="s">
        <v>860</v>
      </c>
      <c r="G974" s="103" t="s">
        <v>151</v>
      </c>
      <c r="H974" s="103" t="s">
        <v>861</v>
      </c>
      <c r="I974" s="103" t="s">
        <v>862</v>
      </c>
      <c r="J974" s="103" t="s">
        <v>863</v>
      </c>
      <c r="K974" s="103" t="s">
        <v>864</v>
      </c>
      <c r="L974" s="103" t="s">
        <v>153</v>
      </c>
      <c r="M974" s="103" t="s">
        <v>865</v>
      </c>
      <c r="N974" s="103" t="s">
        <v>866</v>
      </c>
      <c r="O974" s="103" t="str">
        <f t="shared" si="50"/>
        <v/>
      </c>
      <c r="P974" s="103" t="s">
        <v>153</v>
      </c>
      <c r="Q974" s="103" t="s">
        <v>153</v>
      </c>
      <c r="R974" s="103" t="s">
        <v>153</v>
      </c>
      <c r="S974" s="103" t="str">
        <f>INDEX('Measure &amp; Standard CostIDs'!$AK$8:$AK$12,B974)</f>
        <v>Two-pack</v>
      </c>
      <c r="T974" s="103" t="s">
        <v>867</v>
      </c>
      <c r="U974" s="103"/>
      <c r="V974" s="103"/>
      <c r="W974" s="103">
        <f>ROUND(IF(LEFT(D974,3)="Std",VLOOKUP(D974,'Measure &amp; Standard CostIDs'!$S$5:$X$177,1+B974,FALSE),VLOOKUP(D974,'Measure &amp; Standard CostIDs'!$C$5:$H$177,1+B974,FALSE)),2)</f>
        <v>6.09</v>
      </c>
      <c r="X974" s="103"/>
      <c r="Y974" s="103"/>
      <c r="Z974" s="103" t="s">
        <v>868</v>
      </c>
      <c r="AA974" s="103" t="s">
        <v>874</v>
      </c>
      <c r="AB974" s="103" t="s">
        <v>153</v>
      </c>
      <c r="AC974" s="103">
        <v>0</v>
      </c>
      <c r="AD974" s="156">
        <v>42005</v>
      </c>
      <c r="AE974" s="103"/>
      <c r="AF974" s="103" t="s">
        <v>870</v>
      </c>
      <c r="AG974" s="103" t="s">
        <v>871</v>
      </c>
      <c r="AH974" s="103" t="s">
        <v>976</v>
      </c>
      <c r="AI974" s="103">
        <v>0</v>
      </c>
      <c r="AJ974" s="103"/>
      <c r="AK974" s="103"/>
      <c r="AL974" s="103"/>
      <c r="AM974" s="103"/>
      <c r="AN974" s="103"/>
      <c r="AO974" s="103" t="str">
        <f t="shared" si="51"/>
        <v>Std_CFLscw-Refl(26w)_60pInc-r0286Two-pack</v>
      </c>
    </row>
    <row r="975" spans="1:41">
      <c r="A975" s="177">
        <f>IFERROR(MATCH(D975,'Measure &amp; Standard CostIDs'!C$5:C$177,0),MATCH(D975,'Measure &amp; Standard CostIDs'!S$5:S$177,0))</f>
        <v>154</v>
      </c>
      <c r="B975" s="177">
        <f t="shared" si="49"/>
        <v>3</v>
      </c>
      <c r="C975" s="103" t="s">
        <v>153</v>
      </c>
      <c r="D975" s="103" t="str">
        <f t="shared" si="48"/>
        <v>Std_CFLscw-Refl(5w)_60pInc-r0286</v>
      </c>
      <c r="E975" s="103" t="str">
        <f>IF(LEFT(D975,3)="Std","Base case cost for mix of 60% Incandescent and 40% CFL lamps for CFL TechID: "&amp;INDEX('Measure &amp; Standard CostIDs'!$C$5:$C$177,A975),"&lt;from TechID&gt;")</f>
        <v>Base case cost for mix of 60% Incandescent and 40% CFL lamps for CFL TechID: CFLscw-Refl(5w)</v>
      </c>
      <c r="F975" s="103" t="s">
        <v>860</v>
      </c>
      <c r="G975" s="103" t="s">
        <v>151</v>
      </c>
      <c r="H975" s="103" t="s">
        <v>861</v>
      </c>
      <c r="I975" s="103" t="s">
        <v>862</v>
      </c>
      <c r="J975" s="103" t="s">
        <v>863</v>
      </c>
      <c r="K975" s="103" t="s">
        <v>864</v>
      </c>
      <c r="L975" s="103" t="s">
        <v>153</v>
      </c>
      <c r="M975" s="103" t="s">
        <v>865</v>
      </c>
      <c r="N975" s="103" t="s">
        <v>866</v>
      </c>
      <c r="O975" s="103" t="str">
        <f t="shared" si="50"/>
        <v/>
      </c>
      <c r="P975" s="103" t="s">
        <v>153</v>
      </c>
      <c r="Q975" s="103" t="s">
        <v>153</v>
      </c>
      <c r="R975" s="103" t="s">
        <v>153</v>
      </c>
      <c r="S975" s="103" t="str">
        <f>INDEX('Measure &amp; Standard CostIDs'!$AK$8:$AK$12,B975)</f>
        <v>Two-pack</v>
      </c>
      <c r="T975" s="103" t="s">
        <v>867</v>
      </c>
      <c r="U975" s="103"/>
      <c r="V975" s="103"/>
      <c r="W975" s="103">
        <f>ROUND(IF(LEFT(D975,3)="Std",VLOOKUP(D975,'Measure &amp; Standard CostIDs'!$S$5:$X$177,1+B975,FALSE),VLOOKUP(D975,'Measure &amp; Standard CostIDs'!$C$5:$H$177,1+B975,FALSE)),2)</f>
        <v>4.32</v>
      </c>
      <c r="X975" s="103"/>
      <c r="Y975" s="103"/>
      <c r="Z975" s="103" t="s">
        <v>868</v>
      </c>
      <c r="AA975" s="103" t="s">
        <v>874</v>
      </c>
      <c r="AB975" s="103" t="s">
        <v>153</v>
      </c>
      <c r="AC975" s="103">
        <v>0</v>
      </c>
      <c r="AD975" s="156">
        <v>42005</v>
      </c>
      <c r="AE975" s="103"/>
      <c r="AF975" s="103" t="s">
        <v>870</v>
      </c>
      <c r="AG975" s="103" t="s">
        <v>871</v>
      </c>
      <c r="AH975" s="103" t="s">
        <v>976</v>
      </c>
      <c r="AI975" s="103">
        <v>0</v>
      </c>
      <c r="AJ975" s="103"/>
      <c r="AK975" s="103"/>
      <c r="AL975" s="103"/>
      <c r="AM975" s="103"/>
      <c r="AN975" s="103"/>
      <c r="AO975" s="103" t="str">
        <f t="shared" si="51"/>
        <v>Std_CFLscw-Refl(5w)_60pInc-r0286Two-pack</v>
      </c>
    </row>
    <row r="976" spans="1:41">
      <c r="A976" s="177">
        <f>IFERROR(MATCH(D976,'Measure &amp; Standard CostIDs'!C$5:C$177,0),MATCH(D976,'Measure &amp; Standard CostIDs'!S$5:S$177,0))</f>
        <v>155</v>
      </c>
      <c r="B976" s="177">
        <f t="shared" si="49"/>
        <v>3</v>
      </c>
      <c r="C976" s="103" t="s">
        <v>153</v>
      </c>
      <c r="D976" s="103" t="str">
        <f t="shared" ref="D976:D1039" si="52">+D646</f>
        <v>Std_CFLscw-Refl(6w)_60pInc-r0286</v>
      </c>
      <c r="E976" s="103" t="str">
        <f>IF(LEFT(D976,3)="Std","Base case cost for mix of 60% Incandescent and 40% CFL lamps for CFL TechID: "&amp;INDEX('Measure &amp; Standard CostIDs'!$C$5:$C$177,A976),"&lt;from TechID&gt;")</f>
        <v>Base case cost for mix of 60% Incandescent and 40% CFL lamps for CFL TechID: CFLscw-Refl(6w)</v>
      </c>
      <c r="F976" s="103" t="s">
        <v>860</v>
      </c>
      <c r="G976" s="103" t="s">
        <v>151</v>
      </c>
      <c r="H976" s="103" t="s">
        <v>861</v>
      </c>
      <c r="I976" s="103" t="s">
        <v>862</v>
      </c>
      <c r="J976" s="103" t="s">
        <v>863</v>
      </c>
      <c r="K976" s="103" t="s">
        <v>864</v>
      </c>
      <c r="L976" s="103" t="s">
        <v>153</v>
      </c>
      <c r="M976" s="103" t="s">
        <v>865</v>
      </c>
      <c r="N976" s="103" t="s">
        <v>866</v>
      </c>
      <c r="O976" s="103" t="str">
        <f t="shared" si="50"/>
        <v/>
      </c>
      <c r="P976" s="103" t="s">
        <v>153</v>
      </c>
      <c r="Q976" s="103" t="s">
        <v>153</v>
      </c>
      <c r="R976" s="103" t="s">
        <v>153</v>
      </c>
      <c r="S976" s="103" t="str">
        <f>INDEX('Measure &amp; Standard CostIDs'!$AK$8:$AK$12,B976)</f>
        <v>Two-pack</v>
      </c>
      <c r="T976" s="103" t="s">
        <v>867</v>
      </c>
      <c r="U976" s="103"/>
      <c r="V976" s="103"/>
      <c r="W976" s="103">
        <f>ROUND(IF(LEFT(D976,3)="Std",VLOOKUP(D976,'Measure &amp; Standard CostIDs'!$S$5:$X$177,1+B976,FALSE),VLOOKUP(D976,'Measure &amp; Standard CostIDs'!$C$5:$H$177,1+B976,FALSE)),2)</f>
        <v>4.41</v>
      </c>
      <c r="X976" s="103"/>
      <c r="Y976" s="103"/>
      <c r="Z976" s="103" t="s">
        <v>868</v>
      </c>
      <c r="AA976" s="103" t="s">
        <v>874</v>
      </c>
      <c r="AB976" s="103" t="s">
        <v>153</v>
      </c>
      <c r="AC976" s="103">
        <v>0</v>
      </c>
      <c r="AD976" s="156">
        <v>42005</v>
      </c>
      <c r="AE976" s="103"/>
      <c r="AF976" s="103" t="s">
        <v>870</v>
      </c>
      <c r="AG976" s="103" t="s">
        <v>871</v>
      </c>
      <c r="AH976" s="103" t="s">
        <v>976</v>
      </c>
      <c r="AI976" s="103">
        <v>0</v>
      </c>
      <c r="AJ976" s="103"/>
      <c r="AK976" s="103"/>
      <c r="AL976" s="103"/>
      <c r="AM976" s="103"/>
      <c r="AN976" s="103"/>
      <c r="AO976" s="103" t="str">
        <f t="shared" si="51"/>
        <v>Std_CFLscw-Refl(6w)_60pInc-r0286Two-pack</v>
      </c>
    </row>
    <row r="977" spans="1:41">
      <c r="A977" s="177">
        <f>IFERROR(MATCH(D977,'Measure &amp; Standard CostIDs'!C$5:C$177,0),MATCH(D977,'Measure &amp; Standard CostIDs'!S$5:S$177,0))</f>
        <v>156</v>
      </c>
      <c r="B977" s="177">
        <f t="shared" ref="B977:B1040" si="53">+B647+1</f>
        <v>3</v>
      </c>
      <c r="C977" s="103" t="s">
        <v>153</v>
      </c>
      <c r="D977" s="103" t="str">
        <f t="shared" si="52"/>
        <v>Std_CFLscw-Refl(7w)_60pInc-r0286</v>
      </c>
      <c r="E977" s="103" t="str">
        <f>IF(LEFT(D977,3)="Std","Base case cost for mix of 60% Incandescent and 40% CFL lamps for CFL TechID: "&amp;INDEX('Measure &amp; Standard CostIDs'!$C$5:$C$177,A977),"&lt;from TechID&gt;")</f>
        <v>Base case cost for mix of 60% Incandescent and 40% CFL lamps for CFL TechID: CFLscw-Refl(7w)</v>
      </c>
      <c r="F977" s="103" t="s">
        <v>860</v>
      </c>
      <c r="G977" s="103" t="s">
        <v>151</v>
      </c>
      <c r="H977" s="103" t="s">
        <v>861</v>
      </c>
      <c r="I977" s="103" t="s">
        <v>862</v>
      </c>
      <c r="J977" s="103" t="s">
        <v>863</v>
      </c>
      <c r="K977" s="103" t="s">
        <v>864</v>
      </c>
      <c r="L977" s="103" t="s">
        <v>153</v>
      </c>
      <c r="M977" s="103" t="s">
        <v>865</v>
      </c>
      <c r="N977" s="103" t="s">
        <v>866</v>
      </c>
      <c r="O977" s="103" t="str">
        <f t="shared" si="50"/>
        <v/>
      </c>
      <c r="P977" s="103" t="s">
        <v>153</v>
      </c>
      <c r="Q977" s="103" t="s">
        <v>153</v>
      </c>
      <c r="R977" s="103" t="s">
        <v>153</v>
      </c>
      <c r="S977" s="103" t="str">
        <f>INDEX('Measure &amp; Standard CostIDs'!$AK$8:$AK$12,B977)</f>
        <v>Two-pack</v>
      </c>
      <c r="T977" s="103" t="s">
        <v>867</v>
      </c>
      <c r="U977" s="103"/>
      <c r="V977" s="103"/>
      <c r="W977" s="103">
        <f>ROUND(IF(LEFT(D977,3)="Std",VLOOKUP(D977,'Measure &amp; Standard CostIDs'!$S$5:$X$177,1+B977,FALSE),VLOOKUP(D977,'Measure &amp; Standard CostIDs'!$C$5:$H$177,1+B977,FALSE)),2)</f>
        <v>4.49</v>
      </c>
      <c r="X977" s="103"/>
      <c r="Y977" s="103"/>
      <c r="Z977" s="103" t="s">
        <v>868</v>
      </c>
      <c r="AA977" s="103" t="s">
        <v>874</v>
      </c>
      <c r="AB977" s="103" t="s">
        <v>153</v>
      </c>
      <c r="AC977" s="103">
        <v>0</v>
      </c>
      <c r="AD977" s="156">
        <v>42005</v>
      </c>
      <c r="AE977" s="103"/>
      <c r="AF977" s="103" t="s">
        <v>870</v>
      </c>
      <c r="AG977" s="103" t="s">
        <v>871</v>
      </c>
      <c r="AH977" s="103" t="s">
        <v>976</v>
      </c>
      <c r="AI977" s="103">
        <v>0</v>
      </c>
      <c r="AJ977" s="103"/>
      <c r="AK977" s="103"/>
      <c r="AL977" s="103"/>
      <c r="AM977" s="103"/>
      <c r="AN977" s="103"/>
      <c r="AO977" s="103" t="str">
        <f t="shared" si="51"/>
        <v>Std_CFLscw-Refl(7w)_60pInc-r0286Two-pack</v>
      </c>
    </row>
    <row r="978" spans="1:41">
      <c r="A978" s="177">
        <f>IFERROR(MATCH(D978,'Measure &amp; Standard CostIDs'!C$5:C$177,0),MATCH(D978,'Measure &amp; Standard CostIDs'!S$5:S$177,0))</f>
        <v>157</v>
      </c>
      <c r="B978" s="177">
        <f t="shared" si="53"/>
        <v>3</v>
      </c>
      <c r="C978" s="103" t="s">
        <v>153</v>
      </c>
      <c r="D978" s="103" t="str">
        <f t="shared" si="52"/>
        <v>Std_CFLscw-Refl(8w)_60pInc-r0286</v>
      </c>
      <c r="E978" s="103" t="str">
        <f>IF(LEFT(D978,3)="Std","Base case cost for mix of 60% Incandescent and 40% CFL lamps for CFL TechID: "&amp;INDEX('Measure &amp; Standard CostIDs'!$C$5:$C$177,A978),"&lt;from TechID&gt;")</f>
        <v>Base case cost for mix of 60% Incandescent and 40% CFL lamps for CFL TechID: CFLscw-Refl(8w)</v>
      </c>
      <c r="F978" s="103" t="s">
        <v>860</v>
      </c>
      <c r="G978" s="103" t="s">
        <v>151</v>
      </c>
      <c r="H978" s="103" t="s">
        <v>861</v>
      </c>
      <c r="I978" s="103" t="s">
        <v>862</v>
      </c>
      <c r="J978" s="103" t="s">
        <v>863</v>
      </c>
      <c r="K978" s="103" t="s">
        <v>864</v>
      </c>
      <c r="L978" s="103" t="s">
        <v>153</v>
      </c>
      <c r="M978" s="103" t="s">
        <v>865</v>
      </c>
      <c r="N978" s="103" t="s">
        <v>866</v>
      </c>
      <c r="O978" s="103" t="str">
        <f t="shared" si="50"/>
        <v/>
      </c>
      <c r="P978" s="103" t="s">
        <v>153</v>
      </c>
      <c r="Q978" s="103" t="s">
        <v>153</v>
      </c>
      <c r="R978" s="103" t="s">
        <v>153</v>
      </c>
      <c r="S978" s="103" t="str">
        <f>INDEX('Measure &amp; Standard CostIDs'!$AK$8:$AK$12,B978)</f>
        <v>Two-pack</v>
      </c>
      <c r="T978" s="103" t="s">
        <v>867</v>
      </c>
      <c r="U978" s="103"/>
      <c r="V978" s="103"/>
      <c r="W978" s="103">
        <f>ROUND(IF(LEFT(D978,3)="Std",VLOOKUP(D978,'Measure &amp; Standard CostIDs'!$S$5:$X$177,1+B978,FALSE),VLOOKUP(D978,'Measure &amp; Standard CostIDs'!$C$5:$H$177,1+B978,FALSE)),2)</f>
        <v>4.57</v>
      </c>
      <c r="X978" s="103"/>
      <c r="Y978" s="103"/>
      <c r="Z978" s="103" t="s">
        <v>868</v>
      </c>
      <c r="AA978" s="103" t="s">
        <v>874</v>
      </c>
      <c r="AB978" s="103" t="s">
        <v>153</v>
      </c>
      <c r="AC978" s="103">
        <v>0</v>
      </c>
      <c r="AD978" s="156">
        <v>42005</v>
      </c>
      <c r="AE978" s="103"/>
      <c r="AF978" s="103" t="s">
        <v>870</v>
      </c>
      <c r="AG978" s="103" t="s">
        <v>871</v>
      </c>
      <c r="AH978" s="103" t="s">
        <v>976</v>
      </c>
      <c r="AI978" s="103">
        <v>0</v>
      </c>
      <c r="AJ978" s="103"/>
      <c r="AK978" s="103"/>
      <c r="AL978" s="103"/>
      <c r="AM978" s="103"/>
      <c r="AN978" s="103"/>
      <c r="AO978" s="103" t="str">
        <f t="shared" si="51"/>
        <v>Std_CFLscw-Refl(8w)_60pInc-r0286Two-pack</v>
      </c>
    </row>
    <row r="979" spans="1:41">
      <c r="A979" s="177">
        <f>IFERROR(MATCH(D979,'Measure &amp; Standard CostIDs'!C$5:C$177,0),MATCH(D979,'Measure &amp; Standard CostIDs'!S$5:S$177,0))</f>
        <v>158</v>
      </c>
      <c r="B979" s="177">
        <f t="shared" si="53"/>
        <v>3</v>
      </c>
      <c r="C979" s="103" t="s">
        <v>153</v>
      </c>
      <c r="D979" s="103" t="str">
        <f t="shared" si="52"/>
        <v>Std_CFLscw-Refl(9w)_60pInc-r0286</v>
      </c>
      <c r="E979" s="103" t="str">
        <f>IF(LEFT(D979,3)="Std","Base case cost for mix of 60% Incandescent and 40% CFL lamps for CFL TechID: "&amp;INDEX('Measure &amp; Standard CostIDs'!$C$5:$C$177,A979),"&lt;from TechID&gt;")</f>
        <v>Base case cost for mix of 60% Incandescent and 40% CFL lamps for CFL TechID: CFLscw-Refl(9w)</v>
      </c>
      <c r="F979" s="103" t="s">
        <v>860</v>
      </c>
      <c r="G979" s="103" t="s">
        <v>151</v>
      </c>
      <c r="H979" s="103" t="s">
        <v>861</v>
      </c>
      <c r="I979" s="103" t="s">
        <v>862</v>
      </c>
      <c r="J979" s="103" t="s">
        <v>863</v>
      </c>
      <c r="K979" s="103" t="s">
        <v>864</v>
      </c>
      <c r="L979" s="103" t="s">
        <v>153</v>
      </c>
      <c r="M979" s="103" t="s">
        <v>865</v>
      </c>
      <c r="N979" s="103" t="s">
        <v>866</v>
      </c>
      <c r="O979" s="103" t="str">
        <f t="shared" si="50"/>
        <v/>
      </c>
      <c r="P979" s="103" t="s">
        <v>153</v>
      </c>
      <c r="Q979" s="103" t="s">
        <v>153</v>
      </c>
      <c r="R979" s="103" t="s">
        <v>153</v>
      </c>
      <c r="S979" s="103" t="str">
        <f>INDEX('Measure &amp; Standard CostIDs'!$AK$8:$AK$12,B979)</f>
        <v>Two-pack</v>
      </c>
      <c r="T979" s="103" t="s">
        <v>867</v>
      </c>
      <c r="U979" s="103"/>
      <c r="V979" s="103"/>
      <c r="W979" s="103">
        <f>ROUND(IF(LEFT(D979,3)="Std",VLOOKUP(D979,'Measure &amp; Standard CostIDs'!$S$5:$X$177,1+B979,FALSE),VLOOKUP(D979,'Measure &amp; Standard CostIDs'!$C$5:$H$177,1+B979,FALSE)),2)</f>
        <v>4.66</v>
      </c>
      <c r="X979" s="103"/>
      <c r="Y979" s="103"/>
      <c r="Z979" s="103" t="s">
        <v>868</v>
      </c>
      <c r="AA979" s="103" t="s">
        <v>874</v>
      </c>
      <c r="AB979" s="103" t="s">
        <v>153</v>
      </c>
      <c r="AC979" s="103">
        <v>0</v>
      </c>
      <c r="AD979" s="156">
        <v>42005</v>
      </c>
      <c r="AE979" s="103"/>
      <c r="AF979" s="103" t="s">
        <v>870</v>
      </c>
      <c r="AG979" s="103" t="s">
        <v>871</v>
      </c>
      <c r="AH979" s="103" t="s">
        <v>976</v>
      </c>
      <c r="AI979" s="103">
        <v>0</v>
      </c>
      <c r="AJ979" s="103"/>
      <c r="AK979" s="103"/>
      <c r="AL979" s="103"/>
      <c r="AM979" s="103"/>
      <c r="AN979" s="103"/>
      <c r="AO979" s="103" t="str">
        <f t="shared" si="51"/>
        <v>Std_CFLscw-Refl(9w)_60pInc-r0286Two-pack</v>
      </c>
    </row>
    <row r="980" spans="1:41">
      <c r="A980" s="177">
        <f>IFERROR(MATCH(D980,'Measure &amp; Standard CostIDs'!C$5:C$177,0),MATCH(D980,'Measure &amp; Standard CostIDs'!S$5:S$177,0))</f>
        <v>159</v>
      </c>
      <c r="B980" s="177">
        <f t="shared" si="53"/>
        <v>3</v>
      </c>
      <c r="C980" s="103" t="s">
        <v>153</v>
      </c>
      <c r="D980" s="103" t="str">
        <f t="shared" si="52"/>
        <v>Std_CFLscw-Refl-1(15w)_60pInc-r0286</v>
      </c>
      <c r="E980" s="103" t="str">
        <f>IF(LEFT(D980,3)="Std","Base case cost for mix of 60% Incandescent and 40% CFL lamps for CFL TechID: "&amp;INDEX('Measure &amp; Standard CostIDs'!$C$5:$C$177,A980),"&lt;from TechID&gt;")</f>
        <v>Base case cost for mix of 60% Incandescent and 40% CFL lamps for CFL TechID: CFLscw-Refl-1(15w)</v>
      </c>
      <c r="F980" s="103" t="s">
        <v>860</v>
      </c>
      <c r="G980" s="103" t="s">
        <v>151</v>
      </c>
      <c r="H980" s="103" t="s">
        <v>861</v>
      </c>
      <c r="I980" s="103" t="s">
        <v>862</v>
      </c>
      <c r="J980" s="103" t="s">
        <v>863</v>
      </c>
      <c r="K980" s="103" t="s">
        <v>864</v>
      </c>
      <c r="L980" s="103" t="s">
        <v>153</v>
      </c>
      <c r="M980" s="103" t="s">
        <v>865</v>
      </c>
      <c r="N980" s="103" t="s">
        <v>866</v>
      </c>
      <c r="O980" s="103" t="str">
        <f t="shared" si="50"/>
        <v/>
      </c>
      <c r="P980" s="103" t="s">
        <v>153</v>
      </c>
      <c r="Q980" s="103" t="s">
        <v>153</v>
      </c>
      <c r="R980" s="103" t="s">
        <v>153</v>
      </c>
      <c r="S980" s="103" t="str">
        <f>INDEX('Measure &amp; Standard CostIDs'!$AK$8:$AK$12,B980)</f>
        <v>Two-pack</v>
      </c>
      <c r="T980" s="103" t="s">
        <v>867</v>
      </c>
      <c r="U980" s="103"/>
      <c r="V980" s="103"/>
      <c r="W980" s="103">
        <f>ROUND(IF(LEFT(D980,3)="Std",VLOOKUP(D980,'Measure &amp; Standard CostIDs'!$S$5:$X$177,1+B980,FALSE),VLOOKUP(D980,'Measure &amp; Standard CostIDs'!$C$5:$H$177,1+B980,FALSE)),2)</f>
        <v>5.16</v>
      </c>
      <c r="X980" s="103"/>
      <c r="Y980" s="103"/>
      <c r="Z980" s="103" t="s">
        <v>868</v>
      </c>
      <c r="AA980" s="103" t="s">
        <v>874</v>
      </c>
      <c r="AB980" s="103" t="s">
        <v>153</v>
      </c>
      <c r="AC980" s="103">
        <v>0</v>
      </c>
      <c r="AD980" s="156">
        <v>42005</v>
      </c>
      <c r="AE980" s="103"/>
      <c r="AF980" s="103" t="s">
        <v>870</v>
      </c>
      <c r="AG980" s="103" t="s">
        <v>871</v>
      </c>
      <c r="AH980" s="103" t="s">
        <v>976</v>
      </c>
      <c r="AI980" s="103">
        <v>0</v>
      </c>
      <c r="AJ980" s="103"/>
      <c r="AK980" s="103"/>
      <c r="AL980" s="103"/>
      <c r="AM980" s="103"/>
      <c r="AN980" s="103"/>
      <c r="AO980" s="103" t="str">
        <f t="shared" si="51"/>
        <v>Std_CFLscw-Refl-1(15w)_60pInc-r0286Two-pack</v>
      </c>
    </row>
    <row r="981" spans="1:41">
      <c r="A981" s="177">
        <f>IFERROR(MATCH(D981,'Measure &amp; Standard CostIDs'!C$5:C$177,0),MATCH(D981,'Measure &amp; Standard CostIDs'!S$5:S$177,0))</f>
        <v>160</v>
      </c>
      <c r="B981" s="177">
        <f t="shared" si="53"/>
        <v>3</v>
      </c>
      <c r="C981" s="103" t="s">
        <v>153</v>
      </c>
      <c r="D981" s="103" t="str">
        <f t="shared" si="52"/>
        <v>Std_CFLscw-Refl-1(23w)_60pInc-r0286</v>
      </c>
      <c r="E981" s="103" t="str">
        <f>IF(LEFT(D981,3)="Std","Base case cost for mix of 60% Incandescent and 40% CFL lamps for CFL TechID: "&amp;INDEX('Measure &amp; Standard CostIDs'!$C$5:$C$177,A981),"&lt;from TechID&gt;")</f>
        <v>Base case cost for mix of 60% Incandescent and 40% CFL lamps for CFL TechID: CFLscw-Refl-1(23w)</v>
      </c>
      <c r="F981" s="103" t="s">
        <v>860</v>
      </c>
      <c r="G981" s="103" t="s">
        <v>151</v>
      </c>
      <c r="H981" s="103" t="s">
        <v>861</v>
      </c>
      <c r="I981" s="103" t="s">
        <v>862</v>
      </c>
      <c r="J981" s="103" t="s">
        <v>863</v>
      </c>
      <c r="K981" s="103" t="s">
        <v>864</v>
      </c>
      <c r="L981" s="103" t="s">
        <v>153</v>
      </c>
      <c r="M981" s="103" t="s">
        <v>865</v>
      </c>
      <c r="N981" s="103" t="s">
        <v>866</v>
      </c>
      <c r="O981" s="103" t="str">
        <f t="shared" si="50"/>
        <v/>
      </c>
      <c r="P981" s="103" t="s">
        <v>153</v>
      </c>
      <c r="Q981" s="103" t="s">
        <v>153</v>
      </c>
      <c r="R981" s="103" t="s">
        <v>153</v>
      </c>
      <c r="S981" s="103" t="str">
        <f>INDEX('Measure &amp; Standard CostIDs'!$AK$8:$AK$12,B981)</f>
        <v>Two-pack</v>
      </c>
      <c r="T981" s="103" t="s">
        <v>867</v>
      </c>
      <c r="U981" s="103"/>
      <c r="V981" s="103"/>
      <c r="W981" s="103">
        <f>ROUND(IF(LEFT(D981,3)="Std",VLOOKUP(D981,'Measure &amp; Standard CostIDs'!$S$5:$X$177,1+B981,FALSE),VLOOKUP(D981,'Measure &amp; Standard CostIDs'!$C$5:$H$177,1+B981,FALSE)),2)</f>
        <v>5.84</v>
      </c>
      <c r="X981" s="103"/>
      <c r="Y981" s="103"/>
      <c r="Z981" s="103" t="s">
        <v>868</v>
      </c>
      <c r="AA981" s="103" t="s">
        <v>874</v>
      </c>
      <c r="AB981" s="103" t="s">
        <v>153</v>
      </c>
      <c r="AC981" s="103">
        <v>0</v>
      </c>
      <c r="AD981" s="156">
        <v>42005</v>
      </c>
      <c r="AE981" s="103"/>
      <c r="AF981" s="103" t="s">
        <v>870</v>
      </c>
      <c r="AG981" s="103" t="s">
        <v>871</v>
      </c>
      <c r="AH981" s="103" t="s">
        <v>976</v>
      </c>
      <c r="AI981" s="103">
        <v>0</v>
      </c>
      <c r="AJ981" s="103"/>
      <c r="AK981" s="103"/>
      <c r="AL981" s="103"/>
      <c r="AM981" s="103"/>
      <c r="AN981" s="103"/>
      <c r="AO981" s="103" t="str">
        <f t="shared" si="51"/>
        <v>Std_CFLscw-Refl-1(23w)_60pInc-r0286Two-pack</v>
      </c>
    </row>
    <row r="982" spans="1:41">
      <c r="A982" s="177">
        <f>IFERROR(MATCH(D982,'Measure &amp; Standard CostIDs'!C$5:C$177,0),MATCH(D982,'Measure &amp; Standard CostIDs'!S$5:S$177,0))</f>
        <v>161</v>
      </c>
      <c r="B982" s="177">
        <f t="shared" si="53"/>
        <v>3</v>
      </c>
      <c r="C982" s="103" t="s">
        <v>153</v>
      </c>
      <c r="D982" s="103" t="str">
        <f t="shared" si="52"/>
        <v>Std_CFLscw-Refl-2(15w)_60pInc-r0286</v>
      </c>
      <c r="E982" s="103" t="str">
        <f>IF(LEFT(D982,3)="Std","Base case cost for mix of 60% Incandescent and 40% CFL lamps for CFL TechID: "&amp;INDEX('Measure &amp; Standard CostIDs'!$C$5:$C$177,A982),"&lt;from TechID&gt;")</f>
        <v>Base case cost for mix of 60% Incandescent and 40% CFL lamps for CFL TechID: CFLscw-Refl-2(15w)</v>
      </c>
      <c r="F982" s="103" t="s">
        <v>860</v>
      </c>
      <c r="G982" s="103" t="s">
        <v>151</v>
      </c>
      <c r="H982" s="103" t="s">
        <v>861</v>
      </c>
      <c r="I982" s="103" t="s">
        <v>862</v>
      </c>
      <c r="J982" s="103" t="s">
        <v>863</v>
      </c>
      <c r="K982" s="103" t="s">
        <v>864</v>
      </c>
      <c r="L982" s="103" t="s">
        <v>153</v>
      </c>
      <c r="M982" s="103" t="s">
        <v>865</v>
      </c>
      <c r="N982" s="103" t="s">
        <v>866</v>
      </c>
      <c r="O982" s="103" t="str">
        <f t="shared" si="50"/>
        <v/>
      </c>
      <c r="P982" s="103" t="s">
        <v>153</v>
      </c>
      <c r="Q982" s="103" t="s">
        <v>153</v>
      </c>
      <c r="R982" s="103" t="s">
        <v>153</v>
      </c>
      <c r="S982" s="103" t="str">
        <f>INDEX('Measure &amp; Standard CostIDs'!$AK$8:$AK$12,B982)</f>
        <v>Two-pack</v>
      </c>
      <c r="T982" s="103" t="s">
        <v>867</v>
      </c>
      <c r="U982" s="103"/>
      <c r="V982" s="103"/>
      <c r="W982" s="103">
        <f>ROUND(IF(LEFT(D982,3)="Std",VLOOKUP(D982,'Measure &amp; Standard CostIDs'!$S$5:$X$177,1+B982,FALSE),VLOOKUP(D982,'Measure &amp; Standard CostIDs'!$C$5:$H$177,1+B982,FALSE)),2)</f>
        <v>5.16</v>
      </c>
      <c r="X982" s="103"/>
      <c r="Y982" s="103"/>
      <c r="Z982" s="103" t="s">
        <v>868</v>
      </c>
      <c r="AA982" s="103" t="s">
        <v>874</v>
      </c>
      <c r="AB982" s="103" t="s">
        <v>153</v>
      </c>
      <c r="AC982" s="103">
        <v>0</v>
      </c>
      <c r="AD982" s="156">
        <v>42005</v>
      </c>
      <c r="AE982" s="103"/>
      <c r="AF982" s="103" t="s">
        <v>870</v>
      </c>
      <c r="AG982" s="103" t="s">
        <v>871</v>
      </c>
      <c r="AH982" s="103" t="s">
        <v>976</v>
      </c>
      <c r="AI982" s="103">
        <v>0</v>
      </c>
      <c r="AJ982" s="103"/>
      <c r="AK982" s="103"/>
      <c r="AL982" s="103"/>
      <c r="AM982" s="103"/>
      <c r="AN982" s="103"/>
      <c r="AO982" s="103" t="str">
        <f t="shared" si="51"/>
        <v>Std_CFLscw-Refl-2(15w)_60pInc-r0286Two-pack</v>
      </c>
    </row>
    <row r="983" spans="1:41">
      <c r="A983" s="177">
        <f>IFERROR(MATCH(D983,'Measure &amp; Standard CostIDs'!C$5:C$177,0),MATCH(D983,'Measure &amp; Standard CostIDs'!S$5:S$177,0))</f>
        <v>162</v>
      </c>
      <c r="B983" s="177">
        <f t="shared" si="53"/>
        <v>3</v>
      </c>
      <c r="C983" s="103" t="s">
        <v>153</v>
      </c>
      <c r="D983" s="103" t="str">
        <f t="shared" si="52"/>
        <v>Std_CFLscw-Refl-2(23w)_60pInc-r0286</v>
      </c>
      <c r="E983" s="103" t="str">
        <f>IF(LEFT(D983,3)="Std","Base case cost for mix of 60% Incandescent and 40% CFL lamps for CFL TechID: "&amp;INDEX('Measure &amp; Standard CostIDs'!$C$5:$C$177,A983),"&lt;from TechID&gt;")</f>
        <v>Base case cost for mix of 60% Incandescent and 40% CFL lamps for CFL TechID: CFLscw-Refl-2(23w)</v>
      </c>
      <c r="F983" s="103" t="s">
        <v>860</v>
      </c>
      <c r="G983" s="103" t="s">
        <v>151</v>
      </c>
      <c r="H983" s="103" t="s">
        <v>861</v>
      </c>
      <c r="I983" s="103" t="s">
        <v>862</v>
      </c>
      <c r="J983" s="103" t="s">
        <v>863</v>
      </c>
      <c r="K983" s="103" t="s">
        <v>864</v>
      </c>
      <c r="L983" s="103" t="s">
        <v>153</v>
      </c>
      <c r="M983" s="103" t="s">
        <v>865</v>
      </c>
      <c r="N983" s="103" t="s">
        <v>866</v>
      </c>
      <c r="O983" s="103" t="str">
        <f t="shared" si="50"/>
        <v/>
      </c>
      <c r="P983" s="103" t="s">
        <v>153</v>
      </c>
      <c r="Q983" s="103" t="s">
        <v>153</v>
      </c>
      <c r="R983" s="103" t="s">
        <v>153</v>
      </c>
      <c r="S983" s="103" t="str">
        <f>INDEX('Measure &amp; Standard CostIDs'!$AK$8:$AK$12,B983)</f>
        <v>Two-pack</v>
      </c>
      <c r="T983" s="103" t="s">
        <v>867</v>
      </c>
      <c r="U983" s="103"/>
      <c r="V983" s="103"/>
      <c r="W983" s="103">
        <f>ROUND(IF(LEFT(D983,3)="Std",VLOOKUP(D983,'Measure &amp; Standard CostIDs'!$S$5:$X$177,1+B983,FALSE),VLOOKUP(D983,'Measure &amp; Standard CostIDs'!$C$5:$H$177,1+B983,FALSE)),2)</f>
        <v>5.84</v>
      </c>
      <c r="X983" s="103"/>
      <c r="Y983" s="103"/>
      <c r="Z983" s="103" t="s">
        <v>868</v>
      </c>
      <c r="AA983" s="103" t="s">
        <v>874</v>
      </c>
      <c r="AB983" s="103" t="s">
        <v>153</v>
      </c>
      <c r="AC983" s="103">
        <v>0</v>
      </c>
      <c r="AD983" s="156">
        <v>42005</v>
      </c>
      <c r="AE983" s="103"/>
      <c r="AF983" s="103" t="s">
        <v>870</v>
      </c>
      <c r="AG983" s="103" t="s">
        <v>871</v>
      </c>
      <c r="AH983" s="103" t="s">
        <v>976</v>
      </c>
      <c r="AI983" s="103">
        <v>0</v>
      </c>
      <c r="AJ983" s="103"/>
      <c r="AK983" s="103"/>
      <c r="AL983" s="103"/>
      <c r="AM983" s="103"/>
      <c r="AN983" s="103"/>
      <c r="AO983" s="103" t="str">
        <f t="shared" si="51"/>
        <v>Std_CFLscw-Refl-2(23w)_60pInc-r0286Two-pack</v>
      </c>
    </row>
    <row r="984" spans="1:41">
      <c r="A984" s="177">
        <f>IFERROR(MATCH(D984,'Measure &amp; Standard CostIDs'!C$5:C$177,0),MATCH(D984,'Measure &amp; Standard CostIDs'!S$5:S$177,0))</f>
        <v>163</v>
      </c>
      <c r="B984" s="177">
        <f t="shared" si="53"/>
        <v>3</v>
      </c>
      <c r="C984" s="103" t="s">
        <v>153</v>
      </c>
      <c r="D984" s="103" t="str">
        <f t="shared" si="52"/>
        <v>Std_CFLscw-Refl-Dim(15w)_60pInc-r0286</v>
      </c>
      <c r="E984" s="103" t="str">
        <f>IF(LEFT(D984,3)="Std","Base case cost for mix of 60% Incandescent and 40% CFL lamps for CFL TechID: "&amp;INDEX('Measure &amp; Standard CostIDs'!$C$5:$C$177,A984),"&lt;from TechID&gt;")</f>
        <v>Base case cost for mix of 60% Incandescent and 40% CFL lamps for CFL TechID: CFLscw-Refl-Dim(15w)</v>
      </c>
      <c r="F984" s="103" t="s">
        <v>860</v>
      </c>
      <c r="G984" s="103" t="s">
        <v>151</v>
      </c>
      <c r="H984" s="103" t="s">
        <v>861</v>
      </c>
      <c r="I984" s="103" t="s">
        <v>862</v>
      </c>
      <c r="J984" s="103" t="s">
        <v>863</v>
      </c>
      <c r="K984" s="103" t="s">
        <v>864</v>
      </c>
      <c r="L984" s="103" t="s">
        <v>153</v>
      </c>
      <c r="M984" s="103" t="s">
        <v>865</v>
      </c>
      <c r="N984" s="103" t="s">
        <v>866</v>
      </c>
      <c r="O984" s="103" t="str">
        <f t="shared" si="50"/>
        <v/>
      </c>
      <c r="P984" s="103" t="s">
        <v>153</v>
      </c>
      <c r="Q984" s="103" t="s">
        <v>153</v>
      </c>
      <c r="R984" s="103" t="s">
        <v>153</v>
      </c>
      <c r="S984" s="103" t="str">
        <f>INDEX('Measure &amp; Standard CostIDs'!$AK$8:$AK$12,B984)</f>
        <v>Two-pack</v>
      </c>
      <c r="T984" s="103" t="s">
        <v>867</v>
      </c>
      <c r="U984" s="103"/>
      <c r="V984" s="103"/>
      <c r="W984" s="103">
        <f>ROUND(IF(LEFT(D984,3)="Std",VLOOKUP(D984,'Measure &amp; Standard CostIDs'!$S$5:$X$177,1+B984,FALSE),VLOOKUP(D984,'Measure &amp; Standard CostIDs'!$C$5:$H$177,1+B984,FALSE)),2)</f>
        <v>6.78</v>
      </c>
      <c r="X984" s="103"/>
      <c r="Y984" s="103"/>
      <c r="Z984" s="103" t="s">
        <v>868</v>
      </c>
      <c r="AA984" s="103" t="s">
        <v>874</v>
      </c>
      <c r="AB984" s="103" t="s">
        <v>153</v>
      </c>
      <c r="AC984" s="103">
        <v>0</v>
      </c>
      <c r="AD984" s="156">
        <v>42005</v>
      </c>
      <c r="AE984" s="103"/>
      <c r="AF984" s="103" t="s">
        <v>870</v>
      </c>
      <c r="AG984" s="103" t="s">
        <v>871</v>
      </c>
      <c r="AH984" s="103" t="s">
        <v>976</v>
      </c>
      <c r="AI984" s="103">
        <v>0</v>
      </c>
      <c r="AJ984" s="103"/>
      <c r="AK984" s="103"/>
      <c r="AL984" s="103"/>
      <c r="AM984" s="103"/>
      <c r="AN984" s="103"/>
      <c r="AO984" s="103" t="str">
        <f t="shared" si="51"/>
        <v>Std_CFLscw-Refl-Dim(15w)_60pInc-r0286Two-pack</v>
      </c>
    </row>
    <row r="985" spans="1:41">
      <c r="A985" s="177">
        <f>IFERROR(MATCH(D985,'Measure &amp; Standard CostIDs'!C$5:C$177,0),MATCH(D985,'Measure &amp; Standard CostIDs'!S$5:S$177,0))</f>
        <v>164</v>
      </c>
      <c r="B985" s="177">
        <f t="shared" si="53"/>
        <v>3</v>
      </c>
      <c r="C985" s="103" t="s">
        <v>153</v>
      </c>
      <c r="D985" s="103" t="str">
        <f t="shared" si="52"/>
        <v>Std_CFLscw-Refl-Dim(16w)_60pInc-r0286</v>
      </c>
      <c r="E985" s="103" t="str">
        <f>IF(LEFT(D985,3)="Std","Base case cost for mix of 60% Incandescent and 40% CFL lamps for CFL TechID: "&amp;INDEX('Measure &amp; Standard CostIDs'!$C$5:$C$177,A985),"&lt;from TechID&gt;")</f>
        <v>Base case cost for mix of 60% Incandescent and 40% CFL lamps for CFL TechID: CFLscw-Refl-Dim(16w)</v>
      </c>
      <c r="F985" s="103" t="s">
        <v>860</v>
      </c>
      <c r="G985" s="103" t="s">
        <v>151</v>
      </c>
      <c r="H985" s="103" t="s">
        <v>861</v>
      </c>
      <c r="I985" s="103" t="s">
        <v>862</v>
      </c>
      <c r="J985" s="103" t="s">
        <v>863</v>
      </c>
      <c r="K985" s="103" t="s">
        <v>864</v>
      </c>
      <c r="L985" s="103" t="s">
        <v>153</v>
      </c>
      <c r="M985" s="103" t="s">
        <v>865</v>
      </c>
      <c r="N985" s="103" t="s">
        <v>866</v>
      </c>
      <c r="O985" s="103" t="str">
        <f t="shared" si="50"/>
        <v/>
      </c>
      <c r="P985" s="103" t="s">
        <v>153</v>
      </c>
      <c r="Q985" s="103" t="s">
        <v>153</v>
      </c>
      <c r="R985" s="103" t="s">
        <v>153</v>
      </c>
      <c r="S985" s="103" t="str">
        <f>INDEX('Measure &amp; Standard CostIDs'!$AK$8:$AK$12,B985)</f>
        <v>Two-pack</v>
      </c>
      <c r="T985" s="103" t="s">
        <v>867</v>
      </c>
      <c r="U985" s="103"/>
      <c r="V985" s="103"/>
      <c r="W985" s="103">
        <f>ROUND(IF(LEFT(D985,3)="Std",VLOOKUP(D985,'Measure &amp; Standard CostIDs'!$S$5:$X$177,1+B985,FALSE),VLOOKUP(D985,'Measure &amp; Standard CostIDs'!$C$5:$H$177,1+B985,FALSE)),2)</f>
        <v>6.86</v>
      </c>
      <c r="X985" s="103"/>
      <c r="Y985" s="103"/>
      <c r="Z985" s="103" t="s">
        <v>868</v>
      </c>
      <c r="AA985" s="103" t="s">
        <v>874</v>
      </c>
      <c r="AB985" s="103" t="s">
        <v>153</v>
      </c>
      <c r="AC985" s="103">
        <v>0</v>
      </c>
      <c r="AD985" s="156">
        <v>42005</v>
      </c>
      <c r="AE985" s="103"/>
      <c r="AF985" s="103" t="s">
        <v>870</v>
      </c>
      <c r="AG985" s="103" t="s">
        <v>871</v>
      </c>
      <c r="AH985" s="103" t="s">
        <v>976</v>
      </c>
      <c r="AI985" s="103">
        <v>0</v>
      </c>
      <c r="AJ985" s="103"/>
      <c r="AK985" s="103"/>
      <c r="AL985" s="103"/>
      <c r="AM985" s="103"/>
      <c r="AN985" s="103"/>
      <c r="AO985" s="103" t="str">
        <f t="shared" si="51"/>
        <v>Std_CFLscw-Refl-Dim(16w)_60pInc-r0286Two-pack</v>
      </c>
    </row>
    <row r="986" spans="1:41">
      <c r="A986" s="177">
        <f>IFERROR(MATCH(D986,'Measure &amp; Standard CostIDs'!C$5:C$177,0),MATCH(D986,'Measure &amp; Standard CostIDs'!S$5:S$177,0))</f>
        <v>165</v>
      </c>
      <c r="B986" s="177">
        <f t="shared" si="53"/>
        <v>3</v>
      </c>
      <c r="C986" s="103" t="s">
        <v>153</v>
      </c>
      <c r="D986" s="103" t="str">
        <f t="shared" si="52"/>
        <v>Std_CFLscw-Refl-Dim(20w)_60pInc-r0286</v>
      </c>
      <c r="E986" s="103" t="str">
        <f>IF(LEFT(D986,3)="Std","Base case cost for mix of 60% Incandescent and 40% CFL lamps for CFL TechID: "&amp;INDEX('Measure &amp; Standard CostIDs'!$C$5:$C$177,A986),"&lt;from TechID&gt;")</f>
        <v>Base case cost for mix of 60% Incandescent and 40% CFL lamps for CFL TechID: CFLscw-Refl-Dim(20w)</v>
      </c>
      <c r="F986" s="103" t="s">
        <v>860</v>
      </c>
      <c r="G986" s="103" t="s">
        <v>151</v>
      </c>
      <c r="H986" s="103" t="s">
        <v>861</v>
      </c>
      <c r="I986" s="103" t="s">
        <v>862</v>
      </c>
      <c r="J986" s="103" t="s">
        <v>863</v>
      </c>
      <c r="K986" s="103" t="s">
        <v>864</v>
      </c>
      <c r="L986" s="103" t="s">
        <v>153</v>
      </c>
      <c r="M986" s="103" t="s">
        <v>865</v>
      </c>
      <c r="N986" s="103" t="s">
        <v>866</v>
      </c>
      <c r="O986" s="103" t="str">
        <f t="shared" si="50"/>
        <v/>
      </c>
      <c r="P986" s="103" t="s">
        <v>153</v>
      </c>
      <c r="Q986" s="103" t="s">
        <v>153</v>
      </c>
      <c r="R986" s="103" t="s">
        <v>153</v>
      </c>
      <c r="S986" s="103" t="str">
        <f>INDEX('Measure &amp; Standard CostIDs'!$AK$8:$AK$12,B986)</f>
        <v>Two-pack</v>
      </c>
      <c r="T986" s="103" t="s">
        <v>867</v>
      </c>
      <c r="U986" s="103"/>
      <c r="V986" s="103"/>
      <c r="W986" s="103">
        <f>ROUND(IF(LEFT(D986,3)="Std",VLOOKUP(D986,'Measure &amp; Standard CostIDs'!$S$5:$X$177,1+B986,FALSE),VLOOKUP(D986,'Measure &amp; Standard CostIDs'!$C$5:$H$177,1+B986,FALSE)),2)</f>
        <v>7.2</v>
      </c>
      <c r="X986" s="103"/>
      <c r="Y986" s="103"/>
      <c r="Z986" s="103" t="s">
        <v>868</v>
      </c>
      <c r="AA986" s="103" t="s">
        <v>874</v>
      </c>
      <c r="AB986" s="103" t="s">
        <v>153</v>
      </c>
      <c r="AC986" s="103">
        <v>0</v>
      </c>
      <c r="AD986" s="156">
        <v>42005</v>
      </c>
      <c r="AE986" s="103"/>
      <c r="AF986" s="103" t="s">
        <v>870</v>
      </c>
      <c r="AG986" s="103" t="s">
        <v>871</v>
      </c>
      <c r="AH986" s="103" t="s">
        <v>976</v>
      </c>
      <c r="AI986" s="103">
        <v>0</v>
      </c>
      <c r="AJ986" s="103"/>
      <c r="AK986" s="103"/>
      <c r="AL986" s="103"/>
      <c r="AM986" s="103"/>
      <c r="AN986" s="103"/>
      <c r="AO986" s="103" t="str">
        <f t="shared" si="51"/>
        <v>Std_CFLscw-Refl-Dim(20w)_60pInc-r0286Two-pack</v>
      </c>
    </row>
    <row r="987" spans="1:41">
      <c r="A987" s="177">
        <f>IFERROR(MATCH(D987,'Measure &amp; Standard CostIDs'!C$5:C$177,0),MATCH(D987,'Measure &amp; Standard CostIDs'!S$5:S$177,0))</f>
        <v>166</v>
      </c>
      <c r="B987" s="177">
        <f t="shared" si="53"/>
        <v>3</v>
      </c>
      <c r="C987" s="103" t="s">
        <v>153</v>
      </c>
      <c r="D987" s="103" t="str">
        <f t="shared" si="52"/>
        <v>Std_CFLscw-Refl-Dim(26w)_60pInc-r0286</v>
      </c>
      <c r="E987" s="103" t="str">
        <f>IF(LEFT(D987,3)="Std","Base case cost for mix of 60% Incandescent and 40% CFL lamps for CFL TechID: "&amp;INDEX('Measure &amp; Standard CostIDs'!$C$5:$C$177,A987),"&lt;from TechID&gt;")</f>
        <v>Base case cost for mix of 60% Incandescent and 40% CFL lamps for CFL TechID: CFLscw-Refl-Dim(26w)</v>
      </c>
      <c r="F987" s="103" t="s">
        <v>860</v>
      </c>
      <c r="G987" s="103" t="s">
        <v>151</v>
      </c>
      <c r="H987" s="103" t="s">
        <v>861</v>
      </c>
      <c r="I987" s="103" t="s">
        <v>862</v>
      </c>
      <c r="J987" s="103" t="s">
        <v>863</v>
      </c>
      <c r="K987" s="103" t="s">
        <v>864</v>
      </c>
      <c r="L987" s="103" t="s">
        <v>153</v>
      </c>
      <c r="M987" s="103" t="s">
        <v>865</v>
      </c>
      <c r="N987" s="103" t="s">
        <v>866</v>
      </c>
      <c r="O987" s="103" t="str">
        <f t="shared" si="50"/>
        <v/>
      </c>
      <c r="P987" s="103" t="s">
        <v>153</v>
      </c>
      <c r="Q987" s="103" t="s">
        <v>153</v>
      </c>
      <c r="R987" s="103" t="s">
        <v>153</v>
      </c>
      <c r="S987" s="103" t="str">
        <f>INDEX('Measure &amp; Standard CostIDs'!$AK$8:$AK$12,B987)</f>
        <v>Two-pack</v>
      </c>
      <c r="T987" s="103" t="s">
        <v>867</v>
      </c>
      <c r="U987" s="103"/>
      <c r="V987" s="103"/>
      <c r="W987" s="103">
        <f>ROUND(IF(LEFT(D987,3)="Std",VLOOKUP(D987,'Measure &amp; Standard CostIDs'!$S$5:$X$177,1+B987,FALSE),VLOOKUP(D987,'Measure &amp; Standard CostIDs'!$C$5:$H$177,1+B987,FALSE)),2)</f>
        <v>7.71</v>
      </c>
      <c r="X987" s="103"/>
      <c r="Y987" s="103"/>
      <c r="Z987" s="103" t="s">
        <v>868</v>
      </c>
      <c r="AA987" s="103" t="s">
        <v>874</v>
      </c>
      <c r="AB987" s="103" t="s">
        <v>153</v>
      </c>
      <c r="AC987" s="103">
        <v>0</v>
      </c>
      <c r="AD987" s="156">
        <v>42005</v>
      </c>
      <c r="AE987" s="103"/>
      <c r="AF987" s="103" t="s">
        <v>870</v>
      </c>
      <c r="AG987" s="103" t="s">
        <v>871</v>
      </c>
      <c r="AH987" s="103" t="s">
        <v>976</v>
      </c>
      <c r="AI987" s="103">
        <v>0</v>
      </c>
      <c r="AJ987" s="103"/>
      <c r="AK987" s="103"/>
      <c r="AL987" s="103"/>
      <c r="AM987" s="103"/>
      <c r="AN987" s="103"/>
      <c r="AO987" s="103" t="str">
        <f t="shared" si="51"/>
        <v>Std_CFLscw-Refl-Dim(26w)_60pInc-r0286Two-pack</v>
      </c>
    </row>
    <row r="988" spans="1:41">
      <c r="A988" s="177">
        <f>IFERROR(MATCH(D988,'Measure &amp; Standard CostIDs'!C$5:C$177,0),MATCH(D988,'Measure &amp; Standard CostIDs'!S$5:S$177,0))</f>
        <v>167</v>
      </c>
      <c r="B988" s="177">
        <f t="shared" si="53"/>
        <v>3</v>
      </c>
      <c r="C988" s="103" t="s">
        <v>153</v>
      </c>
      <c r="D988" s="103" t="str">
        <f t="shared" si="52"/>
        <v>Std_CFLscw-Refl-Ext(13w)_60pInc-r0286</v>
      </c>
      <c r="E988" s="103" t="str">
        <f>IF(LEFT(D988,3)="Std","Base case cost for mix of 60% Incandescent and 40% CFL lamps for CFL TechID: "&amp;INDEX('Measure &amp; Standard CostIDs'!$C$5:$C$177,A988),"&lt;from TechID&gt;")</f>
        <v>Base case cost for mix of 60% Incandescent and 40% CFL lamps for CFL TechID: CFLscw-Refl-Ext(13w)</v>
      </c>
      <c r="F988" s="103" t="s">
        <v>860</v>
      </c>
      <c r="G988" s="103" t="s">
        <v>151</v>
      </c>
      <c r="H988" s="103" t="s">
        <v>861</v>
      </c>
      <c r="I988" s="103" t="s">
        <v>862</v>
      </c>
      <c r="J988" s="103" t="s">
        <v>863</v>
      </c>
      <c r="K988" s="103" t="s">
        <v>864</v>
      </c>
      <c r="L988" s="103" t="s">
        <v>153</v>
      </c>
      <c r="M988" s="103" t="s">
        <v>865</v>
      </c>
      <c r="N988" s="103" t="s">
        <v>866</v>
      </c>
      <c r="O988" s="103" t="str">
        <f t="shared" si="50"/>
        <v/>
      </c>
      <c r="P988" s="103" t="s">
        <v>153</v>
      </c>
      <c r="Q988" s="103" t="s">
        <v>153</v>
      </c>
      <c r="R988" s="103" t="s">
        <v>153</v>
      </c>
      <c r="S988" s="103" t="str">
        <f>INDEX('Measure &amp; Standard CostIDs'!$AK$8:$AK$12,B988)</f>
        <v>Two-pack</v>
      </c>
      <c r="T988" s="103" t="s">
        <v>867</v>
      </c>
      <c r="U988" s="103"/>
      <c r="V988" s="103"/>
      <c r="W988" s="103">
        <f>ROUND(IF(LEFT(D988,3)="Std",VLOOKUP(D988,'Measure &amp; Standard CostIDs'!$S$5:$X$177,1+B988,FALSE),VLOOKUP(D988,'Measure &amp; Standard CostIDs'!$C$5:$H$177,1+B988,FALSE)),2)</f>
        <v>4.99</v>
      </c>
      <c r="X988" s="103"/>
      <c r="Y988" s="103"/>
      <c r="Z988" s="103" t="s">
        <v>868</v>
      </c>
      <c r="AA988" s="103" t="s">
        <v>874</v>
      </c>
      <c r="AB988" s="103" t="s">
        <v>153</v>
      </c>
      <c r="AC988" s="103">
        <v>0</v>
      </c>
      <c r="AD988" s="156">
        <v>42005</v>
      </c>
      <c r="AE988" s="103"/>
      <c r="AF988" s="103" t="s">
        <v>870</v>
      </c>
      <c r="AG988" s="103" t="s">
        <v>871</v>
      </c>
      <c r="AH988" s="103" t="s">
        <v>976</v>
      </c>
      <c r="AI988" s="103">
        <v>0</v>
      </c>
      <c r="AJ988" s="103"/>
      <c r="AK988" s="103"/>
      <c r="AL988" s="103"/>
      <c r="AM988" s="103"/>
      <c r="AN988" s="103"/>
      <c r="AO988" s="103" t="str">
        <f t="shared" si="51"/>
        <v>Std_CFLscw-Refl-Ext(13w)_60pInc-r0286Two-pack</v>
      </c>
    </row>
    <row r="989" spans="1:41">
      <c r="A989" s="177">
        <f>IFERROR(MATCH(D989,'Measure &amp; Standard CostIDs'!C$5:C$177,0),MATCH(D989,'Measure &amp; Standard CostIDs'!S$5:S$177,0))</f>
        <v>168</v>
      </c>
      <c r="B989" s="177">
        <f t="shared" si="53"/>
        <v>3</v>
      </c>
      <c r="C989" s="103" t="s">
        <v>153</v>
      </c>
      <c r="D989" s="103" t="str">
        <f t="shared" si="52"/>
        <v>Std_CFLscw-Refl-Ext(14w)_60pInc-r0286</v>
      </c>
      <c r="E989" s="103" t="str">
        <f>IF(LEFT(D989,3)="Std","Base case cost for mix of 60% Incandescent and 40% CFL lamps for CFL TechID: "&amp;INDEX('Measure &amp; Standard CostIDs'!$C$5:$C$177,A989),"&lt;from TechID&gt;")</f>
        <v>Base case cost for mix of 60% Incandescent and 40% CFL lamps for CFL TechID: CFLscw-Refl-Ext(14w)</v>
      </c>
      <c r="F989" s="103" t="s">
        <v>860</v>
      </c>
      <c r="G989" s="103" t="s">
        <v>151</v>
      </c>
      <c r="H989" s="103" t="s">
        <v>861</v>
      </c>
      <c r="I989" s="103" t="s">
        <v>862</v>
      </c>
      <c r="J989" s="103" t="s">
        <v>863</v>
      </c>
      <c r="K989" s="103" t="s">
        <v>864</v>
      </c>
      <c r="L989" s="103" t="s">
        <v>153</v>
      </c>
      <c r="M989" s="103" t="s">
        <v>865</v>
      </c>
      <c r="N989" s="103" t="s">
        <v>866</v>
      </c>
      <c r="O989" s="103" t="str">
        <f t="shared" si="50"/>
        <v/>
      </c>
      <c r="P989" s="103" t="s">
        <v>153</v>
      </c>
      <c r="Q989" s="103" t="s">
        <v>153</v>
      </c>
      <c r="R989" s="103" t="s">
        <v>153</v>
      </c>
      <c r="S989" s="103" t="str">
        <f>INDEX('Measure &amp; Standard CostIDs'!$AK$8:$AK$12,B989)</f>
        <v>Two-pack</v>
      </c>
      <c r="T989" s="103" t="s">
        <v>867</v>
      </c>
      <c r="U989" s="103"/>
      <c r="V989" s="103"/>
      <c r="W989" s="103">
        <f>ROUND(IF(LEFT(D989,3)="Std",VLOOKUP(D989,'Measure &amp; Standard CostIDs'!$S$5:$X$177,1+B989,FALSE),VLOOKUP(D989,'Measure &amp; Standard CostIDs'!$C$5:$H$177,1+B989,FALSE)),2)</f>
        <v>5.08</v>
      </c>
      <c r="X989" s="103"/>
      <c r="Y989" s="103"/>
      <c r="Z989" s="103" t="s">
        <v>868</v>
      </c>
      <c r="AA989" s="103" t="s">
        <v>874</v>
      </c>
      <c r="AB989" s="103" t="s">
        <v>153</v>
      </c>
      <c r="AC989" s="103">
        <v>0</v>
      </c>
      <c r="AD989" s="156">
        <v>42005</v>
      </c>
      <c r="AE989" s="103"/>
      <c r="AF989" s="103" t="s">
        <v>870</v>
      </c>
      <c r="AG989" s="103" t="s">
        <v>871</v>
      </c>
      <c r="AH989" s="103" t="s">
        <v>976</v>
      </c>
      <c r="AI989" s="103">
        <v>0</v>
      </c>
      <c r="AJ989" s="103"/>
      <c r="AK989" s="103"/>
      <c r="AL989" s="103"/>
      <c r="AM989" s="103"/>
      <c r="AN989" s="103"/>
      <c r="AO989" s="103" t="str">
        <f t="shared" si="51"/>
        <v>Std_CFLscw-Refl-Ext(14w)_60pInc-r0286Two-pack</v>
      </c>
    </row>
    <row r="990" spans="1:41">
      <c r="A990" s="177">
        <f>IFERROR(MATCH(D990,'Measure &amp; Standard CostIDs'!C$5:C$177,0),MATCH(D990,'Measure &amp; Standard CostIDs'!S$5:S$177,0))</f>
        <v>169</v>
      </c>
      <c r="B990" s="177">
        <f t="shared" si="53"/>
        <v>3</v>
      </c>
      <c r="C990" s="103" t="s">
        <v>153</v>
      </c>
      <c r="D990" s="103" t="str">
        <f t="shared" si="52"/>
        <v>Std_CFLscw-Refl-Ext(15w)_60pInc-r0286</v>
      </c>
      <c r="E990" s="103" t="str">
        <f>IF(LEFT(D990,3)="Std","Base case cost for mix of 60% Incandescent and 40% CFL lamps for CFL TechID: "&amp;INDEX('Measure &amp; Standard CostIDs'!$C$5:$C$177,A990),"&lt;from TechID&gt;")</f>
        <v>Base case cost for mix of 60% Incandescent and 40% CFL lamps for CFL TechID: CFLscw-Refl-Ext(15w)</v>
      </c>
      <c r="F990" s="103" t="s">
        <v>860</v>
      </c>
      <c r="G990" s="103" t="s">
        <v>151</v>
      </c>
      <c r="H990" s="103" t="s">
        <v>861</v>
      </c>
      <c r="I990" s="103" t="s">
        <v>862</v>
      </c>
      <c r="J990" s="103" t="s">
        <v>863</v>
      </c>
      <c r="K990" s="103" t="s">
        <v>864</v>
      </c>
      <c r="L990" s="103" t="s">
        <v>153</v>
      </c>
      <c r="M990" s="103" t="s">
        <v>865</v>
      </c>
      <c r="N990" s="103" t="s">
        <v>866</v>
      </c>
      <c r="O990" s="103" t="str">
        <f t="shared" si="50"/>
        <v/>
      </c>
      <c r="P990" s="103" t="s">
        <v>153</v>
      </c>
      <c r="Q990" s="103" t="s">
        <v>153</v>
      </c>
      <c r="R990" s="103" t="s">
        <v>153</v>
      </c>
      <c r="S990" s="103" t="str">
        <f>INDEX('Measure &amp; Standard CostIDs'!$AK$8:$AK$12,B990)</f>
        <v>Two-pack</v>
      </c>
      <c r="T990" s="103" t="s">
        <v>867</v>
      </c>
      <c r="U990" s="103"/>
      <c r="V990" s="103"/>
      <c r="W990" s="103">
        <f>ROUND(IF(LEFT(D990,3)="Std",VLOOKUP(D990,'Measure &amp; Standard CostIDs'!$S$5:$X$177,1+B990,FALSE),VLOOKUP(D990,'Measure &amp; Standard CostIDs'!$C$5:$H$177,1+B990,FALSE)),2)</f>
        <v>5.16</v>
      </c>
      <c r="X990" s="103"/>
      <c r="Y990" s="103"/>
      <c r="Z990" s="103" t="s">
        <v>868</v>
      </c>
      <c r="AA990" s="103" t="s">
        <v>874</v>
      </c>
      <c r="AB990" s="103" t="s">
        <v>153</v>
      </c>
      <c r="AC990" s="103">
        <v>0</v>
      </c>
      <c r="AD990" s="156">
        <v>42005</v>
      </c>
      <c r="AE990" s="103"/>
      <c r="AF990" s="103" t="s">
        <v>870</v>
      </c>
      <c r="AG990" s="103" t="s">
        <v>871</v>
      </c>
      <c r="AH990" s="103" t="s">
        <v>976</v>
      </c>
      <c r="AI990" s="103">
        <v>0</v>
      </c>
      <c r="AJ990" s="103"/>
      <c r="AK990" s="103"/>
      <c r="AL990" s="103"/>
      <c r="AM990" s="103"/>
      <c r="AN990" s="103"/>
      <c r="AO990" s="103" t="str">
        <f t="shared" si="51"/>
        <v>Std_CFLscw-Refl-Ext(15w)_60pInc-r0286Two-pack</v>
      </c>
    </row>
    <row r="991" spans="1:41">
      <c r="A991" s="177">
        <f>IFERROR(MATCH(D991,'Measure &amp; Standard CostIDs'!C$5:C$177,0),MATCH(D991,'Measure &amp; Standard CostIDs'!S$5:S$177,0))</f>
        <v>170</v>
      </c>
      <c r="B991" s="177">
        <f t="shared" si="53"/>
        <v>3</v>
      </c>
      <c r="C991" s="103" t="s">
        <v>153</v>
      </c>
      <c r="D991" s="103" t="str">
        <f t="shared" si="52"/>
        <v>Std_CFLscw-Refl-Ext(16w)_60pInc-r0286</v>
      </c>
      <c r="E991" s="103" t="str">
        <f>IF(LEFT(D991,3)="Std","Base case cost for mix of 60% Incandescent and 40% CFL lamps for CFL TechID: "&amp;INDEX('Measure &amp; Standard CostIDs'!$C$5:$C$177,A991),"&lt;from TechID&gt;")</f>
        <v>Base case cost for mix of 60% Incandescent and 40% CFL lamps for CFL TechID: CFLscw-Refl-Ext(16w)</v>
      </c>
      <c r="F991" s="103" t="s">
        <v>860</v>
      </c>
      <c r="G991" s="103" t="s">
        <v>151</v>
      </c>
      <c r="H991" s="103" t="s">
        <v>861</v>
      </c>
      <c r="I991" s="103" t="s">
        <v>862</v>
      </c>
      <c r="J991" s="103" t="s">
        <v>863</v>
      </c>
      <c r="K991" s="103" t="s">
        <v>864</v>
      </c>
      <c r="L991" s="103" t="s">
        <v>153</v>
      </c>
      <c r="M991" s="103" t="s">
        <v>865</v>
      </c>
      <c r="N991" s="103" t="s">
        <v>866</v>
      </c>
      <c r="O991" s="103" t="str">
        <f t="shared" si="50"/>
        <v/>
      </c>
      <c r="P991" s="103" t="s">
        <v>153</v>
      </c>
      <c r="Q991" s="103" t="s">
        <v>153</v>
      </c>
      <c r="R991" s="103" t="s">
        <v>153</v>
      </c>
      <c r="S991" s="103" t="str">
        <f>INDEX('Measure &amp; Standard CostIDs'!$AK$8:$AK$12,B991)</f>
        <v>Two-pack</v>
      </c>
      <c r="T991" s="103" t="s">
        <v>867</v>
      </c>
      <c r="U991" s="103"/>
      <c r="V991" s="103"/>
      <c r="W991" s="103">
        <f>ROUND(IF(LEFT(D991,3)="Std",VLOOKUP(D991,'Measure &amp; Standard CostIDs'!$S$5:$X$177,1+B991,FALSE),VLOOKUP(D991,'Measure &amp; Standard CostIDs'!$C$5:$H$177,1+B991,FALSE)),2)</f>
        <v>5.24</v>
      </c>
      <c r="X991" s="103"/>
      <c r="Y991" s="103"/>
      <c r="Z991" s="103" t="s">
        <v>868</v>
      </c>
      <c r="AA991" s="103" t="s">
        <v>874</v>
      </c>
      <c r="AB991" s="103" t="s">
        <v>153</v>
      </c>
      <c r="AC991" s="103">
        <v>0</v>
      </c>
      <c r="AD991" s="156">
        <v>42005</v>
      </c>
      <c r="AE991" s="103"/>
      <c r="AF991" s="103" t="s">
        <v>870</v>
      </c>
      <c r="AG991" s="103" t="s">
        <v>871</v>
      </c>
      <c r="AH991" s="103" t="s">
        <v>976</v>
      </c>
      <c r="AI991" s="103">
        <v>0</v>
      </c>
      <c r="AJ991" s="103"/>
      <c r="AK991" s="103"/>
      <c r="AL991" s="103"/>
      <c r="AM991" s="103"/>
      <c r="AN991" s="103"/>
      <c r="AO991" s="103" t="str">
        <f t="shared" si="51"/>
        <v>Std_CFLscw-Refl-Ext(16w)_60pInc-r0286Two-pack</v>
      </c>
    </row>
    <row r="992" spans="1:41">
      <c r="A992" s="177">
        <f>IFERROR(MATCH(D992,'Measure &amp; Standard CostIDs'!C$5:C$177,0),MATCH(D992,'Measure &amp; Standard CostIDs'!S$5:S$177,0))</f>
        <v>171</v>
      </c>
      <c r="B992" s="177">
        <f t="shared" si="53"/>
        <v>3</v>
      </c>
      <c r="C992" s="103" t="s">
        <v>153</v>
      </c>
      <c r="D992" s="103" t="str">
        <f t="shared" si="52"/>
        <v>Std_CFLscw-Refl-Ext(18w)_60pInc-r0286</v>
      </c>
      <c r="E992" s="103" t="str">
        <f>IF(LEFT(D992,3)="Std","Base case cost for mix of 60% Incandescent and 40% CFL lamps for CFL TechID: "&amp;INDEX('Measure &amp; Standard CostIDs'!$C$5:$C$177,A992),"&lt;from TechID&gt;")</f>
        <v>Base case cost for mix of 60% Incandescent and 40% CFL lamps for CFL TechID: CFLscw-Refl-Ext(18w)</v>
      </c>
      <c r="F992" s="103" t="s">
        <v>860</v>
      </c>
      <c r="G992" s="103" t="s">
        <v>151</v>
      </c>
      <c r="H992" s="103" t="s">
        <v>861</v>
      </c>
      <c r="I992" s="103" t="s">
        <v>862</v>
      </c>
      <c r="J992" s="103" t="s">
        <v>863</v>
      </c>
      <c r="K992" s="103" t="s">
        <v>864</v>
      </c>
      <c r="L992" s="103" t="s">
        <v>153</v>
      </c>
      <c r="M992" s="103" t="s">
        <v>865</v>
      </c>
      <c r="N992" s="103" t="s">
        <v>866</v>
      </c>
      <c r="O992" s="103" t="str">
        <f t="shared" si="50"/>
        <v/>
      </c>
      <c r="P992" s="103" t="s">
        <v>153</v>
      </c>
      <c r="Q992" s="103" t="s">
        <v>153</v>
      </c>
      <c r="R992" s="103" t="s">
        <v>153</v>
      </c>
      <c r="S992" s="103" t="str">
        <f>INDEX('Measure &amp; Standard CostIDs'!$AK$8:$AK$12,B992)</f>
        <v>Two-pack</v>
      </c>
      <c r="T992" s="103" t="s">
        <v>867</v>
      </c>
      <c r="U992" s="103"/>
      <c r="V992" s="103"/>
      <c r="W992" s="103">
        <f>ROUND(IF(LEFT(D992,3)="Std",VLOOKUP(D992,'Measure &amp; Standard CostIDs'!$S$5:$X$177,1+B992,FALSE),VLOOKUP(D992,'Measure &amp; Standard CostIDs'!$C$5:$H$177,1+B992,FALSE)),2)</f>
        <v>5.42</v>
      </c>
      <c r="X992" s="103"/>
      <c r="Y992" s="103"/>
      <c r="Z992" s="103" t="s">
        <v>868</v>
      </c>
      <c r="AA992" s="103" t="s">
        <v>874</v>
      </c>
      <c r="AB992" s="103" t="s">
        <v>153</v>
      </c>
      <c r="AC992" s="103">
        <v>0</v>
      </c>
      <c r="AD992" s="156">
        <v>42005</v>
      </c>
      <c r="AE992" s="103"/>
      <c r="AF992" s="103" t="s">
        <v>870</v>
      </c>
      <c r="AG992" s="103" t="s">
        <v>871</v>
      </c>
      <c r="AH992" s="103" t="s">
        <v>976</v>
      </c>
      <c r="AI992" s="103">
        <v>0</v>
      </c>
      <c r="AJ992" s="103"/>
      <c r="AK992" s="103"/>
      <c r="AL992" s="103"/>
      <c r="AM992" s="103"/>
      <c r="AN992" s="103"/>
      <c r="AO992" s="103" t="str">
        <f t="shared" si="51"/>
        <v>Std_CFLscw-Refl-Ext(18w)_60pInc-r0286Two-pack</v>
      </c>
    </row>
    <row r="993" spans="1:41">
      <c r="A993" s="177">
        <f>IFERROR(MATCH(D993,'Measure &amp; Standard CostIDs'!C$5:C$177,0),MATCH(D993,'Measure &amp; Standard CostIDs'!S$5:S$177,0))</f>
        <v>172</v>
      </c>
      <c r="B993" s="177">
        <f t="shared" si="53"/>
        <v>3</v>
      </c>
      <c r="C993" s="103" t="s">
        <v>153</v>
      </c>
      <c r="D993" s="103" t="str">
        <f t="shared" si="52"/>
        <v>Std_CFLscw-Refl-Ext(20w)_60pInc-r0286</v>
      </c>
      <c r="E993" s="103" t="str">
        <f>IF(LEFT(D993,3)="Std","Base case cost for mix of 60% Incandescent and 40% CFL lamps for CFL TechID: "&amp;INDEX('Measure &amp; Standard CostIDs'!$C$5:$C$177,A993),"&lt;from TechID&gt;")</f>
        <v>Base case cost for mix of 60% Incandescent and 40% CFL lamps for CFL TechID: CFLscw-Refl-Ext(20w)</v>
      </c>
      <c r="F993" s="103" t="s">
        <v>860</v>
      </c>
      <c r="G993" s="103" t="s">
        <v>151</v>
      </c>
      <c r="H993" s="103" t="s">
        <v>861</v>
      </c>
      <c r="I993" s="103" t="s">
        <v>862</v>
      </c>
      <c r="J993" s="103" t="s">
        <v>863</v>
      </c>
      <c r="K993" s="103" t="s">
        <v>864</v>
      </c>
      <c r="L993" s="103" t="s">
        <v>153</v>
      </c>
      <c r="M993" s="103" t="s">
        <v>865</v>
      </c>
      <c r="N993" s="103" t="s">
        <v>866</v>
      </c>
      <c r="O993" s="103" t="str">
        <f t="shared" si="50"/>
        <v/>
      </c>
      <c r="P993" s="103" t="s">
        <v>153</v>
      </c>
      <c r="Q993" s="103" t="s">
        <v>153</v>
      </c>
      <c r="R993" s="103" t="s">
        <v>153</v>
      </c>
      <c r="S993" s="103" t="str">
        <f>INDEX('Measure &amp; Standard CostIDs'!$AK$8:$AK$12,B993)</f>
        <v>Two-pack</v>
      </c>
      <c r="T993" s="103" t="s">
        <v>867</v>
      </c>
      <c r="U993" s="103"/>
      <c r="V993" s="103"/>
      <c r="W993" s="103">
        <f>ROUND(IF(LEFT(D993,3)="Std",VLOOKUP(D993,'Measure &amp; Standard CostIDs'!$S$5:$X$177,1+B993,FALSE),VLOOKUP(D993,'Measure &amp; Standard CostIDs'!$C$5:$H$177,1+B993,FALSE)),2)</f>
        <v>5.59</v>
      </c>
      <c r="X993" s="103"/>
      <c r="Y993" s="103"/>
      <c r="Z993" s="103" t="s">
        <v>868</v>
      </c>
      <c r="AA993" s="103" t="s">
        <v>874</v>
      </c>
      <c r="AB993" s="103" t="s">
        <v>153</v>
      </c>
      <c r="AC993" s="103">
        <v>0</v>
      </c>
      <c r="AD993" s="156">
        <v>42005</v>
      </c>
      <c r="AE993" s="103"/>
      <c r="AF993" s="103" t="s">
        <v>870</v>
      </c>
      <c r="AG993" s="103" t="s">
        <v>871</v>
      </c>
      <c r="AH993" s="103" t="s">
        <v>976</v>
      </c>
      <c r="AI993" s="103">
        <v>0</v>
      </c>
      <c r="AJ993" s="103"/>
      <c r="AK993" s="103"/>
      <c r="AL993" s="103"/>
      <c r="AM993" s="103"/>
      <c r="AN993" s="103"/>
      <c r="AO993" s="103" t="str">
        <f t="shared" si="51"/>
        <v>Std_CFLscw-Refl-Ext(20w)_60pInc-r0286Two-pack</v>
      </c>
    </row>
    <row r="994" spans="1:41">
      <c r="A994" s="177">
        <f>IFERROR(MATCH(D994,'Measure &amp; Standard CostIDs'!C$5:C$177,0),MATCH(D994,'Measure &amp; Standard CostIDs'!S$5:S$177,0))</f>
        <v>173</v>
      </c>
      <c r="B994" s="177">
        <f t="shared" si="53"/>
        <v>3</v>
      </c>
      <c r="C994" s="103" t="s">
        <v>153</v>
      </c>
      <c r="D994" s="103" t="str">
        <f t="shared" si="52"/>
        <v>Std_CFLscw-Refl-Ext(23w)_60pInc-r0286</v>
      </c>
      <c r="E994" s="103" t="str">
        <f>IF(LEFT(D994,3)="Std","Base case cost for mix of 60% Incandescent and 40% CFL lamps for CFL TechID: "&amp;INDEX('Measure &amp; Standard CostIDs'!$C$5:$C$177,A994),"&lt;from TechID&gt;")</f>
        <v>Base case cost for mix of 60% Incandescent and 40% CFL lamps for CFL TechID: CFLscw-Refl-Ext(23w)</v>
      </c>
      <c r="F994" s="103" t="s">
        <v>860</v>
      </c>
      <c r="G994" s="103" t="s">
        <v>151</v>
      </c>
      <c r="H994" s="103" t="s">
        <v>861</v>
      </c>
      <c r="I994" s="103" t="s">
        <v>862</v>
      </c>
      <c r="J994" s="103" t="s">
        <v>863</v>
      </c>
      <c r="K994" s="103" t="s">
        <v>864</v>
      </c>
      <c r="L994" s="103" t="s">
        <v>153</v>
      </c>
      <c r="M994" s="103" t="s">
        <v>865</v>
      </c>
      <c r="N994" s="103" t="s">
        <v>866</v>
      </c>
      <c r="O994" s="103" t="str">
        <f t="shared" si="50"/>
        <v/>
      </c>
      <c r="P994" s="103" t="s">
        <v>153</v>
      </c>
      <c r="Q994" s="103" t="s">
        <v>153</v>
      </c>
      <c r="R994" s="103" t="s">
        <v>153</v>
      </c>
      <c r="S994" s="103" t="str">
        <f>INDEX('Measure &amp; Standard CostIDs'!$AK$8:$AK$12,B994)</f>
        <v>Two-pack</v>
      </c>
      <c r="T994" s="103" t="s">
        <v>867</v>
      </c>
      <c r="U994" s="103"/>
      <c r="V994" s="103"/>
      <c r="W994" s="103">
        <f>ROUND(IF(LEFT(D994,3)="Std",VLOOKUP(D994,'Measure &amp; Standard CostIDs'!$S$5:$X$177,1+B994,FALSE),VLOOKUP(D994,'Measure &amp; Standard CostIDs'!$C$5:$H$177,1+B994,FALSE)),2)</f>
        <v>5.84</v>
      </c>
      <c r="X994" s="103"/>
      <c r="Y994" s="103"/>
      <c r="Z994" s="103" t="s">
        <v>868</v>
      </c>
      <c r="AA994" s="103" t="s">
        <v>874</v>
      </c>
      <c r="AB994" s="103" t="s">
        <v>153</v>
      </c>
      <c r="AC994" s="103">
        <v>0</v>
      </c>
      <c r="AD994" s="156">
        <v>42005</v>
      </c>
      <c r="AE994" s="103"/>
      <c r="AF994" s="103" t="s">
        <v>870</v>
      </c>
      <c r="AG994" s="103" t="s">
        <v>871</v>
      </c>
      <c r="AH994" s="103" t="s">
        <v>976</v>
      </c>
      <c r="AI994" s="103">
        <v>0</v>
      </c>
      <c r="AJ994" s="103"/>
      <c r="AK994" s="103"/>
      <c r="AL994" s="103"/>
      <c r="AM994" s="103"/>
      <c r="AN994" s="103"/>
      <c r="AO994" s="103" t="str">
        <f t="shared" si="51"/>
        <v>Std_CFLscw-Refl-Ext(23w)_60pInc-r0286Two-pack</v>
      </c>
    </row>
    <row r="995" spans="1:41">
      <c r="A995" s="177">
        <f>IFERROR(MATCH(D995,'Measure &amp; Standard CostIDs'!C$5:C$177,0),MATCH(D995,'Measure &amp; Standard CostIDs'!S$5:S$177,0))</f>
        <v>1</v>
      </c>
      <c r="B995" s="177">
        <f t="shared" si="53"/>
        <v>4</v>
      </c>
      <c r="C995" s="103" t="s">
        <v>153</v>
      </c>
      <c r="D995" s="103" t="str">
        <f t="shared" si="52"/>
        <v>CFLscw(10w)</v>
      </c>
      <c r="E995" s="103" t="str">
        <f>IF(LEFT(D995,3)="Std","Base case cost for mix of 60% Incandescent and 40% CFL lamps for CFL TechID: "&amp;INDEX('Measure &amp; Standard CostIDs'!$C$5:$C$177,A995),"&lt;from TechID&gt;")</f>
        <v>&lt;from TechID&gt;</v>
      </c>
      <c r="F995" s="103" t="s">
        <v>860</v>
      </c>
      <c r="G995" s="103" t="s">
        <v>151</v>
      </c>
      <c r="H995" s="103" t="s">
        <v>861</v>
      </c>
      <c r="I995" s="103" t="s">
        <v>862</v>
      </c>
      <c r="J995" s="103" t="s">
        <v>863</v>
      </c>
      <c r="K995" s="103" t="s">
        <v>864</v>
      </c>
      <c r="L995" s="103" t="s">
        <v>153</v>
      </c>
      <c r="M995" s="103" t="s">
        <v>865</v>
      </c>
      <c r="N995" s="103" t="s">
        <v>866</v>
      </c>
      <c r="O995" s="103" t="str">
        <f t="shared" si="50"/>
        <v>CFLscw(10w)</v>
      </c>
      <c r="P995" s="103" t="s">
        <v>153</v>
      </c>
      <c r="Q995" s="103" t="s">
        <v>153</v>
      </c>
      <c r="R995" s="103" t="s">
        <v>153</v>
      </c>
      <c r="S995" s="103" t="str">
        <f>INDEX('Measure &amp; Standard CostIDs'!$AK$8:$AK$12,B995)</f>
        <v>Three-pack</v>
      </c>
      <c r="T995" s="103" t="s">
        <v>867</v>
      </c>
      <c r="U995" s="103"/>
      <c r="V995" s="103"/>
      <c r="W995" s="103">
        <f>ROUND(IF(LEFT(D995,3)="Std",VLOOKUP(D995,'Measure &amp; Standard CostIDs'!$S$5:$X$177,1+B995,FALSE),VLOOKUP(D995,'Measure &amp; Standard CostIDs'!$C$5:$H$177,1+B995,FALSE)),2)</f>
        <v>2.84</v>
      </c>
      <c r="X995" s="103"/>
      <c r="Y995" s="103"/>
      <c r="Z995" s="103" t="s">
        <v>868</v>
      </c>
      <c r="AA995" s="103" t="s">
        <v>874</v>
      </c>
      <c r="AB995" s="103" t="s">
        <v>153</v>
      </c>
      <c r="AC995" s="103">
        <v>0</v>
      </c>
      <c r="AD995" s="156">
        <v>42005</v>
      </c>
      <c r="AE995" s="103"/>
      <c r="AF995" s="103" t="s">
        <v>870</v>
      </c>
      <c r="AG995" s="103" t="s">
        <v>871</v>
      </c>
      <c r="AH995" s="103" t="s">
        <v>976</v>
      </c>
      <c r="AI995" s="103">
        <v>0</v>
      </c>
      <c r="AJ995" s="103"/>
      <c r="AK995" s="103"/>
      <c r="AL995" s="103"/>
      <c r="AM995" s="103"/>
      <c r="AN995" s="103"/>
      <c r="AO995" s="103" t="str">
        <f t="shared" si="51"/>
        <v>CFLscw(10w)Three-pack</v>
      </c>
    </row>
    <row r="996" spans="1:41">
      <c r="A996" s="177">
        <f>IFERROR(MATCH(D996,'Measure &amp; Standard CostIDs'!C$5:C$177,0),MATCH(D996,'Measure &amp; Standard CostIDs'!S$5:S$177,0))</f>
        <v>2</v>
      </c>
      <c r="B996" s="177">
        <f t="shared" si="53"/>
        <v>4</v>
      </c>
      <c r="C996" s="103" t="s">
        <v>153</v>
      </c>
      <c r="D996" s="103" t="str">
        <f t="shared" si="52"/>
        <v>CFLscw(11w)</v>
      </c>
      <c r="E996" s="103" t="str">
        <f>IF(LEFT(D996,3)="Std","Base case cost for mix of 60% Incandescent and 40% CFL lamps for CFL TechID: "&amp;INDEX('Measure &amp; Standard CostIDs'!$C$5:$C$177,A996),"&lt;from TechID&gt;")</f>
        <v>&lt;from TechID&gt;</v>
      </c>
      <c r="F996" s="103" t="s">
        <v>860</v>
      </c>
      <c r="G996" s="103" t="s">
        <v>151</v>
      </c>
      <c r="H996" s="103" t="s">
        <v>861</v>
      </c>
      <c r="I996" s="103" t="s">
        <v>862</v>
      </c>
      <c r="J996" s="103" t="s">
        <v>863</v>
      </c>
      <c r="K996" s="103" t="s">
        <v>864</v>
      </c>
      <c r="L996" s="103" t="s">
        <v>153</v>
      </c>
      <c r="M996" s="103" t="s">
        <v>865</v>
      </c>
      <c r="N996" s="103" t="s">
        <v>866</v>
      </c>
      <c r="O996" s="103" t="str">
        <f t="shared" si="50"/>
        <v>CFLscw(11w)</v>
      </c>
      <c r="P996" s="103" t="s">
        <v>153</v>
      </c>
      <c r="Q996" s="103" t="s">
        <v>153</v>
      </c>
      <c r="R996" s="103" t="s">
        <v>153</v>
      </c>
      <c r="S996" s="103" t="str">
        <f>INDEX('Measure &amp; Standard CostIDs'!$AK$8:$AK$12,B996)</f>
        <v>Three-pack</v>
      </c>
      <c r="T996" s="103" t="s">
        <v>867</v>
      </c>
      <c r="U996" s="103"/>
      <c r="V996" s="103"/>
      <c r="W996" s="103">
        <f>ROUND(IF(LEFT(D996,3)="Std",VLOOKUP(D996,'Measure &amp; Standard CostIDs'!$S$5:$X$177,1+B996,FALSE),VLOOKUP(D996,'Measure &amp; Standard CostIDs'!$C$5:$H$177,1+B996,FALSE)),2)</f>
        <v>2.9</v>
      </c>
      <c r="X996" s="103"/>
      <c r="Y996" s="103"/>
      <c r="Z996" s="103" t="s">
        <v>868</v>
      </c>
      <c r="AA996" s="103" t="s">
        <v>874</v>
      </c>
      <c r="AB996" s="103" t="s">
        <v>153</v>
      </c>
      <c r="AC996" s="103">
        <v>0</v>
      </c>
      <c r="AD996" s="156">
        <v>42005</v>
      </c>
      <c r="AE996" s="103"/>
      <c r="AF996" s="103" t="s">
        <v>870</v>
      </c>
      <c r="AG996" s="103" t="s">
        <v>871</v>
      </c>
      <c r="AH996" s="103" t="s">
        <v>976</v>
      </c>
      <c r="AI996" s="103">
        <v>0</v>
      </c>
      <c r="AJ996" s="103"/>
      <c r="AK996" s="103"/>
      <c r="AL996" s="103"/>
      <c r="AM996" s="103"/>
      <c r="AN996" s="103"/>
      <c r="AO996" s="103" t="str">
        <f t="shared" si="51"/>
        <v>CFLscw(11w)Three-pack</v>
      </c>
    </row>
    <row r="997" spans="1:41">
      <c r="A997" s="177">
        <f>IFERROR(MATCH(D997,'Measure &amp; Standard CostIDs'!C$5:C$177,0),MATCH(D997,'Measure &amp; Standard CostIDs'!S$5:S$177,0))</f>
        <v>3</v>
      </c>
      <c r="B997" s="177">
        <f t="shared" si="53"/>
        <v>4</v>
      </c>
      <c r="C997" s="103" t="s">
        <v>153</v>
      </c>
      <c r="D997" s="103" t="str">
        <f t="shared" si="52"/>
        <v>CFLscw(120w)</v>
      </c>
      <c r="E997" s="103" t="str">
        <f>IF(LEFT(D997,3)="Std","Base case cost for mix of 60% Incandescent and 40% CFL lamps for CFL TechID: "&amp;INDEX('Measure &amp; Standard CostIDs'!$C$5:$C$177,A997),"&lt;from TechID&gt;")</f>
        <v>&lt;from TechID&gt;</v>
      </c>
      <c r="F997" s="103" t="s">
        <v>860</v>
      </c>
      <c r="G997" s="103" t="s">
        <v>151</v>
      </c>
      <c r="H997" s="103" t="s">
        <v>861</v>
      </c>
      <c r="I997" s="103" t="s">
        <v>862</v>
      </c>
      <c r="J997" s="103" t="s">
        <v>863</v>
      </c>
      <c r="K997" s="103" t="s">
        <v>864</v>
      </c>
      <c r="L997" s="103" t="s">
        <v>153</v>
      </c>
      <c r="M997" s="103" t="s">
        <v>865</v>
      </c>
      <c r="N997" s="103" t="s">
        <v>866</v>
      </c>
      <c r="O997" s="103" t="str">
        <f t="shared" si="50"/>
        <v>CFLscw(120w)</v>
      </c>
      <c r="P997" s="103" t="s">
        <v>153</v>
      </c>
      <c r="Q997" s="103" t="s">
        <v>153</v>
      </c>
      <c r="R997" s="103" t="s">
        <v>153</v>
      </c>
      <c r="S997" s="103" t="str">
        <f>INDEX('Measure &amp; Standard CostIDs'!$AK$8:$AK$12,B997)</f>
        <v>Three-pack</v>
      </c>
      <c r="T997" s="103" t="s">
        <v>867</v>
      </c>
      <c r="U997" s="103"/>
      <c r="V997" s="103"/>
      <c r="W997" s="103">
        <f>ROUND(IF(LEFT(D997,3)="Std",VLOOKUP(D997,'Measure &amp; Standard CostIDs'!$S$5:$X$177,1+B997,FALSE),VLOOKUP(D997,'Measure &amp; Standard CostIDs'!$C$5:$H$177,1+B997,FALSE)),2)</f>
        <v>19.03</v>
      </c>
      <c r="X997" s="103"/>
      <c r="Y997" s="103"/>
      <c r="Z997" s="103" t="s">
        <v>868</v>
      </c>
      <c r="AA997" s="103" t="s">
        <v>874</v>
      </c>
      <c r="AB997" s="103" t="s">
        <v>153</v>
      </c>
      <c r="AC997" s="103">
        <v>0</v>
      </c>
      <c r="AD997" s="156">
        <v>42005</v>
      </c>
      <c r="AE997" s="103"/>
      <c r="AF997" s="103" t="s">
        <v>870</v>
      </c>
      <c r="AG997" s="103" t="s">
        <v>871</v>
      </c>
      <c r="AH997" s="103" t="s">
        <v>976</v>
      </c>
      <c r="AI997" s="103">
        <v>0</v>
      </c>
      <c r="AJ997" s="103"/>
      <c r="AK997" s="103"/>
      <c r="AL997" s="103"/>
      <c r="AM997" s="103"/>
      <c r="AN997" s="103"/>
      <c r="AO997" s="103" t="str">
        <f t="shared" si="51"/>
        <v>CFLscw(120w)Three-pack</v>
      </c>
    </row>
    <row r="998" spans="1:41">
      <c r="A998" s="177">
        <f>IFERROR(MATCH(D998,'Measure &amp; Standard CostIDs'!C$5:C$177,0),MATCH(D998,'Measure &amp; Standard CostIDs'!S$5:S$177,0))</f>
        <v>4</v>
      </c>
      <c r="B998" s="177">
        <f t="shared" si="53"/>
        <v>4</v>
      </c>
      <c r="C998" s="103" t="s">
        <v>153</v>
      </c>
      <c r="D998" s="103" t="str">
        <f t="shared" si="52"/>
        <v>CFLscw(12w)</v>
      </c>
      <c r="E998" s="103" t="str">
        <f>IF(LEFT(D998,3)="Std","Base case cost for mix of 60% Incandescent and 40% CFL lamps for CFL TechID: "&amp;INDEX('Measure &amp; Standard CostIDs'!$C$5:$C$177,A998),"&lt;from TechID&gt;")</f>
        <v>&lt;from TechID&gt;</v>
      </c>
      <c r="F998" s="103" t="s">
        <v>860</v>
      </c>
      <c r="G998" s="103" t="s">
        <v>151</v>
      </c>
      <c r="H998" s="103" t="s">
        <v>861</v>
      </c>
      <c r="I998" s="103" t="s">
        <v>862</v>
      </c>
      <c r="J998" s="103" t="s">
        <v>863</v>
      </c>
      <c r="K998" s="103" t="s">
        <v>864</v>
      </c>
      <c r="L998" s="103" t="s">
        <v>153</v>
      </c>
      <c r="M998" s="103" t="s">
        <v>865</v>
      </c>
      <c r="N998" s="103" t="s">
        <v>866</v>
      </c>
      <c r="O998" s="103" t="str">
        <f t="shared" si="50"/>
        <v>CFLscw(12w)</v>
      </c>
      <c r="P998" s="103" t="s">
        <v>153</v>
      </c>
      <c r="Q998" s="103" t="s">
        <v>153</v>
      </c>
      <c r="R998" s="103" t="s">
        <v>153</v>
      </c>
      <c r="S998" s="103" t="str">
        <f>INDEX('Measure &amp; Standard CostIDs'!$AK$8:$AK$12,B998)</f>
        <v>Three-pack</v>
      </c>
      <c r="T998" s="103" t="s">
        <v>867</v>
      </c>
      <c r="U998" s="103"/>
      <c r="V998" s="103"/>
      <c r="W998" s="103">
        <f>ROUND(IF(LEFT(D998,3)="Std",VLOOKUP(D998,'Measure &amp; Standard CostIDs'!$S$5:$X$177,1+B998,FALSE),VLOOKUP(D998,'Measure &amp; Standard CostIDs'!$C$5:$H$177,1+B998,FALSE)),2)</f>
        <v>2.97</v>
      </c>
      <c r="X998" s="103"/>
      <c r="Y998" s="103"/>
      <c r="Z998" s="103" t="s">
        <v>868</v>
      </c>
      <c r="AA998" s="103" t="s">
        <v>874</v>
      </c>
      <c r="AB998" s="103" t="s">
        <v>153</v>
      </c>
      <c r="AC998" s="103">
        <v>0</v>
      </c>
      <c r="AD998" s="156">
        <v>42005</v>
      </c>
      <c r="AE998" s="103"/>
      <c r="AF998" s="103" t="s">
        <v>870</v>
      </c>
      <c r="AG998" s="103" t="s">
        <v>871</v>
      </c>
      <c r="AH998" s="103" t="s">
        <v>976</v>
      </c>
      <c r="AI998" s="103">
        <v>0</v>
      </c>
      <c r="AJ998" s="103"/>
      <c r="AK998" s="103"/>
      <c r="AL998" s="103"/>
      <c r="AM998" s="103"/>
      <c r="AN998" s="103"/>
      <c r="AO998" s="103" t="str">
        <f t="shared" si="51"/>
        <v>CFLscw(12w)Three-pack</v>
      </c>
    </row>
    <row r="999" spans="1:41">
      <c r="A999" s="177">
        <f>IFERROR(MATCH(D999,'Measure &amp; Standard CostIDs'!C$5:C$177,0),MATCH(D999,'Measure &amp; Standard CostIDs'!S$5:S$177,0))</f>
        <v>5</v>
      </c>
      <c r="B999" s="177">
        <f t="shared" si="53"/>
        <v>4</v>
      </c>
      <c r="C999" s="103" t="s">
        <v>153</v>
      </c>
      <c r="D999" s="103" t="str">
        <f t="shared" si="52"/>
        <v>CFLscw(13w)</v>
      </c>
      <c r="E999" s="103" t="str">
        <f>IF(LEFT(D999,3)="Std","Base case cost for mix of 60% Incandescent and 40% CFL lamps for CFL TechID: "&amp;INDEX('Measure &amp; Standard CostIDs'!$C$5:$C$177,A999),"&lt;from TechID&gt;")</f>
        <v>&lt;from TechID&gt;</v>
      </c>
      <c r="F999" s="103" t="s">
        <v>860</v>
      </c>
      <c r="G999" s="103" t="s">
        <v>151</v>
      </c>
      <c r="H999" s="103" t="s">
        <v>861</v>
      </c>
      <c r="I999" s="103" t="s">
        <v>862</v>
      </c>
      <c r="J999" s="103" t="s">
        <v>863</v>
      </c>
      <c r="K999" s="103" t="s">
        <v>864</v>
      </c>
      <c r="L999" s="103" t="s">
        <v>153</v>
      </c>
      <c r="M999" s="103" t="s">
        <v>865</v>
      </c>
      <c r="N999" s="103" t="s">
        <v>866</v>
      </c>
      <c r="O999" s="103" t="str">
        <f t="shared" si="50"/>
        <v>CFLscw(13w)</v>
      </c>
      <c r="P999" s="103" t="s">
        <v>153</v>
      </c>
      <c r="Q999" s="103" t="s">
        <v>153</v>
      </c>
      <c r="R999" s="103" t="s">
        <v>153</v>
      </c>
      <c r="S999" s="103" t="str">
        <f>INDEX('Measure &amp; Standard CostIDs'!$AK$8:$AK$12,B999)</f>
        <v>Three-pack</v>
      </c>
      <c r="T999" s="103" t="s">
        <v>867</v>
      </c>
      <c r="U999" s="103"/>
      <c r="V999" s="103"/>
      <c r="W999" s="103">
        <f>ROUND(IF(LEFT(D999,3)="Std",VLOOKUP(D999,'Measure &amp; Standard CostIDs'!$S$5:$X$177,1+B999,FALSE),VLOOKUP(D999,'Measure &amp; Standard CostIDs'!$C$5:$H$177,1+B999,FALSE)),2)</f>
        <v>3.04</v>
      </c>
      <c r="X999" s="103"/>
      <c r="Y999" s="103"/>
      <c r="Z999" s="103" t="s">
        <v>868</v>
      </c>
      <c r="AA999" s="103" t="s">
        <v>874</v>
      </c>
      <c r="AB999" s="103" t="s">
        <v>153</v>
      </c>
      <c r="AC999" s="103">
        <v>0</v>
      </c>
      <c r="AD999" s="156">
        <v>42005</v>
      </c>
      <c r="AE999" s="103"/>
      <c r="AF999" s="103" t="s">
        <v>870</v>
      </c>
      <c r="AG999" s="103" t="s">
        <v>871</v>
      </c>
      <c r="AH999" s="103" t="s">
        <v>976</v>
      </c>
      <c r="AI999" s="103">
        <v>0</v>
      </c>
      <c r="AJ999" s="103"/>
      <c r="AK999" s="103"/>
      <c r="AL999" s="103"/>
      <c r="AM999" s="103"/>
      <c r="AN999" s="103"/>
      <c r="AO999" s="103" t="str">
        <f t="shared" si="51"/>
        <v>CFLscw(13w)Three-pack</v>
      </c>
    </row>
    <row r="1000" spans="1:41">
      <c r="A1000" s="177">
        <f>IFERROR(MATCH(D1000,'Measure &amp; Standard CostIDs'!C$5:C$177,0),MATCH(D1000,'Measure &amp; Standard CostIDs'!S$5:S$177,0))</f>
        <v>6</v>
      </c>
      <c r="B1000" s="177">
        <f t="shared" si="53"/>
        <v>4</v>
      </c>
      <c r="C1000" s="103" t="s">
        <v>153</v>
      </c>
      <c r="D1000" s="103" t="str">
        <f t="shared" si="52"/>
        <v>CFLscw(14w)</v>
      </c>
      <c r="E1000" s="103" t="str">
        <f>IF(LEFT(D1000,3)="Std","Base case cost for mix of 60% Incandescent and 40% CFL lamps for CFL TechID: "&amp;INDEX('Measure &amp; Standard CostIDs'!$C$5:$C$177,A1000),"&lt;from TechID&gt;")</f>
        <v>&lt;from TechID&gt;</v>
      </c>
      <c r="F1000" s="103" t="s">
        <v>860</v>
      </c>
      <c r="G1000" s="103" t="s">
        <v>151</v>
      </c>
      <c r="H1000" s="103" t="s">
        <v>861</v>
      </c>
      <c r="I1000" s="103" t="s">
        <v>862</v>
      </c>
      <c r="J1000" s="103" t="s">
        <v>863</v>
      </c>
      <c r="K1000" s="103" t="s">
        <v>864</v>
      </c>
      <c r="L1000" s="103" t="s">
        <v>153</v>
      </c>
      <c r="M1000" s="103" t="s">
        <v>865</v>
      </c>
      <c r="N1000" s="103" t="s">
        <v>866</v>
      </c>
      <c r="O1000" s="103" t="str">
        <f t="shared" si="50"/>
        <v>CFLscw(14w)</v>
      </c>
      <c r="P1000" s="103" t="s">
        <v>153</v>
      </c>
      <c r="Q1000" s="103" t="s">
        <v>153</v>
      </c>
      <c r="R1000" s="103" t="s">
        <v>153</v>
      </c>
      <c r="S1000" s="103" t="str">
        <f>INDEX('Measure &amp; Standard CostIDs'!$AK$8:$AK$12,B1000)</f>
        <v>Three-pack</v>
      </c>
      <c r="T1000" s="103" t="s">
        <v>867</v>
      </c>
      <c r="U1000" s="103"/>
      <c r="V1000" s="103"/>
      <c r="W1000" s="103">
        <f>ROUND(IF(LEFT(D1000,3)="Std",VLOOKUP(D1000,'Measure &amp; Standard CostIDs'!$S$5:$X$177,1+B1000,FALSE),VLOOKUP(D1000,'Measure &amp; Standard CostIDs'!$C$5:$H$177,1+B1000,FALSE)),2)</f>
        <v>3.1</v>
      </c>
      <c r="X1000" s="103"/>
      <c r="Y1000" s="103"/>
      <c r="Z1000" s="103" t="s">
        <v>868</v>
      </c>
      <c r="AA1000" s="103" t="s">
        <v>874</v>
      </c>
      <c r="AB1000" s="103" t="s">
        <v>153</v>
      </c>
      <c r="AC1000" s="103">
        <v>0</v>
      </c>
      <c r="AD1000" s="156">
        <v>42005</v>
      </c>
      <c r="AE1000" s="103"/>
      <c r="AF1000" s="103" t="s">
        <v>870</v>
      </c>
      <c r="AG1000" s="103" t="s">
        <v>871</v>
      </c>
      <c r="AH1000" s="103" t="s">
        <v>976</v>
      </c>
      <c r="AI1000" s="103">
        <v>0</v>
      </c>
      <c r="AJ1000" s="103"/>
      <c r="AK1000" s="103"/>
      <c r="AL1000" s="103"/>
      <c r="AM1000" s="103"/>
      <c r="AN1000" s="103"/>
      <c r="AO1000" s="103" t="str">
        <f t="shared" si="51"/>
        <v>CFLscw(14w)Three-pack</v>
      </c>
    </row>
    <row r="1001" spans="1:41">
      <c r="A1001" s="177">
        <f>IFERROR(MATCH(D1001,'Measure &amp; Standard CostIDs'!C$5:C$177,0),MATCH(D1001,'Measure &amp; Standard CostIDs'!S$5:S$177,0))</f>
        <v>7</v>
      </c>
      <c r="B1001" s="177">
        <f t="shared" si="53"/>
        <v>4</v>
      </c>
      <c r="C1001" s="103" t="s">
        <v>153</v>
      </c>
      <c r="D1001" s="103" t="str">
        <f t="shared" si="52"/>
        <v>CFLscw(15w)</v>
      </c>
      <c r="E1001" s="103" t="str">
        <f>IF(LEFT(D1001,3)="Std","Base case cost for mix of 60% Incandescent and 40% CFL lamps for CFL TechID: "&amp;INDEX('Measure &amp; Standard CostIDs'!$C$5:$C$177,A1001),"&lt;from TechID&gt;")</f>
        <v>&lt;from TechID&gt;</v>
      </c>
      <c r="F1001" s="103" t="s">
        <v>860</v>
      </c>
      <c r="G1001" s="103" t="s">
        <v>151</v>
      </c>
      <c r="H1001" s="103" t="s">
        <v>861</v>
      </c>
      <c r="I1001" s="103" t="s">
        <v>862</v>
      </c>
      <c r="J1001" s="103" t="s">
        <v>863</v>
      </c>
      <c r="K1001" s="103" t="s">
        <v>864</v>
      </c>
      <c r="L1001" s="103" t="s">
        <v>153</v>
      </c>
      <c r="M1001" s="103" t="s">
        <v>865</v>
      </c>
      <c r="N1001" s="103" t="s">
        <v>866</v>
      </c>
      <c r="O1001" s="103" t="str">
        <f t="shared" si="50"/>
        <v>CFLscw(15w)</v>
      </c>
      <c r="P1001" s="103" t="s">
        <v>153</v>
      </c>
      <c r="Q1001" s="103" t="s">
        <v>153</v>
      </c>
      <c r="R1001" s="103" t="s">
        <v>153</v>
      </c>
      <c r="S1001" s="103" t="str">
        <f>INDEX('Measure &amp; Standard CostIDs'!$AK$8:$AK$12,B1001)</f>
        <v>Three-pack</v>
      </c>
      <c r="T1001" s="103" t="s">
        <v>867</v>
      </c>
      <c r="U1001" s="103"/>
      <c r="V1001" s="103"/>
      <c r="W1001" s="103">
        <f>ROUND(IF(LEFT(D1001,3)="Std",VLOOKUP(D1001,'Measure &amp; Standard CostIDs'!$S$5:$X$177,1+B1001,FALSE),VLOOKUP(D1001,'Measure &amp; Standard CostIDs'!$C$5:$H$177,1+B1001,FALSE)),2)</f>
        <v>3.17</v>
      </c>
      <c r="X1001" s="103"/>
      <c r="Y1001" s="103"/>
      <c r="Z1001" s="103" t="s">
        <v>868</v>
      </c>
      <c r="AA1001" s="103" t="s">
        <v>874</v>
      </c>
      <c r="AB1001" s="103" t="s">
        <v>153</v>
      </c>
      <c r="AC1001" s="103">
        <v>0</v>
      </c>
      <c r="AD1001" s="156">
        <v>42005</v>
      </c>
      <c r="AE1001" s="103"/>
      <c r="AF1001" s="103" t="s">
        <v>870</v>
      </c>
      <c r="AG1001" s="103" t="s">
        <v>871</v>
      </c>
      <c r="AH1001" s="103" t="s">
        <v>976</v>
      </c>
      <c r="AI1001" s="103">
        <v>0</v>
      </c>
      <c r="AJ1001" s="103"/>
      <c r="AK1001" s="103"/>
      <c r="AL1001" s="103"/>
      <c r="AM1001" s="103"/>
      <c r="AN1001" s="103"/>
      <c r="AO1001" s="103" t="str">
        <f t="shared" si="51"/>
        <v>CFLscw(15w)Three-pack</v>
      </c>
    </row>
    <row r="1002" spans="1:41">
      <c r="A1002" s="177">
        <f>IFERROR(MATCH(D1002,'Measure &amp; Standard CostIDs'!C$5:C$177,0),MATCH(D1002,'Measure &amp; Standard CostIDs'!S$5:S$177,0))</f>
        <v>8</v>
      </c>
      <c r="B1002" s="177">
        <f t="shared" si="53"/>
        <v>4</v>
      </c>
      <c r="C1002" s="103" t="s">
        <v>153</v>
      </c>
      <c r="D1002" s="103" t="str">
        <f t="shared" si="52"/>
        <v>CFLscw(16w)</v>
      </c>
      <c r="E1002" s="103" t="str">
        <f>IF(LEFT(D1002,3)="Std","Base case cost for mix of 60% Incandescent and 40% CFL lamps for CFL TechID: "&amp;INDEX('Measure &amp; Standard CostIDs'!$C$5:$C$177,A1002),"&lt;from TechID&gt;")</f>
        <v>&lt;from TechID&gt;</v>
      </c>
      <c r="F1002" s="103" t="s">
        <v>860</v>
      </c>
      <c r="G1002" s="103" t="s">
        <v>151</v>
      </c>
      <c r="H1002" s="103" t="s">
        <v>861</v>
      </c>
      <c r="I1002" s="103" t="s">
        <v>862</v>
      </c>
      <c r="J1002" s="103" t="s">
        <v>863</v>
      </c>
      <c r="K1002" s="103" t="s">
        <v>864</v>
      </c>
      <c r="L1002" s="103" t="s">
        <v>153</v>
      </c>
      <c r="M1002" s="103" t="s">
        <v>865</v>
      </c>
      <c r="N1002" s="103" t="s">
        <v>866</v>
      </c>
      <c r="O1002" s="103" t="str">
        <f t="shared" si="50"/>
        <v>CFLscw(16w)</v>
      </c>
      <c r="P1002" s="103" t="s">
        <v>153</v>
      </c>
      <c r="Q1002" s="103" t="s">
        <v>153</v>
      </c>
      <c r="R1002" s="103" t="s">
        <v>153</v>
      </c>
      <c r="S1002" s="103" t="str">
        <f>INDEX('Measure &amp; Standard CostIDs'!$AK$8:$AK$12,B1002)</f>
        <v>Three-pack</v>
      </c>
      <c r="T1002" s="103" t="s">
        <v>867</v>
      </c>
      <c r="U1002" s="103"/>
      <c r="V1002" s="103"/>
      <c r="W1002" s="103">
        <f>ROUND(IF(LEFT(D1002,3)="Std",VLOOKUP(D1002,'Measure &amp; Standard CostIDs'!$S$5:$X$177,1+B1002,FALSE),VLOOKUP(D1002,'Measure &amp; Standard CostIDs'!$C$5:$H$177,1+B1002,FALSE)),2)</f>
        <v>3.23</v>
      </c>
      <c r="X1002" s="103"/>
      <c r="Y1002" s="103"/>
      <c r="Z1002" s="103" t="s">
        <v>868</v>
      </c>
      <c r="AA1002" s="103" t="s">
        <v>874</v>
      </c>
      <c r="AB1002" s="103" t="s">
        <v>153</v>
      </c>
      <c r="AC1002" s="103">
        <v>0</v>
      </c>
      <c r="AD1002" s="156">
        <v>42005</v>
      </c>
      <c r="AE1002" s="103"/>
      <c r="AF1002" s="103" t="s">
        <v>870</v>
      </c>
      <c r="AG1002" s="103" t="s">
        <v>871</v>
      </c>
      <c r="AH1002" s="103" t="s">
        <v>976</v>
      </c>
      <c r="AI1002" s="103">
        <v>0</v>
      </c>
      <c r="AJ1002" s="103"/>
      <c r="AK1002" s="103"/>
      <c r="AL1002" s="103"/>
      <c r="AM1002" s="103"/>
      <c r="AN1002" s="103"/>
      <c r="AO1002" s="103" t="str">
        <f t="shared" si="51"/>
        <v>CFLscw(16w)Three-pack</v>
      </c>
    </row>
    <row r="1003" spans="1:41">
      <c r="A1003" s="177">
        <f>IFERROR(MATCH(D1003,'Measure &amp; Standard CostIDs'!C$5:C$177,0),MATCH(D1003,'Measure &amp; Standard CostIDs'!S$5:S$177,0))</f>
        <v>9</v>
      </c>
      <c r="B1003" s="177">
        <f t="shared" si="53"/>
        <v>4</v>
      </c>
      <c r="C1003" s="103" t="s">
        <v>153</v>
      </c>
      <c r="D1003" s="103" t="str">
        <f t="shared" si="52"/>
        <v>CFLscw(17w)</v>
      </c>
      <c r="E1003" s="103" t="str">
        <f>IF(LEFT(D1003,3)="Std","Base case cost for mix of 60% Incandescent and 40% CFL lamps for CFL TechID: "&amp;INDEX('Measure &amp; Standard CostIDs'!$C$5:$C$177,A1003),"&lt;from TechID&gt;")</f>
        <v>&lt;from TechID&gt;</v>
      </c>
      <c r="F1003" s="103" t="s">
        <v>860</v>
      </c>
      <c r="G1003" s="103" t="s">
        <v>151</v>
      </c>
      <c r="H1003" s="103" t="s">
        <v>861</v>
      </c>
      <c r="I1003" s="103" t="s">
        <v>862</v>
      </c>
      <c r="J1003" s="103" t="s">
        <v>863</v>
      </c>
      <c r="K1003" s="103" t="s">
        <v>864</v>
      </c>
      <c r="L1003" s="103" t="s">
        <v>153</v>
      </c>
      <c r="M1003" s="103" t="s">
        <v>865</v>
      </c>
      <c r="N1003" s="103" t="s">
        <v>866</v>
      </c>
      <c r="O1003" s="103" t="str">
        <f t="shared" si="50"/>
        <v>CFLscw(17w)</v>
      </c>
      <c r="P1003" s="103" t="s">
        <v>153</v>
      </c>
      <c r="Q1003" s="103" t="s">
        <v>153</v>
      </c>
      <c r="R1003" s="103" t="s">
        <v>153</v>
      </c>
      <c r="S1003" s="103" t="str">
        <f>INDEX('Measure &amp; Standard CostIDs'!$AK$8:$AK$12,B1003)</f>
        <v>Three-pack</v>
      </c>
      <c r="T1003" s="103" t="s">
        <v>867</v>
      </c>
      <c r="U1003" s="103"/>
      <c r="V1003" s="103"/>
      <c r="W1003" s="103">
        <f>ROUND(IF(LEFT(D1003,3)="Std",VLOOKUP(D1003,'Measure &amp; Standard CostIDs'!$S$5:$X$177,1+B1003,FALSE),VLOOKUP(D1003,'Measure &amp; Standard CostIDs'!$C$5:$H$177,1+B1003,FALSE)),2)</f>
        <v>3.3</v>
      </c>
      <c r="X1003" s="103"/>
      <c r="Y1003" s="103"/>
      <c r="Z1003" s="103" t="s">
        <v>868</v>
      </c>
      <c r="AA1003" s="103" t="s">
        <v>874</v>
      </c>
      <c r="AB1003" s="103" t="s">
        <v>153</v>
      </c>
      <c r="AC1003" s="103">
        <v>0</v>
      </c>
      <c r="AD1003" s="156">
        <v>42005</v>
      </c>
      <c r="AE1003" s="103"/>
      <c r="AF1003" s="103" t="s">
        <v>870</v>
      </c>
      <c r="AG1003" s="103" t="s">
        <v>871</v>
      </c>
      <c r="AH1003" s="103" t="s">
        <v>976</v>
      </c>
      <c r="AI1003" s="103">
        <v>0</v>
      </c>
      <c r="AJ1003" s="103"/>
      <c r="AK1003" s="103"/>
      <c r="AL1003" s="103"/>
      <c r="AM1003" s="103"/>
      <c r="AN1003" s="103"/>
      <c r="AO1003" s="103" t="str">
        <f t="shared" si="51"/>
        <v>CFLscw(17w)Three-pack</v>
      </c>
    </row>
    <row r="1004" spans="1:41">
      <c r="A1004" s="177">
        <f>IFERROR(MATCH(D1004,'Measure &amp; Standard CostIDs'!C$5:C$177,0),MATCH(D1004,'Measure &amp; Standard CostIDs'!S$5:S$177,0))</f>
        <v>10</v>
      </c>
      <c r="B1004" s="177">
        <f t="shared" si="53"/>
        <v>4</v>
      </c>
      <c r="C1004" s="103" t="s">
        <v>153</v>
      </c>
      <c r="D1004" s="103" t="str">
        <f t="shared" si="52"/>
        <v>CFLscw(18w)</v>
      </c>
      <c r="E1004" s="103" t="str">
        <f>IF(LEFT(D1004,3)="Std","Base case cost for mix of 60% Incandescent and 40% CFL lamps for CFL TechID: "&amp;INDEX('Measure &amp; Standard CostIDs'!$C$5:$C$177,A1004),"&lt;from TechID&gt;")</f>
        <v>&lt;from TechID&gt;</v>
      </c>
      <c r="F1004" s="103" t="s">
        <v>860</v>
      </c>
      <c r="G1004" s="103" t="s">
        <v>151</v>
      </c>
      <c r="H1004" s="103" t="s">
        <v>861</v>
      </c>
      <c r="I1004" s="103" t="s">
        <v>862</v>
      </c>
      <c r="J1004" s="103" t="s">
        <v>863</v>
      </c>
      <c r="K1004" s="103" t="s">
        <v>864</v>
      </c>
      <c r="L1004" s="103" t="s">
        <v>153</v>
      </c>
      <c r="M1004" s="103" t="s">
        <v>865</v>
      </c>
      <c r="N1004" s="103" t="s">
        <v>866</v>
      </c>
      <c r="O1004" s="103" t="str">
        <f t="shared" si="50"/>
        <v>CFLscw(18w)</v>
      </c>
      <c r="P1004" s="103" t="s">
        <v>153</v>
      </c>
      <c r="Q1004" s="103" t="s">
        <v>153</v>
      </c>
      <c r="R1004" s="103" t="s">
        <v>153</v>
      </c>
      <c r="S1004" s="103" t="str">
        <f>INDEX('Measure &amp; Standard CostIDs'!$AK$8:$AK$12,B1004)</f>
        <v>Three-pack</v>
      </c>
      <c r="T1004" s="103" t="s">
        <v>867</v>
      </c>
      <c r="U1004" s="103"/>
      <c r="V1004" s="103"/>
      <c r="W1004" s="103">
        <f>ROUND(IF(LEFT(D1004,3)="Std",VLOOKUP(D1004,'Measure &amp; Standard CostIDs'!$S$5:$X$177,1+B1004,FALSE),VLOOKUP(D1004,'Measure &amp; Standard CostIDs'!$C$5:$H$177,1+B1004,FALSE)),2)</f>
        <v>3.37</v>
      </c>
      <c r="X1004" s="103"/>
      <c r="Y1004" s="103"/>
      <c r="Z1004" s="103" t="s">
        <v>868</v>
      </c>
      <c r="AA1004" s="103" t="s">
        <v>874</v>
      </c>
      <c r="AB1004" s="103" t="s">
        <v>153</v>
      </c>
      <c r="AC1004" s="103">
        <v>0</v>
      </c>
      <c r="AD1004" s="156">
        <v>42005</v>
      </c>
      <c r="AE1004" s="103"/>
      <c r="AF1004" s="103" t="s">
        <v>870</v>
      </c>
      <c r="AG1004" s="103" t="s">
        <v>871</v>
      </c>
      <c r="AH1004" s="103" t="s">
        <v>976</v>
      </c>
      <c r="AI1004" s="103">
        <v>0</v>
      </c>
      <c r="AJ1004" s="103"/>
      <c r="AK1004" s="103"/>
      <c r="AL1004" s="103"/>
      <c r="AM1004" s="103"/>
      <c r="AN1004" s="103"/>
      <c r="AO1004" s="103" t="str">
        <f t="shared" si="51"/>
        <v>CFLscw(18w)Three-pack</v>
      </c>
    </row>
    <row r="1005" spans="1:41">
      <c r="A1005" s="177">
        <f>IFERROR(MATCH(D1005,'Measure &amp; Standard CostIDs'!C$5:C$177,0),MATCH(D1005,'Measure &amp; Standard CostIDs'!S$5:S$177,0))</f>
        <v>11</v>
      </c>
      <c r="B1005" s="177">
        <f t="shared" si="53"/>
        <v>4</v>
      </c>
      <c r="C1005" s="103" t="s">
        <v>153</v>
      </c>
      <c r="D1005" s="103" t="str">
        <f t="shared" si="52"/>
        <v>CFLscw(19w)</v>
      </c>
      <c r="E1005" s="103" t="str">
        <f>IF(LEFT(D1005,3)="Std","Base case cost for mix of 60% Incandescent and 40% CFL lamps for CFL TechID: "&amp;INDEX('Measure &amp; Standard CostIDs'!$C$5:$C$177,A1005),"&lt;from TechID&gt;")</f>
        <v>&lt;from TechID&gt;</v>
      </c>
      <c r="F1005" s="103" t="s">
        <v>860</v>
      </c>
      <c r="G1005" s="103" t="s">
        <v>151</v>
      </c>
      <c r="H1005" s="103" t="s">
        <v>861</v>
      </c>
      <c r="I1005" s="103" t="s">
        <v>862</v>
      </c>
      <c r="J1005" s="103" t="s">
        <v>863</v>
      </c>
      <c r="K1005" s="103" t="s">
        <v>864</v>
      </c>
      <c r="L1005" s="103" t="s">
        <v>153</v>
      </c>
      <c r="M1005" s="103" t="s">
        <v>865</v>
      </c>
      <c r="N1005" s="103" t="s">
        <v>866</v>
      </c>
      <c r="O1005" s="103" t="str">
        <f t="shared" si="50"/>
        <v>CFLscw(19w)</v>
      </c>
      <c r="P1005" s="103" t="s">
        <v>153</v>
      </c>
      <c r="Q1005" s="103" t="s">
        <v>153</v>
      </c>
      <c r="R1005" s="103" t="s">
        <v>153</v>
      </c>
      <c r="S1005" s="103" t="str">
        <f>INDEX('Measure &amp; Standard CostIDs'!$AK$8:$AK$12,B1005)</f>
        <v>Three-pack</v>
      </c>
      <c r="T1005" s="103" t="s">
        <v>867</v>
      </c>
      <c r="U1005" s="103"/>
      <c r="V1005" s="103"/>
      <c r="W1005" s="103">
        <f>ROUND(IF(LEFT(D1005,3)="Std",VLOOKUP(D1005,'Measure &amp; Standard CostIDs'!$S$5:$X$177,1+B1005,FALSE),VLOOKUP(D1005,'Measure &amp; Standard CostIDs'!$C$5:$H$177,1+B1005,FALSE)),2)</f>
        <v>3.43</v>
      </c>
      <c r="X1005" s="103"/>
      <c r="Y1005" s="103"/>
      <c r="Z1005" s="103" t="s">
        <v>868</v>
      </c>
      <c r="AA1005" s="103" t="s">
        <v>874</v>
      </c>
      <c r="AB1005" s="103" t="s">
        <v>153</v>
      </c>
      <c r="AC1005" s="103">
        <v>0</v>
      </c>
      <c r="AD1005" s="156">
        <v>42005</v>
      </c>
      <c r="AE1005" s="103"/>
      <c r="AF1005" s="103" t="s">
        <v>870</v>
      </c>
      <c r="AG1005" s="103" t="s">
        <v>871</v>
      </c>
      <c r="AH1005" s="103" t="s">
        <v>976</v>
      </c>
      <c r="AI1005" s="103">
        <v>0</v>
      </c>
      <c r="AJ1005" s="103"/>
      <c r="AK1005" s="103"/>
      <c r="AL1005" s="103"/>
      <c r="AM1005" s="103"/>
      <c r="AN1005" s="103"/>
      <c r="AO1005" s="103" t="str">
        <f t="shared" si="51"/>
        <v>CFLscw(19w)Three-pack</v>
      </c>
    </row>
    <row r="1006" spans="1:41">
      <c r="A1006" s="177">
        <f>IFERROR(MATCH(D1006,'Measure &amp; Standard CostIDs'!C$5:C$177,0),MATCH(D1006,'Measure &amp; Standard CostIDs'!S$5:S$177,0))</f>
        <v>12</v>
      </c>
      <c r="B1006" s="177">
        <f t="shared" si="53"/>
        <v>4</v>
      </c>
      <c r="C1006" s="103" t="s">
        <v>153</v>
      </c>
      <c r="D1006" s="103" t="str">
        <f t="shared" si="52"/>
        <v>CFLscw(20w)</v>
      </c>
      <c r="E1006" s="103" t="str">
        <f>IF(LEFT(D1006,3)="Std","Base case cost for mix of 60% Incandescent and 40% CFL lamps for CFL TechID: "&amp;INDEX('Measure &amp; Standard CostIDs'!$C$5:$C$177,A1006),"&lt;from TechID&gt;")</f>
        <v>&lt;from TechID&gt;</v>
      </c>
      <c r="F1006" s="103" t="s">
        <v>860</v>
      </c>
      <c r="G1006" s="103" t="s">
        <v>151</v>
      </c>
      <c r="H1006" s="103" t="s">
        <v>861</v>
      </c>
      <c r="I1006" s="103" t="s">
        <v>862</v>
      </c>
      <c r="J1006" s="103" t="s">
        <v>863</v>
      </c>
      <c r="K1006" s="103" t="s">
        <v>864</v>
      </c>
      <c r="L1006" s="103" t="s">
        <v>153</v>
      </c>
      <c r="M1006" s="103" t="s">
        <v>865</v>
      </c>
      <c r="N1006" s="103" t="s">
        <v>866</v>
      </c>
      <c r="O1006" s="103" t="str">
        <f t="shared" si="50"/>
        <v>CFLscw(20w)</v>
      </c>
      <c r="P1006" s="103" t="s">
        <v>153</v>
      </c>
      <c r="Q1006" s="103" t="s">
        <v>153</v>
      </c>
      <c r="R1006" s="103" t="s">
        <v>153</v>
      </c>
      <c r="S1006" s="103" t="str">
        <f>INDEX('Measure &amp; Standard CostIDs'!$AK$8:$AK$12,B1006)</f>
        <v>Three-pack</v>
      </c>
      <c r="T1006" s="103" t="s">
        <v>867</v>
      </c>
      <c r="U1006" s="103"/>
      <c r="V1006" s="103"/>
      <c r="W1006" s="103">
        <f>ROUND(IF(LEFT(D1006,3)="Std",VLOOKUP(D1006,'Measure &amp; Standard CostIDs'!$S$5:$X$177,1+B1006,FALSE),VLOOKUP(D1006,'Measure &amp; Standard CostIDs'!$C$5:$H$177,1+B1006,FALSE)),2)</f>
        <v>3.5</v>
      </c>
      <c r="X1006" s="103"/>
      <c r="Y1006" s="103"/>
      <c r="Z1006" s="103" t="s">
        <v>868</v>
      </c>
      <c r="AA1006" s="103" t="s">
        <v>874</v>
      </c>
      <c r="AB1006" s="103" t="s">
        <v>153</v>
      </c>
      <c r="AC1006" s="103">
        <v>0</v>
      </c>
      <c r="AD1006" s="156">
        <v>42005</v>
      </c>
      <c r="AE1006" s="103"/>
      <c r="AF1006" s="103" t="s">
        <v>870</v>
      </c>
      <c r="AG1006" s="103" t="s">
        <v>871</v>
      </c>
      <c r="AH1006" s="103" t="s">
        <v>976</v>
      </c>
      <c r="AI1006" s="103">
        <v>0</v>
      </c>
      <c r="AJ1006" s="103"/>
      <c r="AK1006" s="103"/>
      <c r="AL1006" s="103"/>
      <c r="AM1006" s="103"/>
      <c r="AN1006" s="103"/>
      <c r="AO1006" s="103" t="str">
        <f t="shared" si="51"/>
        <v>CFLscw(20w)Three-pack</v>
      </c>
    </row>
    <row r="1007" spans="1:41">
      <c r="A1007" s="177">
        <f>IFERROR(MATCH(D1007,'Measure &amp; Standard CostIDs'!C$5:C$177,0),MATCH(D1007,'Measure &amp; Standard CostIDs'!S$5:S$177,0))</f>
        <v>13</v>
      </c>
      <c r="B1007" s="177">
        <f t="shared" si="53"/>
        <v>4</v>
      </c>
      <c r="C1007" s="103" t="s">
        <v>153</v>
      </c>
      <c r="D1007" s="103" t="str">
        <f t="shared" si="52"/>
        <v>CFLscw(21w)</v>
      </c>
      <c r="E1007" s="103" t="str">
        <f>IF(LEFT(D1007,3)="Std","Base case cost for mix of 60% Incandescent and 40% CFL lamps for CFL TechID: "&amp;INDEX('Measure &amp; Standard CostIDs'!$C$5:$C$177,A1007),"&lt;from TechID&gt;")</f>
        <v>&lt;from TechID&gt;</v>
      </c>
      <c r="F1007" s="103" t="s">
        <v>860</v>
      </c>
      <c r="G1007" s="103" t="s">
        <v>151</v>
      </c>
      <c r="H1007" s="103" t="s">
        <v>861</v>
      </c>
      <c r="I1007" s="103" t="s">
        <v>862</v>
      </c>
      <c r="J1007" s="103" t="s">
        <v>863</v>
      </c>
      <c r="K1007" s="103" t="s">
        <v>864</v>
      </c>
      <c r="L1007" s="103" t="s">
        <v>153</v>
      </c>
      <c r="M1007" s="103" t="s">
        <v>865</v>
      </c>
      <c r="N1007" s="103" t="s">
        <v>866</v>
      </c>
      <c r="O1007" s="103" t="str">
        <f t="shared" si="50"/>
        <v>CFLscw(21w)</v>
      </c>
      <c r="P1007" s="103" t="s">
        <v>153</v>
      </c>
      <c r="Q1007" s="103" t="s">
        <v>153</v>
      </c>
      <c r="R1007" s="103" t="s">
        <v>153</v>
      </c>
      <c r="S1007" s="103" t="str">
        <f>INDEX('Measure &amp; Standard CostIDs'!$AK$8:$AK$12,B1007)</f>
        <v>Three-pack</v>
      </c>
      <c r="T1007" s="103" t="s">
        <v>867</v>
      </c>
      <c r="U1007" s="103"/>
      <c r="V1007" s="103"/>
      <c r="W1007" s="103">
        <f>ROUND(IF(LEFT(D1007,3)="Std",VLOOKUP(D1007,'Measure &amp; Standard CostIDs'!$S$5:$X$177,1+B1007,FALSE),VLOOKUP(D1007,'Measure &amp; Standard CostIDs'!$C$5:$H$177,1+B1007,FALSE)),2)</f>
        <v>3.57</v>
      </c>
      <c r="X1007" s="103"/>
      <c r="Y1007" s="103"/>
      <c r="Z1007" s="103" t="s">
        <v>868</v>
      </c>
      <c r="AA1007" s="103" t="s">
        <v>874</v>
      </c>
      <c r="AB1007" s="103" t="s">
        <v>153</v>
      </c>
      <c r="AC1007" s="103">
        <v>0</v>
      </c>
      <c r="AD1007" s="156">
        <v>42005</v>
      </c>
      <c r="AE1007" s="103"/>
      <c r="AF1007" s="103" t="s">
        <v>870</v>
      </c>
      <c r="AG1007" s="103" t="s">
        <v>871</v>
      </c>
      <c r="AH1007" s="103" t="s">
        <v>976</v>
      </c>
      <c r="AI1007" s="103">
        <v>0</v>
      </c>
      <c r="AJ1007" s="103"/>
      <c r="AK1007" s="103"/>
      <c r="AL1007" s="103"/>
      <c r="AM1007" s="103"/>
      <c r="AN1007" s="103"/>
      <c r="AO1007" s="103" t="str">
        <f t="shared" si="51"/>
        <v>CFLscw(21w)Three-pack</v>
      </c>
    </row>
    <row r="1008" spans="1:41">
      <c r="A1008" s="177">
        <f>IFERROR(MATCH(D1008,'Measure &amp; Standard CostIDs'!C$5:C$177,0),MATCH(D1008,'Measure &amp; Standard CostIDs'!S$5:S$177,0))</f>
        <v>14</v>
      </c>
      <c r="B1008" s="177">
        <f t="shared" si="53"/>
        <v>4</v>
      </c>
      <c r="C1008" s="103" t="s">
        <v>153</v>
      </c>
      <c r="D1008" s="103" t="str">
        <f t="shared" si="52"/>
        <v>CFLscw(22w)</v>
      </c>
      <c r="E1008" s="103" t="str">
        <f>IF(LEFT(D1008,3)="Std","Base case cost for mix of 60% Incandescent and 40% CFL lamps for CFL TechID: "&amp;INDEX('Measure &amp; Standard CostIDs'!$C$5:$C$177,A1008),"&lt;from TechID&gt;")</f>
        <v>&lt;from TechID&gt;</v>
      </c>
      <c r="F1008" s="103" t="s">
        <v>860</v>
      </c>
      <c r="G1008" s="103" t="s">
        <v>151</v>
      </c>
      <c r="H1008" s="103" t="s">
        <v>861</v>
      </c>
      <c r="I1008" s="103" t="s">
        <v>862</v>
      </c>
      <c r="J1008" s="103" t="s">
        <v>863</v>
      </c>
      <c r="K1008" s="103" t="s">
        <v>864</v>
      </c>
      <c r="L1008" s="103" t="s">
        <v>153</v>
      </c>
      <c r="M1008" s="103" t="s">
        <v>865</v>
      </c>
      <c r="N1008" s="103" t="s">
        <v>866</v>
      </c>
      <c r="O1008" s="103" t="str">
        <f t="shared" si="50"/>
        <v>CFLscw(22w)</v>
      </c>
      <c r="P1008" s="103" t="s">
        <v>153</v>
      </c>
      <c r="Q1008" s="103" t="s">
        <v>153</v>
      </c>
      <c r="R1008" s="103" t="s">
        <v>153</v>
      </c>
      <c r="S1008" s="103" t="str">
        <f>INDEX('Measure &amp; Standard CostIDs'!$AK$8:$AK$12,B1008)</f>
        <v>Three-pack</v>
      </c>
      <c r="T1008" s="103" t="s">
        <v>867</v>
      </c>
      <c r="U1008" s="103"/>
      <c r="V1008" s="103"/>
      <c r="W1008" s="103">
        <f>ROUND(IF(LEFT(D1008,3)="Std",VLOOKUP(D1008,'Measure &amp; Standard CostIDs'!$S$5:$X$177,1+B1008,FALSE),VLOOKUP(D1008,'Measure &amp; Standard CostIDs'!$C$5:$H$177,1+B1008,FALSE)),2)</f>
        <v>3.63</v>
      </c>
      <c r="X1008" s="103"/>
      <c r="Y1008" s="103"/>
      <c r="Z1008" s="103" t="s">
        <v>868</v>
      </c>
      <c r="AA1008" s="103" t="s">
        <v>874</v>
      </c>
      <c r="AB1008" s="103" t="s">
        <v>153</v>
      </c>
      <c r="AC1008" s="103">
        <v>0</v>
      </c>
      <c r="AD1008" s="156">
        <v>42005</v>
      </c>
      <c r="AE1008" s="103"/>
      <c r="AF1008" s="103" t="s">
        <v>870</v>
      </c>
      <c r="AG1008" s="103" t="s">
        <v>871</v>
      </c>
      <c r="AH1008" s="103" t="s">
        <v>976</v>
      </c>
      <c r="AI1008" s="103">
        <v>0</v>
      </c>
      <c r="AJ1008" s="103"/>
      <c r="AK1008" s="103"/>
      <c r="AL1008" s="103"/>
      <c r="AM1008" s="103"/>
      <c r="AN1008" s="103"/>
      <c r="AO1008" s="103" t="str">
        <f t="shared" si="51"/>
        <v>CFLscw(22w)Three-pack</v>
      </c>
    </row>
    <row r="1009" spans="1:41">
      <c r="A1009" s="177">
        <f>IFERROR(MATCH(D1009,'Measure &amp; Standard CostIDs'!C$5:C$177,0),MATCH(D1009,'Measure &amp; Standard CostIDs'!S$5:S$177,0))</f>
        <v>15</v>
      </c>
      <c r="B1009" s="177">
        <f t="shared" si="53"/>
        <v>4</v>
      </c>
      <c r="C1009" s="103" t="s">
        <v>153</v>
      </c>
      <c r="D1009" s="103" t="str">
        <f t="shared" si="52"/>
        <v>CFLscw(23w)</v>
      </c>
      <c r="E1009" s="103" t="str">
        <f>IF(LEFT(D1009,3)="Std","Base case cost for mix of 60% Incandescent and 40% CFL lamps for CFL TechID: "&amp;INDEX('Measure &amp; Standard CostIDs'!$C$5:$C$177,A1009),"&lt;from TechID&gt;")</f>
        <v>&lt;from TechID&gt;</v>
      </c>
      <c r="F1009" s="103" t="s">
        <v>860</v>
      </c>
      <c r="G1009" s="103" t="s">
        <v>151</v>
      </c>
      <c r="H1009" s="103" t="s">
        <v>861</v>
      </c>
      <c r="I1009" s="103" t="s">
        <v>862</v>
      </c>
      <c r="J1009" s="103" t="s">
        <v>863</v>
      </c>
      <c r="K1009" s="103" t="s">
        <v>864</v>
      </c>
      <c r="L1009" s="103" t="s">
        <v>153</v>
      </c>
      <c r="M1009" s="103" t="s">
        <v>865</v>
      </c>
      <c r="N1009" s="103" t="s">
        <v>866</v>
      </c>
      <c r="O1009" s="103" t="str">
        <f t="shared" si="50"/>
        <v>CFLscw(23w)</v>
      </c>
      <c r="P1009" s="103" t="s">
        <v>153</v>
      </c>
      <c r="Q1009" s="103" t="s">
        <v>153</v>
      </c>
      <c r="R1009" s="103" t="s">
        <v>153</v>
      </c>
      <c r="S1009" s="103" t="str">
        <f>INDEX('Measure &amp; Standard CostIDs'!$AK$8:$AK$12,B1009)</f>
        <v>Three-pack</v>
      </c>
      <c r="T1009" s="103" t="s">
        <v>867</v>
      </c>
      <c r="U1009" s="103"/>
      <c r="V1009" s="103"/>
      <c r="W1009" s="103">
        <f>ROUND(IF(LEFT(D1009,3)="Std",VLOOKUP(D1009,'Measure &amp; Standard CostIDs'!$S$5:$X$177,1+B1009,FALSE),VLOOKUP(D1009,'Measure &amp; Standard CostIDs'!$C$5:$H$177,1+B1009,FALSE)),2)</f>
        <v>3.7</v>
      </c>
      <c r="X1009" s="103"/>
      <c r="Y1009" s="103"/>
      <c r="Z1009" s="103" t="s">
        <v>868</v>
      </c>
      <c r="AA1009" s="103" t="s">
        <v>874</v>
      </c>
      <c r="AB1009" s="103" t="s">
        <v>153</v>
      </c>
      <c r="AC1009" s="103">
        <v>0</v>
      </c>
      <c r="AD1009" s="156">
        <v>42005</v>
      </c>
      <c r="AE1009" s="103"/>
      <c r="AF1009" s="103" t="s">
        <v>870</v>
      </c>
      <c r="AG1009" s="103" t="s">
        <v>871</v>
      </c>
      <c r="AH1009" s="103" t="s">
        <v>976</v>
      </c>
      <c r="AI1009" s="103">
        <v>0</v>
      </c>
      <c r="AJ1009" s="103"/>
      <c r="AK1009" s="103"/>
      <c r="AL1009" s="103"/>
      <c r="AM1009" s="103"/>
      <c r="AN1009" s="103"/>
      <c r="AO1009" s="103" t="str">
        <f t="shared" si="51"/>
        <v>CFLscw(23w)Three-pack</v>
      </c>
    </row>
    <row r="1010" spans="1:41">
      <c r="A1010" s="177">
        <f>IFERROR(MATCH(D1010,'Measure &amp; Standard CostIDs'!C$5:C$177,0),MATCH(D1010,'Measure &amp; Standard CostIDs'!S$5:S$177,0))</f>
        <v>16</v>
      </c>
      <c r="B1010" s="177">
        <f t="shared" si="53"/>
        <v>4</v>
      </c>
      <c r="C1010" s="103" t="s">
        <v>153</v>
      </c>
      <c r="D1010" s="103" t="str">
        <f t="shared" si="52"/>
        <v>CFLscw(24w)</v>
      </c>
      <c r="E1010" s="103" t="str">
        <f>IF(LEFT(D1010,3)="Std","Base case cost for mix of 60% Incandescent and 40% CFL lamps for CFL TechID: "&amp;INDEX('Measure &amp; Standard CostIDs'!$C$5:$C$177,A1010),"&lt;from TechID&gt;")</f>
        <v>&lt;from TechID&gt;</v>
      </c>
      <c r="F1010" s="103" t="s">
        <v>860</v>
      </c>
      <c r="G1010" s="103" t="s">
        <v>151</v>
      </c>
      <c r="H1010" s="103" t="s">
        <v>861</v>
      </c>
      <c r="I1010" s="103" t="s">
        <v>862</v>
      </c>
      <c r="J1010" s="103" t="s">
        <v>863</v>
      </c>
      <c r="K1010" s="103" t="s">
        <v>864</v>
      </c>
      <c r="L1010" s="103" t="s">
        <v>153</v>
      </c>
      <c r="M1010" s="103" t="s">
        <v>865</v>
      </c>
      <c r="N1010" s="103" t="s">
        <v>866</v>
      </c>
      <c r="O1010" s="103" t="str">
        <f t="shared" si="50"/>
        <v>CFLscw(24w)</v>
      </c>
      <c r="P1010" s="103" t="s">
        <v>153</v>
      </c>
      <c r="Q1010" s="103" t="s">
        <v>153</v>
      </c>
      <c r="R1010" s="103" t="s">
        <v>153</v>
      </c>
      <c r="S1010" s="103" t="str">
        <f>INDEX('Measure &amp; Standard CostIDs'!$AK$8:$AK$12,B1010)</f>
        <v>Three-pack</v>
      </c>
      <c r="T1010" s="103" t="s">
        <v>867</v>
      </c>
      <c r="U1010" s="103"/>
      <c r="V1010" s="103"/>
      <c r="W1010" s="103">
        <f>ROUND(IF(LEFT(D1010,3)="Std",VLOOKUP(D1010,'Measure &amp; Standard CostIDs'!$S$5:$X$177,1+B1010,FALSE),VLOOKUP(D1010,'Measure &amp; Standard CostIDs'!$C$5:$H$177,1+B1010,FALSE)),2)</f>
        <v>3.77</v>
      </c>
      <c r="X1010" s="103"/>
      <c r="Y1010" s="103"/>
      <c r="Z1010" s="103" t="s">
        <v>868</v>
      </c>
      <c r="AA1010" s="103" t="s">
        <v>874</v>
      </c>
      <c r="AB1010" s="103" t="s">
        <v>153</v>
      </c>
      <c r="AC1010" s="103">
        <v>0</v>
      </c>
      <c r="AD1010" s="156">
        <v>42005</v>
      </c>
      <c r="AE1010" s="103"/>
      <c r="AF1010" s="103" t="s">
        <v>870</v>
      </c>
      <c r="AG1010" s="103" t="s">
        <v>871</v>
      </c>
      <c r="AH1010" s="103" t="s">
        <v>976</v>
      </c>
      <c r="AI1010" s="103">
        <v>0</v>
      </c>
      <c r="AJ1010" s="103"/>
      <c r="AK1010" s="103"/>
      <c r="AL1010" s="103"/>
      <c r="AM1010" s="103"/>
      <c r="AN1010" s="103"/>
      <c r="AO1010" s="103" t="str">
        <f t="shared" si="51"/>
        <v>CFLscw(24w)Three-pack</v>
      </c>
    </row>
    <row r="1011" spans="1:41">
      <c r="A1011" s="177">
        <f>IFERROR(MATCH(D1011,'Measure &amp; Standard CostIDs'!C$5:C$177,0),MATCH(D1011,'Measure &amp; Standard CostIDs'!S$5:S$177,0))</f>
        <v>17</v>
      </c>
      <c r="B1011" s="177">
        <f t="shared" si="53"/>
        <v>4</v>
      </c>
      <c r="C1011" s="103" t="s">
        <v>153</v>
      </c>
      <c r="D1011" s="103" t="str">
        <f t="shared" si="52"/>
        <v>CFLscw(25w)</v>
      </c>
      <c r="E1011" s="103" t="str">
        <f>IF(LEFT(D1011,3)="Std","Base case cost for mix of 60% Incandescent and 40% CFL lamps for CFL TechID: "&amp;INDEX('Measure &amp; Standard CostIDs'!$C$5:$C$177,A1011),"&lt;from TechID&gt;")</f>
        <v>&lt;from TechID&gt;</v>
      </c>
      <c r="F1011" s="103" t="s">
        <v>860</v>
      </c>
      <c r="G1011" s="103" t="s">
        <v>151</v>
      </c>
      <c r="H1011" s="103" t="s">
        <v>861</v>
      </c>
      <c r="I1011" s="103" t="s">
        <v>862</v>
      </c>
      <c r="J1011" s="103" t="s">
        <v>863</v>
      </c>
      <c r="K1011" s="103" t="s">
        <v>864</v>
      </c>
      <c r="L1011" s="103" t="s">
        <v>153</v>
      </c>
      <c r="M1011" s="103" t="s">
        <v>865</v>
      </c>
      <c r="N1011" s="103" t="s">
        <v>866</v>
      </c>
      <c r="O1011" s="103" t="str">
        <f t="shared" si="50"/>
        <v>CFLscw(25w)</v>
      </c>
      <c r="P1011" s="103" t="s">
        <v>153</v>
      </c>
      <c r="Q1011" s="103" t="s">
        <v>153</v>
      </c>
      <c r="R1011" s="103" t="s">
        <v>153</v>
      </c>
      <c r="S1011" s="103" t="str">
        <f>INDEX('Measure &amp; Standard CostIDs'!$AK$8:$AK$12,B1011)</f>
        <v>Three-pack</v>
      </c>
      <c r="T1011" s="103" t="s">
        <v>867</v>
      </c>
      <c r="U1011" s="103"/>
      <c r="V1011" s="103"/>
      <c r="W1011" s="103">
        <f>ROUND(IF(LEFT(D1011,3)="Std",VLOOKUP(D1011,'Measure &amp; Standard CostIDs'!$S$5:$X$177,1+B1011,FALSE),VLOOKUP(D1011,'Measure &amp; Standard CostIDs'!$C$5:$H$177,1+B1011,FALSE)),2)</f>
        <v>3.83</v>
      </c>
      <c r="X1011" s="103"/>
      <c r="Y1011" s="103"/>
      <c r="Z1011" s="103" t="s">
        <v>868</v>
      </c>
      <c r="AA1011" s="103" t="s">
        <v>874</v>
      </c>
      <c r="AB1011" s="103" t="s">
        <v>153</v>
      </c>
      <c r="AC1011" s="103">
        <v>0</v>
      </c>
      <c r="AD1011" s="156">
        <v>42005</v>
      </c>
      <c r="AE1011" s="103"/>
      <c r="AF1011" s="103" t="s">
        <v>870</v>
      </c>
      <c r="AG1011" s="103" t="s">
        <v>871</v>
      </c>
      <c r="AH1011" s="103" t="s">
        <v>976</v>
      </c>
      <c r="AI1011" s="103">
        <v>0</v>
      </c>
      <c r="AJ1011" s="103"/>
      <c r="AK1011" s="103"/>
      <c r="AL1011" s="103"/>
      <c r="AM1011" s="103"/>
      <c r="AN1011" s="103"/>
      <c r="AO1011" s="103" t="str">
        <f t="shared" si="51"/>
        <v>CFLscw(25w)Three-pack</v>
      </c>
    </row>
    <row r="1012" spans="1:41">
      <c r="A1012" s="177">
        <f>IFERROR(MATCH(D1012,'Measure &amp; Standard CostIDs'!C$5:C$177,0),MATCH(D1012,'Measure &amp; Standard CostIDs'!S$5:S$177,0))</f>
        <v>18</v>
      </c>
      <c r="B1012" s="177">
        <f t="shared" si="53"/>
        <v>4</v>
      </c>
      <c r="C1012" s="103" t="s">
        <v>153</v>
      </c>
      <c r="D1012" s="103" t="str">
        <f t="shared" si="52"/>
        <v>CFLscw(26w)</v>
      </c>
      <c r="E1012" s="103" t="str">
        <f>IF(LEFT(D1012,3)="Std","Base case cost for mix of 60% Incandescent and 40% CFL lamps for CFL TechID: "&amp;INDEX('Measure &amp; Standard CostIDs'!$C$5:$C$177,A1012),"&lt;from TechID&gt;")</f>
        <v>&lt;from TechID&gt;</v>
      </c>
      <c r="F1012" s="103" t="s">
        <v>860</v>
      </c>
      <c r="G1012" s="103" t="s">
        <v>151</v>
      </c>
      <c r="H1012" s="103" t="s">
        <v>861</v>
      </c>
      <c r="I1012" s="103" t="s">
        <v>862</v>
      </c>
      <c r="J1012" s="103" t="s">
        <v>863</v>
      </c>
      <c r="K1012" s="103" t="s">
        <v>864</v>
      </c>
      <c r="L1012" s="103" t="s">
        <v>153</v>
      </c>
      <c r="M1012" s="103" t="s">
        <v>865</v>
      </c>
      <c r="N1012" s="103" t="s">
        <v>866</v>
      </c>
      <c r="O1012" s="103" t="str">
        <f t="shared" si="50"/>
        <v>CFLscw(26w)</v>
      </c>
      <c r="P1012" s="103" t="s">
        <v>153</v>
      </c>
      <c r="Q1012" s="103" t="s">
        <v>153</v>
      </c>
      <c r="R1012" s="103" t="s">
        <v>153</v>
      </c>
      <c r="S1012" s="103" t="str">
        <f>INDEX('Measure &amp; Standard CostIDs'!$AK$8:$AK$12,B1012)</f>
        <v>Three-pack</v>
      </c>
      <c r="T1012" s="103" t="s">
        <v>867</v>
      </c>
      <c r="U1012" s="103"/>
      <c r="V1012" s="103"/>
      <c r="W1012" s="103">
        <f>ROUND(IF(LEFT(D1012,3)="Std",VLOOKUP(D1012,'Measure &amp; Standard CostIDs'!$S$5:$X$177,1+B1012,FALSE),VLOOKUP(D1012,'Measure &amp; Standard CostIDs'!$C$5:$H$177,1+B1012,FALSE)),2)</f>
        <v>3.99</v>
      </c>
      <c r="X1012" s="103"/>
      <c r="Y1012" s="103"/>
      <c r="Z1012" s="103" t="s">
        <v>868</v>
      </c>
      <c r="AA1012" s="103" t="s">
        <v>874</v>
      </c>
      <c r="AB1012" s="103" t="s">
        <v>153</v>
      </c>
      <c r="AC1012" s="103">
        <v>0</v>
      </c>
      <c r="AD1012" s="156">
        <v>42005</v>
      </c>
      <c r="AE1012" s="103"/>
      <c r="AF1012" s="103" t="s">
        <v>870</v>
      </c>
      <c r="AG1012" s="103" t="s">
        <v>871</v>
      </c>
      <c r="AH1012" s="103" t="s">
        <v>976</v>
      </c>
      <c r="AI1012" s="103">
        <v>0</v>
      </c>
      <c r="AJ1012" s="103"/>
      <c r="AK1012" s="103"/>
      <c r="AL1012" s="103"/>
      <c r="AM1012" s="103"/>
      <c r="AN1012" s="103"/>
      <c r="AO1012" s="103" t="str">
        <f t="shared" si="51"/>
        <v>CFLscw(26w)Three-pack</v>
      </c>
    </row>
    <row r="1013" spans="1:41">
      <c r="A1013" s="177">
        <f>IFERROR(MATCH(D1013,'Measure &amp; Standard CostIDs'!C$5:C$177,0),MATCH(D1013,'Measure &amp; Standard CostIDs'!S$5:S$177,0))</f>
        <v>19</v>
      </c>
      <c r="B1013" s="177">
        <f t="shared" si="53"/>
        <v>4</v>
      </c>
      <c r="C1013" s="103" t="s">
        <v>153</v>
      </c>
      <c r="D1013" s="103" t="str">
        <f t="shared" si="52"/>
        <v>CFLscw(27w)</v>
      </c>
      <c r="E1013" s="103" t="str">
        <f>IF(LEFT(D1013,3)="Std","Base case cost for mix of 60% Incandescent and 40% CFL lamps for CFL TechID: "&amp;INDEX('Measure &amp; Standard CostIDs'!$C$5:$C$177,A1013),"&lt;from TechID&gt;")</f>
        <v>&lt;from TechID&gt;</v>
      </c>
      <c r="F1013" s="103" t="s">
        <v>860</v>
      </c>
      <c r="G1013" s="103" t="s">
        <v>151</v>
      </c>
      <c r="H1013" s="103" t="s">
        <v>861</v>
      </c>
      <c r="I1013" s="103" t="s">
        <v>862</v>
      </c>
      <c r="J1013" s="103" t="s">
        <v>863</v>
      </c>
      <c r="K1013" s="103" t="s">
        <v>864</v>
      </c>
      <c r="L1013" s="103" t="s">
        <v>153</v>
      </c>
      <c r="M1013" s="103" t="s">
        <v>865</v>
      </c>
      <c r="N1013" s="103" t="s">
        <v>866</v>
      </c>
      <c r="O1013" s="103" t="str">
        <f t="shared" si="50"/>
        <v>CFLscw(27w)</v>
      </c>
      <c r="P1013" s="103" t="s">
        <v>153</v>
      </c>
      <c r="Q1013" s="103" t="s">
        <v>153</v>
      </c>
      <c r="R1013" s="103" t="s">
        <v>153</v>
      </c>
      <c r="S1013" s="103" t="str">
        <f>INDEX('Measure &amp; Standard CostIDs'!$AK$8:$AK$12,B1013)</f>
        <v>Three-pack</v>
      </c>
      <c r="T1013" s="103" t="s">
        <v>867</v>
      </c>
      <c r="U1013" s="103"/>
      <c r="V1013" s="103"/>
      <c r="W1013" s="103">
        <f>ROUND(IF(LEFT(D1013,3)="Std",VLOOKUP(D1013,'Measure &amp; Standard CostIDs'!$S$5:$X$177,1+B1013,FALSE),VLOOKUP(D1013,'Measure &amp; Standard CostIDs'!$C$5:$H$177,1+B1013,FALSE)),2)</f>
        <v>4.1500000000000004</v>
      </c>
      <c r="X1013" s="103"/>
      <c r="Y1013" s="103"/>
      <c r="Z1013" s="103" t="s">
        <v>868</v>
      </c>
      <c r="AA1013" s="103" t="s">
        <v>874</v>
      </c>
      <c r="AB1013" s="103" t="s">
        <v>153</v>
      </c>
      <c r="AC1013" s="103">
        <v>0</v>
      </c>
      <c r="AD1013" s="156">
        <v>42005</v>
      </c>
      <c r="AE1013" s="103"/>
      <c r="AF1013" s="103" t="s">
        <v>870</v>
      </c>
      <c r="AG1013" s="103" t="s">
        <v>871</v>
      </c>
      <c r="AH1013" s="103" t="s">
        <v>976</v>
      </c>
      <c r="AI1013" s="103">
        <v>0</v>
      </c>
      <c r="AJ1013" s="103"/>
      <c r="AK1013" s="103"/>
      <c r="AL1013" s="103"/>
      <c r="AM1013" s="103"/>
      <c r="AN1013" s="103"/>
      <c r="AO1013" s="103" t="str">
        <f t="shared" si="51"/>
        <v>CFLscw(27w)Three-pack</v>
      </c>
    </row>
    <row r="1014" spans="1:41">
      <c r="A1014" s="177">
        <f>IFERROR(MATCH(D1014,'Measure &amp; Standard CostIDs'!C$5:C$177,0),MATCH(D1014,'Measure &amp; Standard CostIDs'!S$5:S$177,0))</f>
        <v>20</v>
      </c>
      <c r="B1014" s="177">
        <f t="shared" si="53"/>
        <v>4</v>
      </c>
      <c r="C1014" s="103" t="s">
        <v>153</v>
      </c>
      <c r="D1014" s="103" t="str">
        <f t="shared" si="52"/>
        <v>CFLscw(28w)</v>
      </c>
      <c r="E1014" s="103" t="str">
        <f>IF(LEFT(D1014,3)="Std","Base case cost for mix of 60% Incandescent and 40% CFL lamps for CFL TechID: "&amp;INDEX('Measure &amp; Standard CostIDs'!$C$5:$C$177,A1014),"&lt;from TechID&gt;")</f>
        <v>&lt;from TechID&gt;</v>
      </c>
      <c r="F1014" s="103" t="s">
        <v>860</v>
      </c>
      <c r="G1014" s="103" t="s">
        <v>151</v>
      </c>
      <c r="H1014" s="103" t="s">
        <v>861</v>
      </c>
      <c r="I1014" s="103" t="s">
        <v>862</v>
      </c>
      <c r="J1014" s="103" t="s">
        <v>863</v>
      </c>
      <c r="K1014" s="103" t="s">
        <v>864</v>
      </c>
      <c r="L1014" s="103" t="s">
        <v>153</v>
      </c>
      <c r="M1014" s="103" t="s">
        <v>865</v>
      </c>
      <c r="N1014" s="103" t="s">
        <v>866</v>
      </c>
      <c r="O1014" s="103" t="str">
        <f t="shared" si="50"/>
        <v>CFLscw(28w)</v>
      </c>
      <c r="P1014" s="103" t="s">
        <v>153</v>
      </c>
      <c r="Q1014" s="103" t="s">
        <v>153</v>
      </c>
      <c r="R1014" s="103" t="s">
        <v>153</v>
      </c>
      <c r="S1014" s="103" t="str">
        <f>INDEX('Measure &amp; Standard CostIDs'!$AK$8:$AK$12,B1014)</f>
        <v>Three-pack</v>
      </c>
      <c r="T1014" s="103" t="s">
        <v>867</v>
      </c>
      <c r="U1014" s="103"/>
      <c r="V1014" s="103"/>
      <c r="W1014" s="103">
        <f>ROUND(IF(LEFT(D1014,3)="Std",VLOOKUP(D1014,'Measure &amp; Standard CostIDs'!$S$5:$X$177,1+B1014,FALSE),VLOOKUP(D1014,'Measure &amp; Standard CostIDs'!$C$5:$H$177,1+B1014,FALSE)),2)</f>
        <v>4.3099999999999996</v>
      </c>
      <c r="X1014" s="103"/>
      <c r="Y1014" s="103"/>
      <c r="Z1014" s="103" t="s">
        <v>868</v>
      </c>
      <c r="AA1014" s="103" t="s">
        <v>874</v>
      </c>
      <c r="AB1014" s="103" t="s">
        <v>153</v>
      </c>
      <c r="AC1014" s="103">
        <v>0</v>
      </c>
      <c r="AD1014" s="156">
        <v>42005</v>
      </c>
      <c r="AE1014" s="103"/>
      <c r="AF1014" s="103" t="s">
        <v>870</v>
      </c>
      <c r="AG1014" s="103" t="s">
        <v>871</v>
      </c>
      <c r="AH1014" s="103" t="s">
        <v>976</v>
      </c>
      <c r="AI1014" s="103">
        <v>0</v>
      </c>
      <c r="AJ1014" s="103"/>
      <c r="AK1014" s="103"/>
      <c r="AL1014" s="103"/>
      <c r="AM1014" s="103"/>
      <c r="AN1014" s="103"/>
      <c r="AO1014" s="103" t="str">
        <f t="shared" si="51"/>
        <v>CFLscw(28w)Three-pack</v>
      </c>
    </row>
    <row r="1015" spans="1:41">
      <c r="A1015" s="177">
        <f>IFERROR(MATCH(D1015,'Measure &amp; Standard CostIDs'!C$5:C$177,0),MATCH(D1015,'Measure &amp; Standard CostIDs'!S$5:S$177,0))</f>
        <v>21</v>
      </c>
      <c r="B1015" s="177">
        <f t="shared" si="53"/>
        <v>4</v>
      </c>
      <c r="C1015" s="103" t="s">
        <v>153</v>
      </c>
      <c r="D1015" s="103" t="str">
        <f t="shared" si="52"/>
        <v>CFLscw(29w)</v>
      </c>
      <c r="E1015" s="103" t="str">
        <f>IF(LEFT(D1015,3)="Std","Base case cost for mix of 60% Incandescent and 40% CFL lamps for CFL TechID: "&amp;INDEX('Measure &amp; Standard CostIDs'!$C$5:$C$177,A1015),"&lt;from TechID&gt;")</f>
        <v>&lt;from TechID&gt;</v>
      </c>
      <c r="F1015" s="103" t="s">
        <v>860</v>
      </c>
      <c r="G1015" s="103" t="s">
        <v>151</v>
      </c>
      <c r="H1015" s="103" t="s">
        <v>861</v>
      </c>
      <c r="I1015" s="103" t="s">
        <v>862</v>
      </c>
      <c r="J1015" s="103" t="s">
        <v>863</v>
      </c>
      <c r="K1015" s="103" t="s">
        <v>864</v>
      </c>
      <c r="L1015" s="103" t="s">
        <v>153</v>
      </c>
      <c r="M1015" s="103" t="s">
        <v>865</v>
      </c>
      <c r="N1015" s="103" t="s">
        <v>866</v>
      </c>
      <c r="O1015" s="103" t="str">
        <f t="shared" si="50"/>
        <v>CFLscw(29w)</v>
      </c>
      <c r="P1015" s="103" t="s">
        <v>153</v>
      </c>
      <c r="Q1015" s="103" t="s">
        <v>153</v>
      </c>
      <c r="R1015" s="103" t="s">
        <v>153</v>
      </c>
      <c r="S1015" s="103" t="str">
        <f>INDEX('Measure &amp; Standard CostIDs'!$AK$8:$AK$12,B1015)</f>
        <v>Three-pack</v>
      </c>
      <c r="T1015" s="103" t="s">
        <v>867</v>
      </c>
      <c r="U1015" s="103"/>
      <c r="V1015" s="103"/>
      <c r="W1015" s="103">
        <f>ROUND(IF(LEFT(D1015,3)="Std",VLOOKUP(D1015,'Measure &amp; Standard CostIDs'!$S$5:$X$177,1+B1015,FALSE),VLOOKUP(D1015,'Measure &amp; Standard CostIDs'!$C$5:$H$177,1+B1015,FALSE)),2)</f>
        <v>4.47</v>
      </c>
      <c r="X1015" s="103"/>
      <c r="Y1015" s="103"/>
      <c r="Z1015" s="103" t="s">
        <v>868</v>
      </c>
      <c r="AA1015" s="103" t="s">
        <v>874</v>
      </c>
      <c r="AB1015" s="103" t="s">
        <v>153</v>
      </c>
      <c r="AC1015" s="103">
        <v>0</v>
      </c>
      <c r="AD1015" s="156">
        <v>42005</v>
      </c>
      <c r="AE1015" s="103"/>
      <c r="AF1015" s="103" t="s">
        <v>870</v>
      </c>
      <c r="AG1015" s="103" t="s">
        <v>871</v>
      </c>
      <c r="AH1015" s="103" t="s">
        <v>976</v>
      </c>
      <c r="AI1015" s="103">
        <v>0</v>
      </c>
      <c r="AJ1015" s="103"/>
      <c r="AK1015" s="103"/>
      <c r="AL1015" s="103"/>
      <c r="AM1015" s="103"/>
      <c r="AN1015" s="103"/>
      <c r="AO1015" s="103" t="str">
        <f t="shared" si="51"/>
        <v>CFLscw(29w)Three-pack</v>
      </c>
    </row>
    <row r="1016" spans="1:41">
      <c r="A1016" s="177">
        <f>IFERROR(MATCH(D1016,'Measure &amp; Standard CostIDs'!C$5:C$177,0),MATCH(D1016,'Measure &amp; Standard CostIDs'!S$5:S$177,0))</f>
        <v>22</v>
      </c>
      <c r="B1016" s="177">
        <f t="shared" si="53"/>
        <v>4</v>
      </c>
      <c r="C1016" s="103" t="s">
        <v>153</v>
      </c>
      <c r="D1016" s="103" t="str">
        <f t="shared" si="52"/>
        <v>CFLscw(30w)</v>
      </c>
      <c r="E1016" s="103" t="str">
        <f>IF(LEFT(D1016,3)="Std","Base case cost for mix of 60% Incandescent and 40% CFL lamps for CFL TechID: "&amp;INDEX('Measure &amp; Standard CostIDs'!$C$5:$C$177,A1016),"&lt;from TechID&gt;")</f>
        <v>&lt;from TechID&gt;</v>
      </c>
      <c r="F1016" s="103" t="s">
        <v>860</v>
      </c>
      <c r="G1016" s="103" t="s">
        <v>151</v>
      </c>
      <c r="H1016" s="103" t="s">
        <v>861</v>
      </c>
      <c r="I1016" s="103" t="s">
        <v>862</v>
      </c>
      <c r="J1016" s="103" t="s">
        <v>863</v>
      </c>
      <c r="K1016" s="103" t="s">
        <v>864</v>
      </c>
      <c r="L1016" s="103" t="s">
        <v>153</v>
      </c>
      <c r="M1016" s="103" t="s">
        <v>865</v>
      </c>
      <c r="N1016" s="103" t="s">
        <v>866</v>
      </c>
      <c r="O1016" s="103" t="str">
        <f t="shared" si="50"/>
        <v>CFLscw(30w)</v>
      </c>
      <c r="P1016" s="103" t="s">
        <v>153</v>
      </c>
      <c r="Q1016" s="103" t="s">
        <v>153</v>
      </c>
      <c r="R1016" s="103" t="s">
        <v>153</v>
      </c>
      <c r="S1016" s="103" t="str">
        <f>INDEX('Measure &amp; Standard CostIDs'!$AK$8:$AK$12,B1016)</f>
        <v>Three-pack</v>
      </c>
      <c r="T1016" s="103" t="s">
        <v>867</v>
      </c>
      <c r="U1016" s="103"/>
      <c r="V1016" s="103"/>
      <c r="W1016" s="103">
        <f>ROUND(IF(LEFT(D1016,3)="Std",VLOOKUP(D1016,'Measure &amp; Standard CostIDs'!$S$5:$X$177,1+B1016,FALSE),VLOOKUP(D1016,'Measure &amp; Standard CostIDs'!$C$5:$H$177,1+B1016,FALSE)),2)</f>
        <v>4.63</v>
      </c>
      <c r="X1016" s="103"/>
      <c r="Y1016" s="103"/>
      <c r="Z1016" s="103" t="s">
        <v>868</v>
      </c>
      <c r="AA1016" s="103" t="s">
        <v>874</v>
      </c>
      <c r="AB1016" s="103" t="s">
        <v>153</v>
      </c>
      <c r="AC1016" s="103">
        <v>0</v>
      </c>
      <c r="AD1016" s="156">
        <v>42005</v>
      </c>
      <c r="AE1016" s="103"/>
      <c r="AF1016" s="103" t="s">
        <v>870</v>
      </c>
      <c r="AG1016" s="103" t="s">
        <v>871</v>
      </c>
      <c r="AH1016" s="103" t="s">
        <v>976</v>
      </c>
      <c r="AI1016" s="103">
        <v>0</v>
      </c>
      <c r="AJ1016" s="103"/>
      <c r="AK1016" s="103"/>
      <c r="AL1016" s="103"/>
      <c r="AM1016" s="103"/>
      <c r="AN1016" s="103"/>
      <c r="AO1016" s="103" t="str">
        <f t="shared" si="51"/>
        <v>CFLscw(30w)Three-pack</v>
      </c>
    </row>
    <row r="1017" spans="1:41">
      <c r="A1017" s="177">
        <f>IFERROR(MATCH(D1017,'Measure &amp; Standard CostIDs'!C$5:C$177,0),MATCH(D1017,'Measure &amp; Standard CostIDs'!S$5:S$177,0))</f>
        <v>23</v>
      </c>
      <c r="B1017" s="177">
        <f t="shared" si="53"/>
        <v>4</v>
      </c>
      <c r="C1017" s="103" t="s">
        <v>153</v>
      </c>
      <c r="D1017" s="103" t="str">
        <f t="shared" si="52"/>
        <v>CFLscw(31w)</v>
      </c>
      <c r="E1017" s="103" t="str">
        <f>IF(LEFT(D1017,3)="Std","Base case cost for mix of 60% Incandescent and 40% CFL lamps for CFL TechID: "&amp;INDEX('Measure &amp; Standard CostIDs'!$C$5:$C$177,A1017),"&lt;from TechID&gt;")</f>
        <v>&lt;from TechID&gt;</v>
      </c>
      <c r="F1017" s="103" t="s">
        <v>860</v>
      </c>
      <c r="G1017" s="103" t="s">
        <v>151</v>
      </c>
      <c r="H1017" s="103" t="s">
        <v>861</v>
      </c>
      <c r="I1017" s="103" t="s">
        <v>862</v>
      </c>
      <c r="J1017" s="103" t="s">
        <v>863</v>
      </c>
      <c r="K1017" s="103" t="s">
        <v>864</v>
      </c>
      <c r="L1017" s="103" t="s">
        <v>153</v>
      </c>
      <c r="M1017" s="103" t="s">
        <v>865</v>
      </c>
      <c r="N1017" s="103" t="s">
        <v>866</v>
      </c>
      <c r="O1017" s="103" t="str">
        <f t="shared" si="50"/>
        <v>CFLscw(31w)</v>
      </c>
      <c r="P1017" s="103" t="s">
        <v>153</v>
      </c>
      <c r="Q1017" s="103" t="s">
        <v>153</v>
      </c>
      <c r="R1017" s="103" t="s">
        <v>153</v>
      </c>
      <c r="S1017" s="103" t="str">
        <f>INDEX('Measure &amp; Standard CostIDs'!$AK$8:$AK$12,B1017)</f>
        <v>Three-pack</v>
      </c>
      <c r="T1017" s="103" t="s">
        <v>867</v>
      </c>
      <c r="U1017" s="103"/>
      <c r="V1017" s="103"/>
      <c r="W1017" s="103">
        <f>ROUND(IF(LEFT(D1017,3)="Std",VLOOKUP(D1017,'Measure &amp; Standard CostIDs'!$S$5:$X$177,1+B1017,FALSE),VLOOKUP(D1017,'Measure &amp; Standard CostIDs'!$C$5:$H$177,1+B1017,FALSE)),2)</f>
        <v>4.79</v>
      </c>
      <c r="X1017" s="103"/>
      <c r="Y1017" s="103"/>
      <c r="Z1017" s="103" t="s">
        <v>868</v>
      </c>
      <c r="AA1017" s="103" t="s">
        <v>874</v>
      </c>
      <c r="AB1017" s="103" t="s">
        <v>153</v>
      </c>
      <c r="AC1017" s="103">
        <v>0</v>
      </c>
      <c r="AD1017" s="156">
        <v>42005</v>
      </c>
      <c r="AE1017" s="103"/>
      <c r="AF1017" s="103" t="s">
        <v>870</v>
      </c>
      <c r="AG1017" s="103" t="s">
        <v>871</v>
      </c>
      <c r="AH1017" s="103" t="s">
        <v>976</v>
      </c>
      <c r="AI1017" s="103">
        <v>0</v>
      </c>
      <c r="AJ1017" s="103"/>
      <c r="AK1017" s="103"/>
      <c r="AL1017" s="103"/>
      <c r="AM1017" s="103"/>
      <c r="AN1017" s="103"/>
      <c r="AO1017" s="103" t="str">
        <f t="shared" si="51"/>
        <v>CFLscw(31w)Three-pack</v>
      </c>
    </row>
    <row r="1018" spans="1:41">
      <c r="A1018" s="177">
        <f>IFERROR(MATCH(D1018,'Measure &amp; Standard CostIDs'!C$5:C$177,0),MATCH(D1018,'Measure &amp; Standard CostIDs'!S$5:S$177,0))</f>
        <v>24</v>
      </c>
      <c r="B1018" s="177">
        <f t="shared" si="53"/>
        <v>4</v>
      </c>
      <c r="C1018" s="103" t="s">
        <v>153</v>
      </c>
      <c r="D1018" s="103" t="str">
        <f t="shared" si="52"/>
        <v>CFLscw(32w)</v>
      </c>
      <c r="E1018" s="103" t="str">
        <f>IF(LEFT(D1018,3)="Std","Base case cost for mix of 60% Incandescent and 40% CFL lamps for CFL TechID: "&amp;INDEX('Measure &amp; Standard CostIDs'!$C$5:$C$177,A1018),"&lt;from TechID&gt;")</f>
        <v>&lt;from TechID&gt;</v>
      </c>
      <c r="F1018" s="103" t="s">
        <v>860</v>
      </c>
      <c r="G1018" s="103" t="s">
        <v>151</v>
      </c>
      <c r="H1018" s="103" t="s">
        <v>861</v>
      </c>
      <c r="I1018" s="103" t="s">
        <v>862</v>
      </c>
      <c r="J1018" s="103" t="s">
        <v>863</v>
      </c>
      <c r="K1018" s="103" t="s">
        <v>864</v>
      </c>
      <c r="L1018" s="103" t="s">
        <v>153</v>
      </c>
      <c r="M1018" s="103" t="s">
        <v>865</v>
      </c>
      <c r="N1018" s="103" t="s">
        <v>866</v>
      </c>
      <c r="O1018" s="103" t="str">
        <f t="shared" si="50"/>
        <v>CFLscw(32w)</v>
      </c>
      <c r="P1018" s="103" t="s">
        <v>153</v>
      </c>
      <c r="Q1018" s="103" t="s">
        <v>153</v>
      </c>
      <c r="R1018" s="103" t="s">
        <v>153</v>
      </c>
      <c r="S1018" s="103" t="str">
        <f>INDEX('Measure &amp; Standard CostIDs'!$AK$8:$AK$12,B1018)</f>
        <v>Three-pack</v>
      </c>
      <c r="T1018" s="103" t="s">
        <v>867</v>
      </c>
      <c r="U1018" s="103"/>
      <c r="V1018" s="103"/>
      <c r="W1018" s="103">
        <f>ROUND(IF(LEFT(D1018,3)="Std",VLOOKUP(D1018,'Measure &amp; Standard CostIDs'!$S$5:$X$177,1+B1018,FALSE),VLOOKUP(D1018,'Measure &amp; Standard CostIDs'!$C$5:$H$177,1+B1018,FALSE)),2)</f>
        <v>4.95</v>
      </c>
      <c r="X1018" s="103"/>
      <c r="Y1018" s="103"/>
      <c r="Z1018" s="103" t="s">
        <v>868</v>
      </c>
      <c r="AA1018" s="103" t="s">
        <v>874</v>
      </c>
      <c r="AB1018" s="103" t="s">
        <v>153</v>
      </c>
      <c r="AC1018" s="103">
        <v>0</v>
      </c>
      <c r="AD1018" s="156">
        <v>42005</v>
      </c>
      <c r="AE1018" s="103"/>
      <c r="AF1018" s="103" t="s">
        <v>870</v>
      </c>
      <c r="AG1018" s="103" t="s">
        <v>871</v>
      </c>
      <c r="AH1018" s="103" t="s">
        <v>976</v>
      </c>
      <c r="AI1018" s="103">
        <v>0</v>
      </c>
      <c r="AJ1018" s="103"/>
      <c r="AK1018" s="103"/>
      <c r="AL1018" s="103"/>
      <c r="AM1018" s="103"/>
      <c r="AN1018" s="103"/>
      <c r="AO1018" s="103" t="str">
        <f t="shared" si="51"/>
        <v>CFLscw(32w)Three-pack</v>
      </c>
    </row>
    <row r="1019" spans="1:41">
      <c r="A1019" s="177">
        <f>IFERROR(MATCH(D1019,'Measure &amp; Standard CostIDs'!C$5:C$177,0),MATCH(D1019,'Measure &amp; Standard CostIDs'!S$5:S$177,0))</f>
        <v>25</v>
      </c>
      <c r="B1019" s="177">
        <f t="shared" si="53"/>
        <v>4</v>
      </c>
      <c r="C1019" s="103" t="s">
        <v>153</v>
      </c>
      <c r="D1019" s="103" t="str">
        <f t="shared" si="52"/>
        <v>CFLscw(33w)</v>
      </c>
      <c r="E1019" s="103" t="str">
        <f>IF(LEFT(D1019,3)="Std","Base case cost for mix of 60% Incandescent and 40% CFL lamps for CFL TechID: "&amp;INDEX('Measure &amp; Standard CostIDs'!$C$5:$C$177,A1019),"&lt;from TechID&gt;")</f>
        <v>&lt;from TechID&gt;</v>
      </c>
      <c r="F1019" s="103" t="s">
        <v>860</v>
      </c>
      <c r="G1019" s="103" t="s">
        <v>151</v>
      </c>
      <c r="H1019" s="103" t="s">
        <v>861</v>
      </c>
      <c r="I1019" s="103" t="s">
        <v>862</v>
      </c>
      <c r="J1019" s="103" t="s">
        <v>863</v>
      </c>
      <c r="K1019" s="103" t="s">
        <v>864</v>
      </c>
      <c r="L1019" s="103" t="s">
        <v>153</v>
      </c>
      <c r="M1019" s="103" t="s">
        <v>865</v>
      </c>
      <c r="N1019" s="103" t="s">
        <v>866</v>
      </c>
      <c r="O1019" s="103" t="str">
        <f t="shared" si="50"/>
        <v>CFLscw(33w)</v>
      </c>
      <c r="P1019" s="103" t="s">
        <v>153</v>
      </c>
      <c r="Q1019" s="103" t="s">
        <v>153</v>
      </c>
      <c r="R1019" s="103" t="s">
        <v>153</v>
      </c>
      <c r="S1019" s="103" t="str">
        <f>INDEX('Measure &amp; Standard CostIDs'!$AK$8:$AK$12,B1019)</f>
        <v>Three-pack</v>
      </c>
      <c r="T1019" s="103" t="s">
        <v>867</v>
      </c>
      <c r="U1019" s="103"/>
      <c r="V1019" s="103"/>
      <c r="W1019" s="103">
        <f>ROUND(IF(LEFT(D1019,3)="Std",VLOOKUP(D1019,'Measure &amp; Standard CostIDs'!$S$5:$X$177,1+B1019,FALSE),VLOOKUP(D1019,'Measure &amp; Standard CostIDs'!$C$5:$H$177,1+B1019,FALSE)),2)</f>
        <v>5.1100000000000003</v>
      </c>
      <c r="X1019" s="103"/>
      <c r="Y1019" s="103"/>
      <c r="Z1019" s="103" t="s">
        <v>868</v>
      </c>
      <c r="AA1019" s="103" t="s">
        <v>874</v>
      </c>
      <c r="AB1019" s="103" t="s">
        <v>153</v>
      </c>
      <c r="AC1019" s="103">
        <v>0</v>
      </c>
      <c r="AD1019" s="156">
        <v>42005</v>
      </c>
      <c r="AE1019" s="103"/>
      <c r="AF1019" s="103" t="s">
        <v>870</v>
      </c>
      <c r="AG1019" s="103" t="s">
        <v>871</v>
      </c>
      <c r="AH1019" s="103" t="s">
        <v>976</v>
      </c>
      <c r="AI1019" s="103">
        <v>0</v>
      </c>
      <c r="AJ1019" s="103"/>
      <c r="AK1019" s="103"/>
      <c r="AL1019" s="103"/>
      <c r="AM1019" s="103"/>
      <c r="AN1019" s="103"/>
      <c r="AO1019" s="103" t="str">
        <f t="shared" si="51"/>
        <v>CFLscw(33w)Three-pack</v>
      </c>
    </row>
    <row r="1020" spans="1:41">
      <c r="A1020" s="177">
        <f>IFERROR(MATCH(D1020,'Measure &amp; Standard CostIDs'!C$5:C$177,0),MATCH(D1020,'Measure &amp; Standard CostIDs'!S$5:S$177,0))</f>
        <v>26</v>
      </c>
      <c r="B1020" s="177">
        <f t="shared" si="53"/>
        <v>4</v>
      </c>
      <c r="C1020" s="103" t="s">
        <v>153</v>
      </c>
      <c r="D1020" s="103" t="str">
        <f t="shared" si="52"/>
        <v>CFLscw(36w)</v>
      </c>
      <c r="E1020" s="103" t="str">
        <f>IF(LEFT(D1020,3)="Std","Base case cost for mix of 60% Incandescent and 40% CFL lamps for CFL TechID: "&amp;INDEX('Measure &amp; Standard CostIDs'!$C$5:$C$177,A1020),"&lt;from TechID&gt;")</f>
        <v>&lt;from TechID&gt;</v>
      </c>
      <c r="F1020" s="103" t="s">
        <v>860</v>
      </c>
      <c r="G1020" s="103" t="s">
        <v>151</v>
      </c>
      <c r="H1020" s="103" t="s">
        <v>861</v>
      </c>
      <c r="I1020" s="103" t="s">
        <v>862</v>
      </c>
      <c r="J1020" s="103" t="s">
        <v>863</v>
      </c>
      <c r="K1020" s="103" t="s">
        <v>864</v>
      </c>
      <c r="L1020" s="103" t="s">
        <v>153</v>
      </c>
      <c r="M1020" s="103" t="s">
        <v>865</v>
      </c>
      <c r="N1020" s="103" t="s">
        <v>866</v>
      </c>
      <c r="O1020" s="103" t="str">
        <f t="shared" si="50"/>
        <v>CFLscw(36w)</v>
      </c>
      <c r="P1020" s="103" t="s">
        <v>153</v>
      </c>
      <c r="Q1020" s="103" t="s">
        <v>153</v>
      </c>
      <c r="R1020" s="103" t="s">
        <v>153</v>
      </c>
      <c r="S1020" s="103" t="str">
        <f>INDEX('Measure &amp; Standard CostIDs'!$AK$8:$AK$12,B1020)</f>
        <v>Three-pack</v>
      </c>
      <c r="T1020" s="103" t="s">
        <v>867</v>
      </c>
      <c r="U1020" s="103"/>
      <c r="V1020" s="103"/>
      <c r="W1020" s="103">
        <f>ROUND(IF(LEFT(D1020,3)="Std",VLOOKUP(D1020,'Measure &amp; Standard CostIDs'!$S$5:$X$177,1+B1020,FALSE),VLOOKUP(D1020,'Measure &amp; Standard CostIDs'!$C$5:$H$177,1+B1020,FALSE)),2)</f>
        <v>5.59</v>
      </c>
      <c r="X1020" s="103"/>
      <c r="Y1020" s="103"/>
      <c r="Z1020" s="103" t="s">
        <v>868</v>
      </c>
      <c r="AA1020" s="103" t="s">
        <v>874</v>
      </c>
      <c r="AB1020" s="103" t="s">
        <v>153</v>
      </c>
      <c r="AC1020" s="103">
        <v>0</v>
      </c>
      <c r="AD1020" s="156">
        <v>42005</v>
      </c>
      <c r="AE1020" s="103"/>
      <c r="AF1020" s="103" t="s">
        <v>870</v>
      </c>
      <c r="AG1020" s="103" t="s">
        <v>871</v>
      </c>
      <c r="AH1020" s="103" t="s">
        <v>976</v>
      </c>
      <c r="AI1020" s="103">
        <v>0</v>
      </c>
      <c r="AJ1020" s="103"/>
      <c r="AK1020" s="103"/>
      <c r="AL1020" s="103"/>
      <c r="AM1020" s="103"/>
      <c r="AN1020" s="103"/>
      <c r="AO1020" s="103" t="str">
        <f t="shared" si="51"/>
        <v>CFLscw(36w)Three-pack</v>
      </c>
    </row>
    <row r="1021" spans="1:41">
      <c r="A1021" s="177">
        <f>IFERROR(MATCH(D1021,'Measure &amp; Standard CostIDs'!C$5:C$177,0),MATCH(D1021,'Measure &amp; Standard CostIDs'!S$5:S$177,0))</f>
        <v>27</v>
      </c>
      <c r="B1021" s="177">
        <f t="shared" si="53"/>
        <v>4</v>
      </c>
      <c r="C1021" s="103" t="s">
        <v>153</v>
      </c>
      <c r="D1021" s="103" t="str">
        <f t="shared" si="52"/>
        <v>CFLscw(38w)</v>
      </c>
      <c r="E1021" s="103" t="str">
        <f>IF(LEFT(D1021,3)="Std","Base case cost for mix of 60% Incandescent and 40% CFL lamps for CFL TechID: "&amp;INDEX('Measure &amp; Standard CostIDs'!$C$5:$C$177,A1021),"&lt;from TechID&gt;")</f>
        <v>&lt;from TechID&gt;</v>
      </c>
      <c r="F1021" s="103" t="s">
        <v>860</v>
      </c>
      <c r="G1021" s="103" t="s">
        <v>151</v>
      </c>
      <c r="H1021" s="103" t="s">
        <v>861</v>
      </c>
      <c r="I1021" s="103" t="s">
        <v>862</v>
      </c>
      <c r="J1021" s="103" t="s">
        <v>863</v>
      </c>
      <c r="K1021" s="103" t="s">
        <v>864</v>
      </c>
      <c r="L1021" s="103" t="s">
        <v>153</v>
      </c>
      <c r="M1021" s="103" t="s">
        <v>865</v>
      </c>
      <c r="N1021" s="103" t="s">
        <v>866</v>
      </c>
      <c r="O1021" s="103" t="str">
        <f t="shared" si="50"/>
        <v>CFLscw(38w)</v>
      </c>
      <c r="P1021" s="103" t="s">
        <v>153</v>
      </c>
      <c r="Q1021" s="103" t="s">
        <v>153</v>
      </c>
      <c r="R1021" s="103" t="s">
        <v>153</v>
      </c>
      <c r="S1021" s="103" t="str">
        <f>INDEX('Measure &amp; Standard CostIDs'!$AK$8:$AK$12,B1021)</f>
        <v>Three-pack</v>
      </c>
      <c r="T1021" s="103" t="s">
        <v>867</v>
      </c>
      <c r="U1021" s="103"/>
      <c r="V1021" s="103"/>
      <c r="W1021" s="103">
        <f>ROUND(IF(LEFT(D1021,3)="Std",VLOOKUP(D1021,'Measure &amp; Standard CostIDs'!$S$5:$X$177,1+B1021,FALSE),VLOOKUP(D1021,'Measure &amp; Standard CostIDs'!$C$5:$H$177,1+B1021,FALSE)),2)</f>
        <v>5.91</v>
      </c>
      <c r="X1021" s="103"/>
      <c r="Y1021" s="103"/>
      <c r="Z1021" s="103" t="s">
        <v>868</v>
      </c>
      <c r="AA1021" s="103" t="s">
        <v>874</v>
      </c>
      <c r="AB1021" s="103" t="s">
        <v>153</v>
      </c>
      <c r="AC1021" s="103">
        <v>0</v>
      </c>
      <c r="AD1021" s="156">
        <v>42005</v>
      </c>
      <c r="AE1021" s="103"/>
      <c r="AF1021" s="103" t="s">
        <v>870</v>
      </c>
      <c r="AG1021" s="103" t="s">
        <v>871</v>
      </c>
      <c r="AH1021" s="103" t="s">
        <v>976</v>
      </c>
      <c r="AI1021" s="103">
        <v>0</v>
      </c>
      <c r="AJ1021" s="103"/>
      <c r="AK1021" s="103"/>
      <c r="AL1021" s="103"/>
      <c r="AM1021" s="103"/>
      <c r="AN1021" s="103"/>
      <c r="AO1021" s="103" t="str">
        <f t="shared" si="51"/>
        <v>CFLscw(38w)Three-pack</v>
      </c>
    </row>
    <row r="1022" spans="1:41">
      <c r="A1022" s="177">
        <f>IFERROR(MATCH(D1022,'Measure &amp; Standard CostIDs'!C$5:C$177,0),MATCH(D1022,'Measure &amp; Standard CostIDs'!S$5:S$177,0))</f>
        <v>28</v>
      </c>
      <c r="B1022" s="177">
        <f t="shared" si="53"/>
        <v>4</v>
      </c>
      <c r="C1022" s="103" t="s">
        <v>153</v>
      </c>
      <c r="D1022" s="103" t="str">
        <f t="shared" si="52"/>
        <v>CFLscw(39w)</v>
      </c>
      <c r="E1022" s="103" t="str">
        <f>IF(LEFT(D1022,3)="Std","Base case cost for mix of 60% Incandescent and 40% CFL lamps for CFL TechID: "&amp;INDEX('Measure &amp; Standard CostIDs'!$C$5:$C$177,A1022),"&lt;from TechID&gt;")</f>
        <v>&lt;from TechID&gt;</v>
      </c>
      <c r="F1022" s="103" t="s">
        <v>860</v>
      </c>
      <c r="G1022" s="103" t="s">
        <v>151</v>
      </c>
      <c r="H1022" s="103" t="s">
        <v>861</v>
      </c>
      <c r="I1022" s="103" t="s">
        <v>862</v>
      </c>
      <c r="J1022" s="103" t="s">
        <v>863</v>
      </c>
      <c r="K1022" s="103" t="s">
        <v>864</v>
      </c>
      <c r="L1022" s="103" t="s">
        <v>153</v>
      </c>
      <c r="M1022" s="103" t="s">
        <v>865</v>
      </c>
      <c r="N1022" s="103" t="s">
        <v>866</v>
      </c>
      <c r="O1022" s="103" t="str">
        <f t="shared" si="50"/>
        <v>CFLscw(39w)</v>
      </c>
      <c r="P1022" s="103" t="s">
        <v>153</v>
      </c>
      <c r="Q1022" s="103" t="s">
        <v>153</v>
      </c>
      <c r="R1022" s="103" t="s">
        <v>153</v>
      </c>
      <c r="S1022" s="103" t="str">
        <f>INDEX('Measure &amp; Standard CostIDs'!$AK$8:$AK$12,B1022)</f>
        <v>Three-pack</v>
      </c>
      <c r="T1022" s="103" t="s">
        <v>867</v>
      </c>
      <c r="U1022" s="103"/>
      <c r="V1022" s="103"/>
      <c r="W1022" s="103">
        <f>ROUND(IF(LEFT(D1022,3)="Std",VLOOKUP(D1022,'Measure &amp; Standard CostIDs'!$S$5:$X$177,1+B1022,FALSE),VLOOKUP(D1022,'Measure &amp; Standard CostIDs'!$C$5:$H$177,1+B1022,FALSE)),2)</f>
        <v>6.07</v>
      </c>
      <c r="X1022" s="103"/>
      <c r="Y1022" s="103"/>
      <c r="Z1022" s="103" t="s">
        <v>868</v>
      </c>
      <c r="AA1022" s="103" t="s">
        <v>874</v>
      </c>
      <c r="AB1022" s="103" t="s">
        <v>153</v>
      </c>
      <c r="AC1022" s="103">
        <v>0</v>
      </c>
      <c r="AD1022" s="156">
        <v>42005</v>
      </c>
      <c r="AE1022" s="103"/>
      <c r="AF1022" s="103" t="s">
        <v>870</v>
      </c>
      <c r="AG1022" s="103" t="s">
        <v>871</v>
      </c>
      <c r="AH1022" s="103" t="s">
        <v>976</v>
      </c>
      <c r="AI1022" s="103">
        <v>0</v>
      </c>
      <c r="AJ1022" s="103"/>
      <c r="AK1022" s="103"/>
      <c r="AL1022" s="103"/>
      <c r="AM1022" s="103"/>
      <c r="AN1022" s="103"/>
      <c r="AO1022" s="103" t="str">
        <f t="shared" si="51"/>
        <v>CFLscw(39w)Three-pack</v>
      </c>
    </row>
    <row r="1023" spans="1:41">
      <c r="A1023" s="177">
        <f>IFERROR(MATCH(D1023,'Measure &amp; Standard CostIDs'!C$5:C$177,0),MATCH(D1023,'Measure &amp; Standard CostIDs'!S$5:S$177,0))</f>
        <v>29</v>
      </c>
      <c r="B1023" s="177">
        <f t="shared" si="53"/>
        <v>4</v>
      </c>
      <c r="C1023" s="103" t="s">
        <v>153</v>
      </c>
      <c r="D1023" s="103" t="str">
        <f t="shared" si="52"/>
        <v>CFLscw(3w)</v>
      </c>
      <c r="E1023" s="103" t="str">
        <f>IF(LEFT(D1023,3)="Std","Base case cost for mix of 60% Incandescent and 40% CFL lamps for CFL TechID: "&amp;INDEX('Measure &amp; Standard CostIDs'!$C$5:$C$177,A1023),"&lt;from TechID&gt;")</f>
        <v>&lt;from TechID&gt;</v>
      </c>
      <c r="F1023" s="103" t="s">
        <v>860</v>
      </c>
      <c r="G1023" s="103" t="s">
        <v>151</v>
      </c>
      <c r="H1023" s="103" t="s">
        <v>861</v>
      </c>
      <c r="I1023" s="103" t="s">
        <v>862</v>
      </c>
      <c r="J1023" s="103" t="s">
        <v>863</v>
      </c>
      <c r="K1023" s="103" t="s">
        <v>864</v>
      </c>
      <c r="L1023" s="103" t="s">
        <v>153</v>
      </c>
      <c r="M1023" s="103" t="s">
        <v>865</v>
      </c>
      <c r="N1023" s="103" t="s">
        <v>866</v>
      </c>
      <c r="O1023" s="103" t="str">
        <f t="shared" si="50"/>
        <v>CFLscw(3w)</v>
      </c>
      <c r="P1023" s="103" t="s">
        <v>153</v>
      </c>
      <c r="Q1023" s="103" t="s">
        <v>153</v>
      </c>
      <c r="R1023" s="103" t="s">
        <v>153</v>
      </c>
      <c r="S1023" s="103" t="str">
        <f>INDEX('Measure &amp; Standard CostIDs'!$AK$8:$AK$12,B1023)</f>
        <v>Three-pack</v>
      </c>
      <c r="T1023" s="103" t="s">
        <v>867</v>
      </c>
      <c r="U1023" s="103"/>
      <c r="V1023" s="103"/>
      <c r="W1023" s="103">
        <f>ROUND(IF(LEFT(D1023,3)="Std",VLOOKUP(D1023,'Measure &amp; Standard CostIDs'!$S$5:$X$177,1+B1023,FALSE),VLOOKUP(D1023,'Measure &amp; Standard CostIDs'!$C$5:$H$177,1+B1023,FALSE)),2)</f>
        <v>2.37</v>
      </c>
      <c r="X1023" s="103"/>
      <c r="Y1023" s="103"/>
      <c r="Z1023" s="103" t="s">
        <v>868</v>
      </c>
      <c r="AA1023" s="103" t="s">
        <v>874</v>
      </c>
      <c r="AB1023" s="103" t="s">
        <v>153</v>
      </c>
      <c r="AC1023" s="103">
        <v>0</v>
      </c>
      <c r="AD1023" s="156">
        <v>42005</v>
      </c>
      <c r="AE1023" s="103"/>
      <c r="AF1023" s="103" t="s">
        <v>870</v>
      </c>
      <c r="AG1023" s="103" t="s">
        <v>871</v>
      </c>
      <c r="AH1023" s="103" t="s">
        <v>976</v>
      </c>
      <c r="AI1023" s="103">
        <v>0</v>
      </c>
      <c r="AJ1023" s="103"/>
      <c r="AK1023" s="103"/>
      <c r="AL1023" s="103"/>
      <c r="AM1023" s="103"/>
      <c r="AN1023" s="103"/>
      <c r="AO1023" s="103" t="str">
        <f t="shared" si="51"/>
        <v>CFLscw(3w)Three-pack</v>
      </c>
    </row>
    <row r="1024" spans="1:41">
      <c r="A1024" s="177">
        <f>IFERROR(MATCH(D1024,'Measure &amp; Standard CostIDs'!C$5:C$177,0),MATCH(D1024,'Measure &amp; Standard CostIDs'!S$5:S$177,0))</f>
        <v>30</v>
      </c>
      <c r="B1024" s="177">
        <f t="shared" si="53"/>
        <v>4</v>
      </c>
      <c r="C1024" s="103" t="s">
        <v>153</v>
      </c>
      <c r="D1024" s="103" t="str">
        <f t="shared" si="52"/>
        <v>CFLscw(40w)</v>
      </c>
      <c r="E1024" s="103" t="str">
        <f>IF(LEFT(D1024,3)="Std","Base case cost for mix of 60% Incandescent and 40% CFL lamps for CFL TechID: "&amp;INDEX('Measure &amp; Standard CostIDs'!$C$5:$C$177,A1024),"&lt;from TechID&gt;")</f>
        <v>&lt;from TechID&gt;</v>
      </c>
      <c r="F1024" s="103" t="s">
        <v>860</v>
      </c>
      <c r="G1024" s="103" t="s">
        <v>151</v>
      </c>
      <c r="H1024" s="103" t="s">
        <v>861</v>
      </c>
      <c r="I1024" s="103" t="s">
        <v>862</v>
      </c>
      <c r="J1024" s="103" t="s">
        <v>863</v>
      </c>
      <c r="K1024" s="103" t="s">
        <v>864</v>
      </c>
      <c r="L1024" s="103" t="s">
        <v>153</v>
      </c>
      <c r="M1024" s="103" t="s">
        <v>865</v>
      </c>
      <c r="N1024" s="103" t="s">
        <v>866</v>
      </c>
      <c r="O1024" s="103" t="str">
        <f t="shared" si="50"/>
        <v>CFLscw(40w)</v>
      </c>
      <c r="P1024" s="103" t="s">
        <v>153</v>
      </c>
      <c r="Q1024" s="103" t="s">
        <v>153</v>
      </c>
      <c r="R1024" s="103" t="s">
        <v>153</v>
      </c>
      <c r="S1024" s="103" t="str">
        <f>INDEX('Measure &amp; Standard CostIDs'!$AK$8:$AK$12,B1024)</f>
        <v>Three-pack</v>
      </c>
      <c r="T1024" s="103" t="s">
        <v>867</v>
      </c>
      <c r="U1024" s="103"/>
      <c r="V1024" s="103"/>
      <c r="W1024" s="103">
        <f>ROUND(IF(LEFT(D1024,3)="Std",VLOOKUP(D1024,'Measure &amp; Standard CostIDs'!$S$5:$X$177,1+B1024,FALSE),VLOOKUP(D1024,'Measure &amp; Standard CostIDs'!$C$5:$H$177,1+B1024,FALSE)),2)</f>
        <v>6.23</v>
      </c>
      <c r="X1024" s="103"/>
      <c r="Y1024" s="103"/>
      <c r="Z1024" s="103" t="s">
        <v>868</v>
      </c>
      <c r="AA1024" s="103" t="s">
        <v>874</v>
      </c>
      <c r="AB1024" s="103" t="s">
        <v>153</v>
      </c>
      <c r="AC1024" s="103">
        <v>0</v>
      </c>
      <c r="AD1024" s="156">
        <v>42005</v>
      </c>
      <c r="AE1024" s="103"/>
      <c r="AF1024" s="103" t="s">
        <v>870</v>
      </c>
      <c r="AG1024" s="103" t="s">
        <v>871</v>
      </c>
      <c r="AH1024" s="103" t="s">
        <v>976</v>
      </c>
      <c r="AI1024" s="103">
        <v>0</v>
      </c>
      <c r="AJ1024" s="103"/>
      <c r="AK1024" s="103"/>
      <c r="AL1024" s="103"/>
      <c r="AM1024" s="103"/>
      <c r="AN1024" s="103"/>
      <c r="AO1024" s="103" t="str">
        <f t="shared" si="51"/>
        <v>CFLscw(40w)Three-pack</v>
      </c>
    </row>
    <row r="1025" spans="1:41">
      <c r="A1025" s="177">
        <f>IFERROR(MATCH(D1025,'Measure &amp; Standard CostIDs'!C$5:C$177,0),MATCH(D1025,'Measure &amp; Standard CostIDs'!S$5:S$177,0))</f>
        <v>31</v>
      </c>
      <c r="B1025" s="177">
        <f t="shared" si="53"/>
        <v>4</v>
      </c>
      <c r="C1025" s="103" t="s">
        <v>153</v>
      </c>
      <c r="D1025" s="103" t="str">
        <f t="shared" si="52"/>
        <v>CFLscw(42w)</v>
      </c>
      <c r="E1025" s="103" t="str">
        <f>IF(LEFT(D1025,3)="Std","Base case cost for mix of 60% Incandescent and 40% CFL lamps for CFL TechID: "&amp;INDEX('Measure &amp; Standard CostIDs'!$C$5:$C$177,A1025),"&lt;from TechID&gt;")</f>
        <v>&lt;from TechID&gt;</v>
      </c>
      <c r="F1025" s="103" t="s">
        <v>860</v>
      </c>
      <c r="G1025" s="103" t="s">
        <v>151</v>
      </c>
      <c r="H1025" s="103" t="s">
        <v>861</v>
      </c>
      <c r="I1025" s="103" t="s">
        <v>862</v>
      </c>
      <c r="J1025" s="103" t="s">
        <v>863</v>
      </c>
      <c r="K1025" s="103" t="s">
        <v>864</v>
      </c>
      <c r="L1025" s="103" t="s">
        <v>153</v>
      </c>
      <c r="M1025" s="103" t="s">
        <v>865</v>
      </c>
      <c r="N1025" s="103" t="s">
        <v>866</v>
      </c>
      <c r="O1025" s="103" t="str">
        <f t="shared" si="50"/>
        <v>CFLscw(42w)</v>
      </c>
      <c r="P1025" s="103" t="s">
        <v>153</v>
      </c>
      <c r="Q1025" s="103" t="s">
        <v>153</v>
      </c>
      <c r="R1025" s="103" t="s">
        <v>153</v>
      </c>
      <c r="S1025" s="103" t="str">
        <f>INDEX('Measure &amp; Standard CostIDs'!$AK$8:$AK$12,B1025)</f>
        <v>Three-pack</v>
      </c>
      <c r="T1025" s="103" t="s">
        <v>867</v>
      </c>
      <c r="U1025" s="103"/>
      <c r="V1025" s="103"/>
      <c r="W1025" s="103">
        <f>ROUND(IF(LEFT(D1025,3)="Std",VLOOKUP(D1025,'Measure &amp; Standard CostIDs'!$S$5:$X$177,1+B1025,FALSE),VLOOKUP(D1025,'Measure &amp; Standard CostIDs'!$C$5:$H$177,1+B1025,FALSE)),2)</f>
        <v>6.55</v>
      </c>
      <c r="X1025" s="103"/>
      <c r="Y1025" s="103"/>
      <c r="Z1025" s="103" t="s">
        <v>868</v>
      </c>
      <c r="AA1025" s="103" t="s">
        <v>874</v>
      </c>
      <c r="AB1025" s="103" t="s">
        <v>153</v>
      </c>
      <c r="AC1025" s="103">
        <v>0</v>
      </c>
      <c r="AD1025" s="156">
        <v>42005</v>
      </c>
      <c r="AE1025" s="103"/>
      <c r="AF1025" s="103" t="s">
        <v>870</v>
      </c>
      <c r="AG1025" s="103" t="s">
        <v>871</v>
      </c>
      <c r="AH1025" s="103" t="s">
        <v>976</v>
      </c>
      <c r="AI1025" s="103">
        <v>0</v>
      </c>
      <c r="AJ1025" s="103"/>
      <c r="AK1025" s="103"/>
      <c r="AL1025" s="103"/>
      <c r="AM1025" s="103"/>
      <c r="AN1025" s="103"/>
      <c r="AO1025" s="103" t="str">
        <f t="shared" si="51"/>
        <v>CFLscw(42w)Three-pack</v>
      </c>
    </row>
    <row r="1026" spans="1:41">
      <c r="A1026" s="177">
        <f>IFERROR(MATCH(D1026,'Measure &amp; Standard CostIDs'!C$5:C$177,0),MATCH(D1026,'Measure &amp; Standard CostIDs'!S$5:S$177,0))</f>
        <v>32</v>
      </c>
      <c r="B1026" s="177">
        <f t="shared" si="53"/>
        <v>4</v>
      </c>
      <c r="C1026" s="103" t="s">
        <v>153</v>
      </c>
      <c r="D1026" s="103" t="str">
        <f t="shared" si="52"/>
        <v>CFLscw(44w)</v>
      </c>
      <c r="E1026" s="103" t="str">
        <f>IF(LEFT(D1026,3)="Std","Base case cost for mix of 60% Incandescent and 40% CFL lamps for CFL TechID: "&amp;INDEX('Measure &amp; Standard CostIDs'!$C$5:$C$177,A1026),"&lt;from TechID&gt;")</f>
        <v>&lt;from TechID&gt;</v>
      </c>
      <c r="F1026" s="103" t="s">
        <v>860</v>
      </c>
      <c r="G1026" s="103" t="s">
        <v>151</v>
      </c>
      <c r="H1026" s="103" t="s">
        <v>861</v>
      </c>
      <c r="I1026" s="103" t="s">
        <v>862</v>
      </c>
      <c r="J1026" s="103" t="s">
        <v>863</v>
      </c>
      <c r="K1026" s="103" t="s">
        <v>864</v>
      </c>
      <c r="L1026" s="103" t="s">
        <v>153</v>
      </c>
      <c r="M1026" s="103" t="s">
        <v>865</v>
      </c>
      <c r="N1026" s="103" t="s">
        <v>866</v>
      </c>
      <c r="O1026" s="103" t="str">
        <f t="shared" si="50"/>
        <v>CFLscw(44w)</v>
      </c>
      <c r="P1026" s="103" t="s">
        <v>153</v>
      </c>
      <c r="Q1026" s="103" t="s">
        <v>153</v>
      </c>
      <c r="R1026" s="103" t="s">
        <v>153</v>
      </c>
      <c r="S1026" s="103" t="str">
        <f>INDEX('Measure &amp; Standard CostIDs'!$AK$8:$AK$12,B1026)</f>
        <v>Three-pack</v>
      </c>
      <c r="T1026" s="103" t="s">
        <v>867</v>
      </c>
      <c r="U1026" s="103"/>
      <c r="V1026" s="103"/>
      <c r="W1026" s="103">
        <f>ROUND(IF(LEFT(D1026,3)="Std",VLOOKUP(D1026,'Measure &amp; Standard CostIDs'!$S$5:$X$177,1+B1026,FALSE),VLOOKUP(D1026,'Measure &amp; Standard CostIDs'!$C$5:$H$177,1+B1026,FALSE)),2)</f>
        <v>6.87</v>
      </c>
      <c r="X1026" s="103"/>
      <c r="Y1026" s="103"/>
      <c r="Z1026" s="103" t="s">
        <v>868</v>
      </c>
      <c r="AA1026" s="103" t="s">
        <v>874</v>
      </c>
      <c r="AB1026" s="103" t="s">
        <v>153</v>
      </c>
      <c r="AC1026" s="103">
        <v>0</v>
      </c>
      <c r="AD1026" s="156">
        <v>42005</v>
      </c>
      <c r="AE1026" s="103"/>
      <c r="AF1026" s="103" t="s">
        <v>870</v>
      </c>
      <c r="AG1026" s="103" t="s">
        <v>871</v>
      </c>
      <c r="AH1026" s="103" t="s">
        <v>976</v>
      </c>
      <c r="AI1026" s="103">
        <v>0</v>
      </c>
      <c r="AJ1026" s="103"/>
      <c r="AK1026" s="103"/>
      <c r="AL1026" s="103"/>
      <c r="AM1026" s="103"/>
      <c r="AN1026" s="103"/>
      <c r="AO1026" s="103" t="str">
        <f t="shared" si="51"/>
        <v>CFLscw(44w)Three-pack</v>
      </c>
    </row>
    <row r="1027" spans="1:41">
      <c r="A1027" s="177">
        <f>IFERROR(MATCH(D1027,'Measure &amp; Standard CostIDs'!C$5:C$177,0),MATCH(D1027,'Measure &amp; Standard CostIDs'!S$5:S$177,0))</f>
        <v>33</v>
      </c>
      <c r="B1027" s="177">
        <f t="shared" si="53"/>
        <v>4</v>
      </c>
      <c r="C1027" s="103" t="s">
        <v>153</v>
      </c>
      <c r="D1027" s="103" t="str">
        <f t="shared" si="52"/>
        <v>CFLscw(45w)</v>
      </c>
      <c r="E1027" s="103" t="str">
        <f>IF(LEFT(D1027,3)="Std","Base case cost for mix of 60% Incandescent and 40% CFL lamps for CFL TechID: "&amp;INDEX('Measure &amp; Standard CostIDs'!$C$5:$C$177,A1027),"&lt;from TechID&gt;")</f>
        <v>&lt;from TechID&gt;</v>
      </c>
      <c r="F1027" s="103" t="s">
        <v>860</v>
      </c>
      <c r="G1027" s="103" t="s">
        <v>151</v>
      </c>
      <c r="H1027" s="103" t="s">
        <v>861</v>
      </c>
      <c r="I1027" s="103" t="s">
        <v>862</v>
      </c>
      <c r="J1027" s="103" t="s">
        <v>863</v>
      </c>
      <c r="K1027" s="103" t="s">
        <v>864</v>
      </c>
      <c r="L1027" s="103" t="s">
        <v>153</v>
      </c>
      <c r="M1027" s="103" t="s">
        <v>865</v>
      </c>
      <c r="N1027" s="103" t="s">
        <v>866</v>
      </c>
      <c r="O1027" s="103" t="str">
        <f t="shared" si="50"/>
        <v>CFLscw(45w)</v>
      </c>
      <c r="P1027" s="103" t="s">
        <v>153</v>
      </c>
      <c r="Q1027" s="103" t="s">
        <v>153</v>
      </c>
      <c r="R1027" s="103" t="s">
        <v>153</v>
      </c>
      <c r="S1027" s="103" t="str">
        <f>INDEX('Measure &amp; Standard CostIDs'!$AK$8:$AK$12,B1027)</f>
        <v>Three-pack</v>
      </c>
      <c r="T1027" s="103" t="s">
        <v>867</v>
      </c>
      <c r="U1027" s="103"/>
      <c r="V1027" s="103"/>
      <c r="W1027" s="103">
        <f>ROUND(IF(LEFT(D1027,3)="Std",VLOOKUP(D1027,'Measure &amp; Standard CostIDs'!$S$5:$X$177,1+B1027,FALSE),VLOOKUP(D1027,'Measure &amp; Standard CostIDs'!$C$5:$H$177,1+B1027,FALSE)),2)</f>
        <v>7.03</v>
      </c>
      <c r="X1027" s="103"/>
      <c r="Y1027" s="103"/>
      <c r="Z1027" s="103" t="s">
        <v>868</v>
      </c>
      <c r="AA1027" s="103" t="s">
        <v>874</v>
      </c>
      <c r="AB1027" s="103" t="s">
        <v>153</v>
      </c>
      <c r="AC1027" s="103">
        <v>0</v>
      </c>
      <c r="AD1027" s="156">
        <v>42005</v>
      </c>
      <c r="AE1027" s="103"/>
      <c r="AF1027" s="103" t="s">
        <v>870</v>
      </c>
      <c r="AG1027" s="103" t="s">
        <v>871</v>
      </c>
      <c r="AH1027" s="103" t="s">
        <v>976</v>
      </c>
      <c r="AI1027" s="103">
        <v>0</v>
      </c>
      <c r="AJ1027" s="103"/>
      <c r="AK1027" s="103"/>
      <c r="AL1027" s="103"/>
      <c r="AM1027" s="103"/>
      <c r="AN1027" s="103"/>
      <c r="AO1027" s="103" t="str">
        <f t="shared" si="51"/>
        <v>CFLscw(45w)Three-pack</v>
      </c>
    </row>
    <row r="1028" spans="1:41">
      <c r="A1028" s="177">
        <f>IFERROR(MATCH(D1028,'Measure &amp; Standard CostIDs'!C$5:C$177,0),MATCH(D1028,'Measure &amp; Standard CostIDs'!S$5:S$177,0))</f>
        <v>34</v>
      </c>
      <c r="B1028" s="177">
        <f t="shared" si="53"/>
        <v>4</v>
      </c>
      <c r="C1028" s="103" t="s">
        <v>153</v>
      </c>
      <c r="D1028" s="103" t="str">
        <f t="shared" si="52"/>
        <v>CFLscw(48w)</v>
      </c>
      <c r="E1028" s="103" t="str">
        <f>IF(LEFT(D1028,3)="Std","Base case cost for mix of 60% Incandescent and 40% CFL lamps for CFL TechID: "&amp;INDEX('Measure &amp; Standard CostIDs'!$C$5:$C$177,A1028),"&lt;from TechID&gt;")</f>
        <v>&lt;from TechID&gt;</v>
      </c>
      <c r="F1028" s="103" t="s">
        <v>860</v>
      </c>
      <c r="G1028" s="103" t="s">
        <v>151</v>
      </c>
      <c r="H1028" s="103" t="s">
        <v>861</v>
      </c>
      <c r="I1028" s="103" t="s">
        <v>862</v>
      </c>
      <c r="J1028" s="103" t="s">
        <v>863</v>
      </c>
      <c r="K1028" s="103" t="s">
        <v>864</v>
      </c>
      <c r="L1028" s="103" t="s">
        <v>153</v>
      </c>
      <c r="M1028" s="103" t="s">
        <v>865</v>
      </c>
      <c r="N1028" s="103" t="s">
        <v>866</v>
      </c>
      <c r="O1028" s="103" t="str">
        <f t="shared" si="50"/>
        <v>CFLscw(48w)</v>
      </c>
      <c r="P1028" s="103" t="s">
        <v>153</v>
      </c>
      <c r="Q1028" s="103" t="s">
        <v>153</v>
      </c>
      <c r="R1028" s="103" t="s">
        <v>153</v>
      </c>
      <c r="S1028" s="103" t="str">
        <f>INDEX('Measure &amp; Standard CostIDs'!$AK$8:$AK$12,B1028)</f>
        <v>Three-pack</v>
      </c>
      <c r="T1028" s="103" t="s">
        <v>867</v>
      </c>
      <c r="U1028" s="103"/>
      <c r="V1028" s="103"/>
      <c r="W1028" s="103">
        <f>ROUND(IF(LEFT(D1028,3)="Std",VLOOKUP(D1028,'Measure &amp; Standard CostIDs'!$S$5:$X$177,1+B1028,FALSE),VLOOKUP(D1028,'Measure &amp; Standard CostIDs'!$C$5:$H$177,1+B1028,FALSE)),2)</f>
        <v>7.51</v>
      </c>
      <c r="X1028" s="103"/>
      <c r="Y1028" s="103"/>
      <c r="Z1028" s="103" t="s">
        <v>868</v>
      </c>
      <c r="AA1028" s="103" t="s">
        <v>874</v>
      </c>
      <c r="AB1028" s="103" t="s">
        <v>153</v>
      </c>
      <c r="AC1028" s="103">
        <v>0</v>
      </c>
      <c r="AD1028" s="156">
        <v>42005</v>
      </c>
      <c r="AE1028" s="103"/>
      <c r="AF1028" s="103" t="s">
        <v>870</v>
      </c>
      <c r="AG1028" s="103" t="s">
        <v>871</v>
      </c>
      <c r="AH1028" s="103" t="s">
        <v>976</v>
      </c>
      <c r="AI1028" s="103">
        <v>0</v>
      </c>
      <c r="AJ1028" s="103"/>
      <c r="AK1028" s="103"/>
      <c r="AL1028" s="103"/>
      <c r="AM1028" s="103"/>
      <c r="AN1028" s="103"/>
      <c r="AO1028" s="103" t="str">
        <f t="shared" si="51"/>
        <v>CFLscw(48w)Three-pack</v>
      </c>
    </row>
    <row r="1029" spans="1:41">
      <c r="A1029" s="177">
        <f>IFERROR(MATCH(D1029,'Measure &amp; Standard CostIDs'!C$5:C$177,0),MATCH(D1029,'Measure &amp; Standard CostIDs'!S$5:S$177,0))</f>
        <v>35</v>
      </c>
      <c r="B1029" s="177">
        <f t="shared" si="53"/>
        <v>4</v>
      </c>
      <c r="C1029" s="103" t="s">
        <v>153</v>
      </c>
      <c r="D1029" s="103" t="str">
        <f t="shared" si="52"/>
        <v>CFLscw(4w)</v>
      </c>
      <c r="E1029" s="103" t="str">
        <f>IF(LEFT(D1029,3)="Std","Base case cost for mix of 60% Incandescent and 40% CFL lamps for CFL TechID: "&amp;INDEX('Measure &amp; Standard CostIDs'!$C$5:$C$177,A1029),"&lt;from TechID&gt;")</f>
        <v>&lt;from TechID&gt;</v>
      </c>
      <c r="F1029" s="103" t="s">
        <v>860</v>
      </c>
      <c r="G1029" s="103" t="s">
        <v>151</v>
      </c>
      <c r="H1029" s="103" t="s">
        <v>861</v>
      </c>
      <c r="I1029" s="103" t="s">
        <v>862</v>
      </c>
      <c r="J1029" s="103" t="s">
        <v>863</v>
      </c>
      <c r="K1029" s="103" t="s">
        <v>864</v>
      </c>
      <c r="L1029" s="103" t="s">
        <v>153</v>
      </c>
      <c r="M1029" s="103" t="s">
        <v>865</v>
      </c>
      <c r="N1029" s="103" t="s">
        <v>866</v>
      </c>
      <c r="O1029" s="103" t="str">
        <f t="shared" si="50"/>
        <v>CFLscw(4w)</v>
      </c>
      <c r="P1029" s="103" t="s">
        <v>153</v>
      </c>
      <c r="Q1029" s="103" t="s">
        <v>153</v>
      </c>
      <c r="R1029" s="103" t="s">
        <v>153</v>
      </c>
      <c r="S1029" s="103" t="str">
        <f>INDEX('Measure &amp; Standard CostIDs'!$AK$8:$AK$12,B1029)</f>
        <v>Three-pack</v>
      </c>
      <c r="T1029" s="103" t="s">
        <v>867</v>
      </c>
      <c r="U1029" s="103"/>
      <c r="V1029" s="103"/>
      <c r="W1029" s="103">
        <f>ROUND(IF(LEFT(D1029,3)="Std",VLOOKUP(D1029,'Measure &amp; Standard CostIDs'!$S$5:$X$177,1+B1029,FALSE),VLOOKUP(D1029,'Measure &amp; Standard CostIDs'!$C$5:$H$177,1+B1029,FALSE)),2)</f>
        <v>2.44</v>
      </c>
      <c r="X1029" s="103"/>
      <c r="Y1029" s="103"/>
      <c r="Z1029" s="103" t="s">
        <v>868</v>
      </c>
      <c r="AA1029" s="103" t="s">
        <v>874</v>
      </c>
      <c r="AB1029" s="103" t="s">
        <v>153</v>
      </c>
      <c r="AC1029" s="103">
        <v>0</v>
      </c>
      <c r="AD1029" s="156">
        <v>42005</v>
      </c>
      <c r="AE1029" s="103"/>
      <c r="AF1029" s="103" t="s">
        <v>870</v>
      </c>
      <c r="AG1029" s="103" t="s">
        <v>871</v>
      </c>
      <c r="AH1029" s="103" t="s">
        <v>976</v>
      </c>
      <c r="AI1029" s="103">
        <v>0</v>
      </c>
      <c r="AJ1029" s="103"/>
      <c r="AK1029" s="103"/>
      <c r="AL1029" s="103"/>
      <c r="AM1029" s="103"/>
      <c r="AN1029" s="103"/>
      <c r="AO1029" s="103" t="str">
        <f t="shared" si="51"/>
        <v>CFLscw(4w)Three-pack</v>
      </c>
    </row>
    <row r="1030" spans="1:41">
      <c r="A1030" s="177">
        <f>IFERROR(MATCH(D1030,'Measure &amp; Standard CostIDs'!C$5:C$177,0),MATCH(D1030,'Measure &amp; Standard CostIDs'!S$5:S$177,0))</f>
        <v>36</v>
      </c>
      <c r="B1030" s="177">
        <f t="shared" si="53"/>
        <v>4</v>
      </c>
      <c r="C1030" s="103" t="s">
        <v>153</v>
      </c>
      <c r="D1030" s="103" t="str">
        <f t="shared" si="52"/>
        <v>CFLscw(50w)</v>
      </c>
      <c r="E1030" s="103" t="str">
        <f>IF(LEFT(D1030,3)="Std","Base case cost for mix of 60% Incandescent and 40% CFL lamps for CFL TechID: "&amp;INDEX('Measure &amp; Standard CostIDs'!$C$5:$C$177,A1030),"&lt;from TechID&gt;")</f>
        <v>&lt;from TechID&gt;</v>
      </c>
      <c r="F1030" s="103" t="s">
        <v>860</v>
      </c>
      <c r="G1030" s="103" t="s">
        <v>151</v>
      </c>
      <c r="H1030" s="103" t="s">
        <v>861</v>
      </c>
      <c r="I1030" s="103" t="s">
        <v>862</v>
      </c>
      <c r="J1030" s="103" t="s">
        <v>863</v>
      </c>
      <c r="K1030" s="103" t="s">
        <v>864</v>
      </c>
      <c r="L1030" s="103" t="s">
        <v>153</v>
      </c>
      <c r="M1030" s="103" t="s">
        <v>865</v>
      </c>
      <c r="N1030" s="103" t="s">
        <v>866</v>
      </c>
      <c r="O1030" s="103" t="str">
        <f t="shared" ref="O1030:O1093" si="54">IF(LEFT(D1030,3)="Std","",D1030)</f>
        <v>CFLscw(50w)</v>
      </c>
      <c r="P1030" s="103" t="s">
        <v>153</v>
      </c>
      <c r="Q1030" s="103" t="s">
        <v>153</v>
      </c>
      <c r="R1030" s="103" t="s">
        <v>153</v>
      </c>
      <c r="S1030" s="103" t="str">
        <f>INDEX('Measure &amp; Standard CostIDs'!$AK$8:$AK$12,B1030)</f>
        <v>Three-pack</v>
      </c>
      <c r="T1030" s="103" t="s">
        <v>867</v>
      </c>
      <c r="U1030" s="103"/>
      <c r="V1030" s="103"/>
      <c r="W1030" s="103">
        <f>ROUND(IF(LEFT(D1030,3)="Std",VLOOKUP(D1030,'Measure &amp; Standard CostIDs'!$S$5:$X$177,1+B1030,FALSE),VLOOKUP(D1030,'Measure &amp; Standard CostIDs'!$C$5:$H$177,1+B1030,FALSE)),2)</f>
        <v>7.83</v>
      </c>
      <c r="X1030" s="103"/>
      <c r="Y1030" s="103"/>
      <c r="Z1030" s="103" t="s">
        <v>868</v>
      </c>
      <c r="AA1030" s="103" t="s">
        <v>874</v>
      </c>
      <c r="AB1030" s="103" t="s">
        <v>153</v>
      </c>
      <c r="AC1030" s="103">
        <v>0</v>
      </c>
      <c r="AD1030" s="156">
        <v>42005</v>
      </c>
      <c r="AE1030" s="103"/>
      <c r="AF1030" s="103" t="s">
        <v>870</v>
      </c>
      <c r="AG1030" s="103" t="s">
        <v>871</v>
      </c>
      <c r="AH1030" s="103" t="s">
        <v>976</v>
      </c>
      <c r="AI1030" s="103">
        <v>0</v>
      </c>
      <c r="AJ1030" s="103"/>
      <c r="AK1030" s="103"/>
      <c r="AL1030" s="103"/>
      <c r="AM1030" s="103"/>
      <c r="AN1030" s="103"/>
      <c r="AO1030" s="103" t="str">
        <f t="shared" ref="AO1030:AO1093" si="55">D1030&amp;S1030</f>
        <v>CFLscw(50w)Three-pack</v>
      </c>
    </row>
    <row r="1031" spans="1:41">
      <c r="A1031" s="177">
        <f>IFERROR(MATCH(D1031,'Measure &amp; Standard CostIDs'!C$5:C$177,0),MATCH(D1031,'Measure &amp; Standard CostIDs'!S$5:S$177,0))</f>
        <v>37</v>
      </c>
      <c r="B1031" s="177">
        <f t="shared" si="53"/>
        <v>4</v>
      </c>
      <c r="C1031" s="103" t="s">
        <v>153</v>
      </c>
      <c r="D1031" s="103" t="str">
        <f t="shared" si="52"/>
        <v>CFLscw(52w)</v>
      </c>
      <c r="E1031" s="103" t="str">
        <f>IF(LEFT(D1031,3)="Std","Base case cost for mix of 60% Incandescent and 40% CFL lamps for CFL TechID: "&amp;INDEX('Measure &amp; Standard CostIDs'!$C$5:$C$177,A1031),"&lt;from TechID&gt;")</f>
        <v>&lt;from TechID&gt;</v>
      </c>
      <c r="F1031" s="103" t="s">
        <v>860</v>
      </c>
      <c r="G1031" s="103" t="s">
        <v>151</v>
      </c>
      <c r="H1031" s="103" t="s">
        <v>861</v>
      </c>
      <c r="I1031" s="103" t="s">
        <v>862</v>
      </c>
      <c r="J1031" s="103" t="s">
        <v>863</v>
      </c>
      <c r="K1031" s="103" t="s">
        <v>864</v>
      </c>
      <c r="L1031" s="103" t="s">
        <v>153</v>
      </c>
      <c r="M1031" s="103" t="s">
        <v>865</v>
      </c>
      <c r="N1031" s="103" t="s">
        <v>866</v>
      </c>
      <c r="O1031" s="103" t="str">
        <f t="shared" si="54"/>
        <v>CFLscw(52w)</v>
      </c>
      <c r="P1031" s="103" t="s">
        <v>153</v>
      </c>
      <c r="Q1031" s="103" t="s">
        <v>153</v>
      </c>
      <c r="R1031" s="103" t="s">
        <v>153</v>
      </c>
      <c r="S1031" s="103" t="str">
        <f>INDEX('Measure &amp; Standard CostIDs'!$AK$8:$AK$12,B1031)</f>
        <v>Three-pack</v>
      </c>
      <c r="T1031" s="103" t="s">
        <v>867</v>
      </c>
      <c r="U1031" s="103"/>
      <c r="V1031" s="103"/>
      <c r="W1031" s="103">
        <f>ROUND(IF(LEFT(D1031,3)="Std",VLOOKUP(D1031,'Measure &amp; Standard CostIDs'!$S$5:$X$177,1+B1031,FALSE),VLOOKUP(D1031,'Measure &amp; Standard CostIDs'!$C$5:$H$177,1+B1031,FALSE)),2)</f>
        <v>8.15</v>
      </c>
      <c r="X1031" s="103"/>
      <c r="Y1031" s="103"/>
      <c r="Z1031" s="103" t="s">
        <v>868</v>
      </c>
      <c r="AA1031" s="103" t="s">
        <v>874</v>
      </c>
      <c r="AB1031" s="103" t="s">
        <v>153</v>
      </c>
      <c r="AC1031" s="103">
        <v>0</v>
      </c>
      <c r="AD1031" s="156">
        <v>42005</v>
      </c>
      <c r="AE1031" s="103"/>
      <c r="AF1031" s="103" t="s">
        <v>870</v>
      </c>
      <c r="AG1031" s="103" t="s">
        <v>871</v>
      </c>
      <c r="AH1031" s="103" t="s">
        <v>976</v>
      </c>
      <c r="AI1031" s="103">
        <v>0</v>
      </c>
      <c r="AJ1031" s="103"/>
      <c r="AK1031" s="103"/>
      <c r="AL1031" s="103"/>
      <c r="AM1031" s="103"/>
      <c r="AN1031" s="103"/>
      <c r="AO1031" s="103" t="str">
        <f t="shared" si="55"/>
        <v>CFLscw(52w)Three-pack</v>
      </c>
    </row>
    <row r="1032" spans="1:41">
      <c r="A1032" s="177">
        <f>IFERROR(MATCH(D1032,'Measure &amp; Standard CostIDs'!C$5:C$177,0),MATCH(D1032,'Measure &amp; Standard CostIDs'!S$5:S$177,0))</f>
        <v>38</v>
      </c>
      <c r="B1032" s="177">
        <f t="shared" si="53"/>
        <v>4</v>
      </c>
      <c r="C1032" s="103" t="s">
        <v>153</v>
      </c>
      <c r="D1032" s="103" t="str">
        <f t="shared" si="52"/>
        <v>CFLscw(55w)</v>
      </c>
      <c r="E1032" s="103" t="str">
        <f>IF(LEFT(D1032,3)="Std","Base case cost for mix of 60% Incandescent and 40% CFL lamps for CFL TechID: "&amp;INDEX('Measure &amp; Standard CostIDs'!$C$5:$C$177,A1032),"&lt;from TechID&gt;")</f>
        <v>&lt;from TechID&gt;</v>
      </c>
      <c r="F1032" s="103" t="s">
        <v>860</v>
      </c>
      <c r="G1032" s="103" t="s">
        <v>151</v>
      </c>
      <c r="H1032" s="103" t="s">
        <v>861</v>
      </c>
      <c r="I1032" s="103" t="s">
        <v>862</v>
      </c>
      <c r="J1032" s="103" t="s">
        <v>863</v>
      </c>
      <c r="K1032" s="103" t="s">
        <v>864</v>
      </c>
      <c r="L1032" s="103" t="s">
        <v>153</v>
      </c>
      <c r="M1032" s="103" t="s">
        <v>865</v>
      </c>
      <c r="N1032" s="103" t="s">
        <v>866</v>
      </c>
      <c r="O1032" s="103" t="str">
        <f t="shared" si="54"/>
        <v>CFLscw(55w)</v>
      </c>
      <c r="P1032" s="103" t="s">
        <v>153</v>
      </c>
      <c r="Q1032" s="103" t="s">
        <v>153</v>
      </c>
      <c r="R1032" s="103" t="s">
        <v>153</v>
      </c>
      <c r="S1032" s="103" t="str">
        <f>INDEX('Measure &amp; Standard CostIDs'!$AK$8:$AK$12,B1032)</f>
        <v>Three-pack</v>
      </c>
      <c r="T1032" s="103" t="s">
        <v>867</v>
      </c>
      <c r="U1032" s="103"/>
      <c r="V1032" s="103"/>
      <c r="W1032" s="103">
        <f>ROUND(IF(LEFT(D1032,3)="Std",VLOOKUP(D1032,'Measure &amp; Standard CostIDs'!$S$5:$X$177,1+B1032,FALSE),VLOOKUP(D1032,'Measure &amp; Standard CostIDs'!$C$5:$H$177,1+B1032,FALSE)),2)</f>
        <v>8.6300000000000008</v>
      </c>
      <c r="X1032" s="103"/>
      <c r="Y1032" s="103"/>
      <c r="Z1032" s="103" t="s">
        <v>868</v>
      </c>
      <c r="AA1032" s="103" t="s">
        <v>874</v>
      </c>
      <c r="AB1032" s="103" t="s">
        <v>153</v>
      </c>
      <c r="AC1032" s="103">
        <v>0</v>
      </c>
      <c r="AD1032" s="156">
        <v>42005</v>
      </c>
      <c r="AE1032" s="103"/>
      <c r="AF1032" s="103" t="s">
        <v>870</v>
      </c>
      <c r="AG1032" s="103" t="s">
        <v>871</v>
      </c>
      <c r="AH1032" s="103" t="s">
        <v>976</v>
      </c>
      <c r="AI1032" s="103">
        <v>0</v>
      </c>
      <c r="AJ1032" s="103"/>
      <c r="AK1032" s="103"/>
      <c r="AL1032" s="103"/>
      <c r="AM1032" s="103"/>
      <c r="AN1032" s="103"/>
      <c r="AO1032" s="103" t="str">
        <f t="shared" si="55"/>
        <v>CFLscw(55w)Three-pack</v>
      </c>
    </row>
    <row r="1033" spans="1:41">
      <c r="A1033" s="177">
        <f>IFERROR(MATCH(D1033,'Measure &amp; Standard CostIDs'!C$5:C$177,0),MATCH(D1033,'Measure &amp; Standard CostIDs'!S$5:S$177,0))</f>
        <v>39</v>
      </c>
      <c r="B1033" s="177">
        <f t="shared" si="53"/>
        <v>4</v>
      </c>
      <c r="C1033" s="103" t="s">
        <v>153</v>
      </c>
      <c r="D1033" s="103" t="str">
        <f t="shared" si="52"/>
        <v>CFLscw(5w)</v>
      </c>
      <c r="E1033" s="103" t="str">
        <f>IF(LEFT(D1033,3)="Std","Base case cost for mix of 60% Incandescent and 40% CFL lamps for CFL TechID: "&amp;INDEX('Measure &amp; Standard CostIDs'!$C$5:$C$177,A1033),"&lt;from TechID&gt;")</f>
        <v>&lt;from TechID&gt;</v>
      </c>
      <c r="F1033" s="103" t="s">
        <v>860</v>
      </c>
      <c r="G1033" s="103" t="s">
        <v>151</v>
      </c>
      <c r="H1033" s="103" t="s">
        <v>861</v>
      </c>
      <c r="I1033" s="103" t="s">
        <v>862</v>
      </c>
      <c r="J1033" s="103" t="s">
        <v>863</v>
      </c>
      <c r="K1033" s="103" t="s">
        <v>864</v>
      </c>
      <c r="L1033" s="103" t="s">
        <v>153</v>
      </c>
      <c r="M1033" s="103" t="s">
        <v>865</v>
      </c>
      <c r="N1033" s="103" t="s">
        <v>866</v>
      </c>
      <c r="O1033" s="103" t="str">
        <f t="shared" si="54"/>
        <v>CFLscw(5w)</v>
      </c>
      <c r="P1033" s="103" t="s">
        <v>153</v>
      </c>
      <c r="Q1033" s="103" t="s">
        <v>153</v>
      </c>
      <c r="R1033" s="103" t="s">
        <v>153</v>
      </c>
      <c r="S1033" s="103" t="str">
        <f>INDEX('Measure &amp; Standard CostIDs'!$AK$8:$AK$12,B1033)</f>
        <v>Three-pack</v>
      </c>
      <c r="T1033" s="103" t="s">
        <v>867</v>
      </c>
      <c r="U1033" s="103"/>
      <c r="V1033" s="103"/>
      <c r="W1033" s="103">
        <f>ROUND(IF(LEFT(D1033,3)="Std",VLOOKUP(D1033,'Measure &amp; Standard CostIDs'!$S$5:$X$177,1+B1033,FALSE),VLOOKUP(D1033,'Measure &amp; Standard CostIDs'!$C$5:$H$177,1+B1033,FALSE)),2)</f>
        <v>2.5</v>
      </c>
      <c r="X1033" s="103"/>
      <c r="Y1033" s="103"/>
      <c r="Z1033" s="103" t="s">
        <v>868</v>
      </c>
      <c r="AA1033" s="103" t="s">
        <v>874</v>
      </c>
      <c r="AB1033" s="103" t="s">
        <v>153</v>
      </c>
      <c r="AC1033" s="103">
        <v>0</v>
      </c>
      <c r="AD1033" s="156">
        <v>42005</v>
      </c>
      <c r="AE1033" s="103"/>
      <c r="AF1033" s="103" t="s">
        <v>870</v>
      </c>
      <c r="AG1033" s="103" t="s">
        <v>871</v>
      </c>
      <c r="AH1033" s="103" t="s">
        <v>976</v>
      </c>
      <c r="AI1033" s="103">
        <v>0</v>
      </c>
      <c r="AJ1033" s="103"/>
      <c r="AK1033" s="103"/>
      <c r="AL1033" s="103"/>
      <c r="AM1033" s="103"/>
      <c r="AN1033" s="103"/>
      <c r="AO1033" s="103" t="str">
        <f t="shared" si="55"/>
        <v>CFLscw(5w)Three-pack</v>
      </c>
    </row>
    <row r="1034" spans="1:41">
      <c r="A1034" s="177">
        <f>IFERROR(MATCH(D1034,'Measure &amp; Standard CostIDs'!C$5:C$177,0),MATCH(D1034,'Measure &amp; Standard CostIDs'!S$5:S$177,0))</f>
        <v>40</v>
      </c>
      <c r="B1034" s="177">
        <f t="shared" si="53"/>
        <v>4</v>
      </c>
      <c r="C1034" s="103" t="s">
        <v>153</v>
      </c>
      <c r="D1034" s="103" t="str">
        <f t="shared" si="52"/>
        <v>CFLscw(68w)</v>
      </c>
      <c r="E1034" s="103" t="str">
        <f>IF(LEFT(D1034,3)="Std","Base case cost for mix of 60% Incandescent and 40% CFL lamps for CFL TechID: "&amp;INDEX('Measure &amp; Standard CostIDs'!$C$5:$C$177,A1034),"&lt;from TechID&gt;")</f>
        <v>&lt;from TechID&gt;</v>
      </c>
      <c r="F1034" s="103" t="s">
        <v>860</v>
      </c>
      <c r="G1034" s="103" t="s">
        <v>151</v>
      </c>
      <c r="H1034" s="103" t="s">
        <v>861</v>
      </c>
      <c r="I1034" s="103" t="s">
        <v>862</v>
      </c>
      <c r="J1034" s="103" t="s">
        <v>863</v>
      </c>
      <c r="K1034" s="103" t="s">
        <v>864</v>
      </c>
      <c r="L1034" s="103" t="s">
        <v>153</v>
      </c>
      <c r="M1034" s="103" t="s">
        <v>865</v>
      </c>
      <c r="N1034" s="103" t="s">
        <v>866</v>
      </c>
      <c r="O1034" s="103" t="str">
        <f t="shared" si="54"/>
        <v>CFLscw(68w)</v>
      </c>
      <c r="P1034" s="103" t="s">
        <v>153</v>
      </c>
      <c r="Q1034" s="103" t="s">
        <v>153</v>
      </c>
      <c r="R1034" s="103" t="s">
        <v>153</v>
      </c>
      <c r="S1034" s="103" t="str">
        <f>INDEX('Measure &amp; Standard CostIDs'!$AK$8:$AK$12,B1034)</f>
        <v>Three-pack</v>
      </c>
      <c r="T1034" s="103" t="s">
        <v>867</v>
      </c>
      <c r="U1034" s="103"/>
      <c r="V1034" s="103"/>
      <c r="W1034" s="103">
        <f>ROUND(IF(LEFT(D1034,3)="Std",VLOOKUP(D1034,'Measure &amp; Standard CostIDs'!$S$5:$X$177,1+B1034,FALSE),VLOOKUP(D1034,'Measure &amp; Standard CostIDs'!$C$5:$H$177,1+B1034,FALSE)),2)</f>
        <v>10.71</v>
      </c>
      <c r="X1034" s="103"/>
      <c r="Y1034" s="103"/>
      <c r="Z1034" s="103" t="s">
        <v>868</v>
      </c>
      <c r="AA1034" s="103" t="s">
        <v>874</v>
      </c>
      <c r="AB1034" s="103" t="s">
        <v>153</v>
      </c>
      <c r="AC1034" s="103">
        <v>0</v>
      </c>
      <c r="AD1034" s="156">
        <v>42005</v>
      </c>
      <c r="AE1034" s="103"/>
      <c r="AF1034" s="103" t="s">
        <v>870</v>
      </c>
      <c r="AG1034" s="103" t="s">
        <v>871</v>
      </c>
      <c r="AH1034" s="103" t="s">
        <v>976</v>
      </c>
      <c r="AI1034" s="103">
        <v>0</v>
      </c>
      <c r="AJ1034" s="103"/>
      <c r="AK1034" s="103"/>
      <c r="AL1034" s="103"/>
      <c r="AM1034" s="103"/>
      <c r="AN1034" s="103"/>
      <c r="AO1034" s="103" t="str">
        <f t="shared" si="55"/>
        <v>CFLscw(68w)Three-pack</v>
      </c>
    </row>
    <row r="1035" spans="1:41">
      <c r="A1035" s="177">
        <f>IFERROR(MATCH(D1035,'Measure &amp; Standard CostIDs'!C$5:C$177,0),MATCH(D1035,'Measure &amp; Standard CostIDs'!S$5:S$177,0))</f>
        <v>41</v>
      </c>
      <c r="B1035" s="177">
        <f t="shared" si="53"/>
        <v>4</v>
      </c>
      <c r="C1035" s="103" t="s">
        <v>153</v>
      </c>
      <c r="D1035" s="103" t="str">
        <f t="shared" si="52"/>
        <v>CFLscw(69w)</v>
      </c>
      <c r="E1035" s="103" t="str">
        <f>IF(LEFT(D1035,3)="Std","Base case cost for mix of 60% Incandescent and 40% CFL lamps for CFL TechID: "&amp;INDEX('Measure &amp; Standard CostIDs'!$C$5:$C$177,A1035),"&lt;from TechID&gt;")</f>
        <v>&lt;from TechID&gt;</v>
      </c>
      <c r="F1035" s="103" t="s">
        <v>860</v>
      </c>
      <c r="G1035" s="103" t="s">
        <v>151</v>
      </c>
      <c r="H1035" s="103" t="s">
        <v>861</v>
      </c>
      <c r="I1035" s="103" t="s">
        <v>862</v>
      </c>
      <c r="J1035" s="103" t="s">
        <v>863</v>
      </c>
      <c r="K1035" s="103" t="s">
        <v>864</v>
      </c>
      <c r="L1035" s="103" t="s">
        <v>153</v>
      </c>
      <c r="M1035" s="103" t="s">
        <v>865</v>
      </c>
      <c r="N1035" s="103" t="s">
        <v>866</v>
      </c>
      <c r="O1035" s="103" t="str">
        <f t="shared" si="54"/>
        <v>CFLscw(69w)</v>
      </c>
      <c r="P1035" s="103" t="s">
        <v>153</v>
      </c>
      <c r="Q1035" s="103" t="s">
        <v>153</v>
      </c>
      <c r="R1035" s="103" t="s">
        <v>153</v>
      </c>
      <c r="S1035" s="103" t="str">
        <f>INDEX('Measure &amp; Standard CostIDs'!$AK$8:$AK$12,B1035)</f>
        <v>Three-pack</v>
      </c>
      <c r="T1035" s="103" t="s">
        <v>867</v>
      </c>
      <c r="U1035" s="103"/>
      <c r="V1035" s="103"/>
      <c r="W1035" s="103">
        <f>ROUND(IF(LEFT(D1035,3)="Std",VLOOKUP(D1035,'Measure &amp; Standard CostIDs'!$S$5:$X$177,1+B1035,FALSE),VLOOKUP(D1035,'Measure &amp; Standard CostIDs'!$C$5:$H$177,1+B1035,FALSE)),2)</f>
        <v>10.87</v>
      </c>
      <c r="X1035" s="103"/>
      <c r="Y1035" s="103"/>
      <c r="Z1035" s="103" t="s">
        <v>868</v>
      </c>
      <c r="AA1035" s="103" t="s">
        <v>874</v>
      </c>
      <c r="AB1035" s="103" t="s">
        <v>153</v>
      </c>
      <c r="AC1035" s="103">
        <v>0</v>
      </c>
      <c r="AD1035" s="156">
        <v>42005</v>
      </c>
      <c r="AE1035" s="103"/>
      <c r="AF1035" s="103" t="s">
        <v>870</v>
      </c>
      <c r="AG1035" s="103" t="s">
        <v>871</v>
      </c>
      <c r="AH1035" s="103" t="s">
        <v>976</v>
      </c>
      <c r="AI1035" s="103">
        <v>0</v>
      </c>
      <c r="AJ1035" s="103"/>
      <c r="AK1035" s="103"/>
      <c r="AL1035" s="103"/>
      <c r="AM1035" s="103"/>
      <c r="AN1035" s="103"/>
      <c r="AO1035" s="103" t="str">
        <f t="shared" si="55"/>
        <v>CFLscw(69w)Three-pack</v>
      </c>
    </row>
    <row r="1036" spans="1:41">
      <c r="A1036" s="177">
        <f>IFERROR(MATCH(D1036,'Measure &amp; Standard CostIDs'!C$5:C$177,0),MATCH(D1036,'Measure &amp; Standard CostIDs'!S$5:S$177,0))</f>
        <v>42</v>
      </c>
      <c r="B1036" s="177">
        <f t="shared" si="53"/>
        <v>4</v>
      </c>
      <c r="C1036" s="103" t="s">
        <v>153</v>
      </c>
      <c r="D1036" s="103" t="str">
        <f t="shared" si="52"/>
        <v>CFLscw(6w)</v>
      </c>
      <c r="E1036" s="103" t="str">
        <f>IF(LEFT(D1036,3)="Std","Base case cost for mix of 60% Incandescent and 40% CFL lamps for CFL TechID: "&amp;INDEX('Measure &amp; Standard CostIDs'!$C$5:$C$177,A1036),"&lt;from TechID&gt;")</f>
        <v>&lt;from TechID&gt;</v>
      </c>
      <c r="F1036" s="103" t="s">
        <v>860</v>
      </c>
      <c r="G1036" s="103" t="s">
        <v>151</v>
      </c>
      <c r="H1036" s="103" t="s">
        <v>861</v>
      </c>
      <c r="I1036" s="103" t="s">
        <v>862</v>
      </c>
      <c r="J1036" s="103" t="s">
        <v>863</v>
      </c>
      <c r="K1036" s="103" t="s">
        <v>864</v>
      </c>
      <c r="L1036" s="103" t="s">
        <v>153</v>
      </c>
      <c r="M1036" s="103" t="s">
        <v>865</v>
      </c>
      <c r="N1036" s="103" t="s">
        <v>866</v>
      </c>
      <c r="O1036" s="103" t="str">
        <f t="shared" si="54"/>
        <v>CFLscw(6w)</v>
      </c>
      <c r="P1036" s="103" t="s">
        <v>153</v>
      </c>
      <c r="Q1036" s="103" t="s">
        <v>153</v>
      </c>
      <c r="R1036" s="103" t="s">
        <v>153</v>
      </c>
      <c r="S1036" s="103" t="str">
        <f>INDEX('Measure &amp; Standard CostIDs'!$AK$8:$AK$12,B1036)</f>
        <v>Three-pack</v>
      </c>
      <c r="T1036" s="103" t="s">
        <v>867</v>
      </c>
      <c r="U1036" s="103"/>
      <c r="V1036" s="103"/>
      <c r="W1036" s="103">
        <f>ROUND(IF(LEFT(D1036,3)="Std",VLOOKUP(D1036,'Measure &amp; Standard CostIDs'!$S$5:$X$177,1+B1036,FALSE),VLOOKUP(D1036,'Measure &amp; Standard CostIDs'!$C$5:$H$177,1+B1036,FALSE)),2)</f>
        <v>2.57</v>
      </c>
      <c r="X1036" s="103"/>
      <c r="Y1036" s="103"/>
      <c r="Z1036" s="103" t="s">
        <v>868</v>
      </c>
      <c r="AA1036" s="103" t="s">
        <v>874</v>
      </c>
      <c r="AB1036" s="103" t="s">
        <v>153</v>
      </c>
      <c r="AC1036" s="103">
        <v>0</v>
      </c>
      <c r="AD1036" s="156">
        <v>42005</v>
      </c>
      <c r="AE1036" s="103"/>
      <c r="AF1036" s="103" t="s">
        <v>870</v>
      </c>
      <c r="AG1036" s="103" t="s">
        <v>871</v>
      </c>
      <c r="AH1036" s="103" t="s">
        <v>976</v>
      </c>
      <c r="AI1036" s="103">
        <v>0</v>
      </c>
      <c r="AJ1036" s="103"/>
      <c r="AK1036" s="103"/>
      <c r="AL1036" s="103"/>
      <c r="AM1036" s="103"/>
      <c r="AN1036" s="103"/>
      <c r="AO1036" s="103" t="str">
        <f t="shared" si="55"/>
        <v>CFLscw(6w)Three-pack</v>
      </c>
    </row>
    <row r="1037" spans="1:41">
      <c r="A1037" s="177">
        <f>IFERROR(MATCH(D1037,'Measure &amp; Standard CostIDs'!C$5:C$177,0),MATCH(D1037,'Measure &amp; Standard CostIDs'!S$5:S$177,0))</f>
        <v>43</v>
      </c>
      <c r="B1037" s="177">
        <f t="shared" si="53"/>
        <v>4</v>
      </c>
      <c r="C1037" s="103" t="s">
        <v>153</v>
      </c>
      <c r="D1037" s="103" t="str">
        <f t="shared" si="52"/>
        <v>CFLscw(7w)</v>
      </c>
      <c r="E1037" s="103" t="str">
        <f>IF(LEFT(D1037,3)="Std","Base case cost for mix of 60% Incandescent and 40% CFL lamps for CFL TechID: "&amp;INDEX('Measure &amp; Standard CostIDs'!$C$5:$C$177,A1037),"&lt;from TechID&gt;")</f>
        <v>&lt;from TechID&gt;</v>
      </c>
      <c r="F1037" s="103" t="s">
        <v>860</v>
      </c>
      <c r="G1037" s="103" t="s">
        <v>151</v>
      </c>
      <c r="H1037" s="103" t="s">
        <v>861</v>
      </c>
      <c r="I1037" s="103" t="s">
        <v>862</v>
      </c>
      <c r="J1037" s="103" t="s">
        <v>863</v>
      </c>
      <c r="K1037" s="103" t="s">
        <v>864</v>
      </c>
      <c r="L1037" s="103" t="s">
        <v>153</v>
      </c>
      <c r="M1037" s="103" t="s">
        <v>865</v>
      </c>
      <c r="N1037" s="103" t="s">
        <v>866</v>
      </c>
      <c r="O1037" s="103" t="str">
        <f t="shared" si="54"/>
        <v>CFLscw(7w)</v>
      </c>
      <c r="P1037" s="103" t="s">
        <v>153</v>
      </c>
      <c r="Q1037" s="103" t="s">
        <v>153</v>
      </c>
      <c r="R1037" s="103" t="s">
        <v>153</v>
      </c>
      <c r="S1037" s="103" t="str">
        <f>INDEX('Measure &amp; Standard CostIDs'!$AK$8:$AK$12,B1037)</f>
        <v>Three-pack</v>
      </c>
      <c r="T1037" s="103" t="s">
        <v>867</v>
      </c>
      <c r="U1037" s="103"/>
      <c r="V1037" s="103"/>
      <c r="W1037" s="103">
        <f>ROUND(IF(LEFT(D1037,3)="Std",VLOOKUP(D1037,'Measure &amp; Standard CostIDs'!$S$5:$X$177,1+B1037,FALSE),VLOOKUP(D1037,'Measure &amp; Standard CostIDs'!$C$5:$H$177,1+B1037,FALSE)),2)</f>
        <v>2.64</v>
      </c>
      <c r="X1037" s="103"/>
      <c r="Y1037" s="103"/>
      <c r="Z1037" s="103" t="s">
        <v>868</v>
      </c>
      <c r="AA1037" s="103" t="s">
        <v>874</v>
      </c>
      <c r="AB1037" s="103" t="s">
        <v>153</v>
      </c>
      <c r="AC1037" s="103">
        <v>0</v>
      </c>
      <c r="AD1037" s="156">
        <v>42005</v>
      </c>
      <c r="AE1037" s="103"/>
      <c r="AF1037" s="103" t="s">
        <v>870</v>
      </c>
      <c r="AG1037" s="103" t="s">
        <v>871</v>
      </c>
      <c r="AH1037" s="103" t="s">
        <v>976</v>
      </c>
      <c r="AI1037" s="103">
        <v>0</v>
      </c>
      <c r="AJ1037" s="103"/>
      <c r="AK1037" s="103"/>
      <c r="AL1037" s="103"/>
      <c r="AM1037" s="103"/>
      <c r="AN1037" s="103"/>
      <c r="AO1037" s="103" t="str">
        <f t="shared" si="55"/>
        <v>CFLscw(7w)Three-pack</v>
      </c>
    </row>
    <row r="1038" spans="1:41">
      <c r="A1038" s="177">
        <f>IFERROR(MATCH(D1038,'Measure &amp; Standard CostIDs'!C$5:C$177,0),MATCH(D1038,'Measure &amp; Standard CostIDs'!S$5:S$177,0))</f>
        <v>44</v>
      </c>
      <c r="B1038" s="177">
        <f t="shared" si="53"/>
        <v>4</v>
      </c>
      <c r="C1038" s="103" t="s">
        <v>153</v>
      </c>
      <c r="D1038" s="103" t="str">
        <f t="shared" si="52"/>
        <v>CFLscw(84w)</v>
      </c>
      <c r="E1038" s="103" t="str">
        <f>IF(LEFT(D1038,3)="Std","Base case cost for mix of 60% Incandescent and 40% CFL lamps for CFL TechID: "&amp;INDEX('Measure &amp; Standard CostIDs'!$C$5:$C$177,A1038),"&lt;from TechID&gt;")</f>
        <v>&lt;from TechID&gt;</v>
      </c>
      <c r="F1038" s="103" t="s">
        <v>860</v>
      </c>
      <c r="G1038" s="103" t="s">
        <v>151</v>
      </c>
      <c r="H1038" s="103" t="s">
        <v>861</v>
      </c>
      <c r="I1038" s="103" t="s">
        <v>862</v>
      </c>
      <c r="J1038" s="103" t="s">
        <v>863</v>
      </c>
      <c r="K1038" s="103" t="s">
        <v>864</v>
      </c>
      <c r="L1038" s="103" t="s">
        <v>153</v>
      </c>
      <c r="M1038" s="103" t="s">
        <v>865</v>
      </c>
      <c r="N1038" s="103" t="s">
        <v>866</v>
      </c>
      <c r="O1038" s="103" t="str">
        <f t="shared" si="54"/>
        <v>CFLscw(84w)</v>
      </c>
      <c r="P1038" s="103" t="s">
        <v>153</v>
      </c>
      <c r="Q1038" s="103" t="s">
        <v>153</v>
      </c>
      <c r="R1038" s="103" t="s">
        <v>153</v>
      </c>
      <c r="S1038" s="103" t="str">
        <f>INDEX('Measure &amp; Standard CostIDs'!$AK$8:$AK$12,B1038)</f>
        <v>Three-pack</v>
      </c>
      <c r="T1038" s="103" t="s">
        <v>867</v>
      </c>
      <c r="U1038" s="103"/>
      <c r="V1038" s="103"/>
      <c r="W1038" s="103">
        <f>ROUND(IF(LEFT(D1038,3)="Std",VLOOKUP(D1038,'Measure &amp; Standard CostIDs'!$S$5:$X$177,1+B1038,FALSE),VLOOKUP(D1038,'Measure &amp; Standard CostIDs'!$C$5:$H$177,1+B1038,FALSE)),2)</f>
        <v>13.27</v>
      </c>
      <c r="X1038" s="103"/>
      <c r="Y1038" s="103"/>
      <c r="Z1038" s="103" t="s">
        <v>868</v>
      </c>
      <c r="AA1038" s="103" t="s">
        <v>874</v>
      </c>
      <c r="AB1038" s="103" t="s">
        <v>153</v>
      </c>
      <c r="AC1038" s="103">
        <v>0</v>
      </c>
      <c r="AD1038" s="156">
        <v>42005</v>
      </c>
      <c r="AE1038" s="103"/>
      <c r="AF1038" s="103" t="s">
        <v>870</v>
      </c>
      <c r="AG1038" s="103" t="s">
        <v>871</v>
      </c>
      <c r="AH1038" s="103" t="s">
        <v>976</v>
      </c>
      <c r="AI1038" s="103">
        <v>0</v>
      </c>
      <c r="AJ1038" s="103"/>
      <c r="AK1038" s="103"/>
      <c r="AL1038" s="103"/>
      <c r="AM1038" s="103"/>
      <c r="AN1038" s="103"/>
      <c r="AO1038" s="103" t="str">
        <f t="shared" si="55"/>
        <v>CFLscw(84w)Three-pack</v>
      </c>
    </row>
    <row r="1039" spans="1:41">
      <c r="A1039" s="177">
        <f>IFERROR(MATCH(D1039,'Measure &amp; Standard CostIDs'!C$5:C$177,0),MATCH(D1039,'Measure &amp; Standard CostIDs'!S$5:S$177,0))</f>
        <v>45</v>
      </c>
      <c r="B1039" s="177">
        <f t="shared" si="53"/>
        <v>4</v>
      </c>
      <c r="C1039" s="103" t="s">
        <v>153</v>
      </c>
      <c r="D1039" s="103" t="str">
        <f t="shared" si="52"/>
        <v>CFLscw(85w)</v>
      </c>
      <c r="E1039" s="103" t="str">
        <f>IF(LEFT(D1039,3)="Std","Base case cost for mix of 60% Incandescent and 40% CFL lamps for CFL TechID: "&amp;INDEX('Measure &amp; Standard CostIDs'!$C$5:$C$177,A1039),"&lt;from TechID&gt;")</f>
        <v>&lt;from TechID&gt;</v>
      </c>
      <c r="F1039" s="103" t="s">
        <v>860</v>
      </c>
      <c r="G1039" s="103" t="s">
        <v>151</v>
      </c>
      <c r="H1039" s="103" t="s">
        <v>861</v>
      </c>
      <c r="I1039" s="103" t="s">
        <v>862</v>
      </c>
      <c r="J1039" s="103" t="s">
        <v>863</v>
      </c>
      <c r="K1039" s="103" t="s">
        <v>864</v>
      </c>
      <c r="L1039" s="103" t="s">
        <v>153</v>
      </c>
      <c r="M1039" s="103" t="s">
        <v>865</v>
      </c>
      <c r="N1039" s="103" t="s">
        <v>866</v>
      </c>
      <c r="O1039" s="103" t="str">
        <f t="shared" si="54"/>
        <v>CFLscw(85w)</v>
      </c>
      <c r="P1039" s="103" t="s">
        <v>153</v>
      </c>
      <c r="Q1039" s="103" t="s">
        <v>153</v>
      </c>
      <c r="R1039" s="103" t="s">
        <v>153</v>
      </c>
      <c r="S1039" s="103" t="str">
        <f>INDEX('Measure &amp; Standard CostIDs'!$AK$8:$AK$12,B1039)</f>
        <v>Three-pack</v>
      </c>
      <c r="T1039" s="103" t="s">
        <v>867</v>
      </c>
      <c r="U1039" s="103"/>
      <c r="V1039" s="103"/>
      <c r="W1039" s="103">
        <f>ROUND(IF(LEFT(D1039,3)="Std",VLOOKUP(D1039,'Measure &amp; Standard CostIDs'!$S$5:$X$177,1+B1039,FALSE),VLOOKUP(D1039,'Measure &amp; Standard CostIDs'!$C$5:$H$177,1+B1039,FALSE)),2)</f>
        <v>13.43</v>
      </c>
      <c r="X1039" s="103"/>
      <c r="Y1039" s="103"/>
      <c r="Z1039" s="103" t="s">
        <v>868</v>
      </c>
      <c r="AA1039" s="103" t="s">
        <v>874</v>
      </c>
      <c r="AB1039" s="103" t="s">
        <v>153</v>
      </c>
      <c r="AC1039" s="103">
        <v>0</v>
      </c>
      <c r="AD1039" s="156">
        <v>42005</v>
      </c>
      <c r="AE1039" s="103"/>
      <c r="AF1039" s="103" t="s">
        <v>870</v>
      </c>
      <c r="AG1039" s="103" t="s">
        <v>871</v>
      </c>
      <c r="AH1039" s="103" t="s">
        <v>976</v>
      </c>
      <c r="AI1039" s="103">
        <v>0</v>
      </c>
      <c r="AJ1039" s="103"/>
      <c r="AK1039" s="103"/>
      <c r="AL1039" s="103"/>
      <c r="AM1039" s="103"/>
      <c r="AN1039" s="103"/>
      <c r="AO1039" s="103" t="str">
        <f t="shared" si="55"/>
        <v>CFLscw(85w)Three-pack</v>
      </c>
    </row>
    <row r="1040" spans="1:41">
      <c r="A1040" s="177">
        <f>IFERROR(MATCH(D1040,'Measure &amp; Standard CostIDs'!C$5:C$177,0),MATCH(D1040,'Measure &amp; Standard CostIDs'!S$5:S$177,0))</f>
        <v>46</v>
      </c>
      <c r="B1040" s="177">
        <f t="shared" si="53"/>
        <v>4</v>
      </c>
      <c r="C1040" s="103" t="s">
        <v>153</v>
      </c>
      <c r="D1040" s="103" t="str">
        <f t="shared" ref="D1040:D1103" si="56">+D710</f>
        <v>CFLscw(8w)</v>
      </c>
      <c r="E1040" s="103" t="str">
        <f>IF(LEFT(D1040,3)="Std","Base case cost for mix of 60% Incandescent and 40% CFL lamps for CFL TechID: "&amp;INDEX('Measure &amp; Standard CostIDs'!$C$5:$C$177,A1040),"&lt;from TechID&gt;")</f>
        <v>&lt;from TechID&gt;</v>
      </c>
      <c r="F1040" s="103" t="s">
        <v>860</v>
      </c>
      <c r="G1040" s="103" t="s">
        <v>151</v>
      </c>
      <c r="H1040" s="103" t="s">
        <v>861</v>
      </c>
      <c r="I1040" s="103" t="s">
        <v>862</v>
      </c>
      <c r="J1040" s="103" t="s">
        <v>863</v>
      </c>
      <c r="K1040" s="103" t="s">
        <v>864</v>
      </c>
      <c r="L1040" s="103" t="s">
        <v>153</v>
      </c>
      <c r="M1040" s="103" t="s">
        <v>865</v>
      </c>
      <c r="N1040" s="103" t="s">
        <v>866</v>
      </c>
      <c r="O1040" s="103" t="str">
        <f t="shared" si="54"/>
        <v>CFLscw(8w)</v>
      </c>
      <c r="P1040" s="103" t="s">
        <v>153</v>
      </c>
      <c r="Q1040" s="103" t="s">
        <v>153</v>
      </c>
      <c r="R1040" s="103" t="s">
        <v>153</v>
      </c>
      <c r="S1040" s="103" t="str">
        <f>INDEX('Measure &amp; Standard CostIDs'!$AK$8:$AK$12,B1040)</f>
        <v>Three-pack</v>
      </c>
      <c r="T1040" s="103" t="s">
        <v>867</v>
      </c>
      <c r="U1040" s="103"/>
      <c r="V1040" s="103"/>
      <c r="W1040" s="103">
        <f>ROUND(IF(LEFT(D1040,3)="Std",VLOOKUP(D1040,'Measure &amp; Standard CostIDs'!$S$5:$X$177,1+B1040,FALSE),VLOOKUP(D1040,'Measure &amp; Standard CostIDs'!$C$5:$H$177,1+B1040,FALSE)),2)</f>
        <v>2.7</v>
      </c>
      <c r="X1040" s="103"/>
      <c r="Y1040" s="103"/>
      <c r="Z1040" s="103" t="s">
        <v>868</v>
      </c>
      <c r="AA1040" s="103" t="s">
        <v>874</v>
      </c>
      <c r="AB1040" s="103" t="s">
        <v>153</v>
      </c>
      <c r="AC1040" s="103">
        <v>0</v>
      </c>
      <c r="AD1040" s="156">
        <v>42005</v>
      </c>
      <c r="AE1040" s="103"/>
      <c r="AF1040" s="103" t="s">
        <v>870</v>
      </c>
      <c r="AG1040" s="103" t="s">
        <v>871</v>
      </c>
      <c r="AH1040" s="103" t="s">
        <v>976</v>
      </c>
      <c r="AI1040" s="103">
        <v>0</v>
      </c>
      <c r="AJ1040" s="103"/>
      <c r="AK1040" s="103"/>
      <c r="AL1040" s="103"/>
      <c r="AM1040" s="103"/>
      <c r="AN1040" s="103"/>
      <c r="AO1040" s="103" t="str">
        <f t="shared" si="55"/>
        <v>CFLscw(8w)Three-pack</v>
      </c>
    </row>
    <row r="1041" spans="1:41">
      <c r="A1041" s="177">
        <f>IFERROR(MATCH(D1041,'Measure &amp; Standard CostIDs'!C$5:C$177,0),MATCH(D1041,'Measure &amp; Standard CostIDs'!S$5:S$177,0))</f>
        <v>47</v>
      </c>
      <c r="B1041" s="177">
        <f t="shared" ref="B1041:B1104" si="57">+B711+1</f>
        <v>4</v>
      </c>
      <c r="C1041" s="103" t="s">
        <v>153</v>
      </c>
      <c r="D1041" s="103" t="str">
        <f t="shared" si="56"/>
        <v>CFLscw(9w)</v>
      </c>
      <c r="E1041" s="103" t="str">
        <f>IF(LEFT(D1041,3)="Std","Base case cost for mix of 60% Incandescent and 40% CFL lamps for CFL TechID: "&amp;INDEX('Measure &amp; Standard CostIDs'!$C$5:$C$177,A1041),"&lt;from TechID&gt;")</f>
        <v>&lt;from TechID&gt;</v>
      </c>
      <c r="F1041" s="103" t="s">
        <v>860</v>
      </c>
      <c r="G1041" s="103" t="s">
        <v>151</v>
      </c>
      <c r="H1041" s="103" t="s">
        <v>861</v>
      </c>
      <c r="I1041" s="103" t="s">
        <v>862</v>
      </c>
      <c r="J1041" s="103" t="s">
        <v>863</v>
      </c>
      <c r="K1041" s="103" t="s">
        <v>864</v>
      </c>
      <c r="L1041" s="103" t="s">
        <v>153</v>
      </c>
      <c r="M1041" s="103" t="s">
        <v>865</v>
      </c>
      <c r="N1041" s="103" t="s">
        <v>866</v>
      </c>
      <c r="O1041" s="103" t="str">
        <f t="shared" si="54"/>
        <v>CFLscw(9w)</v>
      </c>
      <c r="P1041" s="103" t="s">
        <v>153</v>
      </c>
      <c r="Q1041" s="103" t="s">
        <v>153</v>
      </c>
      <c r="R1041" s="103" t="s">
        <v>153</v>
      </c>
      <c r="S1041" s="103" t="str">
        <f>INDEX('Measure &amp; Standard CostIDs'!$AK$8:$AK$12,B1041)</f>
        <v>Three-pack</v>
      </c>
      <c r="T1041" s="103" t="s">
        <v>867</v>
      </c>
      <c r="U1041" s="103"/>
      <c r="V1041" s="103"/>
      <c r="W1041" s="103">
        <f>ROUND(IF(LEFT(D1041,3)="Std",VLOOKUP(D1041,'Measure &amp; Standard CostIDs'!$S$5:$X$177,1+B1041,FALSE),VLOOKUP(D1041,'Measure &amp; Standard CostIDs'!$C$5:$H$177,1+B1041,FALSE)),2)</f>
        <v>2.77</v>
      </c>
      <c r="X1041" s="103"/>
      <c r="Y1041" s="103"/>
      <c r="Z1041" s="103" t="s">
        <v>868</v>
      </c>
      <c r="AA1041" s="103" t="s">
        <v>874</v>
      </c>
      <c r="AB1041" s="103" t="s">
        <v>153</v>
      </c>
      <c r="AC1041" s="103">
        <v>0</v>
      </c>
      <c r="AD1041" s="156">
        <v>42005</v>
      </c>
      <c r="AE1041" s="103"/>
      <c r="AF1041" s="103" t="s">
        <v>870</v>
      </c>
      <c r="AG1041" s="103" t="s">
        <v>871</v>
      </c>
      <c r="AH1041" s="103" t="s">
        <v>976</v>
      </c>
      <c r="AI1041" s="103">
        <v>0</v>
      </c>
      <c r="AJ1041" s="103"/>
      <c r="AK1041" s="103"/>
      <c r="AL1041" s="103"/>
      <c r="AM1041" s="103"/>
      <c r="AN1041" s="103"/>
      <c r="AO1041" s="103" t="str">
        <f t="shared" si="55"/>
        <v>CFLscw(9w)Three-pack</v>
      </c>
    </row>
    <row r="1042" spans="1:41">
      <c r="A1042" s="177">
        <f>IFERROR(MATCH(D1042,'Measure &amp; Standard CostIDs'!C$5:C$177,0),MATCH(D1042,'Measure &amp; Standard CostIDs'!S$5:S$177,0))</f>
        <v>48</v>
      </c>
      <c r="B1042" s="177">
        <f t="shared" si="57"/>
        <v>4</v>
      </c>
      <c r="C1042" s="103" t="s">
        <v>153</v>
      </c>
      <c r="D1042" s="103" t="str">
        <f t="shared" si="56"/>
        <v>CFLscw-3way(13w)</v>
      </c>
      <c r="E1042" s="103" t="str">
        <f>IF(LEFT(D1042,3)="Std","Base case cost for mix of 60% Incandescent and 40% CFL lamps for CFL TechID: "&amp;INDEX('Measure &amp; Standard CostIDs'!$C$5:$C$177,A1042),"&lt;from TechID&gt;")</f>
        <v>&lt;from TechID&gt;</v>
      </c>
      <c r="F1042" s="103" t="s">
        <v>860</v>
      </c>
      <c r="G1042" s="103" t="s">
        <v>151</v>
      </c>
      <c r="H1042" s="103" t="s">
        <v>861</v>
      </c>
      <c r="I1042" s="103" t="s">
        <v>862</v>
      </c>
      <c r="J1042" s="103" t="s">
        <v>863</v>
      </c>
      <c r="K1042" s="103" t="s">
        <v>864</v>
      </c>
      <c r="L1042" s="103" t="s">
        <v>153</v>
      </c>
      <c r="M1042" s="103" t="s">
        <v>865</v>
      </c>
      <c r="N1042" s="103" t="s">
        <v>866</v>
      </c>
      <c r="O1042" s="103" t="str">
        <f t="shared" si="54"/>
        <v>CFLscw-3way(13w)</v>
      </c>
      <c r="P1042" s="103" t="s">
        <v>153</v>
      </c>
      <c r="Q1042" s="103" t="s">
        <v>153</v>
      </c>
      <c r="R1042" s="103" t="s">
        <v>153</v>
      </c>
      <c r="S1042" s="103" t="str">
        <f>INDEX('Measure &amp; Standard CostIDs'!$AK$8:$AK$12,B1042)</f>
        <v>Three-pack</v>
      </c>
      <c r="T1042" s="103" t="s">
        <v>867</v>
      </c>
      <c r="U1042" s="103"/>
      <c r="V1042" s="103"/>
      <c r="W1042" s="103">
        <f>ROUND(IF(LEFT(D1042,3)="Std",VLOOKUP(D1042,'Measure &amp; Standard CostIDs'!$S$5:$X$177,1+B1042,FALSE),VLOOKUP(D1042,'Measure &amp; Standard CostIDs'!$C$5:$H$177,1+B1042,FALSE)),2)</f>
        <v>9.7899999999999991</v>
      </c>
      <c r="X1042" s="103"/>
      <c r="Y1042" s="103"/>
      <c r="Z1042" s="103" t="s">
        <v>868</v>
      </c>
      <c r="AA1042" s="103" t="s">
        <v>874</v>
      </c>
      <c r="AB1042" s="103" t="s">
        <v>153</v>
      </c>
      <c r="AC1042" s="103">
        <v>0</v>
      </c>
      <c r="AD1042" s="156">
        <v>42005</v>
      </c>
      <c r="AE1042" s="103"/>
      <c r="AF1042" s="103" t="s">
        <v>870</v>
      </c>
      <c r="AG1042" s="103" t="s">
        <v>871</v>
      </c>
      <c r="AH1042" s="103" t="s">
        <v>976</v>
      </c>
      <c r="AI1042" s="103">
        <v>0</v>
      </c>
      <c r="AJ1042" s="103"/>
      <c r="AK1042" s="103"/>
      <c r="AL1042" s="103"/>
      <c r="AM1042" s="103"/>
      <c r="AN1042" s="103"/>
      <c r="AO1042" s="103" t="str">
        <f t="shared" si="55"/>
        <v>CFLscw-3way(13w)Three-pack</v>
      </c>
    </row>
    <row r="1043" spans="1:41">
      <c r="A1043" s="177">
        <f>IFERROR(MATCH(D1043,'Measure &amp; Standard CostIDs'!C$5:C$177,0),MATCH(D1043,'Measure &amp; Standard CostIDs'!S$5:S$177,0))</f>
        <v>49</v>
      </c>
      <c r="B1043" s="177">
        <f t="shared" si="57"/>
        <v>4</v>
      </c>
      <c r="C1043" s="103" t="s">
        <v>153</v>
      </c>
      <c r="D1043" s="103" t="str">
        <f t="shared" si="56"/>
        <v>CFLscw-3way(15w)</v>
      </c>
      <c r="E1043" s="103" t="str">
        <f>IF(LEFT(D1043,3)="Std","Base case cost for mix of 60% Incandescent and 40% CFL lamps for CFL TechID: "&amp;INDEX('Measure &amp; Standard CostIDs'!$C$5:$C$177,A1043),"&lt;from TechID&gt;")</f>
        <v>&lt;from TechID&gt;</v>
      </c>
      <c r="F1043" s="103" t="s">
        <v>860</v>
      </c>
      <c r="G1043" s="103" t="s">
        <v>151</v>
      </c>
      <c r="H1043" s="103" t="s">
        <v>861</v>
      </c>
      <c r="I1043" s="103" t="s">
        <v>862</v>
      </c>
      <c r="J1043" s="103" t="s">
        <v>863</v>
      </c>
      <c r="K1043" s="103" t="s">
        <v>864</v>
      </c>
      <c r="L1043" s="103" t="s">
        <v>153</v>
      </c>
      <c r="M1043" s="103" t="s">
        <v>865</v>
      </c>
      <c r="N1043" s="103" t="s">
        <v>866</v>
      </c>
      <c r="O1043" s="103" t="str">
        <f t="shared" si="54"/>
        <v>CFLscw-3way(15w)</v>
      </c>
      <c r="P1043" s="103" t="s">
        <v>153</v>
      </c>
      <c r="Q1043" s="103" t="s">
        <v>153</v>
      </c>
      <c r="R1043" s="103" t="s">
        <v>153</v>
      </c>
      <c r="S1043" s="103" t="str">
        <f>INDEX('Measure &amp; Standard CostIDs'!$AK$8:$AK$12,B1043)</f>
        <v>Three-pack</v>
      </c>
      <c r="T1043" s="103" t="s">
        <v>867</v>
      </c>
      <c r="U1043" s="103"/>
      <c r="V1043" s="103"/>
      <c r="W1043" s="103">
        <f>ROUND(IF(LEFT(D1043,3)="Std",VLOOKUP(D1043,'Measure &amp; Standard CostIDs'!$S$5:$X$177,1+B1043,FALSE),VLOOKUP(D1043,'Measure &amp; Standard CostIDs'!$C$5:$H$177,1+B1043,FALSE)),2)</f>
        <v>9.92</v>
      </c>
      <c r="X1043" s="103"/>
      <c r="Y1043" s="103"/>
      <c r="Z1043" s="103" t="s">
        <v>868</v>
      </c>
      <c r="AA1043" s="103" t="s">
        <v>874</v>
      </c>
      <c r="AB1043" s="103" t="s">
        <v>153</v>
      </c>
      <c r="AC1043" s="103">
        <v>0</v>
      </c>
      <c r="AD1043" s="156">
        <v>42005</v>
      </c>
      <c r="AE1043" s="103"/>
      <c r="AF1043" s="103" t="s">
        <v>870</v>
      </c>
      <c r="AG1043" s="103" t="s">
        <v>871</v>
      </c>
      <c r="AH1043" s="103" t="s">
        <v>976</v>
      </c>
      <c r="AI1043" s="103">
        <v>0</v>
      </c>
      <c r="AJ1043" s="103"/>
      <c r="AK1043" s="103"/>
      <c r="AL1043" s="103"/>
      <c r="AM1043" s="103"/>
      <c r="AN1043" s="103"/>
      <c r="AO1043" s="103" t="str">
        <f t="shared" si="55"/>
        <v>CFLscw-3way(15w)Three-pack</v>
      </c>
    </row>
    <row r="1044" spans="1:41">
      <c r="A1044" s="177">
        <f>IFERROR(MATCH(D1044,'Measure &amp; Standard CostIDs'!C$5:C$177,0),MATCH(D1044,'Measure &amp; Standard CostIDs'!S$5:S$177,0))</f>
        <v>50</v>
      </c>
      <c r="B1044" s="177">
        <f t="shared" si="57"/>
        <v>4</v>
      </c>
      <c r="C1044" s="103" t="s">
        <v>153</v>
      </c>
      <c r="D1044" s="103" t="str">
        <f t="shared" si="56"/>
        <v>CFLscw-3way(16w)</v>
      </c>
      <c r="E1044" s="103" t="str">
        <f>IF(LEFT(D1044,3)="Std","Base case cost for mix of 60% Incandescent and 40% CFL lamps for CFL TechID: "&amp;INDEX('Measure &amp; Standard CostIDs'!$C$5:$C$177,A1044),"&lt;from TechID&gt;")</f>
        <v>&lt;from TechID&gt;</v>
      </c>
      <c r="F1044" s="103" t="s">
        <v>860</v>
      </c>
      <c r="G1044" s="103" t="s">
        <v>151</v>
      </c>
      <c r="H1044" s="103" t="s">
        <v>861</v>
      </c>
      <c r="I1044" s="103" t="s">
        <v>862</v>
      </c>
      <c r="J1044" s="103" t="s">
        <v>863</v>
      </c>
      <c r="K1044" s="103" t="s">
        <v>864</v>
      </c>
      <c r="L1044" s="103" t="s">
        <v>153</v>
      </c>
      <c r="M1044" s="103" t="s">
        <v>865</v>
      </c>
      <c r="N1044" s="103" t="s">
        <v>866</v>
      </c>
      <c r="O1044" s="103" t="str">
        <f t="shared" si="54"/>
        <v>CFLscw-3way(16w)</v>
      </c>
      <c r="P1044" s="103" t="s">
        <v>153</v>
      </c>
      <c r="Q1044" s="103" t="s">
        <v>153</v>
      </c>
      <c r="R1044" s="103" t="s">
        <v>153</v>
      </c>
      <c r="S1044" s="103" t="str">
        <f>INDEX('Measure &amp; Standard CostIDs'!$AK$8:$AK$12,B1044)</f>
        <v>Three-pack</v>
      </c>
      <c r="T1044" s="103" t="s">
        <v>867</v>
      </c>
      <c r="U1044" s="103"/>
      <c r="V1044" s="103"/>
      <c r="W1044" s="103">
        <f>ROUND(IF(LEFT(D1044,3)="Std",VLOOKUP(D1044,'Measure &amp; Standard CostIDs'!$S$5:$X$177,1+B1044,FALSE),VLOOKUP(D1044,'Measure &amp; Standard CostIDs'!$C$5:$H$177,1+B1044,FALSE)),2)</f>
        <v>9.99</v>
      </c>
      <c r="X1044" s="103"/>
      <c r="Y1044" s="103"/>
      <c r="Z1044" s="103" t="s">
        <v>868</v>
      </c>
      <c r="AA1044" s="103" t="s">
        <v>874</v>
      </c>
      <c r="AB1044" s="103" t="s">
        <v>153</v>
      </c>
      <c r="AC1044" s="103">
        <v>0</v>
      </c>
      <c r="AD1044" s="156">
        <v>42005</v>
      </c>
      <c r="AE1044" s="103"/>
      <c r="AF1044" s="103" t="s">
        <v>870</v>
      </c>
      <c r="AG1044" s="103" t="s">
        <v>871</v>
      </c>
      <c r="AH1044" s="103" t="s">
        <v>976</v>
      </c>
      <c r="AI1044" s="103">
        <v>0</v>
      </c>
      <c r="AJ1044" s="103"/>
      <c r="AK1044" s="103"/>
      <c r="AL1044" s="103"/>
      <c r="AM1044" s="103"/>
      <c r="AN1044" s="103"/>
      <c r="AO1044" s="103" t="str">
        <f t="shared" si="55"/>
        <v>CFLscw-3way(16w)Three-pack</v>
      </c>
    </row>
    <row r="1045" spans="1:41">
      <c r="A1045" s="177">
        <f>IFERROR(MATCH(D1045,'Measure &amp; Standard CostIDs'!C$5:C$177,0),MATCH(D1045,'Measure &amp; Standard CostIDs'!S$5:S$177,0))</f>
        <v>51</v>
      </c>
      <c r="B1045" s="177">
        <f t="shared" si="57"/>
        <v>4</v>
      </c>
      <c r="C1045" s="103" t="s">
        <v>153</v>
      </c>
      <c r="D1045" s="103" t="str">
        <f t="shared" si="56"/>
        <v>CFLscw-3way(17w)</v>
      </c>
      <c r="E1045" s="103" t="str">
        <f>IF(LEFT(D1045,3)="Std","Base case cost for mix of 60% Incandescent and 40% CFL lamps for CFL TechID: "&amp;INDEX('Measure &amp; Standard CostIDs'!$C$5:$C$177,A1045),"&lt;from TechID&gt;")</f>
        <v>&lt;from TechID&gt;</v>
      </c>
      <c r="F1045" s="103" t="s">
        <v>860</v>
      </c>
      <c r="G1045" s="103" t="s">
        <v>151</v>
      </c>
      <c r="H1045" s="103" t="s">
        <v>861</v>
      </c>
      <c r="I1045" s="103" t="s">
        <v>862</v>
      </c>
      <c r="J1045" s="103" t="s">
        <v>863</v>
      </c>
      <c r="K1045" s="103" t="s">
        <v>864</v>
      </c>
      <c r="L1045" s="103" t="s">
        <v>153</v>
      </c>
      <c r="M1045" s="103" t="s">
        <v>865</v>
      </c>
      <c r="N1045" s="103" t="s">
        <v>866</v>
      </c>
      <c r="O1045" s="103" t="str">
        <f t="shared" si="54"/>
        <v>CFLscw-3way(17w)</v>
      </c>
      <c r="P1045" s="103" t="s">
        <v>153</v>
      </c>
      <c r="Q1045" s="103" t="s">
        <v>153</v>
      </c>
      <c r="R1045" s="103" t="s">
        <v>153</v>
      </c>
      <c r="S1045" s="103" t="str">
        <f>INDEX('Measure &amp; Standard CostIDs'!$AK$8:$AK$12,B1045)</f>
        <v>Three-pack</v>
      </c>
      <c r="T1045" s="103" t="s">
        <v>867</v>
      </c>
      <c r="U1045" s="103"/>
      <c r="V1045" s="103"/>
      <c r="W1045" s="103">
        <f>ROUND(IF(LEFT(D1045,3)="Std",VLOOKUP(D1045,'Measure &amp; Standard CostIDs'!$S$5:$X$177,1+B1045,FALSE),VLOOKUP(D1045,'Measure &amp; Standard CostIDs'!$C$5:$H$177,1+B1045,FALSE)),2)</f>
        <v>10.050000000000001</v>
      </c>
      <c r="X1045" s="103"/>
      <c r="Y1045" s="103"/>
      <c r="Z1045" s="103" t="s">
        <v>868</v>
      </c>
      <c r="AA1045" s="103" t="s">
        <v>874</v>
      </c>
      <c r="AB1045" s="103" t="s">
        <v>153</v>
      </c>
      <c r="AC1045" s="103">
        <v>0</v>
      </c>
      <c r="AD1045" s="156">
        <v>42005</v>
      </c>
      <c r="AE1045" s="103"/>
      <c r="AF1045" s="103" t="s">
        <v>870</v>
      </c>
      <c r="AG1045" s="103" t="s">
        <v>871</v>
      </c>
      <c r="AH1045" s="103" t="s">
        <v>976</v>
      </c>
      <c r="AI1045" s="103">
        <v>0</v>
      </c>
      <c r="AJ1045" s="103"/>
      <c r="AK1045" s="103"/>
      <c r="AL1045" s="103"/>
      <c r="AM1045" s="103"/>
      <c r="AN1045" s="103"/>
      <c r="AO1045" s="103" t="str">
        <f t="shared" si="55"/>
        <v>CFLscw-3way(17w)Three-pack</v>
      </c>
    </row>
    <row r="1046" spans="1:41">
      <c r="A1046" s="177">
        <f>IFERROR(MATCH(D1046,'Measure &amp; Standard CostIDs'!C$5:C$177,0),MATCH(D1046,'Measure &amp; Standard CostIDs'!S$5:S$177,0))</f>
        <v>52</v>
      </c>
      <c r="B1046" s="177">
        <f t="shared" si="57"/>
        <v>4</v>
      </c>
      <c r="C1046" s="103" t="s">
        <v>153</v>
      </c>
      <c r="D1046" s="103" t="str">
        <f t="shared" si="56"/>
        <v>CFLscw-3way(18w)</v>
      </c>
      <c r="E1046" s="103" t="str">
        <f>IF(LEFT(D1046,3)="Std","Base case cost for mix of 60% Incandescent and 40% CFL lamps for CFL TechID: "&amp;INDEX('Measure &amp; Standard CostIDs'!$C$5:$C$177,A1046),"&lt;from TechID&gt;")</f>
        <v>&lt;from TechID&gt;</v>
      </c>
      <c r="F1046" s="103" t="s">
        <v>860</v>
      </c>
      <c r="G1046" s="103" t="s">
        <v>151</v>
      </c>
      <c r="H1046" s="103" t="s">
        <v>861</v>
      </c>
      <c r="I1046" s="103" t="s">
        <v>862</v>
      </c>
      <c r="J1046" s="103" t="s">
        <v>863</v>
      </c>
      <c r="K1046" s="103" t="s">
        <v>864</v>
      </c>
      <c r="L1046" s="103" t="s">
        <v>153</v>
      </c>
      <c r="M1046" s="103" t="s">
        <v>865</v>
      </c>
      <c r="N1046" s="103" t="s">
        <v>866</v>
      </c>
      <c r="O1046" s="103" t="str">
        <f t="shared" si="54"/>
        <v>CFLscw-3way(18w)</v>
      </c>
      <c r="P1046" s="103" t="s">
        <v>153</v>
      </c>
      <c r="Q1046" s="103" t="s">
        <v>153</v>
      </c>
      <c r="R1046" s="103" t="s">
        <v>153</v>
      </c>
      <c r="S1046" s="103" t="str">
        <f>INDEX('Measure &amp; Standard CostIDs'!$AK$8:$AK$12,B1046)</f>
        <v>Three-pack</v>
      </c>
      <c r="T1046" s="103" t="s">
        <v>867</v>
      </c>
      <c r="U1046" s="103"/>
      <c r="V1046" s="103"/>
      <c r="W1046" s="103">
        <f>ROUND(IF(LEFT(D1046,3)="Std",VLOOKUP(D1046,'Measure &amp; Standard CostIDs'!$S$5:$X$177,1+B1046,FALSE),VLOOKUP(D1046,'Measure &amp; Standard CostIDs'!$C$5:$H$177,1+B1046,FALSE)),2)</f>
        <v>10.119999999999999</v>
      </c>
      <c r="X1046" s="103"/>
      <c r="Y1046" s="103"/>
      <c r="Z1046" s="103" t="s">
        <v>868</v>
      </c>
      <c r="AA1046" s="103" t="s">
        <v>874</v>
      </c>
      <c r="AB1046" s="103" t="s">
        <v>153</v>
      </c>
      <c r="AC1046" s="103">
        <v>0</v>
      </c>
      <c r="AD1046" s="156">
        <v>42005</v>
      </c>
      <c r="AE1046" s="103"/>
      <c r="AF1046" s="103" t="s">
        <v>870</v>
      </c>
      <c r="AG1046" s="103" t="s">
        <v>871</v>
      </c>
      <c r="AH1046" s="103" t="s">
        <v>976</v>
      </c>
      <c r="AI1046" s="103">
        <v>0</v>
      </c>
      <c r="AJ1046" s="103"/>
      <c r="AK1046" s="103"/>
      <c r="AL1046" s="103"/>
      <c r="AM1046" s="103"/>
      <c r="AN1046" s="103"/>
      <c r="AO1046" s="103" t="str">
        <f t="shared" si="55"/>
        <v>CFLscw-3way(18w)Three-pack</v>
      </c>
    </row>
    <row r="1047" spans="1:41">
      <c r="A1047" s="177">
        <f>IFERROR(MATCH(D1047,'Measure &amp; Standard CostIDs'!C$5:C$177,0),MATCH(D1047,'Measure &amp; Standard CostIDs'!S$5:S$177,0))</f>
        <v>53</v>
      </c>
      <c r="B1047" s="177">
        <f t="shared" si="57"/>
        <v>4</v>
      </c>
      <c r="C1047" s="103" t="s">
        <v>153</v>
      </c>
      <c r="D1047" s="103" t="str">
        <f t="shared" si="56"/>
        <v>CFLscw-3way(19w)</v>
      </c>
      <c r="E1047" s="103" t="str">
        <f>IF(LEFT(D1047,3)="Std","Base case cost for mix of 60% Incandescent and 40% CFL lamps for CFL TechID: "&amp;INDEX('Measure &amp; Standard CostIDs'!$C$5:$C$177,A1047),"&lt;from TechID&gt;")</f>
        <v>&lt;from TechID&gt;</v>
      </c>
      <c r="F1047" s="103" t="s">
        <v>860</v>
      </c>
      <c r="G1047" s="103" t="s">
        <v>151</v>
      </c>
      <c r="H1047" s="103" t="s">
        <v>861</v>
      </c>
      <c r="I1047" s="103" t="s">
        <v>862</v>
      </c>
      <c r="J1047" s="103" t="s">
        <v>863</v>
      </c>
      <c r="K1047" s="103" t="s">
        <v>864</v>
      </c>
      <c r="L1047" s="103" t="s">
        <v>153</v>
      </c>
      <c r="M1047" s="103" t="s">
        <v>865</v>
      </c>
      <c r="N1047" s="103" t="s">
        <v>866</v>
      </c>
      <c r="O1047" s="103" t="str">
        <f t="shared" si="54"/>
        <v>CFLscw-3way(19w)</v>
      </c>
      <c r="P1047" s="103" t="s">
        <v>153</v>
      </c>
      <c r="Q1047" s="103" t="s">
        <v>153</v>
      </c>
      <c r="R1047" s="103" t="s">
        <v>153</v>
      </c>
      <c r="S1047" s="103" t="str">
        <f>INDEX('Measure &amp; Standard CostIDs'!$AK$8:$AK$12,B1047)</f>
        <v>Three-pack</v>
      </c>
      <c r="T1047" s="103" t="s">
        <v>867</v>
      </c>
      <c r="U1047" s="103"/>
      <c r="V1047" s="103"/>
      <c r="W1047" s="103">
        <f>ROUND(IF(LEFT(D1047,3)="Std",VLOOKUP(D1047,'Measure &amp; Standard CostIDs'!$S$5:$X$177,1+B1047,FALSE),VLOOKUP(D1047,'Measure &amp; Standard CostIDs'!$C$5:$H$177,1+B1047,FALSE)),2)</f>
        <v>10.18</v>
      </c>
      <c r="X1047" s="103"/>
      <c r="Y1047" s="103"/>
      <c r="Z1047" s="103" t="s">
        <v>868</v>
      </c>
      <c r="AA1047" s="103" t="s">
        <v>874</v>
      </c>
      <c r="AB1047" s="103" t="s">
        <v>153</v>
      </c>
      <c r="AC1047" s="103">
        <v>0</v>
      </c>
      <c r="AD1047" s="156">
        <v>42005</v>
      </c>
      <c r="AE1047" s="103"/>
      <c r="AF1047" s="103" t="s">
        <v>870</v>
      </c>
      <c r="AG1047" s="103" t="s">
        <v>871</v>
      </c>
      <c r="AH1047" s="103" t="s">
        <v>976</v>
      </c>
      <c r="AI1047" s="103">
        <v>0</v>
      </c>
      <c r="AJ1047" s="103"/>
      <c r="AK1047" s="103"/>
      <c r="AL1047" s="103"/>
      <c r="AM1047" s="103"/>
      <c r="AN1047" s="103"/>
      <c r="AO1047" s="103" t="str">
        <f t="shared" si="55"/>
        <v>CFLscw-3way(19w)Three-pack</v>
      </c>
    </row>
    <row r="1048" spans="1:41">
      <c r="A1048" s="177">
        <f>IFERROR(MATCH(D1048,'Measure &amp; Standard CostIDs'!C$5:C$177,0),MATCH(D1048,'Measure &amp; Standard CostIDs'!S$5:S$177,0))</f>
        <v>54</v>
      </c>
      <c r="B1048" s="177">
        <f t="shared" si="57"/>
        <v>4</v>
      </c>
      <c r="C1048" s="103" t="s">
        <v>153</v>
      </c>
      <c r="D1048" s="103" t="str">
        <f t="shared" si="56"/>
        <v>CFLscw-3way(20w)</v>
      </c>
      <c r="E1048" s="103" t="str">
        <f>IF(LEFT(D1048,3)="Std","Base case cost for mix of 60% Incandescent and 40% CFL lamps for CFL TechID: "&amp;INDEX('Measure &amp; Standard CostIDs'!$C$5:$C$177,A1048),"&lt;from TechID&gt;")</f>
        <v>&lt;from TechID&gt;</v>
      </c>
      <c r="F1048" s="103" t="s">
        <v>860</v>
      </c>
      <c r="G1048" s="103" t="s">
        <v>151</v>
      </c>
      <c r="H1048" s="103" t="s">
        <v>861</v>
      </c>
      <c r="I1048" s="103" t="s">
        <v>862</v>
      </c>
      <c r="J1048" s="103" t="s">
        <v>863</v>
      </c>
      <c r="K1048" s="103" t="s">
        <v>864</v>
      </c>
      <c r="L1048" s="103" t="s">
        <v>153</v>
      </c>
      <c r="M1048" s="103" t="s">
        <v>865</v>
      </c>
      <c r="N1048" s="103" t="s">
        <v>866</v>
      </c>
      <c r="O1048" s="103" t="str">
        <f t="shared" si="54"/>
        <v>CFLscw-3way(20w)</v>
      </c>
      <c r="P1048" s="103" t="s">
        <v>153</v>
      </c>
      <c r="Q1048" s="103" t="s">
        <v>153</v>
      </c>
      <c r="R1048" s="103" t="s">
        <v>153</v>
      </c>
      <c r="S1048" s="103" t="str">
        <f>INDEX('Measure &amp; Standard CostIDs'!$AK$8:$AK$12,B1048)</f>
        <v>Three-pack</v>
      </c>
      <c r="T1048" s="103" t="s">
        <v>867</v>
      </c>
      <c r="U1048" s="103"/>
      <c r="V1048" s="103"/>
      <c r="W1048" s="103">
        <f>ROUND(IF(LEFT(D1048,3)="Std",VLOOKUP(D1048,'Measure &amp; Standard CostIDs'!$S$5:$X$177,1+B1048,FALSE),VLOOKUP(D1048,'Measure &amp; Standard CostIDs'!$C$5:$H$177,1+B1048,FALSE)),2)</f>
        <v>10.25</v>
      </c>
      <c r="X1048" s="103"/>
      <c r="Y1048" s="103"/>
      <c r="Z1048" s="103" t="s">
        <v>868</v>
      </c>
      <c r="AA1048" s="103" t="s">
        <v>874</v>
      </c>
      <c r="AB1048" s="103" t="s">
        <v>153</v>
      </c>
      <c r="AC1048" s="103">
        <v>0</v>
      </c>
      <c r="AD1048" s="156">
        <v>42005</v>
      </c>
      <c r="AE1048" s="103"/>
      <c r="AF1048" s="103" t="s">
        <v>870</v>
      </c>
      <c r="AG1048" s="103" t="s">
        <v>871</v>
      </c>
      <c r="AH1048" s="103" t="s">
        <v>976</v>
      </c>
      <c r="AI1048" s="103">
        <v>0</v>
      </c>
      <c r="AJ1048" s="103"/>
      <c r="AK1048" s="103"/>
      <c r="AL1048" s="103"/>
      <c r="AM1048" s="103"/>
      <c r="AN1048" s="103"/>
      <c r="AO1048" s="103" t="str">
        <f t="shared" si="55"/>
        <v>CFLscw-3way(20w)Three-pack</v>
      </c>
    </row>
    <row r="1049" spans="1:41">
      <c r="A1049" s="177">
        <f>IFERROR(MATCH(D1049,'Measure &amp; Standard CostIDs'!C$5:C$177,0),MATCH(D1049,'Measure &amp; Standard CostIDs'!S$5:S$177,0))</f>
        <v>55</v>
      </c>
      <c r="B1049" s="177">
        <f t="shared" si="57"/>
        <v>4</v>
      </c>
      <c r="C1049" s="103" t="s">
        <v>153</v>
      </c>
      <c r="D1049" s="103" t="str">
        <f t="shared" si="56"/>
        <v>CFLscw-3way(21w)</v>
      </c>
      <c r="E1049" s="103" t="str">
        <f>IF(LEFT(D1049,3)="Std","Base case cost for mix of 60% Incandescent and 40% CFL lamps for CFL TechID: "&amp;INDEX('Measure &amp; Standard CostIDs'!$C$5:$C$177,A1049),"&lt;from TechID&gt;")</f>
        <v>&lt;from TechID&gt;</v>
      </c>
      <c r="F1049" s="103" t="s">
        <v>860</v>
      </c>
      <c r="G1049" s="103" t="s">
        <v>151</v>
      </c>
      <c r="H1049" s="103" t="s">
        <v>861</v>
      </c>
      <c r="I1049" s="103" t="s">
        <v>862</v>
      </c>
      <c r="J1049" s="103" t="s">
        <v>863</v>
      </c>
      <c r="K1049" s="103" t="s">
        <v>864</v>
      </c>
      <c r="L1049" s="103" t="s">
        <v>153</v>
      </c>
      <c r="M1049" s="103" t="s">
        <v>865</v>
      </c>
      <c r="N1049" s="103" t="s">
        <v>866</v>
      </c>
      <c r="O1049" s="103" t="str">
        <f t="shared" si="54"/>
        <v>CFLscw-3way(21w)</v>
      </c>
      <c r="P1049" s="103" t="s">
        <v>153</v>
      </c>
      <c r="Q1049" s="103" t="s">
        <v>153</v>
      </c>
      <c r="R1049" s="103" t="s">
        <v>153</v>
      </c>
      <c r="S1049" s="103" t="str">
        <f>INDEX('Measure &amp; Standard CostIDs'!$AK$8:$AK$12,B1049)</f>
        <v>Three-pack</v>
      </c>
      <c r="T1049" s="103" t="s">
        <v>867</v>
      </c>
      <c r="U1049" s="103"/>
      <c r="V1049" s="103"/>
      <c r="W1049" s="103">
        <f>ROUND(IF(LEFT(D1049,3)="Std",VLOOKUP(D1049,'Measure &amp; Standard CostIDs'!$S$5:$X$177,1+B1049,FALSE),VLOOKUP(D1049,'Measure &amp; Standard CostIDs'!$C$5:$H$177,1+B1049,FALSE)),2)</f>
        <v>10.32</v>
      </c>
      <c r="X1049" s="103"/>
      <c r="Y1049" s="103"/>
      <c r="Z1049" s="103" t="s">
        <v>868</v>
      </c>
      <c r="AA1049" s="103" t="s">
        <v>874</v>
      </c>
      <c r="AB1049" s="103" t="s">
        <v>153</v>
      </c>
      <c r="AC1049" s="103">
        <v>0</v>
      </c>
      <c r="AD1049" s="156">
        <v>42005</v>
      </c>
      <c r="AE1049" s="103"/>
      <c r="AF1049" s="103" t="s">
        <v>870</v>
      </c>
      <c r="AG1049" s="103" t="s">
        <v>871</v>
      </c>
      <c r="AH1049" s="103" t="s">
        <v>976</v>
      </c>
      <c r="AI1049" s="103">
        <v>0</v>
      </c>
      <c r="AJ1049" s="103"/>
      <c r="AK1049" s="103"/>
      <c r="AL1049" s="103"/>
      <c r="AM1049" s="103"/>
      <c r="AN1049" s="103"/>
      <c r="AO1049" s="103" t="str">
        <f t="shared" si="55"/>
        <v>CFLscw-3way(21w)Three-pack</v>
      </c>
    </row>
    <row r="1050" spans="1:41">
      <c r="A1050" s="177">
        <f>IFERROR(MATCH(D1050,'Measure &amp; Standard CostIDs'!C$5:C$177,0),MATCH(D1050,'Measure &amp; Standard CostIDs'!S$5:S$177,0))</f>
        <v>56</v>
      </c>
      <c r="B1050" s="177">
        <f t="shared" si="57"/>
        <v>4</v>
      </c>
      <c r="C1050" s="103" t="s">
        <v>153</v>
      </c>
      <c r="D1050" s="103" t="str">
        <f t="shared" si="56"/>
        <v>CFLscw-3way(22w)</v>
      </c>
      <c r="E1050" s="103" t="str">
        <f>IF(LEFT(D1050,3)="Std","Base case cost for mix of 60% Incandescent and 40% CFL lamps for CFL TechID: "&amp;INDEX('Measure &amp; Standard CostIDs'!$C$5:$C$177,A1050),"&lt;from TechID&gt;")</f>
        <v>&lt;from TechID&gt;</v>
      </c>
      <c r="F1050" s="103" t="s">
        <v>860</v>
      </c>
      <c r="G1050" s="103" t="s">
        <v>151</v>
      </c>
      <c r="H1050" s="103" t="s">
        <v>861</v>
      </c>
      <c r="I1050" s="103" t="s">
        <v>862</v>
      </c>
      <c r="J1050" s="103" t="s">
        <v>863</v>
      </c>
      <c r="K1050" s="103" t="s">
        <v>864</v>
      </c>
      <c r="L1050" s="103" t="s">
        <v>153</v>
      </c>
      <c r="M1050" s="103" t="s">
        <v>865</v>
      </c>
      <c r="N1050" s="103" t="s">
        <v>866</v>
      </c>
      <c r="O1050" s="103" t="str">
        <f t="shared" si="54"/>
        <v>CFLscw-3way(22w)</v>
      </c>
      <c r="P1050" s="103" t="s">
        <v>153</v>
      </c>
      <c r="Q1050" s="103" t="s">
        <v>153</v>
      </c>
      <c r="R1050" s="103" t="s">
        <v>153</v>
      </c>
      <c r="S1050" s="103" t="str">
        <f>INDEX('Measure &amp; Standard CostIDs'!$AK$8:$AK$12,B1050)</f>
        <v>Three-pack</v>
      </c>
      <c r="T1050" s="103" t="s">
        <v>867</v>
      </c>
      <c r="U1050" s="103"/>
      <c r="V1050" s="103"/>
      <c r="W1050" s="103">
        <f>ROUND(IF(LEFT(D1050,3)="Std",VLOOKUP(D1050,'Measure &amp; Standard CostIDs'!$S$5:$X$177,1+B1050,FALSE),VLOOKUP(D1050,'Measure &amp; Standard CostIDs'!$C$5:$H$177,1+B1050,FALSE)),2)</f>
        <v>10.38</v>
      </c>
      <c r="X1050" s="103"/>
      <c r="Y1050" s="103"/>
      <c r="Z1050" s="103" t="s">
        <v>868</v>
      </c>
      <c r="AA1050" s="103" t="s">
        <v>874</v>
      </c>
      <c r="AB1050" s="103" t="s">
        <v>153</v>
      </c>
      <c r="AC1050" s="103">
        <v>0</v>
      </c>
      <c r="AD1050" s="156">
        <v>42005</v>
      </c>
      <c r="AE1050" s="103"/>
      <c r="AF1050" s="103" t="s">
        <v>870</v>
      </c>
      <c r="AG1050" s="103" t="s">
        <v>871</v>
      </c>
      <c r="AH1050" s="103" t="s">
        <v>976</v>
      </c>
      <c r="AI1050" s="103">
        <v>0</v>
      </c>
      <c r="AJ1050" s="103"/>
      <c r="AK1050" s="103"/>
      <c r="AL1050" s="103"/>
      <c r="AM1050" s="103"/>
      <c r="AN1050" s="103"/>
      <c r="AO1050" s="103" t="str">
        <f t="shared" si="55"/>
        <v>CFLscw-3way(22w)Three-pack</v>
      </c>
    </row>
    <row r="1051" spans="1:41">
      <c r="A1051" s="177">
        <f>IFERROR(MATCH(D1051,'Measure &amp; Standard CostIDs'!C$5:C$177,0),MATCH(D1051,'Measure &amp; Standard CostIDs'!S$5:S$177,0))</f>
        <v>57</v>
      </c>
      <c r="B1051" s="177">
        <f t="shared" si="57"/>
        <v>4</v>
      </c>
      <c r="C1051" s="103" t="s">
        <v>153</v>
      </c>
      <c r="D1051" s="103" t="str">
        <f t="shared" si="56"/>
        <v>CFLscw-3way(23w)</v>
      </c>
      <c r="E1051" s="103" t="str">
        <f>IF(LEFT(D1051,3)="Std","Base case cost for mix of 60% Incandescent and 40% CFL lamps for CFL TechID: "&amp;INDEX('Measure &amp; Standard CostIDs'!$C$5:$C$177,A1051),"&lt;from TechID&gt;")</f>
        <v>&lt;from TechID&gt;</v>
      </c>
      <c r="F1051" s="103" t="s">
        <v>860</v>
      </c>
      <c r="G1051" s="103" t="s">
        <v>151</v>
      </c>
      <c r="H1051" s="103" t="s">
        <v>861</v>
      </c>
      <c r="I1051" s="103" t="s">
        <v>862</v>
      </c>
      <c r="J1051" s="103" t="s">
        <v>863</v>
      </c>
      <c r="K1051" s="103" t="s">
        <v>864</v>
      </c>
      <c r="L1051" s="103" t="s">
        <v>153</v>
      </c>
      <c r="M1051" s="103" t="s">
        <v>865</v>
      </c>
      <c r="N1051" s="103" t="s">
        <v>866</v>
      </c>
      <c r="O1051" s="103" t="str">
        <f t="shared" si="54"/>
        <v>CFLscw-3way(23w)</v>
      </c>
      <c r="P1051" s="103" t="s">
        <v>153</v>
      </c>
      <c r="Q1051" s="103" t="s">
        <v>153</v>
      </c>
      <c r="R1051" s="103" t="s">
        <v>153</v>
      </c>
      <c r="S1051" s="103" t="str">
        <f>INDEX('Measure &amp; Standard CostIDs'!$AK$8:$AK$12,B1051)</f>
        <v>Three-pack</v>
      </c>
      <c r="T1051" s="103" t="s">
        <v>867</v>
      </c>
      <c r="U1051" s="103"/>
      <c r="V1051" s="103"/>
      <c r="W1051" s="103">
        <f>ROUND(IF(LEFT(D1051,3)="Std",VLOOKUP(D1051,'Measure &amp; Standard CostIDs'!$S$5:$X$177,1+B1051,FALSE),VLOOKUP(D1051,'Measure &amp; Standard CostIDs'!$C$5:$H$177,1+B1051,FALSE)),2)</f>
        <v>10.45</v>
      </c>
      <c r="X1051" s="103"/>
      <c r="Y1051" s="103"/>
      <c r="Z1051" s="103" t="s">
        <v>868</v>
      </c>
      <c r="AA1051" s="103" t="s">
        <v>874</v>
      </c>
      <c r="AB1051" s="103" t="s">
        <v>153</v>
      </c>
      <c r="AC1051" s="103">
        <v>0</v>
      </c>
      <c r="AD1051" s="156">
        <v>42005</v>
      </c>
      <c r="AE1051" s="103"/>
      <c r="AF1051" s="103" t="s">
        <v>870</v>
      </c>
      <c r="AG1051" s="103" t="s">
        <v>871</v>
      </c>
      <c r="AH1051" s="103" t="s">
        <v>976</v>
      </c>
      <c r="AI1051" s="103">
        <v>0</v>
      </c>
      <c r="AJ1051" s="103"/>
      <c r="AK1051" s="103"/>
      <c r="AL1051" s="103"/>
      <c r="AM1051" s="103"/>
      <c r="AN1051" s="103"/>
      <c r="AO1051" s="103" t="str">
        <f t="shared" si="55"/>
        <v>CFLscw-3way(23w)Three-pack</v>
      </c>
    </row>
    <row r="1052" spans="1:41">
      <c r="A1052" s="177">
        <f>IFERROR(MATCH(D1052,'Measure &amp; Standard CostIDs'!C$5:C$177,0),MATCH(D1052,'Measure &amp; Standard CostIDs'!S$5:S$177,0))</f>
        <v>58</v>
      </c>
      <c r="B1052" s="177">
        <f t="shared" si="57"/>
        <v>4</v>
      </c>
      <c r="C1052" s="103" t="s">
        <v>153</v>
      </c>
      <c r="D1052" s="103" t="str">
        <f t="shared" si="56"/>
        <v>CFLscw-3way(24w)</v>
      </c>
      <c r="E1052" s="103" t="str">
        <f>IF(LEFT(D1052,3)="Std","Base case cost for mix of 60% Incandescent and 40% CFL lamps for CFL TechID: "&amp;INDEX('Measure &amp; Standard CostIDs'!$C$5:$C$177,A1052),"&lt;from TechID&gt;")</f>
        <v>&lt;from TechID&gt;</v>
      </c>
      <c r="F1052" s="103" t="s">
        <v>860</v>
      </c>
      <c r="G1052" s="103" t="s">
        <v>151</v>
      </c>
      <c r="H1052" s="103" t="s">
        <v>861</v>
      </c>
      <c r="I1052" s="103" t="s">
        <v>862</v>
      </c>
      <c r="J1052" s="103" t="s">
        <v>863</v>
      </c>
      <c r="K1052" s="103" t="s">
        <v>864</v>
      </c>
      <c r="L1052" s="103" t="s">
        <v>153</v>
      </c>
      <c r="M1052" s="103" t="s">
        <v>865</v>
      </c>
      <c r="N1052" s="103" t="s">
        <v>866</v>
      </c>
      <c r="O1052" s="103" t="str">
        <f t="shared" si="54"/>
        <v>CFLscw-3way(24w)</v>
      </c>
      <c r="P1052" s="103" t="s">
        <v>153</v>
      </c>
      <c r="Q1052" s="103" t="s">
        <v>153</v>
      </c>
      <c r="R1052" s="103" t="s">
        <v>153</v>
      </c>
      <c r="S1052" s="103" t="str">
        <f>INDEX('Measure &amp; Standard CostIDs'!$AK$8:$AK$12,B1052)</f>
        <v>Three-pack</v>
      </c>
      <c r="T1052" s="103" t="s">
        <v>867</v>
      </c>
      <c r="U1052" s="103"/>
      <c r="V1052" s="103"/>
      <c r="W1052" s="103">
        <f>ROUND(IF(LEFT(D1052,3)="Std",VLOOKUP(D1052,'Measure &amp; Standard CostIDs'!$S$5:$X$177,1+B1052,FALSE),VLOOKUP(D1052,'Measure &amp; Standard CostIDs'!$C$5:$H$177,1+B1052,FALSE)),2)</f>
        <v>10.52</v>
      </c>
      <c r="X1052" s="103"/>
      <c r="Y1052" s="103"/>
      <c r="Z1052" s="103" t="s">
        <v>868</v>
      </c>
      <c r="AA1052" s="103" t="s">
        <v>874</v>
      </c>
      <c r="AB1052" s="103" t="s">
        <v>153</v>
      </c>
      <c r="AC1052" s="103">
        <v>0</v>
      </c>
      <c r="AD1052" s="156">
        <v>42005</v>
      </c>
      <c r="AE1052" s="103"/>
      <c r="AF1052" s="103" t="s">
        <v>870</v>
      </c>
      <c r="AG1052" s="103" t="s">
        <v>871</v>
      </c>
      <c r="AH1052" s="103" t="s">
        <v>976</v>
      </c>
      <c r="AI1052" s="103">
        <v>0</v>
      </c>
      <c r="AJ1052" s="103"/>
      <c r="AK1052" s="103"/>
      <c r="AL1052" s="103"/>
      <c r="AM1052" s="103"/>
      <c r="AN1052" s="103"/>
      <c r="AO1052" s="103" t="str">
        <f t="shared" si="55"/>
        <v>CFLscw-3way(24w)Three-pack</v>
      </c>
    </row>
    <row r="1053" spans="1:41">
      <c r="A1053" s="177">
        <f>IFERROR(MATCH(D1053,'Measure &amp; Standard CostIDs'!C$5:C$177,0),MATCH(D1053,'Measure &amp; Standard CostIDs'!S$5:S$177,0))</f>
        <v>59</v>
      </c>
      <c r="B1053" s="177">
        <f t="shared" si="57"/>
        <v>4</v>
      </c>
      <c r="C1053" s="103" t="s">
        <v>153</v>
      </c>
      <c r="D1053" s="103" t="str">
        <f t="shared" si="56"/>
        <v>CFLscw-3way(25w)</v>
      </c>
      <c r="E1053" s="103" t="str">
        <f>IF(LEFT(D1053,3)="Std","Base case cost for mix of 60% Incandescent and 40% CFL lamps for CFL TechID: "&amp;INDEX('Measure &amp; Standard CostIDs'!$C$5:$C$177,A1053),"&lt;from TechID&gt;")</f>
        <v>&lt;from TechID&gt;</v>
      </c>
      <c r="F1053" s="103" t="s">
        <v>860</v>
      </c>
      <c r="G1053" s="103" t="s">
        <v>151</v>
      </c>
      <c r="H1053" s="103" t="s">
        <v>861</v>
      </c>
      <c r="I1053" s="103" t="s">
        <v>862</v>
      </c>
      <c r="J1053" s="103" t="s">
        <v>863</v>
      </c>
      <c r="K1053" s="103" t="s">
        <v>864</v>
      </c>
      <c r="L1053" s="103" t="s">
        <v>153</v>
      </c>
      <c r="M1053" s="103" t="s">
        <v>865</v>
      </c>
      <c r="N1053" s="103" t="s">
        <v>866</v>
      </c>
      <c r="O1053" s="103" t="str">
        <f t="shared" si="54"/>
        <v>CFLscw-3way(25w)</v>
      </c>
      <c r="P1053" s="103" t="s">
        <v>153</v>
      </c>
      <c r="Q1053" s="103" t="s">
        <v>153</v>
      </c>
      <c r="R1053" s="103" t="s">
        <v>153</v>
      </c>
      <c r="S1053" s="103" t="str">
        <f>INDEX('Measure &amp; Standard CostIDs'!$AK$8:$AK$12,B1053)</f>
        <v>Three-pack</v>
      </c>
      <c r="T1053" s="103" t="s">
        <v>867</v>
      </c>
      <c r="U1053" s="103"/>
      <c r="V1053" s="103"/>
      <c r="W1053" s="103">
        <f>ROUND(IF(LEFT(D1053,3)="Std",VLOOKUP(D1053,'Measure &amp; Standard CostIDs'!$S$5:$X$177,1+B1053,FALSE),VLOOKUP(D1053,'Measure &amp; Standard CostIDs'!$C$5:$H$177,1+B1053,FALSE)),2)</f>
        <v>10.58</v>
      </c>
      <c r="X1053" s="103"/>
      <c r="Y1053" s="103"/>
      <c r="Z1053" s="103" t="s">
        <v>868</v>
      </c>
      <c r="AA1053" s="103" t="s">
        <v>874</v>
      </c>
      <c r="AB1053" s="103" t="s">
        <v>153</v>
      </c>
      <c r="AC1053" s="103">
        <v>0</v>
      </c>
      <c r="AD1053" s="156">
        <v>42005</v>
      </c>
      <c r="AE1053" s="103"/>
      <c r="AF1053" s="103" t="s">
        <v>870</v>
      </c>
      <c r="AG1053" s="103" t="s">
        <v>871</v>
      </c>
      <c r="AH1053" s="103" t="s">
        <v>976</v>
      </c>
      <c r="AI1053" s="103">
        <v>0</v>
      </c>
      <c r="AJ1053" s="103"/>
      <c r="AK1053" s="103"/>
      <c r="AL1053" s="103"/>
      <c r="AM1053" s="103"/>
      <c r="AN1053" s="103"/>
      <c r="AO1053" s="103" t="str">
        <f t="shared" si="55"/>
        <v>CFLscw-3way(25w)Three-pack</v>
      </c>
    </row>
    <row r="1054" spans="1:41">
      <c r="A1054" s="177">
        <f>IFERROR(MATCH(D1054,'Measure &amp; Standard CostIDs'!C$5:C$177,0),MATCH(D1054,'Measure &amp; Standard CostIDs'!S$5:S$177,0))</f>
        <v>60</v>
      </c>
      <c r="B1054" s="177">
        <f t="shared" si="57"/>
        <v>4</v>
      </c>
      <c r="C1054" s="103" t="s">
        <v>153</v>
      </c>
      <c r="D1054" s="103" t="str">
        <f t="shared" si="56"/>
        <v>CFLscw-3way(26w)</v>
      </c>
      <c r="E1054" s="103" t="str">
        <f>IF(LEFT(D1054,3)="Std","Base case cost for mix of 60% Incandescent and 40% CFL lamps for CFL TechID: "&amp;INDEX('Measure &amp; Standard CostIDs'!$C$5:$C$177,A1054),"&lt;from TechID&gt;")</f>
        <v>&lt;from TechID&gt;</v>
      </c>
      <c r="F1054" s="103" t="s">
        <v>860</v>
      </c>
      <c r="G1054" s="103" t="s">
        <v>151</v>
      </c>
      <c r="H1054" s="103" t="s">
        <v>861</v>
      </c>
      <c r="I1054" s="103" t="s">
        <v>862</v>
      </c>
      <c r="J1054" s="103" t="s">
        <v>863</v>
      </c>
      <c r="K1054" s="103" t="s">
        <v>864</v>
      </c>
      <c r="L1054" s="103" t="s">
        <v>153</v>
      </c>
      <c r="M1054" s="103" t="s">
        <v>865</v>
      </c>
      <c r="N1054" s="103" t="s">
        <v>866</v>
      </c>
      <c r="O1054" s="103" t="str">
        <f t="shared" si="54"/>
        <v>CFLscw-3way(26w)</v>
      </c>
      <c r="P1054" s="103" t="s">
        <v>153</v>
      </c>
      <c r="Q1054" s="103" t="s">
        <v>153</v>
      </c>
      <c r="R1054" s="103" t="s">
        <v>153</v>
      </c>
      <c r="S1054" s="103" t="str">
        <f>INDEX('Measure &amp; Standard CostIDs'!$AK$8:$AK$12,B1054)</f>
        <v>Three-pack</v>
      </c>
      <c r="T1054" s="103" t="s">
        <v>867</v>
      </c>
      <c r="U1054" s="103"/>
      <c r="V1054" s="103"/>
      <c r="W1054" s="103">
        <f>ROUND(IF(LEFT(D1054,3)="Std",VLOOKUP(D1054,'Measure &amp; Standard CostIDs'!$S$5:$X$177,1+B1054,FALSE),VLOOKUP(D1054,'Measure &amp; Standard CostIDs'!$C$5:$H$177,1+B1054,FALSE)),2)</f>
        <v>10.74</v>
      </c>
      <c r="X1054" s="103"/>
      <c r="Y1054" s="103"/>
      <c r="Z1054" s="103" t="s">
        <v>868</v>
      </c>
      <c r="AA1054" s="103" t="s">
        <v>874</v>
      </c>
      <c r="AB1054" s="103" t="s">
        <v>153</v>
      </c>
      <c r="AC1054" s="103">
        <v>0</v>
      </c>
      <c r="AD1054" s="156">
        <v>42005</v>
      </c>
      <c r="AE1054" s="103"/>
      <c r="AF1054" s="103" t="s">
        <v>870</v>
      </c>
      <c r="AG1054" s="103" t="s">
        <v>871</v>
      </c>
      <c r="AH1054" s="103" t="s">
        <v>976</v>
      </c>
      <c r="AI1054" s="103">
        <v>0</v>
      </c>
      <c r="AJ1054" s="103"/>
      <c r="AK1054" s="103"/>
      <c r="AL1054" s="103"/>
      <c r="AM1054" s="103"/>
      <c r="AN1054" s="103"/>
      <c r="AO1054" s="103" t="str">
        <f t="shared" si="55"/>
        <v>CFLscw-3way(26w)Three-pack</v>
      </c>
    </row>
    <row r="1055" spans="1:41">
      <c r="A1055" s="177">
        <f>IFERROR(MATCH(D1055,'Measure &amp; Standard CostIDs'!C$5:C$177,0),MATCH(D1055,'Measure &amp; Standard CostIDs'!S$5:S$177,0))</f>
        <v>61</v>
      </c>
      <c r="B1055" s="177">
        <f t="shared" si="57"/>
        <v>4</v>
      </c>
      <c r="C1055" s="103" t="s">
        <v>153</v>
      </c>
      <c r="D1055" s="103" t="str">
        <f t="shared" si="56"/>
        <v>CFLscw-3way(27w)</v>
      </c>
      <c r="E1055" s="103" t="str">
        <f>IF(LEFT(D1055,3)="Std","Base case cost for mix of 60% Incandescent and 40% CFL lamps for CFL TechID: "&amp;INDEX('Measure &amp; Standard CostIDs'!$C$5:$C$177,A1055),"&lt;from TechID&gt;")</f>
        <v>&lt;from TechID&gt;</v>
      </c>
      <c r="F1055" s="103" t="s">
        <v>860</v>
      </c>
      <c r="G1055" s="103" t="s">
        <v>151</v>
      </c>
      <c r="H1055" s="103" t="s">
        <v>861</v>
      </c>
      <c r="I1055" s="103" t="s">
        <v>862</v>
      </c>
      <c r="J1055" s="103" t="s">
        <v>863</v>
      </c>
      <c r="K1055" s="103" t="s">
        <v>864</v>
      </c>
      <c r="L1055" s="103" t="s">
        <v>153</v>
      </c>
      <c r="M1055" s="103" t="s">
        <v>865</v>
      </c>
      <c r="N1055" s="103" t="s">
        <v>866</v>
      </c>
      <c r="O1055" s="103" t="str">
        <f t="shared" si="54"/>
        <v>CFLscw-3way(27w)</v>
      </c>
      <c r="P1055" s="103" t="s">
        <v>153</v>
      </c>
      <c r="Q1055" s="103" t="s">
        <v>153</v>
      </c>
      <c r="R1055" s="103" t="s">
        <v>153</v>
      </c>
      <c r="S1055" s="103" t="str">
        <f>INDEX('Measure &amp; Standard CostIDs'!$AK$8:$AK$12,B1055)</f>
        <v>Three-pack</v>
      </c>
      <c r="T1055" s="103" t="s">
        <v>867</v>
      </c>
      <c r="U1055" s="103"/>
      <c r="V1055" s="103"/>
      <c r="W1055" s="103">
        <f>ROUND(IF(LEFT(D1055,3)="Std",VLOOKUP(D1055,'Measure &amp; Standard CostIDs'!$S$5:$X$177,1+B1055,FALSE),VLOOKUP(D1055,'Measure &amp; Standard CostIDs'!$C$5:$H$177,1+B1055,FALSE)),2)</f>
        <v>10.9</v>
      </c>
      <c r="X1055" s="103"/>
      <c r="Y1055" s="103"/>
      <c r="Z1055" s="103" t="s">
        <v>868</v>
      </c>
      <c r="AA1055" s="103" t="s">
        <v>874</v>
      </c>
      <c r="AB1055" s="103" t="s">
        <v>153</v>
      </c>
      <c r="AC1055" s="103">
        <v>0</v>
      </c>
      <c r="AD1055" s="156">
        <v>42005</v>
      </c>
      <c r="AE1055" s="103"/>
      <c r="AF1055" s="103" t="s">
        <v>870</v>
      </c>
      <c r="AG1055" s="103" t="s">
        <v>871</v>
      </c>
      <c r="AH1055" s="103" t="s">
        <v>976</v>
      </c>
      <c r="AI1055" s="103">
        <v>0</v>
      </c>
      <c r="AJ1055" s="103"/>
      <c r="AK1055" s="103"/>
      <c r="AL1055" s="103"/>
      <c r="AM1055" s="103"/>
      <c r="AN1055" s="103"/>
      <c r="AO1055" s="103" t="str">
        <f t="shared" si="55"/>
        <v>CFLscw-3way(27w)Three-pack</v>
      </c>
    </row>
    <row r="1056" spans="1:41">
      <c r="A1056" s="177">
        <f>IFERROR(MATCH(D1056,'Measure &amp; Standard CostIDs'!C$5:C$177,0),MATCH(D1056,'Measure &amp; Standard CostIDs'!S$5:S$177,0))</f>
        <v>62</v>
      </c>
      <c r="B1056" s="177">
        <f t="shared" si="57"/>
        <v>4</v>
      </c>
      <c r="C1056" s="103" t="s">
        <v>153</v>
      </c>
      <c r="D1056" s="103" t="str">
        <f t="shared" si="56"/>
        <v>CFLscw-3way(28w)</v>
      </c>
      <c r="E1056" s="103" t="str">
        <f>IF(LEFT(D1056,3)="Std","Base case cost for mix of 60% Incandescent and 40% CFL lamps for CFL TechID: "&amp;INDEX('Measure &amp; Standard CostIDs'!$C$5:$C$177,A1056),"&lt;from TechID&gt;")</f>
        <v>&lt;from TechID&gt;</v>
      </c>
      <c r="F1056" s="103" t="s">
        <v>860</v>
      </c>
      <c r="G1056" s="103" t="s">
        <v>151</v>
      </c>
      <c r="H1056" s="103" t="s">
        <v>861</v>
      </c>
      <c r="I1056" s="103" t="s">
        <v>862</v>
      </c>
      <c r="J1056" s="103" t="s">
        <v>863</v>
      </c>
      <c r="K1056" s="103" t="s">
        <v>864</v>
      </c>
      <c r="L1056" s="103" t="s">
        <v>153</v>
      </c>
      <c r="M1056" s="103" t="s">
        <v>865</v>
      </c>
      <c r="N1056" s="103" t="s">
        <v>866</v>
      </c>
      <c r="O1056" s="103" t="str">
        <f t="shared" si="54"/>
        <v>CFLscw-3way(28w)</v>
      </c>
      <c r="P1056" s="103" t="s">
        <v>153</v>
      </c>
      <c r="Q1056" s="103" t="s">
        <v>153</v>
      </c>
      <c r="R1056" s="103" t="s">
        <v>153</v>
      </c>
      <c r="S1056" s="103" t="str">
        <f>INDEX('Measure &amp; Standard CostIDs'!$AK$8:$AK$12,B1056)</f>
        <v>Three-pack</v>
      </c>
      <c r="T1056" s="103" t="s">
        <v>867</v>
      </c>
      <c r="U1056" s="103"/>
      <c r="V1056" s="103"/>
      <c r="W1056" s="103">
        <f>ROUND(IF(LEFT(D1056,3)="Std",VLOOKUP(D1056,'Measure &amp; Standard CostIDs'!$S$5:$X$177,1+B1056,FALSE),VLOOKUP(D1056,'Measure &amp; Standard CostIDs'!$C$5:$H$177,1+B1056,FALSE)),2)</f>
        <v>11.06</v>
      </c>
      <c r="X1056" s="103"/>
      <c r="Y1056" s="103"/>
      <c r="Z1056" s="103" t="s">
        <v>868</v>
      </c>
      <c r="AA1056" s="103" t="s">
        <v>874</v>
      </c>
      <c r="AB1056" s="103" t="s">
        <v>153</v>
      </c>
      <c r="AC1056" s="103">
        <v>0</v>
      </c>
      <c r="AD1056" s="156">
        <v>42005</v>
      </c>
      <c r="AE1056" s="103"/>
      <c r="AF1056" s="103" t="s">
        <v>870</v>
      </c>
      <c r="AG1056" s="103" t="s">
        <v>871</v>
      </c>
      <c r="AH1056" s="103" t="s">
        <v>976</v>
      </c>
      <c r="AI1056" s="103">
        <v>0</v>
      </c>
      <c r="AJ1056" s="103"/>
      <c r="AK1056" s="103"/>
      <c r="AL1056" s="103"/>
      <c r="AM1056" s="103"/>
      <c r="AN1056" s="103"/>
      <c r="AO1056" s="103" t="str">
        <f t="shared" si="55"/>
        <v>CFLscw-3way(28w)Three-pack</v>
      </c>
    </row>
    <row r="1057" spans="1:41">
      <c r="A1057" s="177">
        <f>IFERROR(MATCH(D1057,'Measure &amp; Standard CostIDs'!C$5:C$177,0),MATCH(D1057,'Measure &amp; Standard CostIDs'!S$5:S$177,0))</f>
        <v>63</v>
      </c>
      <c r="B1057" s="177">
        <f t="shared" si="57"/>
        <v>4</v>
      </c>
      <c r="C1057" s="103" t="s">
        <v>153</v>
      </c>
      <c r="D1057" s="103" t="str">
        <f t="shared" si="56"/>
        <v>CFLscw-3way(29w)</v>
      </c>
      <c r="E1057" s="103" t="str">
        <f>IF(LEFT(D1057,3)="Std","Base case cost for mix of 60% Incandescent and 40% CFL lamps for CFL TechID: "&amp;INDEX('Measure &amp; Standard CostIDs'!$C$5:$C$177,A1057),"&lt;from TechID&gt;")</f>
        <v>&lt;from TechID&gt;</v>
      </c>
      <c r="F1057" s="103" t="s">
        <v>860</v>
      </c>
      <c r="G1057" s="103" t="s">
        <v>151</v>
      </c>
      <c r="H1057" s="103" t="s">
        <v>861</v>
      </c>
      <c r="I1057" s="103" t="s">
        <v>862</v>
      </c>
      <c r="J1057" s="103" t="s">
        <v>863</v>
      </c>
      <c r="K1057" s="103" t="s">
        <v>864</v>
      </c>
      <c r="L1057" s="103" t="s">
        <v>153</v>
      </c>
      <c r="M1057" s="103" t="s">
        <v>865</v>
      </c>
      <c r="N1057" s="103" t="s">
        <v>866</v>
      </c>
      <c r="O1057" s="103" t="str">
        <f t="shared" si="54"/>
        <v>CFLscw-3way(29w)</v>
      </c>
      <c r="P1057" s="103" t="s">
        <v>153</v>
      </c>
      <c r="Q1057" s="103" t="s">
        <v>153</v>
      </c>
      <c r="R1057" s="103" t="s">
        <v>153</v>
      </c>
      <c r="S1057" s="103" t="str">
        <f>INDEX('Measure &amp; Standard CostIDs'!$AK$8:$AK$12,B1057)</f>
        <v>Three-pack</v>
      </c>
      <c r="T1057" s="103" t="s">
        <v>867</v>
      </c>
      <c r="U1057" s="103"/>
      <c r="V1057" s="103"/>
      <c r="W1057" s="103">
        <f>ROUND(IF(LEFT(D1057,3)="Std",VLOOKUP(D1057,'Measure &amp; Standard CostIDs'!$S$5:$X$177,1+B1057,FALSE),VLOOKUP(D1057,'Measure &amp; Standard CostIDs'!$C$5:$H$177,1+B1057,FALSE)),2)</f>
        <v>11.22</v>
      </c>
      <c r="X1057" s="103"/>
      <c r="Y1057" s="103"/>
      <c r="Z1057" s="103" t="s">
        <v>868</v>
      </c>
      <c r="AA1057" s="103" t="s">
        <v>874</v>
      </c>
      <c r="AB1057" s="103" t="s">
        <v>153</v>
      </c>
      <c r="AC1057" s="103">
        <v>0</v>
      </c>
      <c r="AD1057" s="156">
        <v>42005</v>
      </c>
      <c r="AE1057" s="103"/>
      <c r="AF1057" s="103" t="s">
        <v>870</v>
      </c>
      <c r="AG1057" s="103" t="s">
        <v>871</v>
      </c>
      <c r="AH1057" s="103" t="s">
        <v>976</v>
      </c>
      <c r="AI1057" s="103">
        <v>0</v>
      </c>
      <c r="AJ1057" s="103"/>
      <c r="AK1057" s="103"/>
      <c r="AL1057" s="103"/>
      <c r="AM1057" s="103"/>
      <c r="AN1057" s="103"/>
      <c r="AO1057" s="103" t="str">
        <f t="shared" si="55"/>
        <v>CFLscw-3way(29w)Three-pack</v>
      </c>
    </row>
    <row r="1058" spans="1:41">
      <c r="A1058" s="177">
        <f>IFERROR(MATCH(D1058,'Measure &amp; Standard CostIDs'!C$5:C$177,0),MATCH(D1058,'Measure &amp; Standard CostIDs'!S$5:S$177,0))</f>
        <v>64</v>
      </c>
      <c r="B1058" s="177">
        <f t="shared" si="57"/>
        <v>4</v>
      </c>
      <c r="C1058" s="103" t="s">
        <v>153</v>
      </c>
      <c r="D1058" s="103" t="str">
        <f t="shared" si="56"/>
        <v>CFLscw-3way(30w)</v>
      </c>
      <c r="E1058" s="103" t="str">
        <f>IF(LEFT(D1058,3)="Std","Base case cost for mix of 60% Incandescent and 40% CFL lamps for CFL TechID: "&amp;INDEX('Measure &amp; Standard CostIDs'!$C$5:$C$177,A1058),"&lt;from TechID&gt;")</f>
        <v>&lt;from TechID&gt;</v>
      </c>
      <c r="F1058" s="103" t="s">
        <v>860</v>
      </c>
      <c r="G1058" s="103" t="s">
        <v>151</v>
      </c>
      <c r="H1058" s="103" t="s">
        <v>861</v>
      </c>
      <c r="I1058" s="103" t="s">
        <v>862</v>
      </c>
      <c r="J1058" s="103" t="s">
        <v>863</v>
      </c>
      <c r="K1058" s="103" t="s">
        <v>864</v>
      </c>
      <c r="L1058" s="103" t="s">
        <v>153</v>
      </c>
      <c r="M1058" s="103" t="s">
        <v>865</v>
      </c>
      <c r="N1058" s="103" t="s">
        <v>866</v>
      </c>
      <c r="O1058" s="103" t="str">
        <f t="shared" si="54"/>
        <v>CFLscw-3way(30w)</v>
      </c>
      <c r="P1058" s="103" t="s">
        <v>153</v>
      </c>
      <c r="Q1058" s="103" t="s">
        <v>153</v>
      </c>
      <c r="R1058" s="103" t="s">
        <v>153</v>
      </c>
      <c r="S1058" s="103" t="str">
        <f>INDEX('Measure &amp; Standard CostIDs'!$AK$8:$AK$12,B1058)</f>
        <v>Three-pack</v>
      </c>
      <c r="T1058" s="103" t="s">
        <v>867</v>
      </c>
      <c r="U1058" s="103"/>
      <c r="V1058" s="103"/>
      <c r="W1058" s="103">
        <f>ROUND(IF(LEFT(D1058,3)="Std",VLOOKUP(D1058,'Measure &amp; Standard CostIDs'!$S$5:$X$177,1+B1058,FALSE),VLOOKUP(D1058,'Measure &amp; Standard CostIDs'!$C$5:$H$177,1+B1058,FALSE)),2)</f>
        <v>11.38</v>
      </c>
      <c r="X1058" s="103"/>
      <c r="Y1058" s="103"/>
      <c r="Z1058" s="103" t="s">
        <v>868</v>
      </c>
      <c r="AA1058" s="103" t="s">
        <v>874</v>
      </c>
      <c r="AB1058" s="103" t="s">
        <v>153</v>
      </c>
      <c r="AC1058" s="103">
        <v>0</v>
      </c>
      <c r="AD1058" s="156">
        <v>42005</v>
      </c>
      <c r="AE1058" s="103"/>
      <c r="AF1058" s="103" t="s">
        <v>870</v>
      </c>
      <c r="AG1058" s="103" t="s">
        <v>871</v>
      </c>
      <c r="AH1058" s="103" t="s">
        <v>976</v>
      </c>
      <c r="AI1058" s="103">
        <v>0</v>
      </c>
      <c r="AJ1058" s="103"/>
      <c r="AK1058" s="103"/>
      <c r="AL1058" s="103"/>
      <c r="AM1058" s="103"/>
      <c r="AN1058" s="103"/>
      <c r="AO1058" s="103" t="str">
        <f t="shared" si="55"/>
        <v>CFLscw-3way(30w)Three-pack</v>
      </c>
    </row>
    <row r="1059" spans="1:41">
      <c r="A1059" s="177">
        <f>IFERROR(MATCH(D1059,'Measure &amp; Standard CostIDs'!C$5:C$177,0),MATCH(D1059,'Measure &amp; Standard CostIDs'!S$5:S$177,0))</f>
        <v>65</v>
      </c>
      <c r="B1059" s="177">
        <f t="shared" si="57"/>
        <v>4</v>
      </c>
      <c r="C1059" s="103" t="s">
        <v>153</v>
      </c>
      <c r="D1059" s="103" t="str">
        <f t="shared" si="56"/>
        <v>CFLscw-3way(31w)</v>
      </c>
      <c r="E1059" s="103" t="str">
        <f>IF(LEFT(D1059,3)="Std","Base case cost for mix of 60% Incandescent and 40% CFL lamps for CFL TechID: "&amp;INDEX('Measure &amp; Standard CostIDs'!$C$5:$C$177,A1059),"&lt;from TechID&gt;")</f>
        <v>&lt;from TechID&gt;</v>
      </c>
      <c r="F1059" s="103" t="s">
        <v>860</v>
      </c>
      <c r="G1059" s="103" t="s">
        <v>151</v>
      </c>
      <c r="H1059" s="103" t="s">
        <v>861</v>
      </c>
      <c r="I1059" s="103" t="s">
        <v>862</v>
      </c>
      <c r="J1059" s="103" t="s">
        <v>863</v>
      </c>
      <c r="K1059" s="103" t="s">
        <v>864</v>
      </c>
      <c r="L1059" s="103" t="s">
        <v>153</v>
      </c>
      <c r="M1059" s="103" t="s">
        <v>865</v>
      </c>
      <c r="N1059" s="103" t="s">
        <v>866</v>
      </c>
      <c r="O1059" s="103" t="str">
        <f t="shared" si="54"/>
        <v>CFLscw-3way(31w)</v>
      </c>
      <c r="P1059" s="103" t="s">
        <v>153</v>
      </c>
      <c r="Q1059" s="103" t="s">
        <v>153</v>
      </c>
      <c r="R1059" s="103" t="s">
        <v>153</v>
      </c>
      <c r="S1059" s="103" t="str">
        <f>INDEX('Measure &amp; Standard CostIDs'!$AK$8:$AK$12,B1059)</f>
        <v>Three-pack</v>
      </c>
      <c r="T1059" s="103" t="s">
        <v>867</v>
      </c>
      <c r="U1059" s="103"/>
      <c r="V1059" s="103"/>
      <c r="W1059" s="103">
        <f>ROUND(IF(LEFT(D1059,3)="Std",VLOOKUP(D1059,'Measure &amp; Standard CostIDs'!$S$5:$X$177,1+B1059,FALSE),VLOOKUP(D1059,'Measure &amp; Standard CostIDs'!$C$5:$H$177,1+B1059,FALSE)),2)</f>
        <v>11.54</v>
      </c>
      <c r="X1059" s="103"/>
      <c r="Y1059" s="103"/>
      <c r="Z1059" s="103" t="s">
        <v>868</v>
      </c>
      <c r="AA1059" s="103" t="s">
        <v>874</v>
      </c>
      <c r="AB1059" s="103" t="s">
        <v>153</v>
      </c>
      <c r="AC1059" s="103">
        <v>0</v>
      </c>
      <c r="AD1059" s="156">
        <v>42005</v>
      </c>
      <c r="AE1059" s="103"/>
      <c r="AF1059" s="103" t="s">
        <v>870</v>
      </c>
      <c r="AG1059" s="103" t="s">
        <v>871</v>
      </c>
      <c r="AH1059" s="103" t="s">
        <v>976</v>
      </c>
      <c r="AI1059" s="103">
        <v>0</v>
      </c>
      <c r="AJ1059" s="103"/>
      <c r="AK1059" s="103"/>
      <c r="AL1059" s="103"/>
      <c r="AM1059" s="103"/>
      <c r="AN1059" s="103"/>
      <c r="AO1059" s="103" t="str">
        <f t="shared" si="55"/>
        <v>CFLscw-3way(31w)Three-pack</v>
      </c>
    </row>
    <row r="1060" spans="1:41">
      <c r="A1060" s="177">
        <f>IFERROR(MATCH(D1060,'Measure &amp; Standard CostIDs'!C$5:C$177,0),MATCH(D1060,'Measure &amp; Standard CostIDs'!S$5:S$177,0))</f>
        <v>66</v>
      </c>
      <c r="B1060" s="177">
        <f t="shared" si="57"/>
        <v>4</v>
      </c>
      <c r="C1060" s="103" t="s">
        <v>153</v>
      </c>
      <c r="D1060" s="103" t="str">
        <f t="shared" si="56"/>
        <v>CFLscw-3way(32w)</v>
      </c>
      <c r="E1060" s="103" t="str">
        <f>IF(LEFT(D1060,3)="Std","Base case cost for mix of 60% Incandescent and 40% CFL lamps for CFL TechID: "&amp;INDEX('Measure &amp; Standard CostIDs'!$C$5:$C$177,A1060),"&lt;from TechID&gt;")</f>
        <v>&lt;from TechID&gt;</v>
      </c>
      <c r="F1060" s="103" t="s">
        <v>860</v>
      </c>
      <c r="G1060" s="103" t="s">
        <v>151</v>
      </c>
      <c r="H1060" s="103" t="s">
        <v>861</v>
      </c>
      <c r="I1060" s="103" t="s">
        <v>862</v>
      </c>
      <c r="J1060" s="103" t="s">
        <v>863</v>
      </c>
      <c r="K1060" s="103" t="s">
        <v>864</v>
      </c>
      <c r="L1060" s="103" t="s">
        <v>153</v>
      </c>
      <c r="M1060" s="103" t="s">
        <v>865</v>
      </c>
      <c r="N1060" s="103" t="s">
        <v>866</v>
      </c>
      <c r="O1060" s="103" t="str">
        <f t="shared" si="54"/>
        <v>CFLscw-3way(32w)</v>
      </c>
      <c r="P1060" s="103" t="s">
        <v>153</v>
      </c>
      <c r="Q1060" s="103" t="s">
        <v>153</v>
      </c>
      <c r="R1060" s="103" t="s">
        <v>153</v>
      </c>
      <c r="S1060" s="103" t="str">
        <f>INDEX('Measure &amp; Standard CostIDs'!$AK$8:$AK$12,B1060)</f>
        <v>Three-pack</v>
      </c>
      <c r="T1060" s="103" t="s">
        <v>867</v>
      </c>
      <c r="U1060" s="103"/>
      <c r="V1060" s="103"/>
      <c r="W1060" s="103">
        <f>ROUND(IF(LEFT(D1060,3)="Std",VLOOKUP(D1060,'Measure &amp; Standard CostIDs'!$S$5:$X$177,1+B1060,FALSE),VLOOKUP(D1060,'Measure &amp; Standard CostIDs'!$C$5:$H$177,1+B1060,FALSE)),2)</f>
        <v>11.7</v>
      </c>
      <c r="X1060" s="103"/>
      <c r="Y1060" s="103"/>
      <c r="Z1060" s="103" t="s">
        <v>868</v>
      </c>
      <c r="AA1060" s="103" t="s">
        <v>874</v>
      </c>
      <c r="AB1060" s="103" t="s">
        <v>153</v>
      </c>
      <c r="AC1060" s="103">
        <v>0</v>
      </c>
      <c r="AD1060" s="156">
        <v>42005</v>
      </c>
      <c r="AE1060" s="103"/>
      <c r="AF1060" s="103" t="s">
        <v>870</v>
      </c>
      <c r="AG1060" s="103" t="s">
        <v>871</v>
      </c>
      <c r="AH1060" s="103" t="s">
        <v>976</v>
      </c>
      <c r="AI1060" s="103">
        <v>0</v>
      </c>
      <c r="AJ1060" s="103"/>
      <c r="AK1060" s="103"/>
      <c r="AL1060" s="103"/>
      <c r="AM1060" s="103"/>
      <c r="AN1060" s="103"/>
      <c r="AO1060" s="103" t="str">
        <f t="shared" si="55"/>
        <v>CFLscw-3way(32w)Three-pack</v>
      </c>
    </row>
    <row r="1061" spans="1:41">
      <c r="A1061" s="177">
        <f>IFERROR(MATCH(D1061,'Measure &amp; Standard CostIDs'!C$5:C$177,0),MATCH(D1061,'Measure &amp; Standard CostIDs'!S$5:S$177,0))</f>
        <v>67</v>
      </c>
      <c r="B1061" s="177">
        <f t="shared" si="57"/>
        <v>4</v>
      </c>
      <c r="C1061" s="103" t="s">
        <v>153</v>
      </c>
      <c r="D1061" s="103" t="str">
        <f t="shared" si="56"/>
        <v>CFLscw-3way(33w)</v>
      </c>
      <c r="E1061" s="103" t="str">
        <f>IF(LEFT(D1061,3)="Std","Base case cost for mix of 60% Incandescent and 40% CFL lamps for CFL TechID: "&amp;INDEX('Measure &amp; Standard CostIDs'!$C$5:$C$177,A1061),"&lt;from TechID&gt;")</f>
        <v>&lt;from TechID&gt;</v>
      </c>
      <c r="F1061" s="103" t="s">
        <v>860</v>
      </c>
      <c r="G1061" s="103" t="s">
        <v>151</v>
      </c>
      <c r="H1061" s="103" t="s">
        <v>861</v>
      </c>
      <c r="I1061" s="103" t="s">
        <v>862</v>
      </c>
      <c r="J1061" s="103" t="s">
        <v>863</v>
      </c>
      <c r="K1061" s="103" t="s">
        <v>864</v>
      </c>
      <c r="L1061" s="103" t="s">
        <v>153</v>
      </c>
      <c r="M1061" s="103" t="s">
        <v>865</v>
      </c>
      <c r="N1061" s="103" t="s">
        <v>866</v>
      </c>
      <c r="O1061" s="103" t="str">
        <f t="shared" si="54"/>
        <v>CFLscw-3way(33w)</v>
      </c>
      <c r="P1061" s="103" t="s">
        <v>153</v>
      </c>
      <c r="Q1061" s="103" t="s">
        <v>153</v>
      </c>
      <c r="R1061" s="103" t="s">
        <v>153</v>
      </c>
      <c r="S1061" s="103" t="str">
        <f>INDEX('Measure &amp; Standard CostIDs'!$AK$8:$AK$12,B1061)</f>
        <v>Three-pack</v>
      </c>
      <c r="T1061" s="103" t="s">
        <v>867</v>
      </c>
      <c r="U1061" s="103"/>
      <c r="V1061" s="103"/>
      <c r="W1061" s="103">
        <f>ROUND(IF(LEFT(D1061,3)="Std",VLOOKUP(D1061,'Measure &amp; Standard CostIDs'!$S$5:$X$177,1+B1061,FALSE),VLOOKUP(D1061,'Measure &amp; Standard CostIDs'!$C$5:$H$177,1+B1061,FALSE)),2)</f>
        <v>11.86</v>
      </c>
      <c r="X1061" s="103"/>
      <c r="Y1061" s="103"/>
      <c r="Z1061" s="103" t="s">
        <v>868</v>
      </c>
      <c r="AA1061" s="103" t="s">
        <v>874</v>
      </c>
      <c r="AB1061" s="103" t="s">
        <v>153</v>
      </c>
      <c r="AC1061" s="103">
        <v>0</v>
      </c>
      <c r="AD1061" s="156">
        <v>42005</v>
      </c>
      <c r="AE1061" s="103"/>
      <c r="AF1061" s="103" t="s">
        <v>870</v>
      </c>
      <c r="AG1061" s="103" t="s">
        <v>871</v>
      </c>
      <c r="AH1061" s="103" t="s">
        <v>976</v>
      </c>
      <c r="AI1061" s="103">
        <v>0</v>
      </c>
      <c r="AJ1061" s="103"/>
      <c r="AK1061" s="103"/>
      <c r="AL1061" s="103"/>
      <c r="AM1061" s="103"/>
      <c r="AN1061" s="103"/>
      <c r="AO1061" s="103" t="str">
        <f t="shared" si="55"/>
        <v>CFLscw-3way(33w)Three-pack</v>
      </c>
    </row>
    <row r="1062" spans="1:41">
      <c r="A1062" s="177">
        <f>IFERROR(MATCH(D1062,'Measure &amp; Standard CostIDs'!C$5:C$177,0),MATCH(D1062,'Measure &amp; Standard CostIDs'!S$5:S$177,0))</f>
        <v>68</v>
      </c>
      <c r="B1062" s="177">
        <f t="shared" si="57"/>
        <v>4</v>
      </c>
      <c r="C1062" s="103" t="s">
        <v>153</v>
      </c>
      <c r="D1062" s="103" t="str">
        <f t="shared" si="56"/>
        <v>CFLscw-3way(40w)</v>
      </c>
      <c r="E1062" s="103" t="str">
        <f>IF(LEFT(D1062,3)="Std","Base case cost for mix of 60% Incandescent and 40% CFL lamps for CFL TechID: "&amp;INDEX('Measure &amp; Standard CostIDs'!$C$5:$C$177,A1062),"&lt;from TechID&gt;")</f>
        <v>&lt;from TechID&gt;</v>
      </c>
      <c r="F1062" s="103" t="s">
        <v>860</v>
      </c>
      <c r="G1062" s="103" t="s">
        <v>151</v>
      </c>
      <c r="H1062" s="103" t="s">
        <v>861</v>
      </c>
      <c r="I1062" s="103" t="s">
        <v>862</v>
      </c>
      <c r="J1062" s="103" t="s">
        <v>863</v>
      </c>
      <c r="K1062" s="103" t="s">
        <v>864</v>
      </c>
      <c r="L1062" s="103" t="s">
        <v>153</v>
      </c>
      <c r="M1062" s="103" t="s">
        <v>865</v>
      </c>
      <c r="N1062" s="103" t="s">
        <v>866</v>
      </c>
      <c r="O1062" s="103" t="str">
        <f t="shared" si="54"/>
        <v>CFLscw-3way(40w)</v>
      </c>
      <c r="P1062" s="103" t="s">
        <v>153</v>
      </c>
      <c r="Q1062" s="103" t="s">
        <v>153</v>
      </c>
      <c r="R1062" s="103" t="s">
        <v>153</v>
      </c>
      <c r="S1062" s="103" t="str">
        <f>INDEX('Measure &amp; Standard CostIDs'!$AK$8:$AK$12,B1062)</f>
        <v>Three-pack</v>
      </c>
      <c r="T1062" s="103" t="s">
        <v>867</v>
      </c>
      <c r="U1062" s="103"/>
      <c r="V1062" s="103"/>
      <c r="W1062" s="103">
        <f>ROUND(IF(LEFT(D1062,3)="Std",VLOOKUP(D1062,'Measure &amp; Standard CostIDs'!$S$5:$X$177,1+B1062,FALSE),VLOOKUP(D1062,'Measure &amp; Standard CostIDs'!$C$5:$H$177,1+B1062,FALSE)),2)</f>
        <v>12.98</v>
      </c>
      <c r="X1062" s="103"/>
      <c r="Y1062" s="103"/>
      <c r="Z1062" s="103" t="s">
        <v>868</v>
      </c>
      <c r="AA1062" s="103" t="s">
        <v>874</v>
      </c>
      <c r="AB1062" s="103" t="s">
        <v>153</v>
      </c>
      <c r="AC1062" s="103">
        <v>0</v>
      </c>
      <c r="AD1062" s="156">
        <v>42005</v>
      </c>
      <c r="AE1062" s="103"/>
      <c r="AF1062" s="103" t="s">
        <v>870</v>
      </c>
      <c r="AG1062" s="103" t="s">
        <v>871</v>
      </c>
      <c r="AH1062" s="103" t="s">
        <v>976</v>
      </c>
      <c r="AI1062" s="103">
        <v>0</v>
      </c>
      <c r="AJ1062" s="103"/>
      <c r="AK1062" s="103"/>
      <c r="AL1062" s="103"/>
      <c r="AM1062" s="103"/>
      <c r="AN1062" s="103"/>
      <c r="AO1062" s="103" t="str">
        <f t="shared" si="55"/>
        <v>CFLscw-3way(40w)Three-pack</v>
      </c>
    </row>
    <row r="1063" spans="1:41">
      <c r="A1063" s="177">
        <f>IFERROR(MATCH(D1063,'Measure &amp; Standard CostIDs'!C$5:C$177,0),MATCH(D1063,'Measure &amp; Standard CostIDs'!S$5:S$177,0))</f>
        <v>69</v>
      </c>
      <c r="B1063" s="177">
        <f t="shared" si="57"/>
        <v>4</v>
      </c>
      <c r="C1063" s="103" t="s">
        <v>153</v>
      </c>
      <c r="D1063" s="103" t="str">
        <f t="shared" si="56"/>
        <v>CFLscw-3way(42w)</v>
      </c>
      <c r="E1063" s="103" t="str">
        <f>IF(LEFT(D1063,3)="Std","Base case cost for mix of 60% Incandescent and 40% CFL lamps for CFL TechID: "&amp;INDEX('Measure &amp; Standard CostIDs'!$C$5:$C$177,A1063),"&lt;from TechID&gt;")</f>
        <v>&lt;from TechID&gt;</v>
      </c>
      <c r="F1063" s="103" t="s">
        <v>860</v>
      </c>
      <c r="G1063" s="103" t="s">
        <v>151</v>
      </c>
      <c r="H1063" s="103" t="s">
        <v>861</v>
      </c>
      <c r="I1063" s="103" t="s">
        <v>862</v>
      </c>
      <c r="J1063" s="103" t="s">
        <v>863</v>
      </c>
      <c r="K1063" s="103" t="s">
        <v>864</v>
      </c>
      <c r="L1063" s="103" t="s">
        <v>153</v>
      </c>
      <c r="M1063" s="103" t="s">
        <v>865</v>
      </c>
      <c r="N1063" s="103" t="s">
        <v>866</v>
      </c>
      <c r="O1063" s="103" t="str">
        <f t="shared" si="54"/>
        <v>CFLscw-3way(42w)</v>
      </c>
      <c r="P1063" s="103" t="s">
        <v>153</v>
      </c>
      <c r="Q1063" s="103" t="s">
        <v>153</v>
      </c>
      <c r="R1063" s="103" t="s">
        <v>153</v>
      </c>
      <c r="S1063" s="103" t="str">
        <f>INDEX('Measure &amp; Standard CostIDs'!$AK$8:$AK$12,B1063)</f>
        <v>Three-pack</v>
      </c>
      <c r="T1063" s="103" t="s">
        <v>867</v>
      </c>
      <c r="U1063" s="103"/>
      <c r="V1063" s="103"/>
      <c r="W1063" s="103">
        <f>ROUND(IF(LEFT(D1063,3)="Std",VLOOKUP(D1063,'Measure &amp; Standard CostIDs'!$S$5:$X$177,1+B1063,FALSE),VLOOKUP(D1063,'Measure &amp; Standard CostIDs'!$C$5:$H$177,1+B1063,FALSE)),2)</f>
        <v>13.3</v>
      </c>
      <c r="X1063" s="103"/>
      <c r="Y1063" s="103"/>
      <c r="Z1063" s="103" t="s">
        <v>868</v>
      </c>
      <c r="AA1063" s="103" t="s">
        <v>874</v>
      </c>
      <c r="AB1063" s="103" t="s">
        <v>153</v>
      </c>
      <c r="AC1063" s="103">
        <v>0</v>
      </c>
      <c r="AD1063" s="156">
        <v>42005</v>
      </c>
      <c r="AE1063" s="103"/>
      <c r="AF1063" s="103" t="s">
        <v>870</v>
      </c>
      <c r="AG1063" s="103" t="s">
        <v>871</v>
      </c>
      <c r="AH1063" s="103" t="s">
        <v>976</v>
      </c>
      <c r="AI1063" s="103">
        <v>0</v>
      </c>
      <c r="AJ1063" s="103"/>
      <c r="AK1063" s="103"/>
      <c r="AL1063" s="103"/>
      <c r="AM1063" s="103"/>
      <c r="AN1063" s="103"/>
      <c r="AO1063" s="103" t="str">
        <f t="shared" si="55"/>
        <v>CFLscw-3way(42w)Three-pack</v>
      </c>
    </row>
    <row r="1064" spans="1:41">
      <c r="A1064" s="177">
        <f>IFERROR(MATCH(D1064,'Measure &amp; Standard CostIDs'!C$5:C$177,0),MATCH(D1064,'Measure &amp; Standard CostIDs'!S$5:S$177,0))</f>
        <v>70</v>
      </c>
      <c r="B1064" s="177">
        <f t="shared" si="57"/>
        <v>4</v>
      </c>
      <c r="C1064" s="103" t="s">
        <v>153</v>
      </c>
      <c r="D1064" s="103" t="str">
        <f t="shared" si="56"/>
        <v>CFLscw-A(10w)</v>
      </c>
      <c r="E1064" s="103" t="str">
        <f>IF(LEFT(D1064,3)="Std","Base case cost for mix of 60% Incandescent and 40% CFL lamps for CFL TechID: "&amp;INDEX('Measure &amp; Standard CostIDs'!$C$5:$C$177,A1064),"&lt;from TechID&gt;")</f>
        <v>&lt;from TechID&gt;</v>
      </c>
      <c r="F1064" s="103" t="s">
        <v>860</v>
      </c>
      <c r="G1064" s="103" t="s">
        <v>151</v>
      </c>
      <c r="H1064" s="103" t="s">
        <v>861</v>
      </c>
      <c r="I1064" s="103" t="s">
        <v>862</v>
      </c>
      <c r="J1064" s="103" t="s">
        <v>863</v>
      </c>
      <c r="K1064" s="103" t="s">
        <v>864</v>
      </c>
      <c r="L1064" s="103" t="s">
        <v>153</v>
      </c>
      <c r="M1064" s="103" t="s">
        <v>865</v>
      </c>
      <c r="N1064" s="103" t="s">
        <v>866</v>
      </c>
      <c r="O1064" s="103" t="str">
        <f t="shared" si="54"/>
        <v>CFLscw-A(10w)</v>
      </c>
      <c r="P1064" s="103" t="s">
        <v>153</v>
      </c>
      <c r="Q1064" s="103" t="s">
        <v>153</v>
      </c>
      <c r="R1064" s="103" t="s">
        <v>153</v>
      </c>
      <c r="S1064" s="103" t="str">
        <f>INDEX('Measure &amp; Standard CostIDs'!$AK$8:$AK$12,B1064)</f>
        <v>Three-pack</v>
      </c>
      <c r="T1064" s="103" t="s">
        <v>867</v>
      </c>
      <c r="U1064" s="103"/>
      <c r="V1064" s="103"/>
      <c r="W1064" s="103">
        <f>ROUND(IF(LEFT(D1064,3)="Std",VLOOKUP(D1064,'Measure &amp; Standard CostIDs'!$S$5:$X$177,1+B1064,FALSE),VLOOKUP(D1064,'Measure &amp; Standard CostIDs'!$C$5:$H$177,1+B1064,FALSE)),2)</f>
        <v>4.68</v>
      </c>
      <c r="X1064" s="103"/>
      <c r="Y1064" s="103"/>
      <c r="Z1064" s="103" t="s">
        <v>868</v>
      </c>
      <c r="AA1064" s="103" t="s">
        <v>874</v>
      </c>
      <c r="AB1064" s="103" t="s">
        <v>153</v>
      </c>
      <c r="AC1064" s="103">
        <v>0</v>
      </c>
      <c r="AD1064" s="156">
        <v>42005</v>
      </c>
      <c r="AE1064" s="103"/>
      <c r="AF1064" s="103" t="s">
        <v>870</v>
      </c>
      <c r="AG1064" s="103" t="s">
        <v>871</v>
      </c>
      <c r="AH1064" s="103" t="s">
        <v>976</v>
      </c>
      <c r="AI1064" s="103">
        <v>0</v>
      </c>
      <c r="AJ1064" s="103"/>
      <c r="AK1064" s="103"/>
      <c r="AL1064" s="103"/>
      <c r="AM1064" s="103"/>
      <c r="AN1064" s="103"/>
      <c r="AO1064" s="103" t="str">
        <f t="shared" si="55"/>
        <v>CFLscw-A(10w)Three-pack</v>
      </c>
    </row>
    <row r="1065" spans="1:41">
      <c r="A1065" s="177">
        <f>IFERROR(MATCH(D1065,'Measure &amp; Standard CostIDs'!C$5:C$177,0),MATCH(D1065,'Measure &amp; Standard CostIDs'!S$5:S$177,0))</f>
        <v>71</v>
      </c>
      <c r="B1065" s="177">
        <f t="shared" si="57"/>
        <v>4</v>
      </c>
      <c r="C1065" s="103" t="s">
        <v>153</v>
      </c>
      <c r="D1065" s="103" t="str">
        <f t="shared" si="56"/>
        <v>CFLscw-A(11w)</v>
      </c>
      <c r="E1065" s="103" t="str">
        <f>IF(LEFT(D1065,3)="Std","Base case cost for mix of 60% Incandescent and 40% CFL lamps for CFL TechID: "&amp;INDEX('Measure &amp; Standard CostIDs'!$C$5:$C$177,A1065),"&lt;from TechID&gt;")</f>
        <v>&lt;from TechID&gt;</v>
      </c>
      <c r="F1065" s="103" t="s">
        <v>860</v>
      </c>
      <c r="G1065" s="103" t="s">
        <v>151</v>
      </c>
      <c r="H1065" s="103" t="s">
        <v>861</v>
      </c>
      <c r="I1065" s="103" t="s">
        <v>862</v>
      </c>
      <c r="J1065" s="103" t="s">
        <v>863</v>
      </c>
      <c r="K1065" s="103" t="s">
        <v>864</v>
      </c>
      <c r="L1065" s="103" t="s">
        <v>153</v>
      </c>
      <c r="M1065" s="103" t="s">
        <v>865</v>
      </c>
      <c r="N1065" s="103" t="s">
        <v>866</v>
      </c>
      <c r="O1065" s="103" t="str">
        <f t="shared" si="54"/>
        <v>CFLscw-A(11w)</v>
      </c>
      <c r="P1065" s="103" t="s">
        <v>153</v>
      </c>
      <c r="Q1065" s="103" t="s">
        <v>153</v>
      </c>
      <c r="R1065" s="103" t="s">
        <v>153</v>
      </c>
      <c r="S1065" s="103" t="str">
        <f>INDEX('Measure &amp; Standard CostIDs'!$AK$8:$AK$12,B1065)</f>
        <v>Three-pack</v>
      </c>
      <c r="T1065" s="103" t="s">
        <v>867</v>
      </c>
      <c r="U1065" s="103"/>
      <c r="V1065" s="103"/>
      <c r="W1065" s="103">
        <f>ROUND(IF(LEFT(D1065,3)="Std",VLOOKUP(D1065,'Measure &amp; Standard CostIDs'!$S$5:$X$177,1+B1065,FALSE),VLOOKUP(D1065,'Measure &amp; Standard CostIDs'!$C$5:$H$177,1+B1065,FALSE)),2)</f>
        <v>4.74</v>
      </c>
      <c r="X1065" s="103"/>
      <c r="Y1065" s="103"/>
      <c r="Z1065" s="103" t="s">
        <v>868</v>
      </c>
      <c r="AA1065" s="103" t="s">
        <v>874</v>
      </c>
      <c r="AB1065" s="103" t="s">
        <v>153</v>
      </c>
      <c r="AC1065" s="103">
        <v>0</v>
      </c>
      <c r="AD1065" s="156">
        <v>42005</v>
      </c>
      <c r="AE1065" s="103"/>
      <c r="AF1065" s="103" t="s">
        <v>870</v>
      </c>
      <c r="AG1065" s="103" t="s">
        <v>871</v>
      </c>
      <c r="AH1065" s="103" t="s">
        <v>976</v>
      </c>
      <c r="AI1065" s="103">
        <v>0</v>
      </c>
      <c r="AJ1065" s="103"/>
      <c r="AK1065" s="103"/>
      <c r="AL1065" s="103"/>
      <c r="AM1065" s="103"/>
      <c r="AN1065" s="103"/>
      <c r="AO1065" s="103" t="str">
        <f t="shared" si="55"/>
        <v>CFLscw-A(11w)Three-pack</v>
      </c>
    </row>
    <row r="1066" spans="1:41">
      <c r="A1066" s="177">
        <f>IFERROR(MATCH(D1066,'Measure &amp; Standard CostIDs'!C$5:C$177,0),MATCH(D1066,'Measure &amp; Standard CostIDs'!S$5:S$177,0))</f>
        <v>72</v>
      </c>
      <c r="B1066" s="177">
        <f t="shared" si="57"/>
        <v>4</v>
      </c>
      <c r="C1066" s="103" t="s">
        <v>153</v>
      </c>
      <c r="D1066" s="103" t="str">
        <f t="shared" si="56"/>
        <v>CFLscw-A(12w)</v>
      </c>
      <c r="E1066" s="103" t="str">
        <f>IF(LEFT(D1066,3)="Std","Base case cost for mix of 60% Incandescent and 40% CFL lamps for CFL TechID: "&amp;INDEX('Measure &amp; Standard CostIDs'!$C$5:$C$177,A1066),"&lt;from TechID&gt;")</f>
        <v>&lt;from TechID&gt;</v>
      </c>
      <c r="F1066" s="103" t="s">
        <v>860</v>
      </c>
      <c r="G1066" s="103" t="s">
        <v>151</v>
      </c>
      <c r="H1066" s="103" t="s">
        <v>861</v>
      </c>
      <c r="I1066" s="103" t="s">
        <v>862</v>
      </c>
      <c r="J1066" s="103" t="s">
        <v>863</v>
      </c>
      <c r="K1066" s="103" t="s">
        <v>864</v>
      </c>
      <c r="L1066" s="103" t="s">
        <v>153</v>
      </c>
      <c r="M1066" s="103" t="s">
        <v>865</v>
      </c>
      <c r="N1066" s="103" t="s">
        <v>866</v>
      </c>
      <c r="O1066" s="103" t="str">
        <f t="shared" si="54"/>
        <v>CFLscw-A(12w)</v>
      </c>
      <c r="P1066" s="103" t="s">
        <v>153</v>
      </c>
      <c r="Q1066" s="103" t="s">
        <v>153</v>
      </c>
      <c r="R1066" s="103" t="s">
        <v>153</v>
      </c>
      <c r="S1066" s="103" t="str">
        <f>INDEX('Measure &amp; Standard CostIDs'!$AK$8:$AK$12,B1066)</f>
        <v>Three-pack</v>
      </c>
      <c r="T1066" s="103" t="s">
        <v>867</v>
      </c>
      <c r="U1066" s="103"/>
      <c r="V1066" s="103"/>
      <c r="W1066" s="103">
        <f>ROUND(IF(LEFT(D1066,3)="Std",VLOOKUP(D1066,'Measure &amp; Standard CostIDs'!$S$5:$X$177,1+B1066,FALSE),VLOOKUP(D1066,'Measure &amp; Standard CostIDs'!$C$5:$H$177,1+B1066,FALSE)),2)</f>
        <v>4.8099999999999996</v>
      </c>
      <c r="X1066" s="103"/>
      <c r="Y1066" s="103"/>
      <c r="Z1066" s="103" t="s">
        <v>868</v>
      </c>
      <c r="AA1066" s="103" t="s">
        <v>874</v>
      </c>
      <c r="AB1066" s="103" t="s">
        <v>153</v>
      </c>
      <c r="AC1066" s="103">
        <v>0</v>
      </c>
      <c r="AD1066" s="156">
        <v>42005</v>
      </c>
      <c r="AE1066" s="103"/>
      <c r="AF1066" s="103" t="s">
        <v>870</v>
      </c>
      <c r="AG1066" s="103" t="s">
        <v>871</v>
      </c>
      <c r="AH1066" s="103" t="s">
        <v>976</v>
      </c>
      <c r="AI1066" s="103">
        <v>0</v>
      </c>
      <c r="AJ1066" s="103"/>
      <c r="AK1066" s="103"/>
      <c r="AL1066" s="103"/>
      <c r="AM1066" s="103"/>
      <c r="AN1066" s="103"/>
      <c r="AO1066" s="103" t="str">
        <f t="shared" si="55"/>
        <v>CFLscw-A(12w)Three-pack</v>
      </c>
    </row>
    <row r="1067" spans="1:41">
      <c r="A1067" s="177">
        <f>IFERROR(MATCH(D1067,'Measure &amp; Standard CostIDs'!C$5:C$177,0),MATCH(D1067,'Measure &amp; Standard CostIDs'!S$5:S$177,0))</f>
        <v>73</v>
      </c>
      <c r="B1067" s="177">
        <f t="shared" si="57"/>
        <v>4</v>
      </c>
      <c r="C1067" s="103" t="s">
        <v>153</v>
      </c>
      <c r="D1067" s="103" t="str">
        <f t="shared" si="56"/>
        <v>CFLscw-A(13w)</v>
      </c>
      <c r="E1067" s="103" t="str">
        <f>IF(LEFT(D1067,3)="Std","Base case cost for mix of 60% Incandescent and 40% CFL lamps for CFL TechID: "&amp;INDEX('Measure &amp; Standard CostIDs'!$C$5:$C$177,A1067),"&lt;from TechID&gt;")</f>
        <v>&lt;from TechID&gt;</v>
      </c>
      <c r="F1067" s="103" t="s">
        <v>860</v>
      </c>
      <c r="G1067" s="103" t="s">
        <v>151</v>
      </c>
      <c r="H1067" s="103" t="s">
        <v>861</v>
      </c>
      <c r="I1067" s="103" t="s">
        <v>862</v>
      </c>
      <c r="J1067" s="103" t="s">
        <v>863</v>
      </c>
      <c r="K1067" s="103" t="s">
        <v>864</v>
      </c>
      <c r="L1067" s="103" t="s">
        <v>153</v>
      </c>
      <c r="M1067" s="103" t="s">
        <v>865</v>
      </c>
      <c r="N1067" s="103" t="s">
        <v>866</v>
      </c>
      <c r="O1067" s="103" t="str">
        <f t="shared" si="54"/>
        <v>CFLscw-A(13w)</v>
      </c>
      <c r="P1067" s="103" t="s">
        <v>153</v>
      </c>
      <c r="Q1067" s="103" t="s">
        <v>153</v>
      </c>
      <c r="R1067" s="103" t="s">
        <v>153</v>
      </c>
      <c r="S1067" s="103" t="str">
        <f>INDEX('Measure &amp; Standard CostIDs'!$AK$8:$AK$12,B1067)</f>
        <v>Three-pack</v>
      </c>
      <c r="T1067" s="103" t="s">
        <v>867</v>
      </c>
      <c r="U1067" s="103"/>
      <c r="V1067" s="103"/>
      <c r="W1067" s="103">
        <f>ROUND(IF(LEFT(D1067,3)="Std",VLOOKUP(D1067,'Measure &amp; Standard CostIDs'!$S$5:$X$177,1+B1067,FALSE),VLOOKUP(D1067,'Measure &amp; Standard CostIDs'!$C$5:$H$177,1+B1067,FALSE)),2)</f>
        <v>4.88</v>
      </c>
      <c r="X1067" s="103"/>
      <c r="Y1067" s="103"/>
      <c r="Z1067" s="103" t="s">
        <v>868</v>
      </c>
      <c r="AA1067" s="103" t="s">
        <v>874</v>
      </c>
      <c r="AB1067" s="103" t="s">
        <v>153</v>
      </c>
      <c r="AC1067" s="103">
        <v>0</v>
      </c>
      <c r="AD1067" s="156">
        <v>42005</v>
      </c>
      <c r="AE1067" s="103"/>
      <c r="AF1067" s="103" t="s">
        <v>870</v>
      </c>
      <c r="AG1067" s="103" t="s">
        <v>871</v>
      </c>
      <c r="AH1067" s="103" t="s">
        <v>976</v>
      </c>
      <c r="AI1067" s="103">
        <v>0</v>
      </c>
      <c r="AJ1067" s="103"/>
      <c r="AK1067" s="103"/>
      <c r="AL1067" s="103"/>
      <c r="AM1067" s="103"/>
      <c r="AN1067" s="103"/>
      <c r="AO1067" s="103" t="str">
        <f t="shared" si="55"/>
        <v>CFLscw-A(13w)Three-pack</v>
      </c>
    </row>
    <row r="1068" spans="1:41">
      <c r="A1068" s="177">
        <f>IFERROR(MATCH(D1068,'Measure &amp; Standard CostIDs'!C$5:C$177,0),MATCH(D1068,'Measure &amp; Standard CostIDs'!S$5:S$177,0))</f>
        <v>74</v>
      </c>
      <c r="B1068" s="177">
        <f t="shared" si="57"/>
        <v>4</v>
      </c>
      <c r="C1068" s="103" t="s">
        <v>153</v>
      </c>
      <c r="D1068" s="103" t="str">
        <f t="shared" si="56"/>
        <v>CFLscw-A(14w)</v>
      </c>
      <c r="E1068" s="103" t="str">
        <f>IF(LEFT(D1068,3)="Std","Base case cost for mix of 60% Incandescent and 40% CFL lamps for CFL TechID: "&amp;INDEX('Measure &amp; Standard CostIDs'!$C$5:$C$177,A1068),"&lt;from TechID&gt;")</f>
        <v>&lt;from TechID&gt;</v>
      </c>
      <c r="F1068" s="103" t="s">
        <v>860</v>
      </c>
      <c r="G1068" s="103" t="s">
        <v>151</v>
      </c>
      <c r="H1068" s="103" t="s">
        <v>861</v>
      </c>
      <c r="I1068" s="103" t="s">
        <v>862</v>
      </c>
      <c r="J1068" s="103" t="s">
        <v>863</v>
      </c>
      <c r="K1068" s="103" t="s">
        <v>864</v>
      </c>
      <c r="L1068" s="103" t="s">
        <v>153</v>
      </c>
      <c r="M1068" s="103" t="s">
        <v>865</v>
      </c>
      <c r="N1068" s="103" t="s">
        <v>866</v>
      </c>
      <c r="O1068" s="103" t="str">
        <f t="shared" si="54"/>
        <v>CFLscw-A(14w)</v>
      </c>
      <c r="P1068" s="103" t="s">
        <v>153</v>
      </c>
      <c r="Q1068" s="103" t="s">
        <v>153</v>
      </c>
      <c r="R1068" s="103" t="s">
        <v>153</v>
      </c>
      <c r="S1068" s="103" t="str">
        <f>INDEX('Measure &amp; Standard CostIDs'!$AK$8:$AK$12,B1068)</f>
        <v>Three-pack</v>
      </c>
      <c r="T1068" s="103" t="s">
        <v>867</v>
      </c>
      <c r="U1068" s="103"/>
      <c r="V1068" s="103"/>
      <c r="W1068" s="103">
        <f>ROUND(IF(LEFT(D1068,3)="Std",VLOOKUP(D1068,'Measure &amp; Standard CostIDs'!$S$5:$X$177,1+B1068,FALSE),VLOOKUP(D1068,'Measure &amp; Standard CostIDs'!$C$5:$H$177,1+B1068,FALSE)),2)</f>
        <v>4.9400000000000004</v>
      </c>
      <c r="X1068" s="103"/>
      <c r="Y1068" s="103"/>
      <c r="Z1068" s="103" t="s">
        <v>868</v>
      </c>
      <c r="AA1068" s="103" t="s">
        <v>874</v>
      </c>
      <c r="AB1068" s="103" t="s">
        <v>153</v>
      </c>
      <c r="AC1068" s="103">
        <v>0</v>
      </c>
      <c r="AD1068" s="156">
        <v>42005</v>
      </c>
      <c r="AE1068" s="103"/>
      <c r="AF1068" s="103" t="s">
        <v>870</v>
      </c>
      <c r="AG1068" s="103" t="s">
        <v>871</v>
      </c>
      <c r="AH1068" s="103" t="s">
        <v>976</v>
      </c>
      <c r="AI1068" s="103">
        <v>0</v>
      </c>
      <c r="AJ1068" s="103"/>
      <c r="AK1068" s="103"/>
      <c r="AL1068" s="103"/>
      <c r="AM1068" s="103"/>
      <c r="AN1068" s="103"/>
      <c r="AO1068" s="103" t="str">
        <f t="shared" si="55"/>
        <v>CFLscw-A(14w)Three-pack</v>
      </c>
    </row>
    <row r="1069" spans="1:41">
      <c r="A1069" s="177">
        <f>IFERROR(MATCH(D1069,'Measure &amp; Standard CostIDs'!C$5:C$177,0),MATCH(D1069,'Measure &amp; Standard CostIDs'!S$5:S$177,0))</f>
        <v>75</v>
      </c>
      <c r="B1069" s="177">
        <f t="shared" si="57"/>
        <v>4</v>
      </c>
      <c r="C1069" s="103" t="s">
        <v>153</v>
      </c>
      <c r="D1069" s="103" t="str">
        <f t="shared" si="56"/>
        <v>CFLscw-A(15w)</v>
      </c>
      <c r="E1069" s="103" t="str">
        <f>IF(LEFT(D1069,3)="Std","Base case cost for mix of 60% Incandescent and 40% CFL lamps for CFL TechID: "&amp;INDEX('Measure &amp; Standard CostIDs'!$C$5:$C$177,A1069),"&lt;from TechID&gt;")</f>
        <v>&lt;from TechID&gt;</v>
      </c>
      <c r="F1069" s="103" t="s">
        <v>860</v>
      </c>
      <c r="G1069" s="103" t="s">
        <v>151</v>
      </c>
      <c r="H1069" s="103" t="s">
        <v>861</v>
      </c>
      <c r="I1069" s="103" t="s">
        <v>862</v>
      </c>
      <c r="J1069" s="103" t="s">
        <v>863</v>
      </c>
      <c r="K1069" s="103" t="s">
        <v>864</v>
      </c>
      <c r="L1069" s="103" t="s">
        <v>153</v>
      </c>
      <c r="M1069" s="103" t="s">
        <v>865</v>
      </c>
      <c r="N1069" s="103" t="s">
        <v>866</v>
      </c>
      <c r="O1069" s="103" t="str">
        <f t="shared" si="54"/>
        <v>CFLscw-A(15w)</v>
      </c>
      <c r="P1069" s="103" t="s">
        <v>153</v>
      </c>
      <c r="Q1069" s="103" t="s">
        <v>153</v>
      </c>
      <c r="R1069" s="103" t="s">
        <v>153</v>
      </c>
      <c r="S1069" s="103" t="str">
        <f>INDEX('Measure &amp; Standard CostIDs'!$AK$8:$AK$12,B1069)</f>
        <v>Three-pack</v>
      </c>
      <c r="T1069" s="103" t="s">
        <v>867</v>
      </c>
      <c r="U1069" s="103"/>
      <c r="V1069" s="103"/>
      <c r="W1069" s="103">
        <f>ROUND(IF(LEFT(D1069,3)="Std",VLOOKUP(D1069,'Measure &amp; Standard CostIDs'!$S$5:$X$177,1+B1069,FALSE),VLOOKUP(D1069,'Measure &amp; Standard CostIDs'!$C$5:$H$177,1+B1069,FALSE)),2)</f>
        <v>5.01</v>
      </c>
      <c r="X1069" s="103"/>
      <c r="Y1069" s="103"/>
      <c r="Z1069" s="103" t="s">
        <v>868</v>
      </c>
      <c r="AA1069" s="103" t="s">
        <v>874</v>
      </c>
      <c r="AB1069" s="103" t="s">
        <v>153</v>
      </c>
      <c r="AC1069" s="103">
        <v>0</v>
      </c>
      <c r="AD1069" s="156">
        <v>42005</v>
      </c>
      <c r="AE1069" s="103"/>
      <c r="AF1069" s="103" t="s">
        <v>870</v>
      </c>
      <c r="AG1069" s="103" t="s">
        <v>871</v>
      </c>
      <c r="AH1069" s="103" t="s">
        <v>976</v>
      </c>
      <c r="AI1069" s="103">
        <v>0</v>
      </c>
      <c r="AJ1069" s="103"/>
      <c r="AK1069" s="103"/>
      <c r="AL1069" s="103"/>
      <c r="AM1069" s="103"/>
      <c r="AN1069" s="103"/>
      <c r="AO1069" s="103" t="str">
        <f t="shared" si="55"/>
        <v>CFLscw-A(15w)Three-pack</v>
      </c>
    </row>
    <row r="1070" spans="1:41">
      <c r="A1070" s="177">
        <f>IFERROR(MATCH(D1070,'Measure &amp; Standard CostIDs'!C$5:C$177,0),MATCH(D1070,'Measure &amp; Standard CostIDs'!S$5:S$177,0))</f>
        <v>76</v>
      </c>
      <c r="B1070" s="177">
        <f t="shared" si="57"/>
        <v>4</v>
      </c>
      <c r="C1070" s="103" t="s">
        <v>153</v>
      </c>
      <c r="D1070" s="103" t="str">
        <f t="shared" si="56"/>
        <v>CFLscw-A(16w)</v>
      </c>
      <c r="E1070" s="103" t="str">
        <f>IF(LEFT(D1070,3)="Std","Base case cost for mix of 60% Incandescent and 40% CFL lamps for CFL TechID: "&amp;INDEX('Measure &amp; Standard CostIDs'!$C$5:$C$177,A1070),"&lt;from TechID&gt;")</f>
        <v>&lt;from TechID&gt;</v>
      </c>
      <c r="F1070" s="103" t="s">
        <v>860</v>
      </c>
      <c r="G1070" s="103" t="s">
        <v>151</v>
      </c>
      <c r="H1070" s="103" t="s">
        <v>861</v>
      </c>
      <c r="I1070" s="103" t="s">
        <v>862</v>
      </c>
      <c r="J1070" s="103" t="s">
        <v>863</v>
      </c>
      <c r="K1070" s="103" t="s">
        <v>864</v>
      </c>
      <c r="L1070" s="103" t="s">
        <v>153</v>
      </c>
      <c r="M1070" s="103" t="s">
        <v>865</v>
      </c>
      <c r="N1070" s="103" t="s">
        <v>866</v>
      </c>
      <c r="O1070" s="103" t="str">
        <f t="shared" si="54"/>
        <v>CFLscw-A(16w)</v>
      </c>
      <c r="P1070" s="103" t="s">
        <v>153</v>
      </c>
      <c r="Q1070" s="103" t="s">
        <v>153</v>
      </c>
      <c r="R1070" s="103" t="s">
        <v>153</v>
      </c>
      <c r="S1070" s="103" t="str">
        <f>INDEX('Measure &amp; Standard CostIDs'!$AK$8:$AK$12,B1070)</f>
        <v>Three-pack</v>
      </c>
      <c r="T1070" s="103" t="s">
        <v>867</v>
      </c>
      <c r="U1070" s="103"/>
      <c r="V1070" s="103"/>
      <c r="W1070" s="103">
        <f>ROUND(IF(LEFT(D1070,3)="Std",VLOOKUP(D1070,'Measure &amp; Standard CostIDs'!$S$5:$X$177,1+B1070,FALSE),VLOOKUP(D1070,'Measure &amp; Standard CostIDs'!$C$5:$H$177,1+B1070,FALSE)),2)</f>
        <v>5.08</v>
      </c>
      <c r="X1070" s="103"/>
      <c r="Y1070" s="103"/>
      <c r="Z1070" s="103" t="s">
        <v>868</v>
      </c>
      <c r="AA1070" s="103" t="s">
        <v>874</v>
      </c>
      <c r="AB1070" s="103" t="s">
        <v>153</v>
      </c>
      <c r="AC1070" s="103">
        <v>0</v>
      </c>
      <c r="AD1070" s="156">
        <v>42005</v>
      </c>
      <c r="AE1070" s="103"/>
      <c r="AF1070" s="103" t="s">
        <v>870</v>
      </c>
      <c r="AG1070" s="103" t="s">
        <v>871</v>
      </c>
      <c r="AH1070" s="103" t="s">
        <v>976</v>
      </c>
      <c r="AI1070" s="103">
        <v>0</v>
      </c>
      <c r="AJ1070" s="103"/>
      <c r="AK1070" s="103"/>
      <c r="AL1070" s="103"/>
      <c r="AM1070" s="103"/>
      <c r="AN1070" s="103"/>
      <c r="AO1070" s="103" t="str">
        <f t="shared" si="55"/>
        <v>CFLscw-A(16w)Three-pack</v>
      </c>
    </row>
    <row r="1071" spans="1:41">
      <c r="A1071" s="177">
        <f>IFERROR(MATCH(D1071,'Measure &amp; Standard CostIDs'!C$5:C$177,0),MATCH(D1071,'Measure &amp; Standard CostIDs'!S$5:S$177,0))</f>
        <v>77</v>
      </c>
      <c r="B1071" s="177">
        <f t="shared" si="57"/>
        <v>4</v>
      </c>
      <c r="C1071" s="103" t="s">
        <v>153</v>
      </c>
      <c r="D1071" s="103" t="str">
        <f t="shared" si="56"/>
        <v>CFLscw-A(18w)</v>
      </c>
      <c r="E1071" s="103" t="str">
        <f>IF(LEFT(D1071,3)="Std","Base case cost for mix of 60% Incandescent and 40% CFL lamps for CFL TechID: "&amp;INDEX('Measure &amp; Standard CostIDs'!$C$5:$C$177,A1071),"&lt;from TechID&gt;")</f>
        <v>&lt;from TechID&gt;</v>
      </c>
      <c r="F1071" s="103" t="s">
        <v>860</v>
      </c>
      <c r="G1071" s="103" t="s">
        <v>151</v>
      </c>
      <c r="H1071" s="103" t="s">
        <v>861</v>
      </c>
      <c r="I1071" s="103" t="s">
        <v>862</v>
      </c>
      <c r="J1071" s="103" t="s">
        <v>863</v>
      </c>
      <c r="K1071" s="103" t="s">
        <v>864</v>
      </c>
      <c r="L1071" s="103" t="s">
        <v>153</v>
      </c>
      <c r="M1071" s="103" t="s">
        <v>865</v>
      </c>
      <c r="N1071" s="103" t="s">
        <v>866</v>
      </c>
      <c r="O1071" s="103" t="str">
        <f t="shared" si="54"/>
        <v>CFLscw-A(18w)</v>
      </c>
      <c r="P1071" s="103" t="s">
        <v>153</v>
      </c>
      <c r="Q1071" s="103" t="s">
        <v>153</v>
      </c>
      <c r="R1071" s="103" t="s">
        <v>153</v>
      </c>
      <c r="S1071" s="103" t="str">
        <f>INDEX('Measure &amp; Standard CostIDs'!$AK$8:$AK$12,B1071)</f>
        <v>Three-pack</v>
      </c>
      <c r="T1071" s="103" t="s">
        <v>867</v>
      </c>
      <c r="U1071" s="103"/>
      <c r="V1071" s="103"/>
      <c r="W1071" s="103">
        <f>ROUND(IF(LEFT(D1071,3)="Std",VLOOKUP(D1071,'Measure &amp; Standard CostIDs'!$S$5:$X$177,1+B1071,FALSE),VLOOKUP(D1071,'Measure &amp; Standard CostIDs'!$C$5:$H$177,1+B1071,FALSE)),2)</f>
        <v>5.21</v>
      </c>
      <c r="X1071" s="103"/>
      <c r="Y1071" s="103"/>
      <c r="Z1071" s="103" t="s">
        <v>868</v>
      </c>
      <c r="AA1071" s="103" t="s">
        <v>874</v>
      </c>
      <c r="AB1071" s="103" t="s">
        <v>153</v>
      </c>
      <c r="AC1071" s="103">
        <v>0</v>
      </c>
      <c r="AD1071" s="156">
        <v>42005</v>
      </c>
      <c r="AE1071" s="103"/>
      <c r="AF1071" s="103" t="s">
        <v>870</v>
      </c>
      <c r="AG1071" s="103" t="s">
        <v>871</v>
      </c>
      <c r="AH1071" s="103" t="s">
        <v>976</v>
      </c>
      <c r="AI1071" s="103">
        <v>0</v>
      </c>
      <c r="AJ1071" s="103"/>
      <c r="AK1071" s="103"/>
      <c r="AL1071" s="103"/>
      <c r="AM1071" s="103"/>
      <c r="AN1071" s="103"/>
      <c r="AO1071" s="103" t="str">
        <f t="shared" si="55"/>
        <v>CFLscw-A(18w)Three-pack</v>
      </c>
    </row>
    <row r="1072" spans="1:41">
      <c r="A1072" s="177">
        <f>IFERROR(MATCH(D1072,'Measure &amp; Standard CostIDs'!C$5:C$177,0),MATCH(D1072,'Measure &amp; Standard CostIDs'!S$5:S$177,0))</f>
        <v>78</v>
      </c>
      <c r="B1072" s="177">
        <f t="shared" si="57"/>
        <v>4</v>
      </c>
      <c r="C1072" s="103" t="s">
        <v>153</v>
      </c>
      <c r="D1072" s="103" t="str">
        <f t="shared" si="56"/>
        <v>CFLscw-A(19w)</v>
      </c>
      <c r="E1072" s="103" t="str">
        <f>IF(LEFT(D1072,3)="Std","Base case cost for mix of 60% Incandescent and 40% CFL lamps for CFL TechID: "&amp;INDEX('Measure &amp; Standard CostIDs'!$C$5:$C$177,A1072),"&lt;from TechID&gt;")</f>
        <v>&lt;from TechID&gt;</v>
      </c>
      <c r="F1072" s="103" t="s">
        <v>860</v>
      </c>
      <c r="G1072" s="103" t="s">
        <v>151</v>
      </c>
      <c r="H1072" s="103" t="s">
        <v>861</v>
      </c>
      <c r="I1072" s="103" t="s">
        <v>862</v>
      </c>
      <c r="J1072" s="103" t="s">
        <v>863</v>
      </c>
      <c r="K1072" s="103" t="s">
        <v>864</v>
      </c>
      <c r="L1072" s="103" t="s">
        <v>153</v>
      </c>
      <c r="M1072" s="103" t="s">
        <v>865</v>
      </c>
      <c r="N1072" s="103" t="s">
        <v>866</v>
      </c>
      <c r="O1072" s="103" t="str">
        <f t="shared" si="54"/>
        <v>CFLscw-A(19w)</v>
      </c>
      <c r="P1072" s="103" t="s">
        <v>153</v>
      </c>
      <c r="Q1072" s="103" t="s">
        <v>153</v>
      </c>
      <c r="R1072" s="103" t="s">
        <v>153</v>
      </c>
      <c r="S1072" s="103" t="str">
        <f>INDEX('Measure &amp; Standard CostIDs'!$AK$8:$AK$12,B1072)</f>
        <v>Three-pack</v>
      </c>
      <c r="T1072" s="103" t="s">
        <v>867</v>
      </c>
      <c r="U1072" s="103"/>
      <c r="V1072" s="103"/>
      <c r="W1072" s="103">
        <f>ROUND(IF(LEFT(D1072,3)="Std",VLOOKUP(D1072,'Measure &amp; Standard CostIDs'!$S$5:$X$177,1+B1072,FALSE),VLOOKUP(D1072,'Measure &amp; Standard CostIDs'!$C$5:$H$177,1+B1072,FALSE)),2)</f>
        <v>5.28</v>
      </c>
      <c r="X1072" s="103"/>
      <c r="Y1072" s="103"/>
      <c r="Z1072" s="103" t="s">
        <v>868</v>
      </c>
      <c r="AA1072" s="103" t="s">
        <v>874</v>
      </c>
      <c r="AB1072" s="103" t="s">
        <v>153</v>
      </c>
      <c r="AC1072" s="103">
        <v>0</v>
      </c>
      <c r="AD1072" s="156">
        <v>42005</v>
      </c>
      <c r="AE1072" s="103"/>
      <c r="AF1072" s="103" t="s">
        <v>870</v>
      </c>
      <c r="AG1072" s="103" t="s">
        <v>871</v>
      </c>
      <c r="AH1072" s="103" t="s">
        <v>976</v>
      </c>
      <c r="AI1072" s="103">
        <v>0</v>
      </c>
      <c r="AJ1072" s="103"/>
      <c r="AK1072" s="103"/>
      <c r="AL1072" s="103"/>
      <c r="AM1072" s="103"/>
      <c r="AN1072" s="103"/>
      <c r="AO1072" s="103" t="str">
        <f t="shared" si="55"/>
        <v>CFLscw-A(19w)Three-pack</v>
      </c>
    </row>
    <row r="1073" spans="1:41">
      <c r="A1073" s="177">
        <f>IFERROR(MATCH(D1073,'Measure &amp; Standard CostIDs'!C$5:C$177,0),MATCH(D1073,'Measure &amp; Standard CostIDs'!S$5:S$177,0))</f>
        <v>79</v>
      </c>
      <c r="B1073" s="177">
        <f t="shared" si="57"/>
        <v>4</v>
      </c>
      <c r="C1073" s="103" t="s">
        <v>153</v>
      </c>
      <c r="D1073" s="103" t="str">
        <f t="shared" si="56"/>
        <v>CFLscw-A(20w)</v>
      </c>
      <c r="E1073" s="103" t="str">
        <f>IF(LEFT(D1073,3)="Std","Base case cost for mix of 60% Incandescent and 40% CFL lamps for CFL TechID: "&amp;INDEX('Measure &amp; Standard CostIDs'!$C$5:$C$177,A1073),"&lt;from TechID&gt;")</f>
        <v>&lt;from TechID&gt;</v>
      </c>
      <c r="F1073" s="103" t="s">
        <v>860</v>
      </c>
      <c r="G1073" s="103" t="s">
        <v>151</v>
      </c>
      <c r="H1073" s="103" t="s">
        <v>861</v>
      </c>
      <c r="I1073" s="103" t="s">
        <v>862</v>
      </c>
      <c r="J1073" s="103" t="s">
        <v>863</v>
      </c>
      <c r="K1073" s="103" t="s">
        <v>864</v>
      </c>
      <c r="L1073" s="103" t="s">
        <v>153</v>
      </c>
      <c r="M1073" s="103" t="s">
        <v>865</v>
      </c>
      <c r="N1073" s="103" t="s">
        <v>866</v>
      </c>
      <c r="O1073" s="103" t="str">
        <f t="shared" si="54"/>
        <v>CFLscw-A(20w)</v>
      </c>
      <c r="P1073" s="103" t="s">
        <v>153</v>
      </c>
      <c r="Q1073" s="103" t="s">
        <v>153</v>
      </c>
      <c r="R1073" s="103" t="s">
        <v>153</v>
      </c>
      <c r="S1073" s="103" t="str">
        <f>INDEX('Measure &amp; Standard CostIDs'!$AK$8:$AK$12,B1073)</f>
        <v>Three-pack</v>
      </c>
      <c r="T1073" s="103" t="s">
        <v>867</v>
      </c>
      <c r="U1073" s="103"/>
      <c r="V1073" s="103"/>
      <c r="W1073" s="103">
        <f>ROUND(IF(LEFT(D1073,3)="Std",VLOOKUP(D1073,'Measure &amp; Standard CostIDs'!$S$5:$X$177,1+B1073,FALSE),VLOOKUP(D1073,'Measure &amp; Standard CostIDs'!$C$5:$H$177,1+B1073,FALSE)),2)</f>
        <v>5.34</v>
      </c>
      <c r="X1073" s="103"/>
      <c r="Y1073" s="103"/>
      <c r="Z1073" s="103" t="s">
        <v>868</v>
      </c>
      <c r="AA1073" s="103" t="s">
        <v>874</v>
      </c>
      <c r="AB1073" s="103" t="s">
        <v>153</v>
      </c>
      <c r="AC1073" s="103">
        <v>0</v>
      </c>
      <c r="AD1073" s="156">
        <v>42005</v>
      </c>
      <c r="AE1073" s="103"/>
      <c r="AF1073" s="103" t="s">
        <v>870</v>
      </c>
      <c r="AG1073" s="103" t="s">
        <v>871</v>
      </c>
      <c r="AH1073" s="103" t="s">
        <v>976</v>
      </c>
      <c r="AI1073" s="103">
        <v>0</v>
      </c>
      <c r="AJ1073" s="103"/>
      <c r="AK1073" s="103"/>
      <c r="AL1073" s="103"/>
      <c r="AM1073" s="103"/>
      <c r="AN1073" s="103"/>
      <c r="AO1073" s="103" t="str">
        <f t="shared" si="55"/>
        <v>CFLscw-A(20w)Three-pack</v>
      </c>
    </row>
    <row r="1074" spans="1:41">
      <c r="A1074" s="177">
        <f>IFERROR(MATCH(D1074,'Measure &amp; Standard CostIDs'!C$5:C$177,0),MATCH(D1074,'Measure &amp; Standard CostIDs'!S$5:S$177,0))</f>
        <v>80</v>
      </c>
      <c r="B1074" s="177">
        <f t="shared" si="57"/>
        <v>4</v>
      </c>
      <c r="C1074" s="103" t="s">
        <v>153</v>
      </c>
      <c r="D1074" s="103" t="str">
        <f t="shared" si="56"/>
        <v>CFLscw-A(22w)</v>
      </c>
      <c r="E1074" s="103" t="str">
        <f>IF(LEFT(D1074,3)="Std","Base case cost for mix of 60% Incandescent and 40% CFL lamps for CFL TechID: "&amp;INDEX('Measure &amp; Standard CostIDs'!$C$5:$C$177,A1074),"&lt;from TechID&gt;")</f>
        <v>&lt;from TechID&gt;</v>
      </c>
      <c r="F1074" s="103" t="s">
        <v>860</v>
      </c>
      <c r="G1074" s="103" t="s">
        <v>151</v>
      </c>
      <c r="H1074" s="103" t="s">
        <v>861</v>
      </c>
      <c r="I1074" s="103" t="s">
        <v>862</v>
      </c>
      <c r="J1074" s="103" t="s">
        <v>863</v>
      </c>
      <c r="K1074" s="103" t="s">
        <v>864</v>
      </c>
      <c r="L1074" s="103" t="s">
        <v>153</v>
      </c>
      <c r="M1074" s="103" t="s">
        <v>865</v>
      </c>
      <c r="N1074" s="103" t="s">
        <v>866</v>
      </c>
      <c r="O1074" s="103" t="str">
        <f t="shared" si="54"/>
        <v>CFLscw-A(22w)</v>
      </c>
      <c r="P1074" s="103" t="s">
        <v>153</v>
      </c>
      <c r="Q1074" s="103" t="s">
        <v>153</v>
      </c>
      <c r="R1074" s="103" t="s">
        <v>153</v>
      </c>
      <c r="S1074" s="103" t="str">
        <f>INDEX('Measure &amp; Standard CostIDs'!$AK$8:$AK$12,B1074)</f>
        <v>Three-pack</v>
      </c>
      <c r="T1074" s="103" t="s">
        <v>867</v>
      </c>
      <c r="U1074" s="103"/>
      <c r="V1074" s="103"/>
      <c r="W1074" s="103">
        <f>ROUND(IF(LEFT(D1074,3)="Std",VLOOKUP(D1074,'Measure &amp; Standard CostIDs'!$S$5:$X$177,1+B1074,FALSE),VLOOKUP(D1074,'Measure &amp; Standard CostIDs'!$C$5:$H$177,1+B1074,FALSE)),2)</f>
        <v>5.47</v>
      </c>
      <c r="X1074" s="103"/>
      <c r="Y1074" s="103"/>
      <c r="Z1074" s="103" t="s">
        <v>868</v>
      </c>
      <c r="AA1074" s="103" t="s">
        <v>874</v>
      </c>
      <c r="AB1074" s="103" t="s">
        <v>153</v>
      </c>
      <c r="AC1074" s="103">
        <v>0</v>
      </c>
      <c r="AD1074" s="156">
        <v>42005</v>
      </c>
      <c r="AE1074" s="103"/>
      <c r="AF1074" s="103" t="s">
        <v>870</v>
      </c>
      <c r="AG1074" s="103" t="s">
        <v>871</v>
      </c>
      <c r="AH1074" s="103" t="s">
        <v>976</v>
      </c>
      <c r="AI1074" s="103">
        <v>0</v>
      </c>
      <c r="AJ1074" s="103"/>
      <c r="AK1074" s="103"/>
      <c r="AL1074" s="103"/>
      <c r="AM1074" s="103"/>
      <c r="AN1074" s="103"/>
      <c r="AO1074" s="103" t="str">
        <f t="shared" si="55"/>
        <v>CFLscw-A(22w)Three-pack</v>
      </c>
    </row>
    <row r="1075" spans="1:41">
      <c r="A1075" s="177">
        <f>IFERROR(MATCH(D1075,'Measure &amp; Standard CostIDs'!C$5:C$177,0),MATCH(D1075,'Measure &amp; Standard CostIDs'!S$5:S$177,0))</f>
        <v>81</v>
      </c>
      <c r="B1075" s="177">
        <f t="shared" si="57"/>
        <v>4</v>
      </c>
      <c r="C1075" s="103" t="s">
        <v>153</v>
      </c>
      <c r="D1075" s="103" t="str">
        <f t="shared" si="56"/>
        <v>CFLscw-A(23w)</v>
      </c>
      <c r="E1075" s="103" t="str">
        <f>IF(LEFT(D1075,3)="Std","Base case cost for mix of 60% Incandescent and 40% CFL lamps for CFL TechID: "&amp;INDEX('Measure &amp; Standard CostIDs'!$C$5:$C$177,A1075),"&lt;from TechID&gt;")</f>
        <v>&lt;from TechID&gt;</v>
      </c>
      <c r="F1075" s="103" t="s">
        <v>860</v>
      </c>
      <c r="G1075" s="103" t="s">
        <v>151</v>
      </c>
      <c r="H1075" s="103" t="s">
        <v>861</v>
      </c>
      <c r="I1075" s="103" t="s">
        <v>862</v>
      </c>
      <c r="J1075" s="103" t="s">
        <v>863</v>
      </c>
      <c r="K1075" s="103" t="s">
        <v>864</v>
      </c>
      <c r="L1075" s="103" t="s">
        <v>153</v>
      </c>
      <c r="M1075" s="103" t="s">
        <v>865</v>
      </c>
      <c r="N1075" s="103" t="s">
        <v>866</v>
      </c>
      <c r="O1075" s="103" t="str">
        <f t="shared" si="54"/>
        <v>CFLscw-A(23w)</v>
      </c>
      <c r="P1075" s="103" t="s">
        <v>153</v>
      </c>
      <c r="Q1075" s="103" t="s">
        <v>153</v>
      </c>
      <c r="R1075" s="103" t="s">
        <v>153</v>
      </c>
      <c r="S1075" s="103" t="str">
        <f>INDEX('Measure &amp; Standard CostIDs'!$AK$8:$AK$12,B1075)</f>
        <v>Three-pack</v>
      </c>
      <c r="T1075" s="103" t="s">
        <v>867</v>
      </c>
      <c r="U1075" s="103"/>
      <c r="V1075" s="103"/>
      <c r="W1075" s="103">
        <f>ROUND(IF(LEFT(D1075,3)="Std",VLOOKUP(D1075,'Measure &amp; Standard CostIDs'!$S$5:$X$177,1+B1075,FALSE),VLOOKUP(D1075,'Measure &amp; Standard CostIDs'!$C$5:$H$177,1+B1075,FALSE)),2)</f>
        <v>5.54</v>
      </c>
      <c r="X1075" s="103"/>
      <c r="Y1075" s="103"/>
      <c r="Z1075" s="103" t="s">
        <v>868</v>
      </c>
      <c r="AA1075" s="103" t="s">
        <v>874</v>
      </c>
      <c r="AB1075" s="103" t="s">
        <v>153</v>
      </c>
      <c r="AC1075" s="103">
        <v>0</v>
      </c>
      <c r="AD1075" s="156">
        <v>42005</v>
      </c>
      <c r="AE1075" s="103"/>
      <c r="AF1075" s="103" t="s">
        <v>870</v>
      </c>
      <c r="AG1075" s="103" t="s">
        <v>871</v>
      </c>
      <c r="AH1075" s="103" t="s">
        <v>976</v>
      </c>
      <c r="AI1075" s="103">
        <v>0</v>
      </c>
      <c r="AJ1075" s="103"/>
      <c r="AK1075" s="103"/>
      <c r="AL1075" s="103"/>
      <c r="AM1075" s="103"/>
      <c r="AN1075" s="103"/>
      <c r="AO1075" s="103" t="str">
        <f t="shared" si="55"/>
        <v>CFLscw-A(23w)Three-pack</v>
      </c>
    </row>
    <row r="1076" spans="1:41">
      <c r="A1076" s="177">
        <f>IFERROR(MATCH(D1076,'Measure &amp; Standard CostIDs'!C$5:C$177,0),MATCH(D1076,'Measure &amp; Standard CostIDs'!S$5:S$177,0))</f>
        <v>82</v>
      </c>
      <c r="B1076" s="177">
        <f t="shared" si="57"/>
        <v>4</v>
      </c>
      <c r="C1076" s="103" t="s">
        <v>153</v>
      </c>
      <c r="D1076" s="103" t="str">
        <f t="shared" si="56"/>
        <v>CFLscw-A(24w)</v>
      </c>
      <c r="E1076" s="103" t="str">
        <f>IF(LEFT(D1076,3)="Std","Base case cost for mix of 60% Incandescent and 40% CFL lamps for CFL TechID: "&amp;INDEX('Measure &amp; Standard CostIDs'!$C$5:$C$177,A1076),"&lt;from TechID&gt;")</f>
        <v>&lt;from TechID&gt;</v>
      </c>
      <c r="F1076" s="103" t="s">
        <v>860</v>
      </c>
      <c r="G1076" s="103" t="s">
        <v>151</v>
      </c>
      <c r="H1076" s="103" t="s">
        <v>861</v>
      </c>
      <c r="I1076" s="103" t="s">
        <v>862</v>
      </c>
      <c r="J1076" s="103" t="s">
        <v>863</v>
      </c>
      <c r="K1076" s="103" t="s">
        <v>864</v>
      </c>
      <c r="L1076" s="103" t="s">
        <v>153</v>
      </c>
      <c r="M1076" s="103" t="s">
        <v>865</v>
      </c>
      <c r="N1076" s="103" t="s">
        <v>866</v>
      </c>
      <c r="O1076" s="103" t="str">
        <f t="shared" si="54"/>
        <v>CFLscw-A(24w)</v>
      </c>
      <c r="P1076" s="103" t="s">
        <v>153</v>
      </c>
      <c r="Q1076" s="103" t="s">
        <v>153</v>
      </c>
      <c r="R1076" s="103" t="s">
        <v>153</v>
      </c>
      <c r="S1076" s="103" t="str">
        <f>INDEX('Measure &amp; Standard CostIDs'!$AK$8:$AK$12,B1076)</f>
        <v>Three-pack</v>
      </c>
      <c r="T1076" s="103" t="s">
        <v>867</v>
      </c>
      <c r="U1076" s="103"/>
      <c r="V1076" s="103"/>
      <c r="W1076" s="103">
        <f>ROUND(IF(LEFT(D1076,3)="Std",VLOOKUP(D1076,'Measure &amp; Standard CostIDs'!$S$5:$X$177,1+B1076,FALSE),VLOOKUP(D1076,'Measure &amp; Standard CostIDs'!$C$5:$H$177,1+B1076,FALSE)),2)</f>
        <v>5.61</v>
      </c>
      <c r="X1076" s="103"/>
      <c r="Y1076" s="103"/>
      <c r="Z1076" s="103" t="s">
        <v>868</v>
      </c>
      <c r="AA1076" s="103" t="s">
        <v>874</v>
      </c>
      <c r="AB1076" s="103" t="s">
        <v>153</v>
      </c>
      <c r="AC1076" s="103">
        <v>0</v>
      </c>
      <c r="AD1076" s="156">
        <v>42005</v>
      </c>
      <c r="AE1076" s="103"/>
      <c r="AF1076" s="103" t="s">
        <v>870</v>
      </c>
      <c r="AG1076" s="103" t="s">
        <v>871</v>
      </c>
      <c r="AH1076" s="103" t="s">
        <v>976</v>
      </c>
      <c r="AI1076" s="103">
        <v>0</v>
      </c>
      <c r="AJ1076" s="103"/>
      <c r="AK1076" s="103"/>
      <c r="AL1076" s="103"/>
      <c r="AM1076" s="103"/>
      <c r="AN1076" s="103"/>
      <c r="AO1076" s="103" t="str">
        <f t="shared" si="55"/>
        <v>CFLscw-A(24w)Three-pack</v>
      </c>
    </row>
    <row r="1077" spans="1:41">
      <c r="A1077" s="177">
        <f>IFERROR(MATCH(D1077,'Measure &amp; Standard CostIDs'!C$5:C$177,0),MATCH(D1077,'Measure &amp; Standard CostIDs'!S$5:S$177,0))</f>
        <v>83</v>
      </c>
      <c r="B1077" s="177">
        <f t="shared" si="57"/>
        <v>4</v>
      </c>
      <c r="C1077" s="103" t="s">
        <v>153</v>
      </c>
      <c r="D1077" s="103" t="str">
        <f t="shared" si="56"/>
        <v>CFLscw-A(25w)</v>
      </c>
      <c r="E1077" s="103" t="str">
        <f>IF(LEFT(D1077,3)="Std","Base case cost for mix of 60% Incandescent and 40% CFL lamps for CFL TechID: "&amp;INDEX('Measure &amp; Standard CostIDs'!$C$5:$C$177,A1077),"&lt;from TechID&gt;")</f>
        <v>&lt;from TechID&gt;</v>
      </c>
      <c r="F1077" s="103" t="s">
        <v>860</v>
      </c>
      <c r="G1077" s="103" t="s">
        <v>151</v>
      </c>
      <c r="H1077" s="103" t="s">
        <v>861</v>
      </c>
      <c r="I1077" s="103" t="s">
        <v>862</v>
      </c>
      <c r="J1077" s="103" t="s">
        <v>863</v>
      </c>
      <c r="K1077" s="103" t="s">
        <v>864</v>
      </c>
      <c r="L1077" s="103" t="s">
        <v>153</v>
      </c>
      <c r="M1077" s="103" t="s">
        <v>865</v>
      </c>
      <c r="N1077" s="103" t="s">
        <v>866</v>
      </c>
      <c r="O1077" s="103" t="str">
        <f t="shared" si="54"/>
        <v>CFLscw-A(25w)</v>
      </c>
      <c r="P1077" s="103" t="s">
        <v>153</v>
      </c>
      <c r="Q1077" s="103" t="s">
        <v>153</v>
      </c>
      <c r="R1077" s="103" t="s">
        <v>153</v>
      </c>
      <c r="S1077" s="103" t="str">
        <f>INDEX('Measure &amp; Standard CostIDs'!$AK$8:$AK$12,B1077)</f>
        <v>Three-pack</v>
      </c>
      <c r="T1077" s="103" t="s">
        <v>867</v>
      </c>
      <c r="U1077" s="103"/>
      <c r="V1077" s="103"/>
      <c r="W1077" s="103">
        <f>ROUND(IF(LEFT(D1077,3)="Std",VLOOKUP(D1077,'Measure &amp; Standard CostIDs'!$S$5:$X$177,1+B1077,FALSE),VLOOKUP(D1077,'Measure &amp; Standard CostIDs'!$C$5:$H$177,1+B1077,FALSE)),2)</f>
        <v>5.67</v>
      </c>
      <c r="X1077" s="103"/>
      <c r="Y1077" s="103"/>
      <c r="Z1077" s="103" t="s">
        <v>868</v>
      </c>
      <c r="AA1077" s="103" t="s">
        <v>874</v>
      </c>
      <c r="AB1077" s="103" t="s">
        <v>153</v>
      </c>
      <c r="AC1077" s="103">
        <v>0</v>
      </c>
      <c r="AD1077" s="156">
        <v>42005</v>
      </c>
      <c r="AE1077" s="103"/>
      <c r="AF1077" s="103" t="s">
        <v>870</v>
      </c>
      <c r="AG1077" s="103" t="s">
        <v>871</v>
      </c>
      <c r="AH1077" s="103" t="s">
        <v>976</v>
      </c>
      <c r="AI1077" s="103">
        <v>0</v>
      </c>
      <c r="AJ1077" s="103"/>
      <c r="AK1077" s="103"/>
      <c r="AL1077" s="103"/>
      <c r="AM1077" s="103"/>
      <c r="AN1077" s="103"/>
      <c r="AO1077" s="103" t="str">
        <f t="shared" si="55"/>
        <v>CFLscw-A(25w)Three-pack</v>
      </c>
    </row>
    <row r="1078" spans="1:41">
      <c r="A1078" s="177">
        <f>IFERROR(MATCH(D1078,'Measure &amp; Standard CostIDs'!C$5:C$177,0),MATCH(D1078,'Measure &amp; Standard CostIDs'!S$5:S$177,0))</f>
        <v>84</v>
      </c>
      <c r="B1078" s="177">
        <f t="shared" si="57"/>
        <v>4</v>
      </c>
      <c r="C1078" s="103" t="s">
        <v>153</v>
      </c>
      <c r="D1078" s="103" t="str">
        <f t="shared" si="56"/>
        <v>CFLscw-A(26w)</v>
      </c>
      <c r="E1078" s="103" t="str">
        <f>IF(LEFT(D1078,3)="Std","Base case cost for mix of 60% Incandescent and 40% CFL lamps for CFL TechID: "&amp;INDEX('Measure &amp; Standard CostIDs'!$C$5:$C$177,A1078),"&lt;from TechID&gt;")</f>
        <v>&lt;from TechID&gt;</v>
      </c>
      <c r="F1078" s="103" t="s">
        <v>860</v>
      </c>
      <c r="G1078" s="103" t="s">
        <v>151</v>
      </c>
      <c r="H1078" s="103" t="s">
        <v>861</v>
      </c>
      <c r="I1078" s="103" t="s">
        <v>862</v>
      </c>
      <c r="J1078" s="103" t="s">
        <v>863</v>
      </c>
      <c r="K1078" s="103" t="s">
        <v>864</v>
      </c>
      <c r="L1078" s="103" t="s">
        <v>153</v>
      </c>
      <c r="M1078" s="103" t="s">
        <v>865</v>
      </c>
      <c r="N1078" s="103" t="s">
        <v>866</v>
      </c>
      <c r="O1078" s="103" t="str">
        <f t="shared" si="54"/>
        <v>CFLscw-A(26w)</v>
      </c>
      <c r="P1078" s="103" t="s">
        <v>153</v>
      </c>
      <c r="Q1078" s="103" t="s">
        <v>153</v>
      </c>
      <c r="R1078" s="103" t="s">
        <v>153</v>
      </c>
      <c r="S1078" s="103" t="str">
        <f>INDEX('Measure &amp; Standard CostIDs'!$AK$8:$AK$12,B1078)</f>
        <v>Three-pack</v>
      </c>
      <c r="T1078" s="103" t="s">
        <v>867</v>
      </c>
      <c r="U1078" s="103"/>
      <c r="V1078" s="103"/>
      <c r="W1078" s="103">
        <f>ROUND(IF(LEFT(D1078,3)="Std",VLOOKUP(D1078,'Measure &amp; Standard CostIDs'!$S$5:$X$177,1+B1078,FALSE),VLOOKUP(D1078,'Measure &amp; Standard CostIDs'!$C$5:$H$177,1+B1078,FALSE)),2)</f>
        <v>5.83</v>
      </c>
      <c r="X1078" s="103"/>
      <c r="Y1078" s="103"/>
      <c r="Z1078" s="103" t="s">
        <v>868</v>
      </c>
      <c r="AA1078" s="103" t="s">
        <v>874</v>
      </c>
      <c r="AB1078" s="103" t="s">
        <v>153</v>
      </c>
      <c r="AC1078" s="103">
        <v>0</v>
      </c>
      <c r="AD1078" s="156">
        <v>42005</v>
      </c>
      <c r="AE1078" s="103"/>
      <c r="AF1078" s="103" t="s">
        <v>870</v>
      </c>
      <c r="AG1078" s="103" t="s">
        <v>871</v>
      </c>
      <c r="AH1078" s="103" t="s">
        <v>976</v>
      </c>
      <c r="AI1078" s="103">
        <v>0</v>
      </c>
      <c r="AJ1078" s="103"/>
      <c r="AK1078" s="103"/>
      <c r="AL1078" s="103"/>
      <c r="AM1078" s="103"/>
      <c r="AN1078" s="103"/>
      <c r="AO1078" s="103" t="str">
        <f t="shared" si="55"/>
        <v>CFLscw-A(26w)Three-pack</v>
      </c>
    </row>
    <row r="1079" spans="1:41">
      <c r="A1079" s="177">
        <f>IFERROR(MATCH(D1079,'Measure &amp; Standard CostIDs'!C$5:C$177,0),MATCH(D1079,'Measure &amp; Standard CostIDs'!S$5:S$177,0))</f>
        <v>85</v>
      </c>
      <c r="B1079" s="177">
        <f t="shared" si="57"/>
        <v>4</v>
      </c>
      <c r="C1079" s="103" t="s">
        <v>153</v>
      </c>
      <c r="D1079" s="103" t="str">
        <f t="shared" si="56"/>
        <v>CFLscw-A(27w)</v>
      </c>
      <c r="E1079" s="103" t="str">
        <f>IF(LEFT(D1079,3)="Std","Base case cost for mix of 60% Incandescent and 40% CFL lamps for CFL TechID: "&amp;INDEX('Measure &amp; Standard CostIDs'!$C$5:$C$177,A1079),"&lt;from TechID&gt;")</f>
        <v>&lt;from TechID&gt;</v>
      </c>
      <c r="F1079" s="103" t="s">
        <v>860</v>
      </c>
      <c r="G1079" s="103" t="s">
        <v>151</v>
      </c>
      <c r="H1079" s="103" t="s">
        <v>861</v>
      </c>
      <c r="I1079" s="103" t="s">
        <v>862</v>
      </c>
      <c r="J1079" s="103" t="s">
        <v>863</v>
      </c>
      <c r="K1079" s="103" t="s">
        <v>864</v>
      </c>
      <c r="L1079" s="103" t="s">
        <v>153</v>
      </c>
      <c r="M1079" s="103" t="s">
        <v>865</v>
      </c>
      <c r="N1079" s="103" t="s">
        <v>866</v>
      </c>
      <c r="O1079" s="103" t="str">
        <f t="shared" si="54"/>
        <v>CFLscw-A(27w)</v>
      </c>
      <c r="P1079" s="103" t="s">
        <v>153</v>
      </c>
      <c r="Q1079" s="103" t="s">
        <v>153</v>
      </c>
      <c r="R1079" s="103" t="s">
        <v>153</v>
      </c>
      <c r="S1079" s="103" t="str">
        <f>INDEX('Measure &amp; Standard CostIDs'!$AK$8:$AK$12,B1079)</f>
        <v>Three-pack</v>
      </c>
      <c r="T1079" s="103" t="s">
        <v>867</v>
      </c>
      <c r="U1079" s="103"/>
      <c r="V1079" s="103"/>
      <c r="W1079" s="103">
        <f>ROUND(IF(LEFT(D1079,3)="Std",VLOOKUP(D1079,'Measure &amp; Standard CostIDs'!$S$5:$X$177,1+B1079,FALSE),VLOOKUP(D1079,'Measure &amp; Standard CostIDs'!$C$5:$H$177,1+B1079,FALSE)),2)</f>
        <v>5.99</v>
      </c>
      <c r="X1079" s="103"/>
      <c r="Y1079" s="103"/>
      <c r="Z1079" s="103" t="s">
        <v>868</v>
      </c>
      <c r="AA1079" s="103" t="s">
        <v>874</v>
      </c>
      <c r="AB1079" s="103" t="s">
        <v>153</v>
      </c>
      <c r="AC1079" s="103">
        <v>0</v>
      </c>
      <c r="AD1079" s="156">
        <v>42005</v>
      </c>
      <c r="AE1079" s="103"/>
      <c r="AF1079" s="103" t="s">
        <v>870</v>
      </c>
      <c r="AG1079" s="103" t="s">
        <v>871</v>
      </c>
      <c r="AH1079" s="103" t="s">
        <v>976</v>
      </c>
      <c r="AI1079" s="103">
        <v>0</v>
      </c>
      <c r="AJ1079" s="103"/>
      <c r="AK1079" s="103"/>
      <c r="AL1079" s="103"/>
      <c r="AM1079" s="103"/>
      <c r="AN1079" s="103"/>
      <c r="AO1079" s="103" t="str">
        <f t="shared" si="55"/>
        <v>CFLscw-A(27w)Three-pack</v>
      </c>
    </row>
    <row r="1080" spans="1:41">
      <c r="A1080" s="177">
        <f>IFERROR(MATCH(D1080,'Measure &amp; Standard CostIDs'!C$5:C$177,0),MATCH(D1080,'Measure &amp; Standard CostIDs'!S$5:S$177,0))</f>
        <v>86</v>
      </c>
      <c r="B1080" s="177">
        <f t="shared" si="57"/>
        <v>4</v>
      </c>
      <c r="C1080" s="103" t="s">
        <v>153</v>
      </c>
      <c r="D1080" s="103" t="str">
        <f t="shared" si="56"/>
        <v>CFLscw-A(28w)</v>
      </c>
      <c r="E1080" s="103" t="str">
        <f>IF(LEFT(D1080,3)="Std","Base case cost for mix of 60% Incandescent and 40% CFL lamps for CFL TechID: "&amp;INDEX('Measure &amp; Standard CostIDs'!$C$5:$C$177,A1080),"&lt;from TechID&gt;")</f>
        <v>&lt;from TechID&gt;</v>
      </c>
      <c r="F1080" s="103" t="s">
        <v>860</v>
      </c>
      <c r="G1080" s="103" t="s">
        <v>151</v>
      </c>
      <c r="H1080" s="103" t="s">
        <v>861</v>
      </c>
      <c r="I1080" s="103" t="s">
        <v>862</v>
      </c>
      <c r="J1080" s="103" t="s">
        <v>863</v>
      </c>
      <c r="K1080" s="103" t="s">
        <v>864</v>
      </c>
      <c r="L1080" s="103" t="s">
        <v>153</v>
      </c>
      <c r="M1080" s="103" t="s">
        <v>865</v>
      </c>
      <c r="N1080" s="103" t="s">
        <v>866</v>
      </c>
      <c r="O1080" s="103" t="str">
        <f t="shared" si="54"/>
        <v>CFLscw-A(28w)</v>
      </c>
      <c r="P1080" s="103" t="s">
        <v>153</v>
      </c>
      <c r="Q1080" s="103" t="s">
        <v>153</v>
      </c>
      <c r="R1080" s="103" t="s">
        <v>153</v>
      </c>
      <c r="S1080" s="103" t="str">
        <f>INDEX('Measure &amp; Standard CostIDs'!$AK$8:$AK$12,B1080)</f>
        <v>Three-pack</v>
      </c>
      <c r="T1080" s="103" t="s">
        <v>867</v>
      </c>
      <c r="U1080" s="103"/>
      <c r="V1080" s="103"/>
      <c r="W1080" s="103">
        <f>ROUND(IF(LEFT(D1080,3)="Std",VLOOKUP(D1080,'Measure &amp; Standard CostIDs'!$S$5:$X$177,1+B1080,FALSE),VLOOKUP(D1080,'Measure &amp; Standard CostIDs'!$C$5:$H$177,1+B1080,FALSE)),2)</f>
        <v>6.15</v>
      </c>
      <c r="X1080" s="103"/>
      <c r="Y1080" s="103"/>
      <c r="Z1080" s="103" t="s">
        <v>868</v>
      </c>
      <c r="AA1080" s="103" t="s">
        <v>874</v>
      </c>
      <c r="AB1080" s="103" t="s">
        <v>153</v>
      </c>
      <c r="AC1080" s="103">
        <v>0</v>
      </c>
      <c r="AD1080" s="156">
        <v>42005</v>
      </c>
      <c r="AE1080" s="103"/>
      <c r="AF1080" s="103" t="s">
        <v>870</v>
      </c>
      <c r="AG1080" s="103" t="s">
        <v>871</v>
      </c>
      <c r="AH1080" s="103" t="s">
        <v>976</v>
      </c>
      <c r="AI1080" s="103">
        <v>0</v>
      </c>
      <c r="AJ1080" s="103"/>
      <c r="AK1080" s="103"/>
      <c r="AL1080" s="103"/>
      <c r="AM1080" s="103"/>
      <c r="AN1080" s="103"/>
      <c r="AO1080" s="103" t="str">
        <f t="shared" si="55"/>
        <v>CFLscw-A(28w)Three-pack</v>
      </c>
    </row>
    <row r="1081" spans="1:41">
      <c r="A1081" s="177">
        <f>IFERROR(MATCH(D1081,'Measure &amp; Standard CostIDs'!C$5:C$177,0),MATCH(D1081,'Measure &amp; Standard CostIDs'!S$5:S$177,0))</f>
        <v>87</v>
      </c>
      <c r="B1081" s="177">
        <f t="shared" si="57"/>
        <v>4</v>
      </c>
      <c r="C1081" s="103" t="s">
        <v>153</v>
      </c>
      <c r="D1081" s="103" t="str">
        <f t="shared" si="56"/>
        <v>CFLscw-A(30w)</v>
      </c>
      <c r="E1081" s="103" t="str">
        <f>IF(LEFT(D1081,3)="Std","Base case cost for mix of 60% Incandescent and 40% CFL lamps for CFL TechID: "&amp;INDEX('Measure &amp; Standard CostIDs'!$C$5:$C$177,A1081),"&lt;from TechID&gt;")</f>
        <v>&lt;from TechID&gt;</v>
      </c>
      <c r="F1081" s="103" t="s">
        <v>860</v>
      </c>
      <c r="G1081" s="103" t="s">
        <v>151</v>
      </c>
      <c r="H1081" s="103" t="s">
        <v>861</v>
      </c>
      <c r="I1081" s="103" t="s">
        <v>862</v>
      </c>
      <c r="J1081" s="103" t="s">
        <v>863</v>
      </c>
      <c r="K1081" s="103" t="s">
        <v>864</v>
      </c>
      <c r="L1081" s="103" t="s">
        <v>153</v>
      </c>
      <c r="M1081" s="103" t="s">
        <v>865</v>
      </c>
      <c r="N1081" s="103" t="s">
        <v>866</v>
      </c>
      <c r="O1081" s="103" t="str">
        <f t="shared" si="54"/>
        <v>CFLscw-A(30w)</v>
      </c>
      <c r="P1081" s="103" t="s">
        <v>153</v>
      </c>
      <c r="Q1081" s="103" t="s">
        <v>153</v>
      </c>
      <c r="R1081" s="103" t="s">
        <v>153</v>
      </c>
      <c r="S1081" s="103" t="str">
        <f>INDEX('Measure &amp; Standard CostIDs'!$AK$8:$AK$12,B1081)</f>
        <v>Three-pack</v>
      </c>
      <c r="T1081" s="103" t="s">
        <v>867</v>
      </c>
      <c r="U1081" s="103"/>
      <c r="V1081" s="103"/>
      <c r="W1081" s="103">
        <f>ROUND(IF(LEFT(D1081,3)="Std",VLOOKUP(D1081,'Measure &amp; Standard CostIDs'!$S$5:$X$177,1+B1081,FALSE),VLOOKUP(D1081,'Measure &amp; Standard CostIDs'!$C$5:$H$177,1+B1081,FALSE)),2)</f>
        <v>6.47</v>
      </c>
      <c r="X1081" s="103"/>
      <c r="Y1081" s="103"/>
      <c r="Z1081" s="103" t="s">
        <v>868</v>
      </c>
      <c r="AA1081" s="103" t="s">
        <v>874</v>
      </c>
      <c r="AB1081" s="103" t="s">
        <v>153</v>
      </c>
      <c r="AC1081" s="103">
        <v>0</v>
      </c>
      <c r="AD1081" s="156">
        <v>42005</v>
      </c>
      <c r="AE1081" s="103"/>
      <c r="AF1081" s="103" t="s">
        <v>870</v>
      </c>
      <c r="AG1081" s="103" t="s">
        <v>871</v>
      </c>
      <c r="AH1081" s="103" t="s">
        <v>976</v>
      </c>
      <c r="AI1081" s="103">
        <v>0</v>
      </c>
      <c r="AJ1081" s="103"/>
      <c r="AK1081" s="103"/>
      <c r="AL1081" s="103"/>
      <c r="AM1081" s="103"/>
      <c r="AN1081" s="103"/>
      <c r="AO1081" s="103" t="str">
        <f t="shared" si="55"/>
        <v>CFLscw-A(30w)Three-pack</v>
      </c>
    </row>
    <row r="1082" spans="1:41">
      <c r="A1082" s="177">
        <f>IFERROR(MATCH(D1082,'Measure &amp; Standard CostIDs'!C$5:C$177,0),MATCH(D1082,'Measure &amp; Standard CostIDs'!S$5:S$177,0))</f>
        <v>88</v>
      </c>
      <c r="B1082" s="177">
        <f t="shared" si="57"/>
        <v>4</v>
      </c>
      <c r="C1082" s="103" t="s">
        <v>153</v>
      </c>
      <c r="D1082" s="103" t="str">
        <f t="shared" si="56"/>
        <v>CFLscw-A(32w)</v>
      </c>
      <c r="E1082" s="103" t="str">
        <f>IF(LEFT(D1082,3)="Std","Base case cost for mix of 60% Incandescent and 40% CFL lamps for CFL TechID: "&amp;INDEX('Measure &amp; Standard CostIDs'!$C$5:$C$177,A1082),"&lt;from TechID&gt;")</f>
        <v>&lt;from TechID&gt;</v>
      </c>
      <c r="F1082" s="103" t="s">
        <v>860</v>
      </c>
      <c r="G1082" s="103" t="s">
        <v>151</v>
      </c>
      <c r="H1082" s="103" t="s">
        <v>861</v>
      </c>
      <c r="I1082" s="103" t="s">
        <v>862</v>
      </c>
      <c r="J1082" s="103" t="s">
        <v>863</v>
      </c>
      <c r="K1082" s="103" t="s">
        <v>864</v>
      </c>
      <c r="L1082" s="103" t="s">
        <v>153</v>
      </c>
      <c r="M1082" s="103" t="s">
        <v>865</v>
      </c>
      <c r="N1082" s="103" t="s">
        <v>866</v>
      </c>
      <c r="O1082" s="103" t="str">
        <f t="shared" si="54"/>
        <v>CFLscw-A(32w)</v>
      </c>
      <c r="P1082" s="103" t="s">
        <v>153</v>
      </c>
      <c r="Q1082" s="103" t="s">
        <v>153</v>
      </c>
      <c r="R1082" s="103" t="s">
        <v>153</v>
      </c>
      <c r="S1082" s="103" t="str">
        <f>INDEX('Measure &amp; Standard CostIDs'!$AK$8:$AK$12,B1082)</f>
        <v>Three-pack</v>
      </c>
      <c r="T1082" s="103" t="s">
        <v>867</v>
      </c>
      <c r="U1082" s="103"/>
      <c r="V1082" s="103"/>
      <c r="W1082" s="103">
        <f>ROUND(IF(LEFT(D1082,3)="Std",VLOOKUP(D1082,'Measure &amp; Standard CostIDs'!$S$5:$X$177,1+B1082,FALSE),VLOOKUP(D1082,'Measure &amp; Standard CostIDs'!$C$5:$H$177,1+B1082,FALSE)),2)</f>
        <v>6.79</v>
      </c>
      <c r="X1082" s="103"/>
      <c r="Y1082" s="103"/>
      <c r="Z1082" s="103" t="s">
        <v>868</v>
      </c>
      <c r="AA1082" s="103" t="s">
        <v>874</v>
      </c>
      <c r="AB1082" s="103" t="s">
        <v>153</v>
      </c>
      <c r="AC1082" s="103">
        <v>0</v>
      </c>
      <c r="AD1082" s="156">
        <v>42005</v>
      </c>
      <c r="AE1082" s="103"/>
      <c r="AF1082" s="103" t="s">
        <v>870</v>
      </c>
      <c r="AG1082" s="103" t="s">
        <v>871</v>
      </c>
      <c r="AH1082" s="103" t="s">
        <v>976</v>
      </c>
      <c r="AI1082" s="103">
        <v>0</v>
      </c>
      <c r="AJ1082" s="103"/>
      <c r="AK1082" s="103"/>
      <c r="AL1082" s="103"/>
      <c r="AM1082" s="103"/>
      <c r="AN1082" s="103"/>
      <c r="AO1082" s="103" t="str">
        <f t="shared" si="55"/>
        <v>CFLscw-A(32w)Three-pack</v>
      </c>
    </row>
    <row r="1083" spans="1:41">
      <c r="A1083" s="177">
        <f>IFERROR(MATCH(D1083,'Measure &amp; Standard CostIDs'!C$5:C$177,0),MATCH(D1083,'Measure &amp; Standard CostIDs'!S$5:S$177,0))</f>
        <v>89</v>
      </c>
      <c r="B1083" s="177">
        <f t="shared" si="57"/>
        <v>4</v>
      </c>
      <c r="C1083" s="103" t="s">
        <v>153</v>
      </c>
      <c r="D1083" s="103" t="str">
        <f t="shared" si="56"/>
        <v>CFLscw-A(40w)</v>
      </c>
      <c r="E1083" s="103" t="str">
        <f>IF(LEFT(D1083,3)="Std","Base case cost for mix of 60% Incandescent and 40% CFL lamps for CFL TechID: "&amp;INDEX('Measure &amp; Standard CostIDs'!$C$5:$C$177,A1083),"&lt;from TechID&gt;")</f>
        <v>&lt;from TechID&gt;</v>
      </c>
      <c r="F1083" s="103" t="s">
        <v>860</v>
      </c>
      <c r="G1083" s="103" t="s">
        <v>151</v>
      </c>
      <c r="H1083" s="103" t="s">
        <v>861</v>
      </c>
      <c r="I1083" s="103" t="s">
        <v>862</v>
      </c>
      <c r="J1083" s="103" t="s">
        <v>863</v>
      </c>
      <c r="K1083" s="103" t="s">
        <v>864</v>
      </c>
      <c r="L1083" s="103" t="s">
        <v>153</v>
      </c>
      <c r="M1083" s="103" t="s">
        <v>865</v>
      </c>
      <c r="N1083" s="103" t="s">
        <v>866</v>
      </c>
      <c r="O1083" s="103" t="str">
        <f t="shared" si="54"/>
        <v>CFLscw-A(40w)</v>
      </c>
      <c r="P1083" s="103" t="s">
        <v>153</v>
      </c>
      <c r="Q1083" s="103" t="s">
        <v>153</v>
      </c>
      <c r="R1083" s="103" t="s">
        <v>153</v>
      </c>
      <c r="S1083" s="103" t="str">
        <f>INDEX('Measure &amp; Standard CostIDs'!$AK$8:$AK$12,B1083)</f>
        <v>Three-pack</v>
      </c>
      <c r="T1083" s="103" t="s">
        <v>867</v>
      </c>
      <c r="U1083" s="103"/>
      <c r="V1083" s="103"/>
      <c r="W1083" s="103">
        <f>ROUND(IF(LEFT(D1083,3)="Std",VLOOKUP(D1083,'Measure &amp; Standard CostIDs'!$S$5:$X$177,1+B1083,FALSE),VLOOKUP(D1083,'Measure &amp; Standard CostIDs'!$C$5:$H$177,1+B1083,FALSE)),2)</f>
        <v>8.07</v>
      </c>
      <c r="X1083" s="103"/>
      <c r="Y1083" s="103"/>
      <c r="Z1083" s="103" t="s">
        <v>868</v>
      </c>
      <c r="AA1083" s="103" t="s">
        <v>874</v>
      </c>
      <c r="AB1083" s="103" t="s">
        <v>153</v>
      </c>
      <c r="AC1083" s="103">
        <v>0</v>
      </c>
      <c r="AD1083" s="156">
        <v>42005</v>
      </c>
      <c r="AE1083" s="103"/>
      <c r="AF1083" s="103" t="s">
        <v>870</v>
      </c>
      <c r="AG1083" s="103" t="s">
        <v>871</v>
      </c>
      <c r="AH1083" s="103" t="s">
        <v>976</v>
      </c>
      <c r="AI1083" s="103">
        <v>0</v>
      </c>
      <c r="AJ1083" s="103"/>
      <c r="AK1083" s="103"/>
      <c r="AL1083" s="103"/>
      <c r="AM1083" s="103"/>
      <c r="AN1083" s="103"/>
      <c r="AO1083" s="103" t="str">
        <f t="shared" si="55"/>
        <v>CFLscw-A(40w)Three-pack</v>
      </c>
    </row>
    <row r="1084" spans="1:41">
      <c r="A1084" s="177">
        <f>IFERROR(MATCH(D1084,'Measure &amp; Standard CostIDs'!C$5:C$177,0),MATCH(D1084,'Measure &amp; Standard CostIDs'!S$5:S$177,0))</f>
        <v>90</v>
      </c>
      <c r="B1084" s="177">
        <f t="shared" si="57"/>
        <v>4</v>
      </c>
      <c r="C1084" s="103" t="s">
        <v>153</v>
      </c>
      <c r="D1084" s="103" t="str">
        <f t="shared" si="56"/>
        <v>CFLscw-A(42w)</v>
      </c>
      <c r="E1084" s="103" t="str">
        <f>IF(LEFT(D1084,3)="Std","Base case cost for mix of 60% Incandescent and 40% CFL lamps for CFL TechID: "&amp;INDEX('Measure &amp; Standard CostIDs'!$C$5:$C$177,A1084),"&lt;from TechID&gt;")</f>
        <v>&lt;from TechID&gt;</v>
      </c>
      <c r="F1084" s="103" t="s">
        <v>860</v>
      </c>
      <c r="G1084" s="103" t="s">
        <v>151</v>
      </c>
      <c r="H1084" s="103" t="s">
        <v>861</v>
      </c>
      <c r="I1084" s="103" t="s">
        <v>862</v>
      </c>
      <c r="J1084" s="103" t="s">
        <v>863</v>
      </c>
      <c r="K1084" s="103" t="s">
        <v>864</v>
      </c>
      <c r="L1084" s="103" t="s">
        <v>153</v>
      </c>
      <c r="M1084" s="103" t="s">
        <v>865</v>
      </c>
      <c r="N1084" s="103" t="s">
        <v>866</v>
      </c>
      <c r="O1084" s="103" t="str">
        <f t="shared" si="54"/>
        <v>CFLscw-A(42w)</v>
      </c>
      <c r="P1084" s="103" t="s">
        <v>153</v>
      </c>
      <c r="Q1084" s="103" t="s">
        <v>153</v>
      </c>
      <c r="R1084" s="103" t="s">
        <v>153</v>
      </c>
      <c r="S1084" s="103" t="str">
        <f>INDEX('Measure &amp; Standard CostIDs'!$AK$8:$AK$12,B1084)</f>
        <v>Three-pack</v>
      </c>
      <c r="T1084" s="103" t="s">
        <v>867</v>
      </c>
      <c r="U1084" s="103"/>
      <c r="V1084" s="103"/>
      <c r="W1084" s="103">
        <f>ROUND(IF(LEFT(D1084,3)="Std",VLOOKUP(D1084,'Measure &amp; Standard CostIDs'!$S$5:$X$177,1+B1084,FALSE),VLOOKUP(D1084,'Measure &amp; Standard CostIDs'!$C$5:$H$177,1+B1084,FALSE)),2)</f>
        <v>8.39</v>
      </c>
      <c r="X1084" s="103"/>
      <c r="Y1084" s="103"/>
      <c r="Z1084" s="103" t="s">
        <v>868</v>
      </c>
      <c r="AA1084" s="103" t="s">
        <v>874</v>
      </c>
      <c r="AB1084" s="103" t="s">
        <v>153</v>
      </c>
      <c r="AC1084" s="103">
        <v>0</v>
      </c>
      <c r="AD1084" s="156">
        <v>42005</v>
      </c>
      <c r="AE1084" s="103"/>
      <c r="AF1084" s="103" t="s">
        <v>870</v>
      </c>
      <c r="AG1084" s="103" t="s">
        <v>871</v>
      </c>
      <c r="AH1084" s="103" t="s">
        <v>976</v>
      </c>
      <c r="AI1084" s="103">
        <v>0</v>
      </c>
      <c r="AJ1084" s="103"/>
      <c r="AK1084" s="103"/>
      <c r="AL1084" s="103"/>
      <c r="AM1084" s="103"/>
      <c r="AN1084" s="103"/>
      <c r="AO1084" s="103" t="str">
        <f t="shared" si="55"/>
        <v>CFLscw-A(42w)Three-pack</v>
      </c>
    </row>
    <row r="1085" spans="1:41">
      <c r="A1085" s="177">
        <f>IFERROR(MATCH(D1085,'Measure &amp; Standard CostIDs'!C$5:C$177,0),MATCH(D1085,'Measure &amp; Standard CostIDs'!S$5:S$177,0))</f>
        <v>91</v>
      </c>
      <c r="B1085" s="177">
        <f t="shared" si="57"/>
        <v>4</v>
      </c>
      <c r="C1085" s="103" t="s">
        <v>153</v>
      </c>
      <c r="D1085" s="103" t="str">
        <f t="shared" si="56"/>
        <v>CFLscw-A(45w)</v>
      </c>
      <c r="E1085" s="103" t="str">
        <f>IF(LEFT(D1085,3)="Std","Base case cost for mix of 60% Incandescent and 40% CFL lamps for CFL TechID: "&amp;INDEX('Measure &amp; Standard CostIDs'!$C$5:$C$177,A1085),"&lt;from TechID&gt;")</f>
        <v>&lt;from TechID&gt;</v>
      </c>
      <c r="F1085" s="103" t="s">
        <v>860</v>
      </c>
      <c r="G1085" s="103" t="s">
        <v>151</v>
      </c>
      <c r="H1085" s="103" t="s">
        <v>861</v>
      </c>
      <c r="I1085" s="103" t="s">
        <v>862</v>
      </c>
      <c r="J1085" s="103" t="s">
        <v>863</v>
      </c>
      <c r="K1085" s="103" t="s">
        <v>864</v>
      </c>
      <c r="L1085" s="103" t="s">
        <v>153</v>
      </c>
      <c r="M1085" s="103" t="s">
        <v>865</v>
      </c>
      <c r="N1085" s="103" t="s">
        <v>866</v>
      </c>
      <c r="O1085" s="103" t="str">
        <f t="shared" si="54"/>
        <v>CFLscw-A(45w)</v>
      </c>
      <c r="P1085" s="103" t="s">
        <v>153</v>
      </c>
      <c r="Q1085" s="103" t="s">
        <v>153</v>
      </c>
      <c r="R1085" s="103" t="s">
        <v>153</v>
      </c>
      <c r="S1085" s="103" t="str">
        <f>INDEX('Measure &amp; Standard CostIDs'!$AK$8:$AK$12,B1085)</f>
        <v>Three-pack</v>
      </c>
      <c r="T1085" s="103" t="s">
        <v>867</v>
      </c>
      <c r="U1085" s="103"/>
      <c r="V1085" s="103"/>
      <c r="W1085" s="103">
        <f>ROUND(IF(LEFT(D1085,3)="Std",VLOOKUP(D1085,'Measure &amp; Standard CostIDs'!$S$5:$X$177,1+B1085,FALSE),VLOOKUP(D1085,'Measure &amp; Standard CostIDs'!$C$5:$H$177,1+B1085,FALSE)),2)</f>
        <v>8.8699999999999992</v>
      </c>
      <c r="X1085" s="103"/>
      <c r="Y1085" s="103"/>
      <c r="Z1085" s="103" t="s">
        <v>868</v>
      </c>
      <c r="AA1085" s="103" t="s">
        <v>874</v>
      </c>
      <c r="AB1085" s="103" t="s">
        <v>153</v>
      </c>
      <c r="AC1085" s="103">
        <v>0</v>
      </c>
      <c r="AD1085" s="156">
        <v>42005</v>
      </c>
      <c r="AE1085" s="103"/>
      <c r="AF1085" s="103" t="s">
        <v>870</v>
      </c>
      <c r="AG1085" s="103" t="s">
        <v>871</v>
      </c>
      <c r="AH1085" s="103" t="s">
        <v>976</v>
      </c>
      <c r="AI1085" s="103">
        <v>0</v>
      </c>
      <c r="AJ1085" s="103"/>
      <c r="AK1085" s="103"/>
      <c r="AL1085" s="103"/>
      <c r="AM1085" s="103"/>
      <c r="AN1085" s="103"/>
      <c r="AO1085" s="103" t="str">
        <f t="shared" si="55"/>
        <v>CFLscw-A(45w)Three-pack</v>
      </c>
    </row>
    <row r="1086" spans="1:41">
      <c r="A1086" s="177">
        <f>IFERROR(MATCH(D1086,'Measure &amp; Standard CostIDs'!C$5:C$177,0),MATCH(D1086,'Measure &amp; Standard CostIDs'!S$5:S$177,0))</f>
        <v>92</v>
      </c>
      <c r="B1086" s="177">
        <f t="shared" si="57"/>
        <v>4</v>
      </c>
      <c r="C1086" s="103" t="s">
        <v>153</v>
      </c>
      <c r="D1086" s="103" t="str">
        <f t="shared" si="56"/>
        <v>CFLscw-A(55w)</v>
      </c>
      <c r="E1086" s="103" t="str">
        <f>IF(LEFT(D1086,3)="Std","Base case cost for mix of 60% Incandescent and 40% CFL lamps for CFL TechID: "&amp;INDEX('Measure &amp; Standard CostIDs'!$C$5:$C$177,A1086),"&lt;from TechID&gt;")</f>
        <v>&lt;from TechID&gt;</v>
      </c>
      <c r="F1086" s="103" t="s">
        <v>860</v>
      </c>
      <c r="G1086" s="103" t="s">
        <v>151</v>
      </c>
      <c r="H1086" s="103" t="s">
        <v>861</v>
      </c>
      <c r="I1086" s="103" t="s">
        <v>862</v>
      </c>
      <c r="J1086" s="103" t="s">
        <v>863</v>
      </c>
      <c r="K1086" s="103" t="s">
        <v>864</v>
      </c>
      <c r="L1086" s="103" t="s">
        <v>153</v>
      </c>
      <c r="M1086" s="103" t="s">
        <v>865</v>
      </c>
      <c r="N1086" s="103" t="s">
        <v>866</v>
      </c>
      <c r="O1086" s="103" t="str">
        <f t="shared" si="54"/>
        <v>CFLscw-A(55w)</v>
      </c>
      <c r="P1086" s="103" t="s">
        <v>153</v>
      </c>
      <c r="Q1086" s="103" t="s">
        <v>153</v>
      </c>
      <c r="R1086" s="103" t="s">
        <v>153</v>
      </c>
      <c r="S1086" s="103" t="str">
        <f>INDEX('Measure &amp; Standard CostIDs'!$AK$8:$AK$12,B1086)</f>
        <v>Three-pack</v>
      </c>
      <c r="T1086" s="103" t="s">
        <v>867</v>
      </c>
      <c r="U1086" s="103"/>
      <c r="V1086" s="103"/>
      <c r="W1086" s="103">
        <f>ROUND(IF(LEFT(D1086,3)="Std",VLOOKUP(D1086,'Measure &amp; Standard CostIDs'!$S$5:$X$177,1+B1086,FALSE),VLOOKUP(D1086,'Measure &amp; Standard CostIDs'!$C$5:$H$177,1+B1086,FALSE)),2)</f>
        <v>10.47</v>
      </c>
      <c r="X1086" s="103"/>
      <c r="Y1086" s="103"/>
      <c r="Z1086" s="103" t="s">
        <v>868</v>
      </c>
      <c r="AA1086" s="103" t="s">
        <v>874</v>
      </c>
      <c r="AB1086" s="103" t="s">
        <v>153</v>
      </c>
      <c r="AC1086" s="103">
        <v>0</v>
      </c>
      <c r="AD1086" s="156">
        <v>42005</v>
      </c>
      <c r="AE1086" s="103"/>
      <c r="AF1086" s="103" t="s">
        <v>870</v>
      </c>
      <c r="AG1086" s="103" t="s">
        <v>871</v>
      </c>
      <c r="AH1086" s="103" t="s">
        <v>976</v>
      </c>
      <c r="AI1086" s="103">
        <v>0</v>
      </c>
      <c r="AJ1086" s="103"/>
      <c r="AK1086" s="103"/>
      <c r="AL1086" s="103"/>
      <c r="AM1086" s="103"/>
      <c r="AN1086" s="103"/>
      <c r="AO1086" s="103" t="str">
        <f t="shared" si="55"/>
        <v>CFLscw-A(55w)Three-pack</v>
      </c>
    </row>
    <row r="1087" spans="1:41">
      <c r="A1087" s="177">
        <f>IFERROR(MATCH(D1087,'Measure &amp; Standard CostIDs'!C$5:C$177,0),MATCH(D1087,'Measure &amp; Standard CostIDs'!S$5:S$177,0))</f>
        <v>93</v>
      </c>
      <c r="B1087" s="177">
        <f t="shared" si="57"/>
        <v>4</v>
      </c>
      <c r="C1087" s="103" t="s">
        <v>153</v>
      </c>
      <c r="D1087" s="103" t="str">
        <f t="shared" si="56"/>
        <v>CFLscw-A(7w)</v>
      </c>
      <c r="E1087" s="103" t="str">
        <f>IF(LEFT(D1087,3)="Std","Base case cost for mix of 60% Incandescent and 40% CFL lamps for CFL TechID: "&amp;INDEX('Measure &amp; Standard CostIDs'!$C$5:$C$177,A1087),"&lt;from TechID&gt;")</f>
        <v>&lt;from TechID&gt;</v>
      </c>
      <c r="F1087" s="103" t="s">
        <v>860</v>
      </c>
      <c r="G1087" s="103" t="s">
        <v>151</v>
      </c>
      <c r="H1087" s="103" t="s">
        <v>861</v>
      </c>
      <c r="I1087" s="103" t="s">
        <v>862</v>
      </c>
      <c r="J1087" s="103" t="s">
        <v>863</v>
      </c>
      <c r="K1087" s="103" t="s">
        <v>864</v>
      </c>
      <c r="L1087" s="103" t="s">
        <v>153</v>
      </c>
      <c r="M1087" s="103" t="s">
        <v>865</v>
      </c>
      <c r="N1087" s="103" t="s">
        <v>866</v>
      </c>
      <c r="O1087" s="103" t="str">
        <f t="shared" si="54"/>
        <v>CFLscw-A(7w)</v>
      </c>
      <c r="P1087" s="103" t="s">
        <v>153</v>
      </c>
      <c r="Q1087" s="103" t="s">
        <v>153</v>
      </c>
      <c r="R1087" s="103" t="s">
        <v>153</v>
      </c>
      <c r="S1087" s="103" t="str">
        <f>INDEX('Measure &amp; Standard CostIDs'!$AK$8:$AK$12,B1087)</f>
        <v>Three-pack</v>
      </c>
      <c r="T1087" s="103" t="s">
        <v>867</v>
      </c>
      <c r="U1087" s="103"/>
      <c r="V1087" s="103"/>
      <c r="W1087" s="103">
        <f>ROUND(IF(LEFT(D1087,3)="Std",VLOOKUP(D1087,'Measure &amp; Standard CostIDs'!$S$5:$X$177,1+B1087,FALSE),VLOOKUP(D1087,'Measure &amp; Standard CostIDs'!$C$5:$H$177,1+B1087,FALSE)),2)</f>
        <v>4.4800000000000004</v>
      </c>
      <c r="X1087" s="103"/>
      <c r="Y1087" s="103"/>
      <c r="Z1087" s="103" t="s">
        <v>868</v>
      </c>
      <c r="AA1087" s="103" t="s">
        <v>874</v>
      </c>
      <c r="AB1087" s="103" t="s">
        <v>153</v>
      </c>
      <c r="AC1087" s="103">
        <v>0</v>
      </c>
      <c r="AD1087" s="156">
        <v>42005</v>
      </c>
      <c r="AE1087" s="103"/>
      <c r="AF1087" s="103" t="s">
        <v>870</v>
      </c>
      <c r="AG1087" s="103" t="s">
        <v>871</v>
      </c>
      <c r="AH1087" s="103" t="s">
        <v>976</v>
      </c>
      <c r="AI1087" s="103">
        <v>0</v>
      </c>
      <c r="AJ1087" s="103"/>
      <c r="AK1087" s="103"/>
      <c r="AL1087" s="103"/>
      <c r="AM1087" s="103"/>
      <c r="AN1087" s="103"/>
      <c r="AO1087" s="103" t="str">
        <f t="shared" si="55"/>
        <v>CFLscw-A(7w)Three-pack</v>
      </c>
    </row>
    <row r="1088" spans="1:41">
      <c r="A1088" s="177">
        <f>IFERROR(MATCH(D1088,'Measure &amp; Standard CostIDs'!C$5:C$177,0),MATCH(D1088,'Measure &amp; Standard CostIDs'!S$5:S$177,0))</f>
        <v>94</v>
      </c>
      <c r="B1088" s="177">
        <f t="shared" si="57"/>
        <v>4</v>
      </c>
      <c r="C1088" s="103" t="s">
        <v>153</v>
      </c>
      <c r="D1088" s="103" t="str">
        <f t="shared" si="56"/>
        <v>CFLscw-A(8w)</v>
      </c>
      <c r="E1088" s="103" t="str">
        <f>IF(LEFT(D1088,3)="Std","Base case cost for mix of 60% Incandescent and 40% CFL lamps for CFL TechID: "&amp;INDEX('Measure &amp; Standard CostIDs'!$C$5:$C$177,A1088),"&lt;from TechID&gt;")</f>
        <v>&lt;from TechID&gt;</v>
      </c>
      <c r="F1088" s="103" t="s">
        <v>860</v>
      </c>
      <c r="G1088" s="103" t="s">
        <v>151</v>
      </c>
      <c r="H1088" s="103" t="s">
        <v>861</v>
      </c>
      <c r="I1088" s="103" t="s">
        <v>862</v>
      </c>
      <c r="J1088" s="103" t="s">
        <v>863</v>
      </c>
      <c r="K1088" s="103" t="s">
        <v>864</v>
      </c>
      <c r="L1088" s="103" t="s">
        <v>153</v>
      </c>
      <c r="M1088" s="103" t="s">
        <v>865</v>
      </c>
      <c r="N1088" s="103" t="s">
        <v>866</v>
      </c>
      <c r="O1088" s="103" t="str">
        <f t="shared" si="54"/>
        <v>CFLscw-A(8w)</v>
      </c>
      <c r="P1088" s="103" t="s">
        <v>153</v>
      </c>
      <c r="Q1088" s="103" t="s">
        <v>153</v>
      </c>
      <c r="R1088" s="103" t="s">
        <v>153</v>
      </c>
      <c r="S1088" s="103" t="str">
        <f>INDEX('Measure &amp; Standard CostIDs'!$AK$8:$AK$12,B1088)</f>
        <v>Three-pack</v>
      </c>
      <c r="T1088" s="103" t="s">
        <v>867</v>
      </c>
      <c r="U1088" s="103"/>
      <c r="V1088" s="103"/>
      <c r="W1088" s="103">
        <f>ROUND(IF(LEFT(D1088,3)="Std",VLOOKUP(D1088,'Measure &amp; Standard CostIDs'!$S$5:$X$177,1+B1088,FALSE),VLOOKUP(D1088,'Measure &amp; Standard CostIDs'!$C$5:$H$177,1+B1088,FALSE)),2)</f>
        <v>4.54</v>
      </c>
      <c r="X1088" s="103"/>
      <c r="Y1088" s="103"/>
      <c r="Z1088" s="103" t="s">
        <v>868</v>
      </c>
      <c r="AA1088" s="103" t="s">
        <v>874</v>
      </c>
      <c r="AB1088" s="103" t="s">
        <v>153</v>
      </c>
      <c r="AC1088" s="103">
        <v>0</v>
      </c>
      <c r="AD1088" s="156">
        <v>42005</v>
      </c>
      <c r="AE1088" s="103"/>
      <c r="AF1088" s="103" t="s">
        <v>870</v>
      </c>
      <c r="AG1088" s="103" t="s">
        <v>871</v>
      </c>
      <c r="AH1088" s="103" t="s">
        <v>976</v>
      </c>
      <c r="AI1088" s="103">
        <v>0</v>
      </c>
      <c r="AJ1088" s="103"/>
      <c r="AK1088" s="103"/>
      <c r="AL1088" s="103"/>
      <c r="AM1088" s="103"/>
      <c r="AN1088" s="103"/>
      <c r="AO1088" s="103" t="str">
        <f t="shared" si="55"/>
        <v>CFLscw-A(8w)Three-pack</v>
      </c>
    </row>
    <row r="1089" spans="1:41">
      <c r="A1089" s="177">
        <f>IFERROR(MATCH(D1089,'Measure &amp; Standard CostIDs'!C$5:C$177,0),MATCH(D1089,'Measure &amp; Standard CostIDs'!S$5:S$177,0))</f>
        <v>95</v>
      </c>
      <c r="B1089" s="177">
        <f t="shared" si="57"/>
        <v>4</v>
      </c>
      <c r="C1089" s="103" t="s">
        <v>153</v>
      </c>
      <c r="D1089" s="103" t="str">
        <f t="shared" si="56"/>
        <v>CFLscw-A(9w)</v>
      </c>
      <c r="E1089" s="103" t="str">
        <f>IF(LEFT(D1089,3)="Std","Base case cost for mix of 60% Incandescent and 40% CFL lamps for CFL TechID: "&amp;INDEX('Measure &amp; Standard CostIDs'!$C$5:$C$177,A1089),"&lt;from TechID&gt;")</f>
        <v>&lt;from TechID&gt;</v>
      </c>
      <c r="F1089" s="103" t="s">
        <v>860</v>
      </c>
      <c r="G1089" s="103" t="s">
        <v>151</v>
      </c>
      <c r="H1089" s="103" t="s">
        <v>861</v>
      </c>
      <c r="I1089" s="103" t="s">
        <v>862</v>
      </c>
      <c r="J1089" s="103" t="s">
        <v>863</v>
      </c>
      <c r="K1089" s="103" t="s">
        <v>864</v>
      </c>
      <c r="L1089" s="103" t="s">
        <v>153</v>
      </c>
      <c r="M1089" s="103" t="s">
        <v>865</v>
      </c>
      <c r="N1089" s="103" t="s">
        <v>866</v>
      </c>
      <c r="O1089" s="103" t="str">
        <f t="shared" si="54"/>
        <v>CFLscw-A(9w)</v>
      </c>
      <c r="P1089" s="103" t="s">
        <v>153</v>
      </c>
      <c r="Q1089" s="103" t="s">
        <v>153</v>
      </c>
      <c r="R1089" s="103" t="s">
        <v>153</v>
      </c>
      <c r="S1089" s="103" t="str">
        <f>INDEX('Measure &amp; Standard CostIDs'!$AK$8:$AK$12,B1089)</f>
        <v>Three-pack</v>
      </c>
      <c r="T1089" s="103" t="s">
        <v>867</v>
      </c>
      <c r="U1089" s="103"/>
      <c r="V1089" s="103"/>
      <c r="W1089" s="103">
        <f>ROUND(IF(LEFT(D1089,3)="Std",VLOOKUP(D1089,'Measure &amp; Standard CostIDs'!$S$5:$X$177,1+B1089,FALSE),VLOOKUP(D1089,'Measure &amp; Standard CostIDs'!$C$5:$H$177,1+B1089,FALSE)),2)</f>
        <v>4.6100000000000003</v>
      </c>
      <c r="X1089" s="103"/>
      <c r="Y1089" s="103"/>
      <c r="Z1089" s="103" t="s">
        <v>868</v>
      </c>
      <c r="AA1089" s="103" t="s">
        <v>874</v>
      </c>
      <c r="AB1089" s="103" t="s">
        <v>153</v>
      </c>
      <c r="AC1089" s="103">
        <v>0</v>
      </c>
      <c r="AD1089" s="156">
        <v>42005</v>
      </c>
      <c r="AE1089" s="103"/>
      <c r="AF1089" s="103" t="s">
        <v>870</v>
      </c>
      <c r="AG1089" s="103" t="s">
        <v>871</v>
      </c>
      <c r="AH1089" s="103" t="s">
        <v>976</v>
      </c>
      <c r="AI1089" s="103">
        <v>0</v>
      </c>
      <c r="AJ1089" s="103"/>
      <c r="AK1089" s="103"/>
      <c r="AL1089" s="103"/>
      <c r="AM1089" s="103"/>
      <c r="AN1089" s="103"/>
      <c r="AO1089" s="103" t="str">
        <f t="shared" si="55"/>
        <v>CFLscw-A(9w)Three-pack</v>
      </c>
    </row>
    <row r="1090" spans="1:41">
      <c r="A1090" s="177">
        <f>IFERROR(MATCH(D1090,'Measure &amp; Standard CostIDs'!C$5:C$177,0),MATCH(D1090,'Measure &amp; Standard CostIDs'!S$5:S$177,0))</f>
        <v>96</v>
      </c>
      <c r="B1090" s="177">
        <f t="shared" si="57"/>
        <v>4</v>
      </c>
      <c r="C1090" s="103" t="s">
        <v>153</v>
      </c>
      <c r="D1090" s="103" t="str">
        <f t="shared" si="56"/>
        <v>CFLscw-Candle(10w)</v>
      </c>
      <c r="E1090" s="103" t="str">
        <f>IF(LEFT(D1090,3)="Std","Base case cost for mix of 60% Incandescent and 40% CFL lamps for CFL TechID: "&amp;INDEX('Measure &amp; Standard CostIDs'!$C$5:$C$177,A1090),"&lt;from TechID&gt;")</f>
        <v>&lt;from TechID&gt;</v>
      </c>
      <c r="F1090" s="103" t="s">
        <v>860</v>
      </c>
      <c r="G1090" s="103" t="s">
        <v>151</v>
      </c>
      <c r="H1090" s="103" t="s">
        <v>861</v>
      </c>
      <c r="I1090" s="103" t="s">
        <v>862</v>
      </c>
      <c r="J1090" s="103" t="s">
        <v>863</v>
      </c>
      <c r="K1090" s="103" t="s">
        <v>864</v>
      </c>
      <c r="L1090" s="103" t="s">
        <v>153</v>
      </c>
      <c r="M1090" s="103" t="s">
        <v>865</v>
      </c>
      <c r="N1090" s="103" t="s">
        <v>866</v>
      </c>
      <c r="O1090" s="103" t="str">
        <f t="shared" si="54"/>
        <v>CFLscw-Candle(10w)</v>
      </c>
      <c r="P1090" s="103" t="s">
        <v>153</v>
      </c>
      <c r="Q1090" s="103" t="s">
        <v>153</v>
      </c>
      <c r="R1090" s="103" t="s">
        <v>153</v>
      </c>
      <c r="S1090" s="103" t="str">
        <f>INDEX('Measure &amp; Standard CostIDs'!$AK$8:$AK$12,B1090)</f>
        <v>Three-pack</v>
      </c>
      <c r="T1090" s="103" t="s">
        <v>867</v>
      </c>
      <c r="U1090" s="103"/>
      <c r="V1090" s="103"/>
      <c r="W1090" s="103">
        <f>ROUND(IF(LEFT(D1090,3)="Std",VLOOKUP(D1090,'Measure &amp; Standard CostIDs'!$S$5:$X$177,1+B1090,FALSE),VLOOKUP(D1090,'Measure &amp; Standard CostIDs'!$C$5:$H$177,1+B1090,FALSE)),2)</f>
        <v>6.03</v>
      </c>
      <c r="X1090" s="103"/>
      <c r="Y1090" s="103"/>
      <c r="Z1090" s="103" t="s">
        <v>868</v>
      </c>
      <c r="AA1090" s="103" t="s">
        <v>874</v>
      </c>
      <c r="AB1090" s="103" t="s">
        <v>153</v>
      </c>
      <c r="AC1090" s="103">
        <v>0</v>
      </c>
      <c r="AD1090" s="156">
        <v>42005</v>
      </c>
      <c r="AE1090" s="103"/>
      <c r="AF1090" s="103" t="s">
        <v>870</v>
      </c>
      <c r="AG1090" s="103" t="s">
        <v>871</v>
      </c>
      <c r="AH1090" s="103" t="s">
        <v>976</v>
      </c>
      <c r="AI1090" s="103">
        <v>0</v>
      </c>
      <c r="AJ1090" s="103"/>
      <c r="AK1090" s="103"/>
      <c r="AL1090" s="103"/>
      <c r="AM1090" s="103"/>
      <c r="AN1090" s="103"/>
      <c r="AO1090" s="103" t="str">
        <f t="shared" si="55"/>
        <v>CFLscw-Candle(10w)Three-pack</v>
      </c>
    </row>
    <row r="1091" spans="1:41">
      <c r="A1091" s="177">
        <f>IFERROR(MATCH(D1091,'Measure &amp; Standard CostIDs'!C$5:C$177,0),MATCH(D1091,'Measure &amp; Standard CostIDs'!S$5:S$177,0))</f>
        <v>97</v>
      </c>
      <c r="B1091" s="177">
        <f t="shared" si="57"/>
        <v>4</v>
      </c>
      <c r="C1091" s="103" t="s">
        <v>153</v>
      </c>
      <c r="D1091" s="103" t="str">
        <f t="shared" si="56"/>
        <v>CFLscw-Candle(11w)</v>
      </c>
      <c r="E1091" s="103" t="str">
        <f>IF(LEFT(D1091,3)="Std","Base case cost for mix of 60% Incandescent and 40% CFL lamps for CFL TechID: "&amp;INDEX('Measure &amp; Standard CostIDs'!$C$5:$C$177,A1091),"&lt;from TechID&gt;")</f>
        <v>&lt;from TechID&gt;</v>
      </c>
      <c r="F1091" s="103" t="s">
        <v>860</v>
      </c>
      <c r="G1091" s="103" t="s">
        <v>151</v>
      </c>
      <c r="H1091" s="103" t="s">
        <v>861</v>
      </c>
      <c r="I1091" s="103" t="s">
        <v>862</v>
      </c>
      <c r="J1091" s="103" t="s">
        <v>863</v>
      </c>
      <c r="K1091" s="103" t="s">
        <v>864</v>
      </c>
      <c r="L1091" s="103" t="s">
        <v>153</v>
      </c>
      <c r="M1091" s="103" t="s">
        <v>865</v>
      </c>
      <c r="N1091" s="103" t="s">
        <v>866</v>
      </c>
      <c r="O1091" s="103" t="str">
        <f t="shared" si="54"/>
        <v>CFLscw-Candle(11w)</v>
      </c>
      <c r="P1091" s="103" t="s">
        <v>153</v>
      </c>
      <c r="Q1091" s="103" t="s">
        <v>153</v>
      </c>
      <c r="R1091" s="103" t="s">
        <v>153</v>
      </c>
      <c r="S1091" s="103" t="str">
        <f>INDEX('Measure &amp; Standard CostIDs'!$AK$8:$AK$12,B1091)</f>
        <v>Three-pack</v>
      </c>
      <c r="T1091" s="103" t="s">
        <v>867</v>
      </c>
      <c r="U1091" s="103"/>
      <c r="V1091" s="103"/>
      <c r="W1091" s="103">
        <f>ROUND(IF(LEFT(D1091,3)="Std",VLOOKUP(D1091,'Measure &amp; Standard CostIDs'!$S$5:$X$177,1+B1091,FALSE),VLOOKUP(D1091,'Measure &amp; Standard CostIDs'!$C$5:$H$177,1+B1091,FALSE)),2)</f>
        <v>6.24</v>
      </c>
      <c r="X1091" s="103"/>
      <c r="Y1091" s="103"/>
      <c r="Z1091" s="103" t="s">
        <v>868</v>
      </c>
      <c r="AA1091" s="103" t="s">
        <v>874</v>
      </c>
      <c r="AB1091" s="103" t="s">
        <v>153</v>
      </c>
      <c r="AC1091" s="103">
        <v>0</v>
      </c>
      <c r="AD1091" s="156">
        <v>42005</v>
      </c>
      <c r="AE1091" s="103"/>
      <c r="AF1091" s="103" t="s">
        <v>870</v>
      </c>
      <c r="AG1091" s="103" t="s">
        <v>871</v>
      </c>
      <c r="AH1091" s="103" t="s">
        <v>976</v>
      </c>
      <c r="AI1091" s="103">
        <v>0</v>
      </c>
      <c r="AJ1091" s="103"/>
      <c r="AK1091" s="103"/>
      <c r="AL1091" s="103"/>
      <c r="AM1091" s="103"/>
      <c r="AN1091" s="103"/>
      <c r="AO1091" s="103" t="str">
        <f t="shared" si="55"/>
        <v>CFLscw-Candle(11w)Three-pack</v>
      </c>
    </row>
    <row r="1092" spans="1:41">
      <c r="A1092" s="177">
        <f>IFERROR(MATCH(D1092,'Measure &amp; Standard CostIDs'!C$5:C$177,0),MATCH(D1092,'Measure &amp; Standard CostIDs'!S$5:S$177,0))</f>
        <v>98</v>
      </c>
      <c r="B1092" s="177">
        <f t="shared" si="57"/>
        <v>4</v>
      </c>
      <c r="C1092" s="103" t="s">
        <v>153</v>
      </c>
      <c r="D1092" s="103" t="str">
        <f t="shared" si="56"/>
        <v>CFLscw-Candle(12w)</v>
      </c>
      <c r="E1092" s="103" t="str">
        <f>IF(LEFT(D1092,3)="Std","Base case cost for mix of 60% Incandescent and 40% CFL lamps for CFL TechID: "&amp;INDEX('Measure &amp; Standard CostIDs'!$C$5:$C$177,A1092),"&lt;from TechID&gt;")</f>
        <v>&lt;from TechID&gt;</v>
      </c>
      <c r="F1092" s="103" t="s">
        <v>860</v>
      </c>
      <c r="G1092" s="103" t="s">
        <v>151</v>
      </c>
      <c r="H1092" s="103" t="s">
        <v>861</v>
      </c>
      <c r="I1092" s="103" t="s">
        <v>862</v>
      </c>
      <c r="J1092" s="103" t="s">
        <v>863</v>
      </c>
      <c r="K1092" s="103" t="s">
        <v>864</v>
      </c>
      <c r="L1092" s="103" t="s">
        <v>153</v>
      </c>
      <c r="M1092" s="103" t="s">
        <v>865</v>
      </c>
      <c r="N1092" s="103" t="s">
        <v>866</v>
      </c>
      <c r="O1092" s="103" t="str">
        <f t="shared" si="54"/>
        <v>CFLscw-Candle(12w)</v>
      </c>
      <c r="P1092" s="103" t="s">
        <v>153</v>
      </c>
      <c r="Q1092" s="103" t="s">
        <v>153</v>
      </c>
      <c r="R1092" s="103" t="s">
        <v>153</v>
      </c>
      <c r="S1092" s="103" t="str">
        <f>INDEX('Measure &amp; Standard CostIDs'!$AK$8:$AK$12,B1092)</f>
        <v>Three-pack</v>
      </c>
      <c r="T1092" s="103" t="s">
        <v>867</v>
      </c>
      <c r="U1092" s="103"/>
      <c r="V1092" s="103"/>
      <c r="W1092" s="103">
        <f>ROUND(IF(LEFT(D1092,3)="Std",VLOOKUP(D1092,'Measure &amp; Standard CostIDs'!$S$5:$X$177,1+B1092,FALSE),VLOOKUP(D1092,'Measure &amp; Standard CostIDs'!$C$5:$H$177,1+B1092,FALSE)),2)</f>
        <v>6.44</v>
      </c>
      <c r="X1092" s="103"/>
      <c r="Y1092" s="103"/>
      <c r="Z1092" s="103" t="s">
        <v>868</v>
      </c>
      <c r="AA1092" s="103" t="s">
        <v>874</v>
      </c>
      <c r="AB1092" s="103" t="s">
        <v>153</v>
      </c>
      <c r="AC1092" s="103">
        <v>0</v>
      </c>
      <c r="AD1092" s="156">
        <v>42005</v>
      </c>
      <c r="AE1092" s="103"/>
      <c r="AF1092" s="103" t="s">
        <v>870</v>
      </c>
      <c r="AG1092" s="103" t="s">
        <v>871</v>
      </c>
      <c r="AH1092" s="103" t="s">
        <v>976</v>
      </c>
      <c r="AI1092" s="103">
        <v>0</v>
      </c>
      <c r="AJ1092" s="103"/>
      <c r="AK1092" s="103"/>
      <c r="AL1092" s="103"/>
      <c r="AM1092" s="103"/>
      <c r="AN1092" s="103"/>
      <c r="AO1092" s="103" t="str">
        <f t="shared" si="55"/>
        <v>CFLscw-Candle(12w)Three-pack</v>
      </c>
    </row>
    <row r="1093" spans="1:41">
      <c r="A1093" s="177">
        <f>IFERROR(MATCH(D1093,'Measure &amp; Standard CostIDs'!C$5:C$177,0),MATCH(D1093,'Measure &amp; Standard CostIDs'!S$5:S$177,0))</f>
        <v>99</v>
      </c>
      <c r="B1093" s="177">
        <f t="shared" si="57"/>
        <v>4</v>
      </c>
      <c r="C1093" s="103" t="s">
        <v>153</v>
      </c>
      <c r="D1093" s="103" t="str">
        <f t="shared" si="56"/>
        <v>CFLscw-Candle(13w)</v>
      </c>
      <c r="E1093" s="103" t="str">
        <f>IF(LEFT(D1093,3)="Std","Base case cost for mix of 60% Incandescent and 40% CFL lamps for CFL TechID: "&amp;INDEX('Measure &amp; Standard CostIDs'!$C$5:$C$177,A1093),"&lt;from TechID&gt;")</f>
        <v>&lt;from TechID&gt;</v>
      </c>
      <c r="F1093" s="103" t="s">
        <v>860</v>
      </c>
      <c r="G1093" s="103" t="s">
        <v>151</v>
      </c>
      <c r="H1093" s="103" t="s">
        <v>861</v>
      </c>
      <c r="I1093" s="103" t="s">
        <v>862</v>
      </c>
      <c r="J1093" s="103" t="s">
        <v>863</v>
      </c>
      <c r="K1093" s="103" t="s">
        <v>864</v>
      </c>
      <c r="L1093" s="103" t="s">
        <v>153</v>
      </c>
      <c r="M1093" s="103" t="s">
        <v>865</v>
      </c>
      <c r="N1093" s="103" t="s">
        <v>866</v>
      </c>
      <c r="O1093" s="103" t="str">
        <f t="shared" si="54"/>
        <v>CFLscw-Candle(13w)</v>
      </c>
      <c r="P1093" s="103" t="s">
        <v>153</v>
      </c>
      <c r="Q1093" s="103" t="s">
        <v>153</v>
      </c>
      <c r="R1093" s="103" t="s">
        <v>153</v>
      </c>
      <c r="S1093" s="103" t="str">
        <f>INDEX('Measure &amp; Standard CostIDs'!$AK$8:$AK$12,B1093)</f>
        <v>Three-pack</v>
      </c>
      <c r="T1093" s="103" t="s">
        <v>867</v>
      </c>
      <c r="U1093" s="103"/>
      <c r="V1093" s="103"/>
      <c r="W1093" s="103">
        <f>ROUND(IF(LEFT(D1093,3)="Std",VLOOKUP(D1093,'Measure &amp; Standard CostIDs'!$S$5:$X$177,1+B1093,FALSE),VLOOKUP(D1093,'Measure &amp; Standard CostIDs'!$C$5:$H$177,1+B1093,FALSE)),2)</f>
        <v>6.65</v>
      </c>
      <c r="X1093" s="103"/>
      <c r="Y1093" s="103"/>
      <c r="Z1093" s="103" t="s">
        <v>868</v>
      </c>
      <c r="AA1093" s="103" t="s">
        <v>874</v>
      </c>
      <c r="AB1093" s="103" t="s">
        <v>153</v>
      </c>
      <c r="AC1093" s="103">
        <v>0</v>
      </c>
      <c r="AD1093" s="156">
        <v>42005</v>
      </c>
      <c r="AE1093" s="103"/>
      <c r="AF1093" s="103" t="s">
        <v>870</v>
      </c>
      <c r="AG1093" s="103" t="s">
        <v>871</v>
      </c>
      <c r="AH1093" s="103" t="s">
        <v>976</v>
      </c>
      <c r="AI1093" s="103">
        <v>0</v>
      </c>
      <c r="AJ1093" s="103"/>
      <c r="AK1093" s="103"/>
      <c r="AL1093" s="103"/>
      <c r="AM1093" s="103"/>
      <c r="AN1093" s="103"/>
      <c r="AO1093" s="103" t="str">
        <f t="shared" si="55"/>
        <v>CFLscw-Candle(13w)Three-pack</v>
      </c>
    </row>
    <row r="1094" spans="1:41">
      <c r="A1094" s="177">
        <f>IFERROR(MATCH(D1094,'Measure &amp; Standard CostIDs'!C$5:C$177,0),MATCH(D1094,'Measure &amp; Standard CostIDs'!S$5:S$177,0))</f>
        <v>100</v>
      </c>
      <c r="B1094" s="177">
        <f t="shared" si="57"/>
        <v>4</v>
      </c>
      <c r="C1094" s="103" t="s">
        <v>153</v>
      </c>
      <c r="D1094" s="103" t="str">
        <f t="shared" si="56"/>
        <v>CFLscw-Candle(14w)</v>
      </c>
      <c r="E1094" s="103" t="str">
        <f>IF(LEFT(D1094,3)="Std","Base case cost for mix of 60% Incandescent and 40% CFL lamps for CFL TechID: "&amp;INDEX('Measure &amp; Standard CostIDs'!$C$5:$C$177,A1094),"&lt;from TechID&gt;")</f>
        <v>&lt;from TechID&gt;</v>
      </c>
      <c r="F1094" s="103" t="s">
        <v>860</v>
      </c>
      <c r="G1094" s="103" t="s">
        <v>151</v>
      </c>
      <c r="H1094" s="103" t="s">
        <v>861</v>
      </c>
      <c r="I1094" s="103" t="s">
        <v>862</v>
      </c>
      <c r="J1094" s="103" t="s">
        <v>863</v>
      </c>
      <c r="K1094" s="103" t="s">
        <v>864</v>
      </c>
      <c r="L1094" s="103" t="s">
        <v>153</v>
      </c>
      <c r="M1094" s="103" t="s">
        <v>865</v>
      </c>
      <c r="N1094" s="103" t="s">
        <v>866</v>
      </c>
      <c r="O1094" s="103" t="str">
        <f t="shared" ref="O1094:O1157" si="58">IF(LEFT(D1094,3)="Std","",D1094)</f>
        <v>CFLscw-Candle(14w)</v>
      </c>
      <c r="P1094" s="103" t="s">
        <v>153</v>
      </c>
      <c r="Q1094" s="103" t="s">
        <v>153</v>
      </c>
      <c r="R1094" s="103" t="s">
        <v>153</v>
      </c>
      <c r="S1094" s="103" t="str">
        <f>INDEX('Measure &amp; Standard CostIDs'!$AK$8:$AK$12,B1094)</f>
        <v>Three-pack</v>
      </c>
      <c r="T1094" s="103" t="s">
        <v>867</v>
      </c>
      <c r="U1094" s="103"/>
      <c r="V1094" s="103"/>
      <c r="W1094" s="103">
        <f>ROUND(IF(LEFT(D1094,3)="Std",VLOOKUP(D1094,'Measure &amp; Standard CostIDs'!$S$5:$X$177,1+B1094,FALSE),VLOOKUP(D1094,'Measure &amp; Standard CostIDs'!$C$5:$H$177,1+B1094,FALSE)),2)</f>
        <v>6.85</v>
      </c>
      <c r="X1094" s="103"/>
      <c r="Y1094" s="103"/>
      <c r="Z1094" s="103" t="s">
        <v>868</v>
      </c>
      <c r="AA1094" s="103" t="s">
        <v>874</v>
      </c>
      <c r="AB1094" s="103" t="s">
        <v>153</v>
      </c>
      <c r="AC1094" s="103">
        <v>0</v>
      </c>
      <c r="AD1094" s="156">
        <v>42005</v>
      </c>
      <c r="AE1094" s="103"/>
      <c r="AF1094" s="103" t="s">
        <v>870</v>
      </c>
      <c r="AG1094" s="103" t="s">
        <v>871</v>
      </c>
      <c r="AH1094" s="103" t="s">
        <v>976</v>
      </c>
      <c r="AI1094" s="103">
        <v>0</v>
      </c>
      <c r="AJ1094" s="103"/>
      <c r="AK1094" s="103"/>
      <c r="AL1094" s="103"/>
      <c r="AM1094" s="103"/>
      <c r="AN1094" s="103"/>
      <c r="AO1094" s="103" t="str">
        <f t="shared" ref="AO1094:AO1157" si="59">D1094&amp;S1094</f>
        <v>CFLscw-Candle(14w)Three-pack</v>
      </c>
    </row>
    <row r="1095" spans="1:41">
      <c r="A1095" s="177">
        <f>IFERROR(MATCH(D1095,'Measure &amp; Standard CostIDs'!C$5:C$177,0),MATCH(D1095,'Measure &amp; Standard CostIDs'!S$5:S$177,0))</f>
        <v>101</v>
      </c>
      <c r="B1095" s="177">
        <f t="shared" si="57"/>
        <v>4</v>
      </c>
      <c r="C1095" s="103" t="s">
        <v>153</v>
      </c>
      <c r="D1095" s="103" t="str">
        <f t="shared" si="56"/>
        <v>CFLscw-Candle(15w)</v>
      </c>
      <c r="E1095" s="103" t="str">
        <f>IF(LEFT(D1095,3)="Std","Base case cost for mix of 60% Incandescent and 40% CFL lamps for CFL TechID: "&amp;INDEX('Measure &amp; Standard CostIDs'!$C$5:$C$177,A1095),"&lt;from TechID&gt;")</f>
        <v>&lt;from TechID&gt;</v>
      </c>
      <c r="F1095" s="103" t="s">
        <v>860</v>
      </c>
      <c r="G1095" s="103" t="s">
        <v>151</v>
      </c>
      <c r="H1095" s="103" t="s">
        <v>861</v>
      </c>
      <c r="I1095" s="103" t="s">
        <v>862</v>
      </c>
      <c r="J1095" s="103" t="s">
        <v>863</v>
      </c>
      <c r="K1095" s="103" t="s">
        <v>864</v>
      </c>
      <c r="L1095" s="103" t="s">
        <v>153</v>
      </c>
      <c r="M1095" s="103" t="s">
        <v>865</v>
      </c>
      <c r="N1095" s="103" t="s">
        <v>866</v>
      </c>
      <c r="O1095" s="103" t="str">
        <f t="shared" si="58"/>
        <v>CFLscw-Candle(15w)</v>
      </c>
      <c r="P1095" s="103" t="s">
        <v>153</v>
      </c>
      <c r="Q1095" s="103" t="s">
        <v>153</v>
      </c>
      <c r="R1095" s="103" t="s">
        <v>153</v>
      </c>
      <c r="S1095" s="103" t="str">
        <f>INDEX('Measure &amp; Standard CostIDs'!$AK$8:$AK$12,B1095)</f>
        <v>Three-pack</v>
      </c>
      <c r="T1095" s="103" t="s">
        <v>867</v>
      </c>
      <c r="U1095" s="103"/>
      <c r="V1095" s="103"/>
      <c r="W1095" s="103">
        <f>ROUND(IF(LEFT(D1095,3)="Std",VLOOKUP(D1095,'Measure &amp; Standard CostIDs'!$S$5:$X$177,1+B1095,FALSE),VLOOKUP(D1095,'Measure &amp; Standard CostIDs'!$C$5:$H$177,1+B1095,FALSE)),2)</f>
        <v>7.06</v>
      </c>
      <c r="X1095" s="103"/>
      <c r="Y1095" s="103"/>
      <c r="Z1095" s="103" t="s">
        <v>868</v>
      </c>
      <c r="AA1095" s="103" t="s">
        <v>874</v>
      </c>
      <c r="AB1095" s="103" t="s">
        <v>153</v>
      </c>
      <c r="AC1095" s="103">
        <v>0</v>
      </c>
      <c r="AD1095" s="156">
        <v>42005</v>
      </c>
      <c r="AE1095" s="103"/>
      <c r="AF1095" s="103" t="s">
        <v>870</v>
      </c>
      <c r="AG1095" s="103" t="s">
        <v>871</v>
      </c>
      <c r="AH1095" s="103" t="s">
        <v>976</v>
      </c>
      <c r="AI1095" s="103">
        <v>0</v>
      </c>
      <c r="AJ1095" s="103"/>
      <c r="AK1095" s="103"/>
      <c r="AL1095" s="103"/>
      <c r="AM1095" s="103"/>
      <c r="AN1095" s="103"/>
      <c r="AO1095" s="103" t="str">
        <f t="shared" si="59"/>
        <v>CFLscw-Candle(15w)Three-pack</v>
      </c>
    </row>
    <row r="1096" spans="1:41">
      <c r="A1096" s="177">
        <f>IFERROR(MATCH(D1096,'Measure &amp; Standard CostIDs'!C$5:C$177,0),MATCH(D1096,'Measure &amp; Standard CostIDs'!S$5:S$177,0))</f>
        <v>102</v>
      </c>
      <c r="B1096" s="177">
        <f t="shared" si="57"/>
        <v>4</v>
      </c>
      <c r="C1096" s="103" t="s">
        <v>153</v>
      </c>
      <c r="D1096" s="103" t="str">
        <f t="shared" si="56"/>
        <v>CFLscw-Candle(7w)</v>
      </c>
      <c r="E1096" s="103" t="str">
        <f>IF(LEFT(D1096,3)="Std","Base case cost for mix of 60% Incandescent and 40% CFL lamps for CFL TechID: "&amp;INDEX('Measure &amp; Standard CostIDs'!$C$5:$C$177,A1096),"&lt;from TechID&gt;")</f>
        <v>&lt;from TechID&gt;</v>
      </c>
      <c r="F1096" s="103" t="s">
        <v>860</v>
      </c>
      <c r="G1096" s="103" t="s">
        <v>151</v>
      </c>
      <c r="H1096" s="103" t="s">
        <v>861</v>
      </c>
      <c r="I1096" s="103" t="s">
        <v>862</v>
      </c>
      <c r="J1096" s="103" t="s">
        <v>863</v>
      </c>
      <c r="K1096" s="103" t="s">
        <v>864</v>
      </c>
      <c r="L1096" s="103" t="s">
        <v>153</v>
      </c>
      <c r="M1096" s="103" t="s">
        <v>865</v>
      </c>
      <c r="N1096" s="103" t="s">
        <v>866</v>
      </c>
      <c r="O1096" s="103" t="str">
        <f t="shared" si="58"/>
        <v>CFLscw-Candle(7w)</v>
      </c>
      <c r="P1096" s="103" t="s">
        <v>153</v>
      </c>
      <c r="Q1096" s="103" t="s">
        <v>153</v>
      </c>
      <c r="R1096" s="103" t="s">
        <v>153</v>
      </c>
      <c r="S1096" s="103" t="str">
        <f>INDEX('Measure &amp; Standard CostIDs'!$AK$8:$AK$12,B1096)</f>
        <v>Three-pack</v>
      </c>
      <c r="T1096" s="103" t="s">
        <v>867</v>
      </c>
      <c r="U1096" s="103"/>
      <c r="V1096" s="103"/>
      <c r="W1096" s="103">
        <f>ROUND(IF(LEFT(D1096,3)="Std",VLOOKUP(D1096,'Measure &amp; Standard CostIDs'!$S$5:$X$177,1+B1096,FALSE),VLOOKUP(D1096,'Measure &amp; Standard CostIDs'!$C$5:$H$177,1+B1096,FALSE)),2)</f>
        <v>5.41</v>
      </c>
      <c r="X1096" s="103"/>
      <c r="Y1096" s="103"/>
      <c r="Z1096" s="103" t="s">
        <v>868</v>
      </c>
      <c r="AA1096" s="103" t="s">
        <v>874</v>
      </c>
      <c r="AB1096" s="103" t="s">
        <v>153</v>
      </c>
      <c r="AC1096" s="103">
        <v>0</v>
      </c>
      <c r="AD1096" s="156">
        <v>42005</v>
      </c>
      <c r="AE1096" s="103"/>
      <c r="AF1096" s="103" t="s">
        <v>870</v>
      </c>
      <c r="AG1096" s="103" t="s">
        <v>871</v>
      </c>
      <c r="AH1096" s="103" t="s">
        <v>976</v>
      </c>
      <c r="AI1096" s="103">
        <v>0</v>
      </c>
      <c r="AJ1096" s="103"/>
      <c r="AK1096" s="103"/>
      <c r="AL1096" s="103"/>
      <c r="AM1096" s="103"/>
      <c r="AN1096" s="103"/>
      <c r="AO1096" s="103" t="str">
        <f t="shared" si="59"/>
        <v>CFLscw-Candle(7w)Three-pack</v>
      </c>
    </row>
    <row r="1097" spans="1:41">
      <c r="A1097" s="177">
        <f>IFERROR(MATCH(D1097,'Measure &amp; Standard CostIDs'!C$5:C$177,0),MATCH(D1097,'Measure &amp; Standard CostIDs'!S$5:S$177,0))</f>
        <v>103</v>
      </c>
      <c r="B1097" s="177">
        <f t="shared" si="57"/>
        <v>4</v>
      </c>
      <c r="C1097" s="103" t="s">
        <v>153</v>
      </c>
      <c r="D1097" s="103" t="str">
        <f t="shared" si="56"/>
        <v>CFLscw-Candle(8w)</v>
      </c>
      <c r="E1097" s="103" t="str">
        <f>IF(LEFT(D1097,3)="Std","Base case cost for mix of 60% Incandescent and 40% CFL lamps for CFL TechID: "&amp;INDEX('Measure &amp; Standard CostIDs'!$C$5:$C$177,A1097),"&lt;from TechID&gt;")</f>
        <v>&lt;from TechID&gt;</v>
      </c>
      <c r="F1097" s="103" t="s">
        <v>860</v>
      </c>
      <c r="G1097" s="103" t="s">
        <v>151</v>
      </c>
      <c r="H1097" s="103" t="s">
        <v>861</v>
      </c>
      <c r="I1097" s="103" t="s">
        <v>862</v>
      </c>
      <c r="J1097" s="103" t="s">
        <v>863</v>
      </c>
      <c r="K1097" s="103" t="s">
        <v>864</v>
      </c>
      <c r="L1097" s="103" t="s">
        <v>153</v>
      </c>
      <c r="M1097" s="103" t="s">
        <v>865</v>
      </c>
      <c r="N1097" s="103" t="s">
        <v>866</v>
      </c>
      <c r="O1097" s="103" t="str">
        <f t="shared" si="58"/>
        <v>CFLscw-Candle(8w)</v>
      </c>
      <c r="P1097" s="103" t="s">
        <v>153</v>
      </c>
      <c r="Q1097" s="103" t="s">
        <v>153</v>
      </c>
      <c r="R1097" s="103" t="s">
        <v>153</v>
      </c>
      <c r="S1097" s="103" t="str">
        <f>INDEX('Measure &amp; Standard CostIDs'!$AK$8:$AK$12,B1097)</f>
        <v>Three-pack</v>
      </c>
      <c r="T1097" s="103" t="s">
        <v>867</v>
      </c>
      <c r="U1097" s="103"/>
      <c r="V1097" s="103"/>
      <c r="W1097" s="103">
        <f>ROUND(IF(LEFT(D1097,3)="Std",VLOOKUP(D1097,'Measure &amp; Standard CostIDs'!$S$5:$X$177,1+B1097,FALSE),VLOOKUP(D1097,'Measure &amp; Standard CostIDs'!$C$5:$H$177,1+B1097,FALSE)),2)</f>
        <v>5.62</v>
      </c>
      <c r="X1097" s="103"/>
      <c r="Y1097" s="103"/>
      <c r="Z1097" s="103" t="s">
        <v>868</v>
      </c>
      <c r="AA1097" s="103" t="s">
        <v>874</v>
      </c>
      <c r="AB1097" s="103" t="s">
        <v>153</v>
      </c>
      <c r="AC1097" s="103">
        <v>0</v>
      </c>
      <c r="AD1097" s="156">
        <v>42005</v>
      </c>
      <c r="AE1097" s="103"/>
      <c r="AF1097" s="103" t="s">
        <v>870</v>
      </c>
      <c r="AG1097" s="103" t="s">
        <v>871</v>
      </c>
      <c r="AH1097" s="103" t="s">
        <v>976</v>
      </c>
      <c r="AI1097" s="103">
        <v>0</v>
      </c>
      <c r="AJ1097" s="103"/>
      <c r="AK1097" s="103"/>
      <c r="AL1097" s="103"/>
      <c r="AM1097" s="103"/>
      <c r="AN1097" s="103"/>
      <c r="AO1097" s="103" t="str">
        <f t="shared" si="59"/>
        <v>CFLscw-Candle(8w)Three-pack</v>
      </c>
    </row>
    <row r="1098" spans="1:41">
      <c r="A1098" s="177">
        <f>IFERROR(MATCH(D1098,'Measure &amp; Standard CostIDs'!C$5:C$177,0),MATCH(D1098,'Measure &amp; Standard CostIDs'!S$5:S$177,0))</f>
        <v>104</v>
      </c>
      <c r="B1098" s="177">
        <f t="shared" si="57"/>
        <v>4</v>
      </c>
      <c r="C1098" s="103" t="s">
        <v>153</v>
      </c>
      <c r="D1098" s="103" t="str">
        <f t="shared" si="56"/>
        <v>CFLscw-Candle(9w)</v>
      </c>
      <c r="E1098" s="103" t="str">
        <f>IF(LEFT(D1098,3)="Std","Base case cost for mix of 60% Incandescent and 40% CFL lamps for CFL TechID: "&amp;INDEX('Measure &amp; Standard CostIDs'!$C$5:$C$177,A1098),"&lt;from TechID&gt;")</f>
        <v>&lt;from TechID&gt;</v>
      </c>
      <c r="F1098" s="103" t="s">
        <v>860</v>
      </c>
      <c r="G1098" s="103" t="s">
        <v>151</v>
      </c>
      <c r="H1098" s="103" t="s">
        <v>861</v>
      </c>
      <c r="I1098" s="103" t="s">
        <v>862</v>
      </c>
      <c r="J1098" s="103" t="s">
        <v>863</v>
      </c>
      <c r="K1098" s="103" t="s">
        <v>864</v>
      </c>
      <c r="L1098" s="103" t="s">
        <v>153</v>
      </c>
      <c r="M1098" s="103" t="s">
        <v>865</v>
      </c>
      <c r="N1098" s="103" t="s">
        <v>866</v>
      </c>
      <c r="O1098" s="103" t="str">
        <f t="shared" si="58"/>
        <v>CFLscw-Candle(9w)</v>
      </c>
      <c r="P1098" s="103" t="s">
        <v>153</v>
      </c>
      <c r="Q1098" s="103" t="s">
        <v>153</v>
      </c>
      <c r="R1098" s="103" t="s">
        <v>153</v>
      </c>
      <c r="S1098" s="103" t="str">
        <f>INDEX('Measure &amp; Standard CostIDs'!$AK$8:$AK$12,B1098)</f>
        <v>Three-pack</v>
      </c>
      <c r="T1098" s="103" t="s">
        <v>867</v>
      </c>
      <c r="U1098" s="103"/>
      <c r="V1098" s="103"/>
      <c r="W1098" s="103">
        <f>ROUND(IF(LEFT(D1098,3)="Std",VLOOKUP(D1098,'Measure &amp; Standard CostIDs'!$S$5:$X$177,1+B1098,FALSE),VLOOKUP(D1098,'Measure &amp; Standard CostIDs'!$C$5:$H$177,1+B1098,FALSE)),2)</f>
        <v>5.82</v>
      </c>
      <c r="X1098" s="103"/>
      <c r="Y1098" s="103"/>
      <c r="Z1098" s="103" t="s">
        <v>868</v>
      </c>
      <c r="AA1098" s="103" t="s">
        <v>874</v>
      </c>
      <c r="AB1098" s="103" t="s">
        <v>153</v>
      </c>
      <c r="AC1098" s="103">
        <v>0</v>
      </c>
      <c r="AD1098" s="156">
        <v>42005</v>
      </c>
      <c r="AE1098" s="103"/>
      <c r="AF1098" s="103" t="s">
        <v>870</v>
      </c>
      <c r="AG1098" s="103" t="s">
        <v>871</v>
      </c>
      <c r="AH1098" s="103" t="s">
        <v>976</v>
      </c>
      <c r="AI1098" s="103">
        <v>0</v>
      </c>
      <c r="AJ1098" s="103"/>
      <c r="AK1098" s="103"/>
      <c r="AL1098" s="103"/>
      <c r="AM1098" s="103"/>
      <c r="AN1098" s="103"/>
      <c r="AO1098" s="103" t="str">
        <f t="shared" si="59"/>
        <v>CFLscw-Candle(9w)Three-pack</v>
      </c>
    </row>
    <row r="1099" spans="1:41">
      <c r="A1099" s="177">
        <f>IFERROR(MATCH(D1099,'Measure &amp; Standard CostIDs'!C$5:C$177,0),MATCH(D1099,'Measure &amp; Standard CostIDs'!S$5:S$177,0))</f>
        <v>105</v>
      </c>
      <c r="B1099" s="177">
        <f t="shared" si="57"/>
        <v>4</v>
      </c>
      <c r="C1099" s="103" t="s">
        <v>153</v>
      </c>
      <c r="D1099" s="103" t="str">
        <f t="shared" si="56"/>
        <v>CFLscw-Dim(10w)</v>
      </c>
      <c r="E1099" s="103" t="str">
        <f>IF(LEFT(D1099,3)="Std","Base case cost for mix of 60% Incandescent and 40% CFL lamps for CFL TechID: "&amp;INDEX('Measure &amp; Standard CostIDs'!$C$5:$C$177,A1099),"&lt;from TechID&gt;")</f>
        <v>&lt;from TechID&gt;</v>
      </c>
      <c r="F1099" s="103" t="s">
        <v>860</v>
      </c>
      <c r="G1099" s="103" t="s">
        <v>151</v>
      </c>
      <c r="H1099" s="103" t="s">
        <v>861</v>
      </c>
      <c r="I1099" s="103" t="s">
        <v>862</v>
      </c>
      <c r="J1099" s="103" t="s">
        <v>863</v>
      </c>
      <c r="K1099" s="103" t="s">
        <v>864</v>
      </c>
      <c r="L1099" s="103" t="s">
        <v>153</v>
      </c>
      <c r="M1099" s="103" t="s">
        <v>865</v>
      </c>
      <c r="N1099" s="103" t="s">
        <v>866</v>
      </c>
      <c r="O1099" s="103" t="str">
        <f t="shared" si="58"/>
        <v>CFLscw-Dim(10w)</v>
      </c>
      <c r="P1099" s="103" t="s">
        <v>153</v>
      </c>
      <c r="Q1099" s="103" t="s">
        <v>153</v>
      </c>
      <c r="R1099" s="103" t="s">
        <v>153</v>
      </c>
      <c r="S1099" s="103" t="str">
        <f>INDEX('Measure &amp; Standard CostIDs'!$AK$8:$AK$12,B1099)</f>
        <v>Three-pack</v>
      </c>
      <c r="T1099" s="103" t="s">
        <v>867</v>
      </c>
      <c r="U1099" s="103"/>
      <c r="V1099" s="103"/>
      <c r="W1099" s="103">
        <f>ROUND(IF(LEFT(D1099,3)="Std",VLOOKUP(D1099,'Measure &amp; Standard CostIDs'!$S$5:$X$177,1+B1099,FALSE),VLOOKUP(D1099,'Measure &amp; Standard CostIDs'!$C$5:$H$177,1+B1099,FALSE)),2)</f>
        <v>8.64</v>
      </c>
      <c r="X1099" s="103"/>
      <c r="Y1099" s="103"/>
      <c r="Z1099" s="103" t="s">
        <v>868</v>
      </c>
      <c r="AA1099" s="103" t="s">
        <v>874</v>
      </c>
      <c r="AB1099" s="103" t="s">
        <v>153</v>
      </c>
      <c r="AC1099" s="103">
        <v>0</v>
      </c>
      <c r="AD1099" s="156">
        <v>42005</v>
      </c>
      <c r="AE1099" s="103"/>
      <c r="AF1099" s="103" t="s">
        <v>870</v>
      </c>
      <c r="AG1099" s="103" t="s">
        <v>871</v>
      </c>
      <c r="AH1099" s="103" t="s">
        <v>976</v>
      </c>
      <c r="AI1099" s="103">
        <v>0</v>
      </c>
      <c r="AJ1099" s="103"/>
      <c r="AK1099" s="103"/>
      <c r="AL1099" s="103"/>
      <c r="AM1099" s="103"/>
      <c r="AN1099" s="103"/>
      <c r="AO1099" s="103" t="str">
        <f t="shared" si="59"/>
        <v>CFLscw-Dim(10w)Three-pack</v>
      </c>
    </row>
    <row r="1100" spans="1:41">
      <c r="A1100" s="177">
        <f>IFERROR(MATCH(D1100,'Measure &amp; Standard CostIDs'!C$5:C$177,0),MATCH(D1100,'Measure &amp; Standard CostIDs'!S$5:S$177,0))</f>
        <v>106</v>
      </c>
      <c r="B1100" s="177">
        <f t="shared" si="57"/>
        <v>4</v>
      </c>
      <c r="C1100" s="103" t="s">
        <v>153</v>
      </c>
      <c r="D1100" s="103" t="str">
        <f t="shared" si="56"/>
        <v>CFLscw-Dim(11w)</v>
      </c>
      <c r="E1100" s="103" t="str">
        <f>IF(LEFT(D1100,3)="Std","Base case cost for mix of 60% Incandescent and 40% CFL lamps for CFL TechID: "&amp;INDEX('Measure &amp; Standard CostIDs'!$C$5:$C$177,A1100),"&lt;from TechID&gt;")</f>
        <v>&lt;from TechID&gt;</v>
      </c>
      <c r="F1100" s="103" t="s">
        <v>860</v>
      </c>
      <c r="G1100" s="103" t="s">
        <v>151</v>
      </c>
      <c r="H1100" s="103" t="s">
        <v>861</v>
      </c>
      <c r="I1100" s="103" t="s">
        <v>862</v>
      </c>
      <c r="J1100" s="103" t="s">
        <v>863</v>
      </c>
      <c r="K1100" s="103" t="s">
        <v>864</v>
      </c>
      <c r="L1100" s="103" t="s">
        <v>153</v>
      </c>
      <c r="M1100" s="103" t="s">
        <v>865</v>
      </c>
      <c r="N1100" s="103" t="s">
        <v>866</v>
      </c>
      <c r="O1100" s="103" t="str">
        <f t="shared" si="58"/>
        <v>CFLscw-Dim(11w)</v>
      </c>
      <c r="P1100" s="103" t="s">
        <v>153</v>
      </c>
      <c r="Q1100" s="103" t="s">
        <v>153</v>
      </c>
      <c r="R1100" s="103" t="s">
        <v>153</v>
      </c>
      <c r="S1100" s="103" t="str">
        <f>INDEX('Measure &amp; Standard CostIDs'!$AK$8:$AK$12,B1100)</f>
        <v>Three-pack</v>
      </c>
      <c r="T1100" s="103" t="s">
        <v>867</v>
      </c>
      <c r="U1100" s="103"/>
      <c r="V1100" s="103"/>
      <c r="W1100" s="103">
        <f>ROUND(IF(LEFT(D1100,3)="Std",VLOOKUP(D1100,'Measure &amp; Standard CostIDs'!$S$5:$X$177,1+B1100,FALSE),VLOOKUP(D1100,'Measure &amp; Standard CostIDs'!$C$5:$H$177,1+B1100,FALSE)),2)</f>
        <v>8.7100000000000009</v>
      </c>
      <c r="X1100" s="103"/>
      <c r="Y1100" s="103"/>
      <c r="Z1100" s="103" t="s">
        <v>868</v>
      </c>
      <c r="AA1100" s="103" t="s">
        <v>874</v>
      </c>
      <c r="AB1100" s="103" t="s">
        <v>153</v>
      </c>
      <c r="AC1100" s="103">
        <v>0</v>
      </c>
      <c r="AD1100" s="156">
        <v>42005</v>
      </c>
      <c r="AE1100" s="103"/>
      <c r="AF1100" s="103" t="s">
        <v>870</v>
      </c>
      <c r="AG1100" s="103" t="s">
        <v>871</v>
      </c>
      <c r="AH1100" s="103" t="s">
        <v>976</v>
      </c>
      <c r="AI1100" s="103">
        <v>0</v>
      </c>
      <c r="AJ1100" s="103"/>
      <c r="AK1100" s="103"/>
      <c r="AL1100" s="103"/>
      <c r="AM1100" s="103"/>
      <c r="AN1100" s="103"/>
      <c r="AO1100" s="103" t="str">
        <f t="shared" si="59"/>
        <v>CFLscw-Dim(11w)Three-pack</v>
      </c>
    </row>
    <row r="1101" spans="1:41">
      <c r="A1101" s="177">
        <f>IFERROR(MATCH(D1101,'Measure &amp; Standard CostIDs'!C$5:C$177,0),MATCH(D1101,'Measure &amp; Standard CostIDs'!S$5:S$177,0))</f>
        <v>107</v>
      </c>
      <c r="B1101" s="177">
        <f t="shared" si="57"/>
        <v>4</v>
      </c>
      <c r="C1101" s="103" t="s">
        <v>153</v>
      </c>
      <c r="D1101" s="103" t="str">
        <f t="shared" si="56"/>
        <v>CFLscw-Dim(14w)</v>
      </c>
      <c r="E1101" s="103" t="str">
        <f>IF(LEFT(D1101,3)="Std","Base case cost for mix of 60% Incandescent and 40% CFL lamps for CFL TechID: "&amp;INDEX('Measure &amp; Standard CostIDs'!$C$5:$C$177,A1101),"&lt;from TechID&gt;")</f>
        <v>&lt;from TechID&gt;</v>
      </c>
      <c r="F1101" s="103" t="s">
        <v>860</v>
      </c>
      <c r="G1101" s="103" t="s">
        <v>151</v>
      </c>
      <c r="H1101" s="103" t="s">
        <v>861</v>
      </c>
      <c r="I1101" s="103" t="s">
        <v>862</v>
      </c>
      <c r="J1101" s="103" t="s">
        <v>863</v>
      </c>
      <c r="K1101" s="103" t="s">
        <v>864</v>
      </c>
      <c r="L1101" s="103" t="s">
        <v>153</v>
      </c>
      <c r="M1101" s="103" t="s">
        <v>865</v>
      </c>
      <c r="N1101" s="103" t="s">
        <v>866</v>
      </c>
      <c r="O1101" s="103" t="str">
        <f t="shared" si="58"/>
        <v>CFLscw-Dim(14w)</v>
      </c>
      <c r="P1101" s="103" t="s">
        <v>153</v>
      </c>
      <c r="Q1101" s="103" t="s">
        <v>153</v>
      </c>
      <c r="R1101" s="103" t="s">
        <v>153</v>
      </c>
      <c r="S1101" s="103" t="str">
        <f>INDEX('Measure &amp; Standard CostIDs'!$AK$8:$AK$12,B1101)</f>
        <v>Three-pack</v>
      </c>
      <c r="T1101" s="103" t="s">
        <v>867</v>
      </c>
      <c r="U1101" s="103"/>
      <c r="V1101" s="103"/>
      <c r="W1101" s="103">
        <f>ROUND(IF(LEFT(D1101,3)="Std",VLOOKUP(D1101,'Measure &amp; Standard CostIDs'!$S$5:$X$177,1+B1101,FALSE),VLOOKUP(D1101,'Measure &amp; Standard CostIDs'!$C$5:$H$177,1+B1101,FALSE)),2)</f>
        <v>8.91</v>
      </c>
      <c r="X1101" s="103"/>
      <c r="Y1101" s="103"/>
      <c r="Z1101" s="103" t="s">
        <v>868</v>
      </c>
      <c r="AA1101" s="103" t="s">
        <v>874</v>
      </c>
      <c r="AB1101" s="103" t="s">
        <v>153</v>
      </c>
      <c r="AC1101" s="103">
        <v>0</v>
      </c>
      <c r="AD1101" s="156">
        <v>42005</v>
      </c>
      <c r="AE1101" s="103"/>
      <c r="AF1101" s="103" t="s">
        <v>870</v>
      </c>
      <c r="AG1101" s="103" t="s">
        <v>871</v>
      </c>
      <c r="AH1101" s="103" t="s">
        <v>976</v>
      </c>
      <c r="AI1101" s="103">
        <v>0</v>
      </c>
      <c r="AJ1101" s="103"/>
      <c r="AK1101" s="103"/>
      <c r="AL1101" s="103"/>
      <c r="AM1101" s="103"/>
      <c r="AN1101" s="103"/>
      <c r="AO1101" s="103" t="str">
        <f t="shared" si="59"/>
        <v>CFLscw-Dim(14w)Three-pack</v>
      </c>
    </row>
    <row r="1102" spans="1:41">
      <c r="A1102" s="177">
        <f>IFERROR(MATCH(D1102,'Measure &amp; Standard CostIDs'!C$5:C$177,0),MATCH(D1102,'Measure &amp; Standard CostIDs'!S$5:S$177,0))</f>
        <v>108</v>
      </c>
      <c r="B1102" s="177">
        <f t="shared" si="57"/>
        <v>4</v>
      </c>
      <c r="C1102" s="103" t="s">
        <v>153</v>
      </c>
      <c r="D1102" s="103" t="str">
        <f t="shared" si="56"/>
        <v>CFLscw-Dim(15w)</v>
      </c>
      <c r="E1102" s="103" t="str">
        <f>IF(LEFT(D1102,3)="Std","Base case cost for mix of 60% Incandescent and 40% CFL lamps for CFL TechID: "&amp;INDEX('Measure &amp; Standard CostIDs'!$C$5:$C$177,A1102),"&lt;from TechID&gt;")</f>
        <v>&lt;from TechID&gt;</v>
      </c>
      <c r="F1102" s="103" t="s">
        <v>860</v>
      </c>
      <c r="G1102" s="103" t="s">
        <v>151</v>
      </c>
      <c r="H1102" s="103" t="s">
        <v>861</v>
      </c>
      <c r="I1102" s="103" t="s">
        <v>862</v>
      </c>
      <c r="J1102" s="103" t="s">
        <v>863</v>
      </c>
      <c r="K1102" s="103" t="s">
        <v>864</v>
      </c>
      <c r="L1102" s="103" t="s">
        <v>153</v>
      </c>
      <c r="M1102" s="103" t="s">
        <v>865</v>
      </c>
      <c r="N1102" s="103" t="s">
        <v>866</v>
      </c>
      <c r="O1102" s="103" t="str">
        <f t="shared" si="58"/>
        <v>CFLscw-Dim(15w)</v>
      </c>
      <c r="P1102" s="103" t="s">
        <v>153</v>
      </c>
      <c r="Q1102" s="103" t="s">
        <v>153</v>
      </c>
      <c r="R1102" s="103" t="s">
        <v>153</v>
      </c>
      <c r="S1102" s="103" t="str">
        <f>INDEX('Measure &amp; Standard CostIDs'!$AK$8:$AK$12,B1102)</f>
        <v>Three-pack</v>
      </c>
      <c r="T1102" s="103" t="s">
        <v>867</v>
      </c>
      <c r="U1102" s="103"/>
      <c r="V1102" s="103"/>
      <c r="W1102" s="103">
        <f>ROUND(IF(LEFT(D1102,3)="Std",VLOOKUP(D1102,'Measure &amp; Standard CostIDs'!$S$5:$X$177,1+B1102,FALSE),VLOOKUP(D1102,'Measure &amp; Standard CostIDs'!$C$5:$H$177,1+B1102,FALSE)),2)</f>
        <v>8.9700000000000006</v>
      </c>
      <c r="X1102" s="103"/>
      <c r="Y1102" s="103"/>
      <c r="Z1102" s="103" t="s">
        <v>868</v>
      </c>
      <c r="AA1102" s="103" t="s">
        <v>874</v>
      </c>
      <c r="AB1102" s="103" t="s">
        <v>153</v>
      </c>
      <c r="AC1102" s="103">
        <v>0</v>
      </c>
      <c r="AD1102" s="156">
        <v>42005</v>
      </c>
      <c r="AE1102" s="103"/>
      <c r="AF1102" s="103" t="s">
        <v>870</v>
      </c>
      <c r="AG1102" s="103" t="s">
        <v>871</v>
      </c>
      <c r="AH1102" s="103" t="s">
        <v>976</v>
      </c>
      <c r="AI1102" s="103">
        <v>0</v>
      </c>
      <c r="AJ1102" s="103"/>
      <c r="AK1102" s="103"/>
      <c r="AL1102" s="103"/>
      <c r="AM1102" s="103"/>
      <c r="AN1102" s="103"/>
      <c r="AO1102" s="103" t="str">
        <f t="shared" si="59"/>
        <v>CFLscw-Dim(15w)Three-pack</v>
      </c>
    </row>
    <row r="1103" spans="1:41">
      <c r="A1103" s="177">
        <f>IFERROR(MATCH(D1103,'Measure &amp; Standard CostIDs'!C$5:C$177,0),MATCH(D1103,'Measure &amp; Standard CostIDs'!S$5:S$177,0))</f>
        <v>109</v>
      </c>
      <c r="B1103" s="177">
        <f t="shared" si="57"/>
        <v>4</v>
      </c>
      <c r="C1103" s="103" t="s">
        <v>153</v>
      </c>
      <c r="D1103" s="103" t="str">
        <f t="shared" si="56"/>
        <v>CFLscw-Dim(16w)</v>
      </c>
      <c r="E1103" s="103" t="str">
        <f>IF(LEFT(D1103,3)="Std","Base case cost for mix of 60% Incandescent and 40% CFL lamps for CFL TechID: "&amp;INDEX('Measure &amp; Standard CostIDs'!$C$5:$C$177,A1103),"&lt;from TechID&gt;")</f>
        <v>&lt;from TechID&gt;</v>
      </c>
      <c r="F1103" s="103" t="s">
        <v>860</v>
      </c>
      <c r="G1103" s="103" t="s">
        <v>151</v>
      </c>
      <c r="H1103" s="103" t="s">
        <v>861</v>
      </c>
      <c r="I1103" s="103" t="s">
        <v>862</v>
      </c>
      <c r="J1103" s="103" t="s">
        <v>863</v>
      </c>
      <c r="K1103" s="103" t="s">
        <v>864</v>
      </c>
      <c r="L1103" s="103" t="s">
        <v>153</v>
      </c>
      <c r="M1103" s="103" t="s">
        <v>865</v>
      </c>
      <c r="N1103" s="103" t="s">
        <v>866</v>
      </c>
      <c r="O1103" s="103" t="str">
        <f t="shared" si="58"/>
        <v>CFLscw-Dim(16w)</v>
      </c>
      <c r="P1103" s="103" t="s">
        <v>153</v>
      </c>
      <c r="Q1103" s="103" t="s">
        <v>153</v>
      </c>
      <c r="R1103" s="103" t="s">
        <v>153</v>
      </c>
      <c r="S1103" s="103" t="str">
        <f>INDEX('Measure &amp; Standard CostIDs'!$AK$8:$AK$12,B1103)</f>
        <v>Three-pack</v>
      </c>
      <c r="T1103" s="103" t="s">
        <v>867</v>
      </c>
      <c r="U1103" s="103"/>
      <c r="V1103" s="103"/>
      <c r="W1103" s="103">
        <f>ROUND(IF(LEFT(D1103,3)="Std",VLOOKUP(D1103,'Measure &amp; Standard CostIDs'!$S$5:$X$177,1+B1103,FALSE),VLOOKUP(D1103,'Measure &amp; Standard CostIDs'!$C$5:$H$177,1+B1103,FALSE)),2)</f>
        <v>9.0399999999999991</v>
      </c>
      <c r="X1103" s="103"/>
      <c r="Y1103" s="103"/>
      <c r="Z1103" s="103" t="s">
        <v>868</v>
      </c>
      <c r="AA1103" s="103" t="s">
        <v>874</v>
      </c>
      <c r="AB1103" s="103" t="s">
        <v>153</v>
      </c>
      <c r="AC1103" s="103">
        <v>0</v>
      </c>
      <c r="AD1103" s="156">
        <v>42005</v>
      </c>
      <c r="AE1103" s="103"/>
      <c r="AF1103" s="103" t="s">
        <v>870</v>
      </c>
      <c r="AG1103" s="103" t="s">
        <v>871</v>
      </c>
      <c r="AH1103" s="103" t="s">
        <v>976</v>
      </c>
      <c r="AI1103" s="103">
        <v>0</v>
      </c>
      <c r="AJ1103" s="103"/>
      <c r="AK1103" s="103"/>
      <c r="AL1103" s="103"/>
      <c r="AM1103" s="103"/>
      <c r="AN1103" s="103"/>
      <c r="AO1103" s="103" t="str">
        <f t="shared" si="59"/>
        <v>CFLscw-Dim(16w)Three-pack</v>
      </c>
    </row>
    <row r="1104" spans="1:41">
      <c r="A1104" s="177">
        <f>IFERROR(MATCH(D1104,'Measure &amp; Standard CostIDs'!C$5:C$177,0),MATCH(D1104,'Measure &amp; Standard CostIDs'!S$5:S$177,0))</f>
        <v>110</v>
      </c>
      <c r="B1104" s="177">
        <f t="shared" si="57"/>
        <v>4</v>
      </c>
      <c r="C1104" s="103" t="s">
        <v>153</v>
      </c>
      <c r="D1104" s="103" t="str">
        <f t="shared" ref="D1104:D1167" si="60">+D774</f>
        <v>CFLscw-Dim(18w)</v>
      </c>
      <c r="E1104" s="103" t="str">
        <f>IF(LEFT(D1104,3)="Std","Base case cost for mix of 60% Incandescent and 40% CFL lamps for CFL TechID: "&amp;INDEX('Measure &amp; Standard CostIDs'!$C$5:$C$177,A1104),"&lt;from TechID&gt;")</f>
        <v>&lt;from TechID&gt;</v>
      </c>
      <c r="F1104" s="103" t="s">
        <v>860</v>
      </c>
      <c r="G1104" s="103" t="s">
        <v>151</v>
      </c>
      <c r="H1104" s="103" t="s">
        <v>861</v>
      </c>
      <c r="I1104" s="103" t="s">
        <v>862</v>
      </c>
      <c r="J1104" s="103" t="s">
        <v>863</v>
      </c>
      <c r="K1104" s="103" t="s">
        <v>864</v>
      </c>
      <c r="L1104" s="103" t="s">
        <v>153</v>
      </c>
      <c r="M1104" s="103" t="s">
        <v>865</v>
      </c>
      <c r="N1104" s="103" t="s">
        <v>866</v>
      </c>
      <c r="O1104" s="103" t="str">
        <f t="shared" si="58"/>
        <v>CFLscw-Dim(18w)</v>
      </c>
      <c r="P1104" s="103" t="s">
        <v>153</v>
      </c>
      <c r="Q1104" s="103" t="s">
        <v>153</v>
      </c>
      <c r="R1104" s="103" t="s">
        <v>153</v>
      </c>
      <c r="S1104" s="103" t="str">
        <f>INDEX('Measure &amp; Standard CostIDs'!$AK$8:$AK$12,B1104)</f>
        <v>Three-pack</v>
      </c>
      <c r="T1104" s="103" t="s">
        <v>867</v>
      </c>
      <c r="U1104" s="103"/>
      <c r="V1104" s="103"/>
      <c r="W1104" s="103">
        <f>ROUND(IF(LEFT(D1104,3)="Std",VLOOKUP(D1104,'Measure &amp; Standard CostIDs'!$S$5:$X$177,1+B1104,FALSE),VLOOKUP(D1104,'Measure &amp; Standard CostIDs'!$C$5:$H$177,1+B1104,FALSE)),2)</f>
        <v>9.17</v>
      </c>
      <c r="X1104" s="103"/>
      <c r="Y1104" s="103"/>
      <c r="Z1104" s="103" t="s">
        <v>868</v>
      </c>
      <c r="AA1104" s="103" t="s">
        <v>874</v>
      </c>
      <c r="AB1104" s="103" t="s">
        <v>153</v>
      </c>
      <c r="AC1104" s="103">
        <v>0</v>
      </c>
      <c r="AD1104" s="156">
        <v>42005</v>
      </c>
      <c r="AE1104" s="103"/>
      <c r="AF1104" s="103" t="s">
        <v>870</v>
      </c>
      <c r="AG1104" s="103" t="s">
        <v>871</v>
      </c>
      <c r="AH1104" s="103" t="s">
        <v>976</v>
      </c>
      <c r="AI1104" s="103">
        <v>0</v>
      </c>
      <c r="AJ1104" s="103"/>
      <c r="AK1104" s="103"/>
      <c r="AL1104" s="103"/>
      <c r="AM1104" s="103"/>
      <c r="AN1104" s="103"/>
      <c r="AO1104" s="103" t="str">
        <f t="shared" si="59"/>
        <v>CFLscw-Dim(18w)Three-pack</v>
      </c>
    </row>
    <row r="1105" spans="1:41">
      <c r="A1105" s="177">
        <f>IFERROR(MATCH(D1105,'Measure &amp; Standard CostIDs'!C$5:C$177,0),MATCH(D1105,'Measure &amp; Standard CostIDs'!S$5:S$177,0))</f>
        <v>111</v>
      </c>
      <c r="B1105" s="177">
        <f t="shared" ref="B1105:B1168" si="61">+B775+1</f>
        <v>4</v>
      </c>
      <c r="C1105" s="103" t="s">
        <v>153</v>
      </c>
      <c r="D1105" s="103" t="str">
        <f t="shared" si="60"/>
        <v>CFLscw-Dim(19w)</v>
      </c>
      <c r="E1105" s="103" t="str">
        <f>IF(LEFT(D1105,3)="Std","Base case cost for mix of 60% Incandescent and 40% CFL lamps for CFL TechID: "&amp;INDEX('Measure &amp; Standard CostIDs'!$C$5:$C$177,A1105),"&lt;from TechID&gt;")</f>
        <v>&lt;from TechID&gt;</v>
      </c>
      <c r="F1105" s="103" t="s">
        <v>860</v>
      </c>
      <c r="G1105" s="103" t="s">
        <v>151</v>
      </c>
      <c r="H1105" s="103" t="s">
        <v>861</v>
      </c>
      <c r="I1105" s="103" t="s">
        <v>862</v>
      </c>
      <c r="J1105" s="103" t="s">
        <v>863</v>
      </c>
      <c r="K1105" s="103" t="s">
        <v>864</v>
      </c>
      <c r="L1105" s="103" t="s">
        <v>153</v>
      </c>
      <c r="M1105" s="103" t="s">
        <v>865</v>
      </c>
      <c r="N1105" s="103" t="s">
        <v>866</v>
      </c>
      <c r="O1105" s="103" t="str">
        <f t="shared" si="58"/>
        <v>CFLscw-Dim(19w)</v>
      </c>
      <c r="P1105" s="103" t="s">
        <v>153</v>
      </c>
      <c r="Q1105" s="103" t="s">
        <v>153</v>
      </c>
      <c r="R1105" s="103" t="s">
        <v>153</v>
      </c>
      <c r="S1105" s="103" t="str">
        <f>INDEX('Measure &amp; Standard CostIDs'!$AK$8:$AK$12,B1105)</f>
        <v>Three-pack</v>
      </c>
      <c r="T1105" s="103" t="s">
        <v>867</v>
      </c>
      <c r="U1105" s="103"/>
      <c r="V1105" s="103"/>
      <c r="W1105" s="103">
        <f>ROUND(IF(LEFT(D1105,3)="Std",VLOOKUP(D1105,'Measure &amp; Standard CostIDs'!$S$5:$X$177,1+B1105,FALSE),VLOOKUP(D1105,'Measure &amp; Standard CostIDs'!$C$5:$H$177,1+B1105,FALSE)),2)</f>
        <v>9.24</v>
      </c>
      <c r="X1105" s="103"/>
      <c r="Y1105" s="103"/>
      <c r="Z1105" s="103" t="s">
        <v>868</v>
      </c>
      <c r="AA1105" s="103" t="s">
        <v>874</v>
      </c>
      <c r="AB1105" s="103" t="s">
        <v>153</v>
      </c>
      <c r="AC1105" s="103">
        <v>0</v>
      </c>
      <c r="AD1105" s="156">
        <v>42005</v>
      </c>
      <c r="AE1105" s="103"/>
      <c r="AF1105" s="103" t="s">
        <v>870</v>
      </c>
      <c r="AG1105" s="103" t="s">
        <v>871</v>
      </c>
      <c r="AH1105" s="103" t="s">
        <v>976</v>
      </c>
      <c r="AI1105" s="103">
        <v>0</v>
      </c>
      <c r="AJ1105" s="103"/>
      <c r="AK1105" s="103"/>
      <c r="AL1105" s="103"/>
      <c r="AM1105" s="103"/>
      <c r="AN1105" s="103"/>
      <c r="AO1105" s="103" t="str">
        <f t="shared" si="59"/>
        <v>CFLscw-Dim(19w)Three-pack</v>
      </c>
    </row>
    <row r="1106" spans="1:41">
      <c r="A1106" s="177">
        <f>IFERROR(MATCH(D1106,'Measure &amp; Standard CostIDs'!C$5:C$177,0),MATCH(D1106,'Measure &amp; Standard CostIDs'!S$5:S$177,0))</f>
        <v>112</v>
      </c>
      <c r="B1106" s="177">
        <f t="shared" si="61"/>
        <v>4</v>
      </c>
      <c r="C1106" s="103" t="s">
        <v>153</v>
      </c>
      <c r="D1106" s="103" t="str">
        <f t="shared" si="60"/>
        <v>CFLscw-Dim(20w)</v>
      </c>
      <c r="E1106" s="103" t="str">
        <f>IF(LEFT(D1106,3)="Std","Base case cost for mix of 60% Incandescent and 40% CFL lamps for CFL TechID: "&amp;INDEX('Measure &amp; Standard CostIDs'!$C$5:$C$177,A1106),"&lt;from TechID&gt;")</f>
        <v>&lt;from TechID&gt;</v>
      </c>
      <c r="F1106" s="103" t="s">
        <v>860</v>
      </c>
      <c r="G1106" s="103" t="s">
        <v>151</v>
      </c>
      <c r="H1106" s="103" t="s">
        <v>861</v>
      </c>
      <c r="I1106" s="103" t="s">
        <v>862</v>
      </c>
      <c r="J1106" s="103" t="s">
        <v>863</v>
      </c>
      <c r="K1106" s="103" t="s">
        <v>864</v>
      </c>
      <c r="L1106" s="103" t="s">
        <v>153</v>
      </c>
      <c r="M1106" s="103" t="s">
        <v>865</v>
      </c>
      <c r="N1106" s="103" t="s">
        <v>866</v>
      </c>
      <c r="O1106" s="103" t="str">
        <f t="shared" si="58"/>
        <v>CFLscw-Dim(20w)</v>
      </c>
      <c r="P1106" s="103" t="s">
        <v>153</v>
      </c>
      <c r="Q1106" s="103" t="s">
        <v>153</v>
      </c>
      <c r="R1106" s="103" t="s">
        <v>153</v>
      </c>
      <c r="S1106" s="103" t="str">
        <f>INDEX('Measure &amp; Standard CostIDs'!$AK$8:$AK$12,B1106)</f>
        <v>Three-pack</v>
      </c>
      <c r="T1106" s="103" t="s">
        <v>867</v>
      </c>
      <c r="U1106" s="103"/>
      <c r="V1106" s="103"/>
      <c r="W1106" s="103">
        <f>ROUND(IF(LEFT(D1106,3)="Std",VLOOKUP(D1106,'Measure &amp; Standard CostIDs'!$S$5:$X$177,1+B1106,FALSE),VLOOKUP(D1106,'Measure &amp; Standard CostIDs'!$C$5:$H$177,1+B1106,FALSE)),2)</f>
        <v>9.31</v>
      </c>
      <c r="X1106" s="103"/>
      <c r="Y1106" s="103"/>
      <c r="Z1106" s="103" t="s">
        <v>868</v>
      </c>
      <c r="AA1106" s="103" t="s">
        <v>874</v>
      </c>
      <c r="AB1106" s="103" t="s">
        <v>153</v>
      </c>
      <c r="AC1106" s="103">
        <v>0</v>
      </c>
      <c r="AD1106" s="156">
        <v>42005</v>
      </c>
      <c r="AE1106" s="103"/>
      <c r="AF1106" s="103" t="s">
        <v>870</v>
      </c>
      <c r="AG1106" s="103" t="s">
        <v>871</v>
      </c>
      <c r="AH1106" s="103" t="s">
        <v>976</v>
      </c>
      <c r="AI1106" s="103">
        <v>0</v>
      </c>
      <c r="AJ1106" s="103"/>
      <c r="AK1106" s="103"/>
      <c r="AL1106" s="103"/>
      <c r="AM1106" s="103"/>
      <c r="AN1106" s="103"/>
      <c r="AO1106" s="103" t="str">
        <f t="shared" si="59"/>
        <v>CFLscw-Dim(20w)Three-pack</v>
      </c>
    </row>
    <row r="1107" spans="1:41">
      <c r="A1107" s="177">
        <f>IFERROR(MATCH(D1107,'Measure &amp; Standard CostIDs'!C$5:C$177,0),MATCH(D1107,'Measure &amp; Standard CostIDs'!S$5:S$177,0))</f>
        <v>113</v>
      </c>
      <c r="B1107" s="177">
        <f t="shared" si="61"/>
        <v>4</v>
      </c>
      <c r="C1107" s="103" t="s">
        <v>153</v>
      </c>
      <c r="D1107" s="103" t="str">
        <f t="shared" si="60"/>
        <v>CFLscw-Dim(23w)</v>
      </c>
      <c r="E1107" s="103" t="str">
        <f>IF(LEFT(D1107,3)="Std","Base case cost for mix of 60% Incandescent and 40% CFL lamps for CFL TechID: "&amp;INDEX('Measure &amp; Standard CostIDs'!$C$5:$C$177,A1107),"&lt;from TechID&gt;")</f>
        <v>&lt;from TechID&gt;</v>
      </c>
      <c r="F1107" s="103" t="s">
        <v>860</v>
      </c>
      <c r="G1107" s="103" t="s">
        <v>151</v>
      </c>
      <c r="H1107" s="103" t="s">
        <v>861</v>
      </c>
      <c r="I1107" s="103" t="s">
        <v>862</v>
      </c>
      <c r="J1107" s="103" t="s">
        <v>863</v>
      </c>
      <c r="K1107" s="103" t="s">
        <v>864</v>
      </c>
      <c r="L1107" s="103" t="s">
        <v>153</v>
      </c>
      <c r="M1107" s="103" t="s">
        <v>865</v>
      </c>
      <c r="N1107" s="103" t="s">
        <v>866</v>
      </c>
      <c r="O1107" s="103" t="str">
        <f t="shared" si="58"/>
        <v>CFLscw-Dim(23w)</v>
      </c>
      <c r="P1107" s="103" t="s">
        <v>153</v>
      </c>
      <c r="Q1107" s="103" t="s">
        <v>153</v>
      </c>
      <c r="R1107" s="103" t="s">
        <v>153</v>
      </c>
      <c r="S1107" s="103" t="str">
        <f>INDEX('Measure &amp; Standard CostIDs'!$AK$8:$AK$12,B1107)</f>
        <v>Three-pack</v>
      </c>
      <c r="T1107" s="103" t="s">
        <v>867</v>
      </c>
      <c r="U1107" s="103"/>
      <c r="V1107" s="103"/>
      <c r="W1107" s="103">
        <f>ROUND(IF(LEFT(D1107,3)="Std",VLOOKUP(D1107,'Measure &amp; Standard CostIDs'!$S$5:$X$177,1+B1107,FALSE),VLOOKUP(D1107,'Measure &amp; Standard CostIDs'!$C$5:$H$177,1+B1107,FALSE)),2)</f>
        <v>9.51</v>
      </c>
      <c r="X1107" s="103"/>
      <c r="Y1107" s="103"/>
      <c r="Z1107" s="103" t="s">
        <v>868</v>
      </c>
      <c r="AA1107" s="103" t="s">
        <v>874</v>
      </c>
      <c r="AB1107" s="103" t="s">
        <v>153</v>
      </c>
      <c r="AC1107" s="103">
        <v>0</v>
      </c>
      <c r="AD1107" s="156">
        <v>42005</v>
      </c>
      <c r="AE1107" s="103"/>
      <c r="AF1107" s="103" t="s">
        <v>870</v>
      </c>
      <c r="AG1107" s="103" t="s">
        <v>871</v>
      </c>
      <c r="AH1107" s="103" t="s">
        <v>976</v>
      </c>
      <c r="AI1107" s="103">
        <v>0</v>
      </c>
      <c r="AJ1107" s="103"/>
      <c r="AK1107" s="103"/>
      <c r="AL1107" s="103"/>
      <c r="AM1107" s="103"/>
      <c r="AN1107" s="103"/>
      <c r="AO1107" s="103" t="str">
        <f t="shared" si="59"/>
        <v>CFLscw-Dim(23w)Three-pack</v>
      </c>
    </row>
    <row r="1108" spans="1:41">
      <c r="A1108" s="177">
        <f>IFERROR(MATCH(D1108,'Measure &amp; Standard CostIDs'!C$5:C$177,0),MATCH(D1108,'Measure &amp; Standard CostIDs'!S$5:S$177,0))</f>
        <v>114</v>
      </c>
      <c r="B1108" s="177">
        <f t="shared" si="61"/>
        <v>4</v>
      </c>
      <c r="C1108" s="103" t="s">
        <v>153</v>
      </c>
      <c r="D1108" s="103" t="str">
        <f t="shared" si="60"/>
        <v>CFLscw-Dim(25w)</v>
      </c>
      <c r="E1108" s="103" t="str">
        <f>IF(LEFT(D1108,3)="Std","Base case cost for mix of 60% Incandescent and 40% CFL lamps for CFL TechID: "&amp;INDEX('Measure &amp; Standard CostIDs'!$C$5:$C$177,A1108),"&lt;from TechID&gt;")</f>
        <v>&lt;from TechID&gt;</v>
      </c>
      <c r="F1108" s="103" t="s">
        <v>860</v>
      </c>
      <c r="G1108" s="103" t="s">
        <v>151</v>
      </c>
      <c r="H1108" s="103" t="s">
        <v>861</v>
      </c>
      <c r="I1108" s="103" t="s">
        <v>862</v>
      </c>
      <c r="J1108" s="103" t="s">
        <v>863</v>
      </c>
      <c r="K1108" s="103" t="s">
        <v>864</v>
      </c>
      <c r="L1108" s="103" t="s">
        <v>153</v>
      </c>
      <c r="M1108" s="103" t="s">
        <v>865</v>
      </c>
      <c r="N1108" s="103" t="s">
        <v>866</v>
      </c>
      <c r="O1108" s="103" t="str">
        <f t="shared" si="58"/>
        <v>CFLscw-Dim(25w)</v>
      </c>
      <c r="P1108" s="103" t="s">
        <v>153</v>
      </c>
      <c r="Q1108" s="103" t="s">
        <v>153</v>
      </c>
      <c r="R1108" s="103" t="s">
        <v>153</v>
      </c>
      <c r="S1108" s="103" t="str">
        <f>INDEX('Measure &amp; Standard CostIDs'!$AK$8:$AK$12,B1108)</f>
        <v>Three-pack</v>
      </c>
      <c r="T1108" s="103" t="s">
        <v>867</v>
      </c>
      <c r="U1108" s="103"/>
      <c r="V1108" s="103"/>
      <c r="W1108" s="103">
        <f>ROUND(IF(LEFT(D1108,3)="Std",VLOOKUP(D1108,'Measure &amp; Standard CostIDs'!$S$5:$X$177,1+B1108,FALSE),VLOOKUP(D1108,'Measure &amp; Standard CostIDs'!$C$5:$H$177,1+B1108,FALSE)),2)</f>
        <v>9.64</v>
      </c>
      <c r="X1108" s="103"/>
      <c r="Y1108" s="103"/>
      <c r="Z1108" s="103" t="s">
        <v>868</v>
      </c>
      <c r="AA1108" s="103" t="s">
        <v>874</v>
      </c>
      <c r="AB1108" s="103" t="s">
        <v>153</v>
      </c>
      <c r="AC1108" s="103">
        <v>0</v>
      </c>
      <c r="AD1108" s="156">
        <v>42005</v>
      </c>
      <c r="AE1108" s="103"/>
      <c r="AF1108" s="103" t="s">
        <v>870</v>
      </c>
      <c r="AG1108" s="103" t="s">
        <v>871</v>
      </c>
      <c r="AH1108" s="103" t="s">
        <v>976</v>
      </c>
      <c r="AI1108" s="103">
        <v>0</v>
      </c>
      <c r="AJ1108" s="103"/>
      <c r="AK1108" s="103"/>
      <c r="AL1108" s="103"/>
      <c r="AM1108" s="103"/>
      <c r="AN1108" s="103"/>
      <c r="AO1108" s="103" t="str">
        <f t="shared" si="59"/>
        <v>CFLscw-Dim(25w)Three-pack</v>
      </c>
    </row>
    <row r="1109" spans="1:41">
      <c r="A1109" s="177">
        <f>IFERROR(MATCH(D1109,'Measure &amp; Standard CostIDs'!C$5:C$177,0),MATCH(D1109,'Measure &amp; Standard CostIDs'!S$5:S$177,0))</f>
        <v>115</v>
      </c>
      <c r="B1109" s="177">
        <f t="shared" si="61"/>
        <v>4</v>
      </c>
      <c r="C1109" s="103" t="s">
        <v>153</v>
      </c>
      <c r="D1109" s="103" t="str">
        <f t="shared" si="60"/>
        <v>CFLscw-Dim(26w)</v>
      </c>
      <c r="E1109" s="103" t="str">
        <f>IF(LEFT(D1109,3)="Std","Base case cost for mix of 60% Incandescent and 40% CFL lamps for CFL TechID: "&amp;INDEX('Measure &amp; Standard CostIDs'!$C$5:$C$177,A1109),"&lt;from TechID&gt;")</f>
        <v>&lt;from TechID&gt;</v>
      </c>
      <c r="F1109" s="103" t="s">
        <v>860</v>
      </c>
      <c r="G1109" s="103" t="s">
        <v>151</v>
      </c>
      <c r="H1109" s="103" t="s">
        <v>861</v>
      </c>
      <c r="I1109" s="103" t="s">
        <v>862</v>
      </c>
      <c r="J1109" s="103" t="s">
        <v>863</v>
      </c>
      <c r="K1109" s="103" t="s">
        <v>864</v>
      </c>
      <c r="L1109" s="103" t="s">
        <v>153</v>
      </c>
      <c r="M1109" s="103" t="s">
        <v>865</v>
      </c>
      <c r="N1109" s="103" t="s">
        <v>866</v>
      </c>
      <c r="O1109" s="103" t="str">
        <f t="shared" si="58"/>
        <v>CFLscw-Dim(26w)</v>
      </c>
      <c r="P1109" s="103" t="s">
        <v>153</v>
      </c>
      <c r="Q1109" s="103" t="s">
        <v>153</v>
      </c>
      <c r="R1109" s="103" t="s">
        <v>153</v>
      </c>
      <c r="S1109" s="103" t="str">
        <f>INDEX('Measure &amp; Standard CostIDs'!$AK$8:$AK$12,B1109)</f>
        <v>Three-pack</v>
      </c>
      <c r="T1109" s="103" t="s">
        <v>867</v>
      </c>
      <c r="U1109" s="103"/>
      <c r="V1109" s="103"/>
      <c r="W1109" s="103">
        <f>ROUND(IF(LEFT(D1109,3)="Std",VLOOKUP(D1109,'Measure &amp; Standard CostIDs'!$S$5:$X$177,1+B1109,FALSE),VLOOKUP(D1109,'Measure &amp; Standard CostIDs'!$C$5:$H$177,1+B1109,FALSE)),2)</f>
        <v>9.8000000000000007</v>
      </c>
      <c r="X1109" s="103"/>
      <c r="Y1109" s="103"/>
      <c r="Z1109" s="103" t="s">
        <v>868</v>
      </c>
      <c r="AA1109" s="103" t="s">
        <v>874</v>
      </c>
      <c r="AB1109" s="103" t="s">
        <v>153</v>
      </c>
      <c r="AC1109" s="103">
        <v>0</v>
      </c>
      <c r="AD1109" s="156">
        <v>42005</v>
      </c>
      <c r="AE1109" s="103"/>
      <c r="AF1109" s="103" t="s">
        <v>870</v>
      </c>
      <c r="AG1109" s="103" t="s">
        <v>871</v>
      </c>
      <c r="AH1109" s="103" t="s">
        <v>976</v>
      </c>
      <c r="AI1109" s="103">
        <v>0</v>
      </c>
      <c r="AJ1109" s="103"/>
      <c r="AK1109" s="103"/>
      <c r="AL1109" s="103"/>
      <c r="AM1109" s="103"/>
      <c r="AN1109" s="103"/>
      <c r="AO1109" s="103" t="str">
        <f t="shared" si="59"/>
        <v>CFLscw-Dim(26w)Three-pack</v>
      </c>
    </row>
    <row r="1110" spans="1:41">
      <c r="A1110" s="177">
        <f>IFERROR(MATCH(D1110,'Measure &amp; Standard CostIDs'!C$5:C$177,0),MATCH(D1110,'Measure &amp; Standard CostIDs'!S$5:S$177,0))</f>
        <v>116</v>
      </c>
      <c r="B1110" s="177">
        <f t="shared" si="61"/>
        <v>4</v>
      </c>
      <c r="C1110" s="103" t="s">
        <v>153</v>
      </c>
      <c r="D1110" s="103" t="str">
        <f t="shared" si="60"/>
        <v>CFLscw-Dim(28w)</v>
      </c>
      <c r="E1110" s="103" t="str">
        <f>IF(LEFT(D1110,3)="Std","Base case cost for mix of 60% Incandescent and 40% CFL lamps for CFL TechID: "&amp;INDEX('Measure &amp; Standard CostIDs'!$C$5:$C$177,A1110),"&lt;from TechID&gt;")</f>
        <v>&lt;from TechID&gt;</v>
      </c>
      <c r="F1110" s="103" t="s">
        <v>860</v>
      </c>
      <c r="G1110" s="103" t="s">
        <v>151</v>
      </c>
      <c r="H1110" s="103" t="s">
        <v>861</v>
      </c>
      <c r="I1110" s="103" t="s">
        <v>862</v>
      </c>
      <c r="J1110" s="103" t="s">
        <v>863</v>
      </c>
      <c r="K1110" s="103" t="s">
        <v>864</v>
      </c>
      <c r="L1110" s="103" t="s">
        <v>153</v>
      </c>
      <c r="M1110" s="103" t="s">
        <v>865</v>
      </c>
      <c r="N1110" s="103" t="s">
        <v>866</v>
      </c>
      <c r="O1110" s="103" t="str">
        <f t="shared" si="58"/>
        <v>CFLscw-Dim(28w)</v>
      </c>
      <c r="P1110" s="103" t="s">
        <v>153</v>
      </c>
      <c r="Q1110" s="103" t="s">
        <v>153</v>
      </c>
      <c r="R1110" s="103" t="s">
        <v>153</v>
      </c>
      <c r="S1110" s="103" t="str">
        <f>INDEX('Measure &amp; Standard CostIDs'!$AK$8:$AK$12,B1110)</f>
        <v>Three-pack</v>
      </c>
      <c r="T1110" s="103" t="s">
        <v>867</v>
      </c>
      <c r="U1110" s="103"/>
      <c r="V1110" s="103"/>
      <c r="W1110" s="103">
        <f>ROUND(IF(LEFT(D1110,3)="Std",VLOOKUP(D1110,'Measure &amp; Standard CostIDs'!$S$5:$X$177,1+B1110,FALSE),VLOOKUP(D1110,'Measure &amp; Standard CostIDs'!$C$5:$H$177,1+B1110,FALSE)),2)</f>
        <v>10.119999999999999</v>
      </c>
      <c r="X1110" s="103"/>
      <c r="Y1110" s="103"/>
      <c r="Z1110" s="103" t="s">
        <v>868</v>
      </c>
      <c r="AA1110" s="103" t="s">
        <v>874</v>
      </c>
      <c r="AB1110" s="103" t="s">
        <v>153</v>
      </c>
      <c r="AC1110" s="103">
        <v>0</v>
      </c>
      <c r="AD1110" s="156">
        <v>42005</v>
      </c>
      <c r="AE1110" s="103"/>
      <c r="AF1110" s="103" t="s">
        <v>870</v>
      </c>
      <c r="AG1110" s="103" t="s">
        <v>871</v>
      </c>
      <c r="AH1110" s="103" t="s">
        <v>976</v>
      </c>
      <c r="AI1110" s="103">
        <v>0</v>
      </c>
      <c r="AJ1110" s="103"/>
      <c r="AK1110" s="103"/>
      <c r="AL1110" s="103"/>
      <c r="AM1110" s="103"/>
      <c r="AN1110" s="103"/>
      <c r="AO1110" s="103" t="str">
        <f t="shared" si="59"/>
        <v>CFLscw-Dim(28w)Three-pack</v>
      </c>
    </row>
    <row r="1111" spans="1:41">
      <c r="A1111" s="177">
        <f>IFERROR(MATCH(D1111,'Measure &amp; Standard CostIDs'!C$5:C$177,0),MATCH(D1111,'Measure &amp; Standard CostIDs'!S$5:S$177,0))</f>
        <v>117</v>
      </c>
      <c r="B1111" s="177">
        <f t="shared" si="61"/>
        <v>4</v>
      </c>
      <c r="C1111" s="103" t="s">
        <v>153</v>
      </c>
      <c r="D1111" s="103" t="str">
        <f t="shared" si="60"/>
        <v>CFLscw-Dim(30w)</v>
      </c>
      <c r="E1111" s="103" t="str">
        <f>IF(LEFT(D1111,3)="Std","Base case cost for mix of 60% Incandescent and 40% CFL lamps for CFL TechID: "&amp;INDEX('Measure &amp; Standard CostIDs'!$C$5:$C$177,A1111),"&lt;from TechID&gt;")</f>
        <v>&lt;from TechID&gt;</v>
      </c>
      <c r="F1111" s="103" t="s">
        <v>860</v>
      </c>
      <c r="G1111" s="103" t="s">
        <v>151</v>
      </c>
      <c r="H1111" s="103" t="s">
        <v>861</v>
      </c>
      <c r="I1111" s="103" t="s">
        <v>862</v>
      </c>
      <c r="J1111" s="103" t="s">
        <v>863</v>
      </c>
      <c r="K1111" s="103" t="s">
        <v>864</v>
      </c>
      <c r="L1111" s="103" t="s">
        <v>153</v>
      </c>
      <c r="M1111" s="103" t="s">
        <v>865</v>
      </c>
      <c r="N1111" s="103" t="s">
        <v>866</v>
      </c>
      <c r="O1111" s="103" t="str">
        <f t="shared" si="58"/>
        <v>CFLscw-Dim(30w)</v>
      </c>
      <c r="P1111" s="103" t="s">
        <v>153</v>
      </c>
      <c r="Q1111" s="103" t="s">
        <v>153</v>
      </c>
      <c r="R1111" s="103" t="s">
        <v>153</v>
      </c>
      <c r="S1111" s="103" t="str">
        <f>INDEX('Measure &amp; Standard CostIDs'!$AK$8:$AK$12,B1111)</f>
        <v>Three-pack</v>
      </c>
      <c r="T1111" s="103" t="s">
        <v>867</v>
      </c>
      <c r="U1111" s="103"/>
      <c r="V1111" s="103"/>
      <c r="W1111" s="103">
        <f>ROUND(IF(LEFT(D1111,3)="Std",VLOOKUP(D1111,'Measure &amp; Standard CostIDs'!$S$5:$X$177,1+B1111,FALSE),VLOOKUP(D1111,'Measure &amp; Standard CostIDs'!$C$5:$H$177,1+B1111,FALSE)),2)</f>
        <v>10.44</v>
      </c>
      <c r="X1111" s="103"/>
      <c r="Y1111" s="103"/>
      <c r="Z1111" s="103" t="s">
        <v>868</v>
      </c>
      <c r="AA1111" s="103" t="s">
        <v>874</v>
      </c>
      <c r="AB1111" s="103" t="s">
        <v>153</v>
      </c>
      <c r="AC1111" s="103">
        <v>0</v>
      </c>
      <c r="AD1111" s="156">
        <v>42005</v>
      </c>
      <c r="AE1111" s="103"/>
      <c r="AF1111" s="103" t="s">
        <v>870</v>
      </c>
      <c r="AG1111" s="103" t="s">
        <v>871</v>
      </c>
      <c r="AH1111" s="103" t="s">
        <v>976</v>
      </c>
      <c r="AI1111" s="103">
        <v>0</v>
      </c>
      <c r="AJ1111" s="103"/>
      <c r="AK1111" s="103"/>
      <c r="AL1111" s="103"/>
      <c r="AM1111" s="103"/>
      <c r="AN1111" s="103"/>
      <c r="AO1111" s="103" t="str">
        <f t="shared" si="59"/>
        <v>CFLscw-Dim(30w)Three-pack</v>
      </c>
    </row>
    <row r="1112" spans="1:41">
      <c r="A1112" s="177">
        <f>IFERROR(MATCH(D1112,'Measure &amp; Standard CostIDs'!C$5:C$177,0),MATCH(D1112,'Measure &amp; Standard CostIDs'!S$5:S$177,0))</f>
        <v>118</v>
      </c>
      <c r="B1112" s="177">
        <f t="shared" si="61"/>
        <v>4</v>
      </c>
      <c r="C1112" s="103" t="s">
        <v>153</v>
      </c>
      <c r="D1112" s="103" t="str">
        <f t="shared" si="60"/>
        <v>CFLscw-Dim(33w)</v>
      </c>
      <c r="E1112" s="103" t="str">
        <f>IF(LEFT(D1112,3)="Std","Base case cost for mix of 60% Incandescent and 40% CFL lamps for CFL TechID: "&amp;INDEX('Measure &amp; Standard CostIDs'!$C$5:$C$177,A1112),"&lt;from TechID&gt;")</f>
        <v>&lt;from TechID&gt;</v>
      </c>
      <c r="F1112" s="103" t="s">
        <v>860</v>
      </c>
      <c r="G1112" s="103" t="s">
        <v>151</v>
      </c>
      <c r="H1112" s="103" t="s">
        <v>861</v>
      </c>
      <c r="I1112" s="103" t="s">
        <v>862</v>
      </c>
      <c r="J1112" s="103" t="s">
        <v>863</v>
      </c>
      <c r="K1112" s="103" t="s">
        <v>864</v>
      </c>
      <c r="L1112" s="103" t="s">
        <v>153</v>
      </c>
      <c r="M1112" s="103" t="s">
        <v>865</v>
      </c>
      <c r="N1112" s="103" t="s">
        <v>866</v>
      </c>
      <c r="O1112" s="103" t="str">
        <f t="shared" si="58"/>
        <v>CFLscw-Dim(33w)</v>
      </c>
      <c r="P1112" s="103" t="s">
        <v>153</v>
      </c>
      <c r="Q1112" s="103" t="s">
        <v>153</v>
      </c>
      <c r="R1112" s="103" t="s">
        <v>153</v>
      </c>
      <c r="S1112" s="103" t="str">
        <f>INDEX('Measure &amp; Standard CostIDs'!$AK$8:$AK$12,B1112)</f>
        <v>Three-pack</v>
      </c>
      <c r="T1112" s="103" t="s">
        <v>867</v>
      </c>
      <c r="U1112" s="103"/>
      <c r="V1112" s="103"/>
      <c r="W1112" s="103">
        <f>ROUND(IF(LEFT(D1112,3)="Std",VLOOKUP(D1112,'Measure &amp; Standard CostIDs'!$S$5:$X$177,1+B1112,FALSE),VLOOKUP(D1112,'Measure &amp; Standard CostIDs'!$C$5:$H$177,1+B1112,FALSE)),2)</f>
        <v>10.92</v>
      </c>
      <c r="X1112" s="103"/>
      <c r="Y1112" s="103"/>
      <c r="Z1112" s="103" t="s">
        <v>868</v>
      </c>
      <c r="AA1112" s="103" t="s">
        <v>874</v>
      </c>
      <c r="AB1112" s="103" t="s">
        <v>153</v>
      </c>
      <c r="AC1112" s="103">
        <v>0</v>
      </c>
      <c r="AD1112" s="156">
        <v>42005</v>
      </c>
      <c r="AE1112" s="103"/>
      <c r="AF1112" s="103" t="s">
        <v>870</v>
      </c>
      <c r="AG1112" s="103" t="s">
        <v>871</v>
      </c>
      <c r="AH1112" s="103" t="s">
        <v>976</v>
      </c>
      <c r="AI1112" s="103">
        <v>0</v>
      </c>
      <c r="AJ1112" s="103"/>
      <c r="AK1112" s="103"/>
      <c r="AL1112" s="103"/>
      <c r="AM1112" s="103"/>
      <c r="AN1112" s="103"/>
      <c r="AO1112" s="103" t="str">
        <f t="shared" si="59"/>
        <v>CFLscw-Dim(33w)Three-pack</v>
      </c>
    </row>
    <row r="1113" spans="1:41">
      <c r="A1113" s="177">
        <f>IFERROR(MATCH(D1113,'Measure &amp; Standard CostIDs'!C$5:C$177,0),MATCH(D1113,'Measure &amp; Standard CostIDs'!S$5:S$177,0))</f>
        <v>119</v>
      </c>
      <c r="B1113" s="177">
        <f t="shared" si="61"/>
        <v>4</v>
      </c>
      <c r="C1113" s="103" t="s">
        <v>153</v>
      </c>
      <c r="D1113" s="103" t="str">
        <f t="shared" si="60"/>
        <v>CFLscw-Dim(35w)</v>
      </c>
      <c r="E1113" s="103" t="str">
        <f>IF(LEFT(D1113,3)="Std","Base case cost for mix of 60% Incandescent and 40% CFL lamps for CFL TechID: "&amp;INDEX('Measure &amp; Standard CostIDs'!$C$5:$C$177,A1113),"&lt;from TechID&gt;")</f>
        <v>&lt;from TechID&gt;</v>
      </c>
      <c r="F1113" s="103" t="s">
        <v>860</v>
      </c>
      <c r="G1113" s="103" t="s">
        <v>151</v>
      </c>
      <c r="H1113" s="103" t="s">
        <v>861</v>
      </c>
      <c r="I1113" s="103" t="s">
        <v>862</v>
      </c>
      <c r="J1113" s="103" t="s">
        <v>863</v>
      </c>
      <c r="K1113" s="103" t="s">
        <v>864</v>
      </c>
      <c r="L1113" s="103" t="s">
        <v>153</v>
      </c>
      <c r="M1113" s="103" t="s">
        <v>865</v>
      </c>
      <c r="N1113" s="103" t="s">
        <v>866</v>
      </c>
      <c r="O1113" s="103" t="str">
        <f t="shared" si="58"/>
        <v>CFLscw-Dim(35w)</v>
      </c>
      <c r="P1113" s="103" t="s">
        <v>153</v>
      </c>
      <c r="Q1113" s="103" t="s">
        <v>153</v>
      </c>
      <c r="R1113" s="103" t="s">
        <v>153</v>
      </c>
      <c r="S1113" s="103" t="str">
        <f>INDEX('Measure &amp; Standard CostIDs'!$AK$8:$AK$12,B1113)</f>
        <v>Three-pack</v>
      </c>
      <c r="T1113" s="103" t="s">
        <v>867</v>
      </c>
      <c r="U1113" s="103"/>
      <c r="V1113" s="103"/>
      <c r="W1113" s="103">
        <f>ROUND(IF(LEFT(D1113,3)="Std",VLOOKUP(D1113,'Measure &amp; Standard CostIDs'!$S$5:$X$177,1+B1113,FALSE),VLOOKUP(D1113,'Measure &amp; Standard CostIDs'!$C$5:$H$177,1+B1113,FALSE)),2)</f>
        <v>11.24</v>
      </c>
      <c r="X1113" s="103"/>
      <c r="Y1113" s="103"/>
      <c r="Z1113" s="103" t="s">
        <v>868</v>
      </c>
      <c r="AA1113" s="103" t="s">
        <v>874</v>
      </c>
      <c r="AB1113" s="103" t="s">
        <v>153</v>
      </c>
      <c r="AC1113" s="103">
        <v>0</v>
      </c>
      <c r="AD1113" s="156">
        <v>42005</v>
      </c>
      <c r="AE1113" s="103"/>
      <c r="AF1113" s="103" t="s">
        <v>870</v>
      </c>
      <c r="AG1113" s="103" t="s">
        <v>871</v>
      </c>
      <c r="AH1113" s="103" t="s">
        <v>976</v>
      </c>
      <c r="AI1113" s="103">
        <v>0</v>
      </c>
      <c r="AJ1113" s="103"/>
      <c r="AK1113" s="103"/>
      <c r="AL1113" s="103"/>
      <c r="AM1113" s="103"/>
      <c r="AN1113" s="103"/>
      <c r="AO1113" s="103" t="str">
        <f t="shared" si="59"/>
        <v>CFLscw-Dim(35w)Three-pack</v>
      </c>
    </row>
    <row r="1114" spans="1:41">
      <c r="A1114" s="177">
        <f>IFERROR(MATCH(D1114,'Measure &amp; Standard CostIDs'!C$5:C$177,0),MATCH(D1114,'Measure &amp; Standard CostIDs'!S$5:S$177,0))</f>
        <v>120</v>
      </c>
      <c r="B1114" s="177">
        <f t="shared" si="61"/>
        <v>4</v>
      </c>
      <c r="C1114" s="103" t="s">
        <v>153</v>
      </c>
      <c r="D1114" s="103" t="str">
        <f t="shared" si="60"/>
        <v>CFLscw-Dim(38w)</v>
      </c>
      <c r="E1114" s="103" t="str">
        <f>IF(LEFT(D1114,3)="Std","Base case cost for mix of 60% Incandescent and 40% CFL lamps for CFL TechID: "&amp;INDEX('Measure &amp; Standard CostIDs'!$C$5:$C$177,A1114),"&lt;from TechID&gt;")</f>
        <v>&lt;from TechID&gt;</v>
      </c>
      <c r="F1114" s="103" t="s">
        <v>860</v>
      </c>
      <c r="G1114" s="103" t="s">
        <v>151</v>
      </c>
      <c r="H1114" s="103" t="s">
        <v>861</v>
      </c>
      <c r="I1114" s="103" t="s">
        <v>862</v>
      </c>
      <c r="J1114" s="103" t="s">
        <v>863</v>
      </c>
      <c r="K1114" s="103" t="s">
        <v>864</v>
      </c>
      <c r="L1114" s="103" t="s">
        <v>153</v>
      </c>
      <c r="M1114" s="103" t="s">
        <v>865</v>
      </c>
      <c r="N1114" s="103" t="s">
        <v>866</v>
      </c>
      <c r="O1114" s="103" t="str">
        <f t="shared" si="58"/>
        <v>CFLscw-Dim(38w)</v>
      </c>
      <c r="P1114" s="103" t="s">
        <v>153</v>
      </c>
      <c r="Q1114" s="103" t="s">
        <v>153</v>
      </c>
      <c r="R1114" s="103" t="s">
        <v>153</v>
      </c>
      <c r="S1114" s="103" t="str">
        <f>INDEX('Measure &amp; Standard CostIDs'!$AK$8:$AK$12,B1114)</f>
        <v>Three-pack</v>
      </c>
      <c r="T1114" s="103" t="s">
        <v>867</v>
      </c>
      <c r="U1114" s="103"/>
      <c r="V1114" s="103"/>
      <c r="W1114" s="103">
        <f>ROUND(IF(LEFT(D1114,3)="Std",VLOOKUP(D1114,'Measure &amp; Standard CostIDs'!$S$5:$X$177,1+B1114,FALSE),VLOOKUP(D1114,'Measure &amp; Standard CostIDs'!$C$5:$H$177,1+B1114,FALSE)),2)</f>
        <v>11.72</v>
      </c>
      <c r="X1114" s="103"/>
      <c r="Y1114" s="103"/>
      <c r="Z1114" s="103" t="s">
        <v>868</v>
      </c>
      <c r="AA1114" s="103" t="s">
        <v>874</v>
      </c>
      <c r="AB1114" s="103" t="s">
        <v>153</v>
      </c>
      <c r="AC1114" s="103">
        <v>0</v>
      </c>
      <c r="AD1114" s="156">
        <v>42005</v>
      </c>
      <c r="AE1114" s="103"/>
      <c r="AF1114" s="103" t="s">
        <v>870</v>
      </c>
      <c r="AG1114" s="103" t="s">
        <v>871</v>
      </c>
      <c r="AH1114" s="103" t="s">
        <v>976</v>
      </c>
      <c r="AI1114" s="103">
        <v>0</v>
      </c>
      <c r="AJ1114" s="103"/>
      <c r="AK1114" s="103"/>
      <c r="AL1114" s="103"/>
      <c r="AM1114" s="103"/>
      <c r="AN1114" s="103"/>
      <c r="AO1114" s="103" t="str">
        <f t="shared" si="59"/>
        <v>CFLscw-Dim(38w)Three-pack</v>
      </c>
    </row>
    <row r="1115" spans="1:41">
      <c r="A1115" s="177">
        <f>IFERROR(MATCH(D1115,'Measure &amp; Standard CostIDs'!C$5:C$177,0),MATCH(D1115,'Measure &amp; Standard CostIDs'!S$5:S$177,0))</f>
        <v>121</v>
      </c>
      <c r="B1115" s="177">
        <f t="shared" si="61"/>
        <v>4</v>
      </c>
      <c r="C1115" s="103" t="s">
        <v>153</v>
      </c>
      <c r="D1115" s="103" t="str">
        <f t="shared" si="60"/>
        <v>CFLscw-Dim(40w)</v>
      </c>
      <c r="E1115" s="103" t="str">
        <f>IF(LEFT(D1115,3)="Std","Base case cost for mix of 60% Incandescent and 40% CFL lamps for CFL TechID: "&amp;INDEX('Measure &amp; Standard CostIDs'!$C$5:$C$177,A1115),"&lt;from TechID&gt;")</f>
        <v>&lt;from TechID&gt;</v>
      </c>
      <c r="F1115" s="103" t="s">
        <v>860</v>
      </c>
      <c r="G1115" s="103" t="s">
        <v>151</v>
      </c>
      <c r="H1115" s="103" t="s">
        <v>861</v>
      </c>
      <c r="I1115" s="103" t="s">
        <v>862</v>
      </c>
      <c r="J1115" s="103" t="s">
        <v>863</v>
      </c>
      <c r="K1115" s="103" t="s">
        <v>864</v>
      </c>
      <c r="L1115" s="103" t="s">
        <v>153</v>
      </c>
      <c r="M1115" s="103" t="s">
        <v>865</v>
      </c>
      <c r="N1115" s="103" t="s">
        <v>866</v>
      </c>
      <c r="O1115" s="103" t="str">
        <f t="shared" si="58"/>
        <v>CFLscw-Dim(40w)</v>
      </c>
      <c r="P1115" s="103" t="s">
        <v>153</v>
      </c>
      <c r="Q1115" s="103" t="s">
        <v>153</v>
      </c>
      <c r="R1115" s="103" t="s">
        <v>153</v>
      </c>
      <c r="S1115" s="103" t="str">
        <f>INDEX('Measure &amp; Standard CostIDs'!$AK$8:$AK$12,B1115)</f>
        <v>Three-pack</v>
      </c>
      <c r="T1115" s="103" t="s">
        <v>867</v>
      </c>
      <c r="U1115" s="103"/>
      <c r="V1115" s="103"/>
      <c r="W1115" s="103">
        <f>ROUND(IF(LEFT(D1115,3)="Std",VLOOKUP(D1115,'Measure &amp; Standard CostIDs'!$S$5:$X$177,1+B1115,FALSE),VLOOKUP(D1115,'Measure &amp; Standard CostIDs'!$C$5:$H$177,1+B1115,FALSE)),2)</f>
        <v>12.04</v>
      </c>
      <c r="X1115" s="103"/>
      <c r="Y1115" s="103"/>
      <c r="Z1115" s="103" t="s">
        <v>868</v>
      </c>
      <c r="AA1115" s="103" t="s">
        <v>874</v>
      </c>
      <c r="AB1115" s="103" t="s">
        <v>153</v>
      </c>
      <c r="AC1115" s="103">
        <v>0</v>
      </c>
      <c r="AD1115" s="156">
        <v>42005</v>
      </c>
      <c r="AE1115" s="103"/>
      <c r="AF1115" s="103" t="s">
        <v>870</v>
      </c>
      <c r="AG1115" s="103" t="s">
        <v>871</v>
      </c>
      <c r="AH1115" s="103" t="s">
        <v>976</v>
      </c>
      <c r="AI1115" s="103">
        <v>0</v>
      </c>
      <c r="AJ1115" s="103"/>
      <c r="AK1115" s="103"/>
      <c r="AL1115" s="103"/>
      <c r="AM1115" s="103"/>
      <c r="AN1115" s="103"/>
      <c r="AO1115" s="103" t="str">
        <f t="shared" si="59"/>
        <v>CFLscw-Dim(40w)Three-pack</v>
      </c>
    </row>
    <row r="1116" spans="1:41">
      <c r="A1116" s="177">
        <f>IFERROR(MATCH(D1116,'Measure &amp; Standard CostIDs'!C$5:C$177,0),MATCH(D1116,'Measure &amp; Standard CostIDs'!S$5:S$177,0))</f>
        <v>122</v>
      </c>
      <c r="B1116" s="177">
        <f t="shared" si="61"/>
        <v>4</v>
      </c>
      <c r="C1116" s="103" t="s">
        <v>153</v>
      </c>
      <c r="D1116" s="103" t="str">
        <f t="shared" si="60"/>
        <v>CFLscw-Dim(45w)</v>
      </c>
      <c r="E1116" s="103" t="str">
        <f>IF(LEFT(D1116,3)="Std","Base case cost for mix of 60% Incandescent and 40% CFL lamps for CFL TechID: "&amp;INDEX('Measure &amp; Standard CostIDs'!$C$5:$C$177,A1116),"&lt;from TechID&gt;")</f>
        <v>&lt;from TechID&gt;</v>
      </c>
      <c r="F1116" s="103" t="s">
        <v>860</v>
      </c>
      <c r="G1116" s="103" t="s">
        <v>151</v>
      </c>
      <c r="H1116" s="103" t="s">
        <v>861</v>
      </c>
      <c r="I1116" s="103" t="s">
        <v>862</v>
      </c>
      <c r="J1116" s="103" t="s">
        <v>863</v>
      </c>
      <c r="K1116" s="103" t="s">
        <v>864</v>
      </c>
      <c r="L1116" s="103" t="s">
        <v>153</v>
      </c>
      <c r="M1116" s="103" t="s">
        <v>865</v>
      </c>
      <c r="N1116" s="103" t="s">
        <v>866</v>
      </c>
      <c r="O1116" s="103" t="str">
        <f t="shared" si="58"/>
        <v>CFLscw-Dim(45w)</v>
      </c>
      <c r="P1116" s="103" t="s">
        <v>153</v>
      </c>
      <c r="Q1116" s="103" t="s">
        <v>153</v>
      </c>
      <c r="R1116" s="103" t="s">
        <v>153</v>
      </c>
      <c r="S1116" s="103" t="str">
        <f>INDEX('Measure &amp; Standard CostIDs'!$AK$8:$AK$12,B1116)</f>
        <v>Three-pack</v>
      </c>
      <c r="T1116" s="103" t="s">
        <v>867</v>
      </c>
      <c r="U1116" s="103"/>
      <c r="V1116" s="103"/>
      <c r="W1116" s="103">
        <f>ROUND(IF(LEFT(D1116,3)="Std",VLOOKUP(D1116,'Measure &amp; Standard CostIDs'!$S$5:$X$177,1+B1116,FALSE),VLOOKUP(D1116,'Measure &amp; Standard CostIDs'!$C$5:$H$177,1+B1116,FALSE)),2)</f>
        <v>12.84</v>
      </c>
      <c r="X1116" s="103"/>
      <c r="Y1116" s="103"/>
      <c r="Z1116" s="103" t="s">
        <v>868</v>
      </c>
      <c r="AA1116" s="103" t="s">
        <v>874</v>
      </c>
      <c r="AB1116" s="103" t="s">
        <v>153</v>
      </c>
      <c r="AC1116" s="103">
        <v>0</v>
      </c>
      <c r="AD1116" s="156">
        <v>42005</v>
      </c>
      <c r="AE1116" s="103"/>
      <c r="AF1116" s="103" t="s">
        <v>870</v>
      </c>
      <c r="AG1116" s="103" t="s">
        <v>871</v>
      </c>
      <c r="AH1116" s="103" t="s">
        <v>976</v>
      </c>
      <c r="AI1116" s="103">
        <v>0</v>
      </c>
      <c r="AJ1116" s="103"/>
      <c r="AK1116" s="103"/>
      <c r="AL1116" s="103"/>
      <c r="AM1116" s="103"/>
      <c r="AN1116" s="103"/>
      <c r="AO1116" s="103" t="str">
        <f t="shared" si="59"/>
        <v>CFLscw-Dim(45w)Three-pack</v>
      </c>
    </row>
    <row r="1117" spans="1:41">
      <c r="A1117" s="177">
        <f>IFERROR(MATCH(D1117,'Measure &amp; Standard CostIDs'!C$5:C$177,0),MATCH(D1117,'Measure &amp; Standard CostIDs'!S$5:S$177,0))</f>
        <v>123</v>
      </c>
      <c r="B1117" s="177">
        <f t="shared" si="61"/>
        <v>4</v>
      </c>
      <c r="C1117" s="103" t="s">
        <v>153</v>
      </c>
      <c r="D1117" s="103" t="str">
        <f t="shared" si="60"/>
        <v>CFLscw-Dim(47w)</v>
      </c>
      <c r="E1117" s="103" t="str">
        <f>IF(LEFT(D1117,3)="Std","Base case cost for mix of 60% Incandescent and 40% CFL lamps for CFL TechID: "&amp;INDEX('Measure &amp; Standard CostIDs'!$C$5:$C$177,A1117),"&lt;from TechID&gt;")</f>
        <v>&lt;from TechID&gt;</v>
      </c>
      <c r="F1117" s="103" t="s">
        <v>860</v>
      </c>
      <c r="G1117" s="103" t="s">
        <v>151</v>
      </c>
      <c r="H1117" s="103" t="s">
        <v>861</v>
      </c>
      <c r="I1117" s="103" t="s">
        <v>862</v>
      </c>
      <c r="J1117" s="103" t="s">
        <v>863</v>
      </c>
      <c r="K1117" s="103" t="s">
        <v>864</v>
      </c>
      <c r="L1117" s="103" t="s">
        <v>153</v>
      </c>
      <c r="M1117" s="103" t="s">
        <v>865</v>
      </c>
      <c r="N1117" s="103" t="s">
        <v>866</v>
      </c>
      <c r="O1117" s="103" t="str">
        <f t="shared" si="58"/>
        <v>CFLscw-Dim(47w)</v>
      </c>
      <c r="P1117" s="103" t="s">
        <v>153</v>
      </c>
      <c r="Q1117" s="103" t="s">
        <v>153</v>
      </c>
      <c r="R1117" s="103" t="s">
        <v>153</v>
      </c>
      <c r="S1117" s="103" t="str">
        <f>INDEX('Measure &amp; Standard CostIDs'!$AK$8:$AK$12,B1117)</f>
        <v>Three-pack</v>
      </c>
      <c r="T1117" s="103" t="s">
        <v>867</v>
      </c>
      <c r="U1117" s="103"/>
      <c r="V1117" s="103"/>
      <c r="W1117" s="103">
        <f>ROUND(IF(LEFT(D1117,3)="Std",VLOOKUP(D1117,'Measure &amp; Standard CostIDs'!$S$5:$X$177,1+B1117,FALSE),VLOOKUP(D1117,'Measure &amp; Standard CostIDs'!$C$5:$H$177,1+B1117,FALSE)),2)</f>
        <v>13.16</v>
      </c>
      <c r="X1117" s="103"/>
      <c r="Y1117" s="103"/>
      <c r="Z1117" s="103" t="s">
        <v>868</v>
      </c>
      <c r="AA1117" s="103" t="s">
        <v>874</v>
      </c>
      <c r="AB1117" s="103" t="s">
        <v>153</v>
      </c>
      <c r="AC1117" s="103">
        <v>0</v>
      </c>
      <c r="AD1117" s="156">
        <v>42005</v>
      </c>
      <c r="AE1117" s="103"/>
      <c r="AF1117" s="103" t="s">
        <v>870</v>
      </c>
      <c r="AG1117" s="103" t="s">
        <v>871</v>
      </c>
      <c r="AH1117" s="103" t="s">
        <v>976</v>
      </c>
      <c r="AI1117" s="103">
        <v>0</v>
      </c>
      <c r="AJ1117" s="103"/>
      <c r="AK1117" s="103"/>
      <c r="AL1117" s="103"/>
      <c r="AM1117" s="103"/>
      <c r="AN1117" s="103"/>
      <c r="AO1117" s="103" t="str">
        <f t="shared" si="59"/>
        <v>CFLscw-Dim(47w)Three-pack</v>
      </c>
    </row>
    <row r="1118" spans="1:41">
      <c r="A1118" s="177">
        <f>IFERROR(MATCH(D1118,'Measure &amp; Standard CostIDs'!C$5:C$177,0),MATCH(D1118,'Measure &amp; Standard CostIDs'!S$5:S$177,0))</f>
        <v>124</v>
      </c>
      <c r="B1118" s="177">
        <f t="shared" si="61"/>
        <v>4</v>
      </c>
      <c r="C1118" s="103" t="s">
        <v>153</v>
      </c>
      <c r="D1118" s="103" t="str">
        <f t="shared" si="60"/>
        <v>CFLscw-Dim(50w)</v>
      </c>
      <c r="E1118" s="103" t="str">
        <f>IF(LEFT(D1118,3)="Std","Base case cost for mix of 60% Incandescent and 40% CFL lamps for CFL TechID: "&amp;INDEX('Measure &amp; Standard CostIDs'!$C$5:$C$177,A1118),"&lt;from TechID&gt;")</f>
        <v>&lt;from TechID&gt;</v>
      </c>
      <c r="F1118" s="103" t="s">
        <v>860</v>
      </c>
      <c r="G1118" s="103" t="s">
        <v>151</v>
      </c>
      <c r="H1118" s="103" t="s">
        <v>861</v>
      </c>
      <c r="I1118" s="103" t="s">
        <v>862</v>
      </c>
      <c r="J1118" s="103" t="s">
        <v>863</v>
      </c>
      <c r="K1118" s="103" t="s">
        <v>864</v>
      </c>
      <c r="L1118" s="103" t="s">
        <v>153</v>
      </c>
      <c r="M1118" s="103" t="s">
        <v>865</v>
      </c>
      <c r="N1118" s="103" t="s">
        <v>866</v>
      </c>
      <c r="O1118" s="103" t="str">
        <f t="shared" si="58"/>
        <v>CFLscw-Dim(50w)</v>
      </c>
      <c r="P1118" s="103" t="s">
        <v>153</v>
      </c>
      <c r="Q1118" s="103" t="s">
        <v>153</v>
      </c>
      <c r="R1118" s="103" t="s">
        <v>153</v>
      </c>
      <c r="S1118" s="103" t="str">
        <f>INDEX('Measure &amp; Standard CostIDs'!$AK$8:$AK$12,B1118)</f>
        <v>Three-pack</v>
      </c>
      <c r="T1118" s="103" t="s">
        <v>867</v>
      </c>
      <c r="U1118" s="103"/>
      <c r="V1118" s="103"/>
      <c r="W1118" s="103">
        <f>ROUND(IF(LEFT(D1118,3)="Std",VLOOKUP(D1118,'Measure &amp; Standard CostIDs'!$S$5:$X$177,1+B1118,FALSE),VLOOKUP(D1118,'Measure &amp; Standard CostIDs'!$C$5:$H$177,1+B1118,FALSE)),2)</f>
        <v>13.64</v>
      </c>
      <c r="X1118" s="103"/>
      <c r="Y1118" s="103"/>
      <c r="Z1118" s="103" t="s">
        <v>868</v>
      </c>
      <c r="AA1118" s="103" t="s">
        <v>874</v>
      </c>
      <c r="AB1118" s="103" t="s">
        <v>153</v>
      </c>
      <c r="AC1118" s="103">
        <v>0</v>
      </c>
      <c r="AD1118" s="156">
        <v>42005</v>
      </c>
      <c r="AE1118" s="103"/>
      <c r="AF1118" s="103" t="s">
        <v>870</v>
      </c>
      <c r="AG1118" s="103" t="s">
        <v>871</v>
      </c>
      <c r="AH1118" s="103" t="s">
        <v>976</v>
      </c>
      <c r="AI1118" s="103">
        <v>0</v>
      </c>
      <c r="AJ1118" s="103"/>
      <c r="AK1118" s="103"/>
      <c r="AL1118" s="103"/>
      <c r="AM1118" s="103"/>
      <c r="AN1118" s="103"/>
      <c r="AO1118" s="103" t="str">
        <f t="shared" si="59"/>
        <v>CFLscw-Dim(50w)Three-pack</v>
      </c>
    </row>
    <row r="1119" spans="1:41">
      <c r="A1119" s="177">
        <f>IFERROR(MATCH(D1119,'Measure &amp; Standard CostIDs'!C$5:C$177,0),MATCH(D1119,'Measure &amp; Standard CostIDs'!S$5:S$177,0))</f>
        <v>125</v>
      </c>
      <c r="B1119" s="177">
        <f t="shared" si="61"/>
        <v>4</v>
      </c>
      <c r="C1119" s="103" t="s">
        <v>153</v>
      </c>
      <c r="D1119" s="103" t="str">
        <f t="shared" si="60"/>
        <v>CFLscw-Glb(10w)</v>
      </c>
      <c r="E1119" s="103" t="str">
        <f>IF(LEFT(D1119,3)="Std","Base case cost for mix of 60% Incandescent and 40% CFL lamps for CFL TechID: "&amp;INDEX('Measure &amp; Standard CostIDs'!$C$5:$C$177,A1119),"&lt;from TechID&gt;")</f>
        <v>&lt;from TechID&gt;</v>
      </c>
      <c r="F1119" s="103" t="s">
        <v>860</v>
      </c>
      <c r="G1119" s="103" t="s">
        <v>151</v>
      </c>
      <c r="H1119" s="103" t="s">
        <v>861</v>
      </c>
      <c r="I1119" s="103" t="s">
        <v>862</v>
      </c>
      <c r="J1119" s="103" t="s">
        <v>863</v>
      </c>
      <c r="K1119" s="103" t="s">
        <v>864</v>
      </c>
      <c r="L1119" s="103" t="s">
        <v>153</v>
      </c>
      <c r="M1119" s="103" t="s">
        <v>865</v>
      </c>
      <c r="N1119" s="103" t="s">
        <v>866</v>
      </c>
      <c r="O1119" s="103" t="str">
        <f t="shared" si="58"/>
        <v>CFLscw-Glb(10w)</v>
      </c>
      <c r="P1119" s="103" t="s">
        <v>153</v>
      </c>
      <c r="Q1119" s="103" t="s">
        <v>153</v>
      </c>
      <c r="R1119" s="103" t="s">
        <v>153</v>
      </c>
      <c r="S1119" s="103" t="str">
        <f>INDEX('Measure &amp; Standard CostIDs'!$AK$8:$AK$12,B1119)</f>
        <v>Three-pack</v>
      </c>
      <c r="T1119" s="103" t="s">
        <v>867</v>
      </c>
      <c r="U1119" s="103"/>
      <c r="V1119" s="103"/>
      <c r="W1119" s="103">
        <f>ROUND(IF(LEFT(D1119,3)="Std",VLOOKUP(D1119,'Measure &amp; Standard CostIDs'!$S$5:$X$177,1+B1119,FALSE),VLOOKUP(D1119,'Measure &amp; Standard CostIDs'!$C$5:$H$177,1+B1119,FALSE)),2)</f>
        <v>5.94</v>
      </c>
      <c r="X1119" s="103"/>
      <c r="Y1119" s="103"/>
      <c r="Z1119" s="103" t="s">
        <v>868</v>
      </c>
      <c r="AA1119" s="103" t="s">
        <v>874</v>
      </c>
      <c r="AB1119" s="103" t="s">
        <v>153</v>
      </c>
      <c r="AC1119" s="103">
        <v>0</v>
      </c>
      <c r="AD1119" s="156">
        <v>42005</v>
      </c>
      <c r="AE1119" s="103"/>
      <c r="AF1119" s="103" t="s">
        <v>870</v>
      </c>
      <c r="AG1119" s="103" t="s">
        <v>871</v>
      </c>
      <c r="AH1119" s="103" t="s">
        <v>976</v>
      </c>
      <c r="AI1119" s="103">
        <v>0</v>
      </c>
      <c r="AJ1119" s="103"/>
      <c r="AK1119" s="103"/>
      <c r="AL1119" s="103"/>
      <c r="AM1119" s="103"/>
      <c r="AN1119" s="103"/>
      <c r="AO1119" s="103" t="str">
        <f t="shared" si="59"/>
        <v>CFLscw-Glb(10w)Three-pack</v>
      </c>
    </row>
    <row r="1120" spans="1:41">
      <c r="A1120" s="177">
        <f>IFERROR(MATCH(D1120,'Measure &amp; Standard CostIDs'!C$5:C$177,0),MATCH(D1120,'Measure &amp; Standard CostIDs'!S$5:S$177,0))</f>
        <v>126</v>
      </c>
      <c r="B1120" s="177">
        <f t="shared" si="61"/>
        <v>4</v>
      </c>
      <c r="C1120" s="103" t="s">
        <v>153</v>
      </c>
      <c r="D1120" s="103" t="str">
        <f t="shared" si="60"/>
        <v>CFLscw-Glb(11w)</v>
      </c>
      <c r="E1120" s="103" t="str">
        <f>IF(LEFT(D1120,3)="Std","Base case cost for mix of 60% Incandescent and 40% CFL lamps for CFL TechID: "&amp;INDEX('Measure &amp; Standard CostIDs'!$C$5:$C$177,A1120),"&lt;from TechID&gt;")</f>
        <v>&lt;from TechID&gt;</v>
      </c>
      <c r="F1120" s="103" t="s">
        <v>860</v>
      </c>
      <c r="G1120" s="103" t="s">
        <v>151</v>
      </c>
      <c r="H1120" s="103" t="s">
        <v>861</v>
      </c>
      <c r="I1120" s="103" t="s">
        <v>862</v>
      </c>
      <c r="J1120" s="103" t="s">
        <v>863</v>
      </c>
      <c r="K1120" s="103" t="s">
        <v>864</v>
      </c>
      <c r="L1120" s="103" t="s">
        <v>153</v>
      </c>
      <c r="M1120" s="103" t="s">
        <v>865</v>
      </c>
      <c r="N1120" s="103" t="s">
        <v>866</v>
      </c>
      <c r="O1120" s="103" t="str">
        <f t="shared" si="58"/>
        <v>CFLscw-Glb(11w)</v>
      </c>
      <c r="P1120" s="103" t="s">
        <v>153</v>
      </c>
      <c r="Q1120" s="103" t="s">
        <v>153</v>
      </c>
      <c r="R1120" s="103" t="s">
        <v>153</v>
      </c>
      <c r="S1120" s="103" t="str">
        <f>INDEX('Measure &amp; Standard CostIDs'!$AK$8:$AK$12,B1120)</f>
        <v>Three-pack</v>
      </c>
      <c r="T1120" s="103" t="s">
        <v>867</v>
      </c>
      <c r="U1120" s="103"/>
      <c r="V1120" s="103"/>
      <c r="W1120" s="103">
        <f>ROUND(IF(LEFT(D1120,3)="Std",VLOOKUP(D1120,'Measure &amp; Standard CostIDs'!$S$5:$X$177,1+B1120,FALSE),VLOOKUP(D1120,'Measure &amp; Standard CostIDs'!$C$5:$H$177,1+B1120,FALSE)),2)</f>
        <v>5.91</v>
      </c>
      <c r="X1120" s="103"/>
      <c r="Y1120" s="103"/>
      <c r="Z1120" s="103" t="s">
        <v>868</v>
      </c>
      <c r="AA1120" s="103" t="s">
        <v>874</v>
      </c>
      <c r="AB1120" s="103" t="s">
        <v>153</v>
      </c>
      <c r="AC1120" s="103">
        <v>0</v>
      </c>
      <c r="AD1120" s="156">
        <v>42005</v>
      </c>
      <c r="AE1120" s="103"/>
      <c r="AF1120" s="103" t="s">
        <v>870</v>
      </c>
      <c r="AG1120" s="103" t="s">
        <v>871</v>
      </c>
      <c r="AH1120" s="103" t="s">
        <v>976</v>
      </c>
      <c r="AI1120" s="103">
        <v>0</v>
      </c>
      <c r="AJ1120" s="103"/>
      <c r="AK1120" s="103"/>
      <c r="AL1120" s="103"/>
      <c r="AM1120" s="103"/>
      <c r="AN1120" s="103"/>
      <c r="AO1120" s="103" t="str">
        <f t="shared" si="59"/>
        <v>CFLscw-Glb(11w)Three-pack</v>
      </c>
    </row>
    <row r="1121" spans="1:41">
      <c r="A1121" s="177">
        <f>IFERROR(MATCH(D1121,'Measure &amp; Standard CostIDs'!C$5:C$177,0),MATCH(D1121,'Measure &amp; Standard CostIDs'!S$5:S$177,0))</f>
        <v>127</v>
      </c>
      <c r="B1121" s="177">
        <f t="shared" si="61"/>
        <v>4</v>
      </c>
      <c r="C1121" s="103" t="s">
        <v>153</v>
      </c>
      <c r="D1121" s="103" t="str">
        <f t="shared" si="60"/>
        <v>CFLscw-Glb(12w)</v>
      </c>
      <c r="E1121" s="103" t="str">
        <f>IF(LEFT(D1121,3)="Std","Base case cost for mix of 60% Incandescent and 40% CFL lamps for CFL TechID: "&amp;INDEX('Measure &amp; Standard CostIDs'!$C$5:$C$177,A1121),"&lt;from TechID&gt;")</f>
        <v>&lt;from TechID&gt;</v>
      </c>
      <c r="F1121" s="103" t="s">
        <v>860</v>
      </c>
      <c r="G1121" s="103" t="s">
        <v>151</v>
      </c>
      <c r="H1121" s="103" t="s">
        <v>861</v>
      </c>
      <c r="I1121" s="103" t="s">
        <v>862</v>
      </c>
      <c r="J1121" s="103" t="s">
        <v>863</v>
      </c>
      <c r="K1121" s="103" t="s">
        <v>864</v>
      </c>
      <c r="L1121" s="103" t="s">
        <v>153</v>
      </c>
      <c r="M1121" s="103" t="s">
        <v>865</v>
      </c>
      <c r="N1121" s="103" t="s">
        <v>866</v>
      </c>
      <c r="O1121" s="103" t="str">
        <f t="shared" si="58"/>
        <v>CFLscw-Glb(12w)</v>
      </c>
      <c r="P1121" s="103" t="s">
        <v>153</v>
      </c>
      <c r="Q1121" s="103" t="s">
        <v>153</v>
      </c>
      <c r="R1121" s="103" t="s">
        <v>153</v>
      </c>
      <c r="S1121" s="103" t="str">
        <f>INDEX('Measure &amp; Standard CostIDs'!$AK$8:$AK$12,B1121)</f>
        <v>Three-pack</v>
      </c>
      <c r="T1121" s="103" t="s">
        <v>867</v>
      </c>
      <c r="U1121" s="103"/>
      <c r="V1121" s="103"/>
      <c r="W1121" s="103">
        <f>ROUND(IF(LEFT(D1121,3)="Std",VLOOKUP(D1121,'Measure &amp; Standard CostIDs'!$S$5:$X$177,1+B1121,FALSE),VLOOKUP(D1121,'Measure &amp; Standard CostIDs'!$C$5:$H$177,1+B1121,FALSE)),2)</f>
        <v>5.88</v>
      </c>
      <c r="X1121" s="103"/>
      <c r="Y1121" s="103"/>
      <c r="Z1121" s="103" t="s">
        <v>868</v>
      </c>
      <c r="AA1121" s="103" t="s">
        <v>874</v>
      </c>
      <c r="AB1121" s="103" t="s">
        <v>153</v>
      </c>
      <c r="AC1121" s="103">
        <v>0</v>
      </c>
      <c r="AD1121" s="156">
        <v>42005</v>
      </c>
      <c r="AE1121" s="103"/>
      <c r="AF1121" s="103" t="s">
        <v>870</v>
      </c>
      <c r="AG1121" s="103" t="s">
        <v>871</v>
      </c>
      <c r="AH1121" s="103" t="s">
        <v>976</v>
      </c>
      <c r="AI1121" s="103">
        <v>0</v>
      </c>
      <c r="AJ1121" s="103"/>
      <c r="AK1121" s="103"/>
      <c r="AL1121" s="103"/>
      <c r="AM1121" s="103"/>
      <c r="AN1121" s="103"/>
      <c r="AO1121" s="103" t="str">
        <f t="shared" si="59"/>
        <v>CFLscw-Glb(12w)Three-pack</v>
      </c>
    </row>
    <row r="1122" spans="1:41">
      <c r="A1122" s="177">
        <f>IFERROR(MATCH(D1122,'Measure &amp; Standard CostIDs'!C$5:C$177,0),MATCH(D1122,'Measure &amp; Standard CostIDs'!S$5:S$177,0))</f>
        <v>128</v>
      </c>
      <c r="B1122" s="177">
        <f t="shared" si="61"/>
        <v>4</v>
      </c>
      <c r="C1122" s="103" t="s">
        <v>153</v>
      </c>
      <c r="D1122" s="103" t="str">
        <f t="shared" si="60"/>
        <v>CFLscw-Glb(13w)</v>
      </c>
      <c r="E1122" s="103" t="str">
        <f>IF(LEFT(D1122,3)="Std","Base case cost for mix of 60% Incandescent and 40% CFL lamps for CFL TechID: "&amp;INDEX('Measure &amp; Standard CostIDs'!$C$5:$C$177,A1122),"&lt;from TechID&gt;")</f>
        <v>&lt;from TechID&gt;</v>
      </c>
      <c r="F1122" s="103" t="s">
        <v>860</v>
      </c>
      <c r="G1122" s="103" t="s">
        <v>151</v>
      </c>
      <c r="H1122" s="103" t="s">
        <v>861</v>
      </c>
      <c r="I1122" s="103" t="s">
        <v>862</v>
      </c>
      <c r="J1122" s="103" t="s">
        <v>863</v>
      </c>
      <c r="K1122" s="103" t="s">
        <v>864</v>
      </c>
      <c r="L1122" s="103" t="s">
        <v>153</v>
      </c>
      <c r="M1122" s="103" t="s">
        <v>865</v>
      </c>
      <c r="N1122" s="103" t="s">
        <v>866</v>
      </c>
      <c r="O1122" s="103" t="str">
        <f t="shared" si="58"/>
        <v>CFLscw-Glb(13w)</v>
      </c>
      <c r="P1122" s="103" t="s">
        <v>153</v>
      </c>
      <c r="Q1122" s="103" t="s">
        <v>153</v>
      </c>
      <c r="R1122" s="103" t="s">
        <v>153</v>
      </c>
      <c r="S1122" s="103" t="str">
        <f>INDEX('Measure &amp; Standard CostIDs'!$AK$8:$AK$12,B1122)</f>
        <v>Three-pack</v>
      </c>
      <c r="T1122" s="103" t="s">
        <v>867</v>
      </c>
      <c r="U1122" s="103"/>
      <c r="V1122" s="103"/>
      <c r="W1122" s="103">
        <f>ROUND(IF(LEFT(D1122,3)="Std",VLOOKUP(D1122,'Measure &amp; Standard CostIDs'!$S$5:$X$177,1+B1122,FALSE),VLOOKUP(D1122,'Measure &amp; Standard CostIDs'!$C$5:$H$177,1+B1122,FALSE)),2)</f>
        <v>5.86</v>
      </c>
      <c r="X1122" s="103"/>
      <c r="Y1122" s="103"/>
      <c r="Z1122" s="103" t="s">
        <v>868</v>
      </c>
      <c r="AA1122" s="103" t="s">
        <v>874</v>
      </c>
      <c r="AB1122" s="103" t="s">
        <v>153</v>
      </c>
      <c r="AC1122" s="103">
        <v>0</v>
      </c>
      <c r="AD1122" s="156">
        <v>42005</v>
      </c>
      <c r="AE1122" s="103"/>
      <c r="AF1122" s="103" t="s">
        <v>870</v>
      </c>
      <c r="AG1122" s="103" t="s">
        <v>871</v>
      </c>
      <c r="AH1122" s="103" t="s">
        <v>976</v>
      </c>
      <c r="AI1122" s="103">
        <v>0</v>
      </c>
      <c r="AJ1122" s="103"/>
      <c r="AK1122" s="103"/>
      <c r="AL1122" s="103"/>
      <c r="AM1122" s="103"/>
      <c r="AN1122" s="103"/>
      <c r="AO1122" s="103" t="str">
        <f t="shared" si="59"/>
        <v>CFLscw-Glb(13w)Three-pack</v>
      </c>
    </row>
    <row r="1123" spans="1:41">
      <c r="A1123" s="177">
        <f>IFERROR(MATCH(D1123,'Measure &amp; Standard CostIDs'!C$5:C$177,0),MATCH(D1123,'Measure &amp; Standard CostIDs'!S$5:S$177,0))</f>
        <v>129</v>
      </c>
      <c r="B1123" s="177">
        <f t="shared" si="61"/>
        <v>4</v>
      </c>
      <c r="C1123" s="103" t="s">
        <v>153</v>
      </c>
      <c r="D1123" s="103" t="str">
        <f t="shared" si="60"/>
        <v>CFLscw-Glb(14w)</v>
      </c>
      <c r="E1123" s="103" t="str">
        <f>IF(LEFT(D1123,3)="Std","Base case cost for mix of 60% Incandescent and 40% CFL lamps for CFL TechID: "&amp;INDEX('Measure &amp; Standard CostIDs'!$C$5:$C$177,A1123),"&lt;from TechID&gt;")</f>
        <v>&lt;from TechID&gt;</v>
      </c>
      <c r="F1123" s="103" t="s">
        <v>860</v>
      </c>
      <c r="G1123" s="103" t="s">
        <v>151</v>
      </c>
      <c r="H1123" s="103" t="s">
        <v>861</v>
      </c>
      <c r="I1123" s="103" t="s">
        <v>862</v>
      </c>
      <c r="J1123" s="103" t="s">
        <v>863</v>
      </c>
      <c r="K1123" s="103" t="s">
        <v>864</v>
      </c>
      <c r="L1123" s="103" t="s">
        <v>153</v>
      </c>
      <c r="M1123" s="103" t="s">
        <v>865</v>
      </c>
      <c r="N1123" s="103" t="s">
        <v>866</v>
      </c>
      <c r="O1123" s="103" t="str">
        <f t="shared" si="58"/>
        <v>CFLscw-Glb(14w)</v>
      </c>
      <c r="P1123" s="103" t="s">
        <v>153</v>
      </c>
      <c r="Q1123" s="103" t="s">
        <v>153</v>
      </c>
      <c r="R1123" s="103" t="s">
        <v>153</v>
      </c>
      <c r="S1123" s="103" t="str">
        <f>INDEX('Measure &amp; Standard CostIDs'!$AK$8:$AK$12,B1123)</f>
        <v>Three-pack</v>
      </c>
      <c r="T1123" s="103" t="s">
        <v>867</v>
      </c>
      <c r="U1123" s="103"/>
      <c r="V1123" s="103"/>
      <c r="W1123" s="103">
        <f>ROUND(IF(LEFT(D1123,3)="Std",VLOOKUP(D1123,'Measure &amp; Standard CostIDs'!$S$5:$X$177,1+B1123,FALSE),VLOOKUP(D1123,'Measure &amp; Standard CostIDs'!$C$5:$H$177,1+B1123,FALSE)),2)</f>
        <v>5.83</v>
      </c>
      <c r="X1123" s="103"/>
      <c r="Y1123" s="103"/>
      <c r="Z1123" s="103" t="s">
        <v>868</v>
      </c>
      <c r="AA1123" s="103" t="s">
        <v>874</v>
      </c>
      <c r="AB1123" s="103" t="s">
        <v>153</v>
      </c>
      <c r="AC1123" s="103">
        <v>0</v>
      </c>
      <c r="AD1123" s="156">
        <v>42005</v>
      </c>
      <c r="AE1123" s="103"/>
      <c r="AF1123" s="103" t="s">
        <v>870</v>
      </c>
      <c r="AG1123" s="103" t="s">
        <v>871</v>
      </c>
      <c r="AH1123" s="103" t="s">
        <v>976</v>
      </c>
      <c r="AI1123" s="103">
        <v>0</v>
      </c>
      <c r="AJ1123" s="103"/>
      <c r="AK1123" s="103"/>
      <c r="AL1123" s="103"/>
      <c r="AM1123" s="103"/>
      <c r="AN1123" s="103"/>
      <c r="AO1123" s="103" t="str">
        <f t="shared" si="59"/>
        <v>CFLscw-Glb(14w)Three-pack</v>
      </c>
    </row>
    <row r="1124" spans="1:41">
      <c r="A1124" s="177">
        <f>IFERROR(MATCH(D1124,'Measure &amp; Standard CostIDs'!C$5:C$177,0),MATCH(D1124,'Measure &amp; Standard CostIDs'!S$5:S$177,0))</f>
        <v>130</v>
      </c>
      <c r="B1124" s="177">
        <f t="shared" si="61"/>
        <v>4</v>
      </c>
      <c r="C1124" s="103" t="s">
        <v>153</v>
      </c>
      <c r="D1124" s="103" t="str">
        <f t="shared" si="60"/>
        <v>CFLscw-Glb(15w)</v>
      </c>
      <c r="E1124" s="103" t="str">
        <f>IF(LEFT(D1124,3)="Std","Base case cost for mix of 60% Incandescent and 40% CFL lamps for CFL TechID: "&amp;INDEX('Measure &amp; Standard CostIDs'!$C$5:$C$177,A1124),"&lt;from TechID&gt;")</f>
        <v>&lt;from TechID&gt;</v>
      </c>
      <c r="F1124" s="103" t="s">
        <v>860</v>
      </c>
      <c r="G1124" s="103" t="s">
        <v>151</v>
      </c>
      <c r="H1124" s="103" t="s">
        <v>861</v>
      </c>
      <c r="I1124" s="103" t="s">
        <v>862</v>
      </c>
      <c r="J1124" s="103" t="s">
        <v>863</v>
      </c>
      <c r="K1124" s="103" t="s">
        <v>864</v>
      </c>
      <c r="L1124" s="103" t="s">
        <v>153</v>
      </c>
      <c r="M1124" s="103" t="s">
        <v>865</v>
      </c>
      <c r="N1124" s="103" t="s">
        <v>866</v>
      </c>
      <c r="O1124" s="103" t="str">
        <f t="shared" si="58"/>
        <v>CFLscw-Glb(15w)</v>
      </c>
      <c r="P1124" s="103" t="s">
        <v>153</v>
      </c>
      <c r="Q1124" s="103" t="s">
        <v>153</v>
      </c>
      <c r="R1124" s="103" t="s">
        <v>153</v>
      </c>
      <c r="S1124" s="103" t="str">
        <f>INDEX('Measure &amp; Standard CostIDs'!$AK$8:$AK$12,B1124)</f>
        <v>Three-pack</v>
      </c>
      <c r="T1124" s="103" t="s">
        <v>867</v>
      </c>
      <c r="U1124" s="103"/>
      <c r="V1124" s="103"/>
      <c r="W1124" s="103">
        <f>ROUND(IF(LEFT(D1124,3)="Std",VLOOKUP(D1124,'Measure &amp; Standard CostIDs'!$S$5:$X$177,1+B1124,FALSE),VLOOKUP(D1124,'Measure &amp; Standard CostIDs'!$C$5:$H$177,1+B1124,FALSE)),2)</f>
        <v>5.81</v>
      </c>
      <c r="X1124" s="103"/>
      <c r="Y1124" s="103"/>
      <c r="Z1124" s="103" t="s">
        <v>868</v>
      </c>
      <c r="AA1124" s="103" t="s">
        <v>874</v>
      </c>
      <c r="AB1124" s="103" t="s">
        <v>153</v>
      </c>
      <c r="AC1124" s="103">
        <v>0</v>
      </c>
      <c r="AD1124" s="156">
        <v>42005</v>
      </c>
      <c r="AE1124" s="103"/>
      <c r="AF1124" s="103" t="s">
        <v>870</v>
      </c>
      <c r="AG1124" s="103" t="s">
        <v>871</v>
      </c>
      <c r="AH1124" s="103" t="s">
        <v>976</v>
      </c>
      <c r="AI1124" s="103">
        <v>0</v>
      </c>
      <c r="AJ1124" s="103"/>
      <c r="AK1124" s="103"/>
      <c r="AL1124" s="103"/>
      <c r="AM1124" s="103"/>
      <c r="AN1124" s="103"/>
      <c r="AO1124" s="103" t="str">
        <f t="shared" si="59"/>
        <v>CFLscw-Glb(15w)Three-pack</v>
      </c>
    </row>
    <row r="1125" spans="1:41">
      <c r="A1125" s="177">
        <f>IFERROR(MATCH(D1125,'Measure &amp; Standard CostIDs'!C$5:C$177,0),MATCH(D1125,'Measure &amp; Standard CostIDs'!S$5:S$177,0))</f>
        <v>131</v>
      </c>
      <c r="B1125" s="177">
        <f t="shared" si="61"/>
        <v>4</v>
      </c>
      <c r="C1125" s="103" t="s">
        <v>153</v>
      </c>
      <c r="D1125" s="103" t="str">
        <f t="shared" si="60"/>
        <v>CFLscw-Glb(16w)</v>
      </c>
      <c r="E1125" s="103" t="str">
        <f>IF(LEFT(D1125,3)="Std","Base case cost for mix of 60% Incandescent and 40% CFL lamps for CFL TechID: "&amp;INDEX('Measure &amp; Standard CostIDs'!$C$5:$C$177,A1125),"&lt;from TechID&gt;")</f>
        <v>&lt;from TechID&gt;</v>
      </c>
      <c r="F1125" s="103" t="s">
        <v>860</v>
      </c>
      <c r="G1125" s="103" t="s">
        <v>151</v>
      </c>
      <c r="H1125" s="103" t="s">
        <v>861</v>
      </c>
      <c r="I1125" s="103" t="s">
        <v>862</v>
      </c>
      <c r="J1125" s="103" t="s">
        <v>863</v>
      </c>
      <c r="K1125" s="103" t="s">
        <v>864</v>
      </c>
      <c r="L1125" s="103" t="s">
        <v>153</v>
      </c>
      <c r="M1125" s="103" t="s">
        <v>865</v>
      </c>
      <c r="N1125" s="103" t="s">
        <v>866</v>
      </c>
      <c r="O1125" s="103" t="str">
        <f t="shared" si="58"/>
        <v>CFLscw-Glb(16w)</v>
      </c>
      <c r="P1125" s="103" t="s">
        <v>153</v>
      </c>
      <c r="Q1125" s="103" t="s">
        <v>153</v>
      </c>
      <c r="R1125" s="103" t="s">
        <v>153</v>
      </c>
      <c r="S1125" s="103" t="str">
        <f>INDEX('Measure &amp; Standard CostIDs'!$AK$8:$AK$12,B1125)</f>
        <v>Three-pack</v>
      </c>
      <c r="T1125" s="103" t="s">
        <v>867</v>
      </c>
      <c r="U1125" s="103"/>
      <c r="V1125" s="103"/>
      <c r="W1125" s="103">
        <f>ROUND(IF(LEFT(D1125,3)="Std",VLOOKUP(D1125,'Measure &amp; Standard CostIDs'!$S$5:$X$177,1+B1125,FALSE),VLOOKUP(D1125,'Measure &amp; Standard CostIDs'!$C$5:$H$177,1+B1125,FALSE)),2)</f>
        <v>5.78</v>
      </c>
      <c r="X1125" s="103"/>
      <c r="Y1125" s="103"/>
      <c r="Z1125" s="103" t="s">
        <v>868</v>
      </c>
      <c r="AA1125" s="103" t="s">
        <v>874</v>
      </c>
      <c r="AB1125" s="103" t="s">
        <v>153</v>
      </c>
      <c r="AC1125" s="103">
        <v>0</v>
      </c>
      <c r="AD1125" s="156">
        <v>42005</v>
      </c>
      <c r="AE1125" s="103"/>
      <c r="AF1125" s="103" t="s">
        <v>870</v>
      </c>
      <c r="AG1125" s="103" t="s">
        <v>871</v>
      </c>
      <c r="AH1125" s="103" t="s">
        <v>976</v>
      </c>
      <c r="AI1125" s="103">
        <v>0</v>
      </c>
      <c r="AJ1125" s="103"/>
      <c r="AK1125" s="103"/>
      <c r="AL1125" s="103"/>
      <c r="AM1125" s="103"/>
      <c r="AN1125" s="103"/>
      <c r="AO1125" s="103" t="str">
        <f t="shared" si="59"/>
        <v>CFLscw-Glb(16w)Three-pack</v>
      </c>
    </row>
    <row r="1126" spans="1:41">
      <c r="A1126" s="177">
        <f>IFERROR(MATCH(D1126,'Measure &amp; Standard CostIDs'!C$5:C$177,0),MATCH(D1126,'Measure &amp; Standard CostIDs'!S$5:S$177,0))</f>
        <v>132</v>
      </c>
      <c r="B1126" s="177">
        <f t="shared" si="61"/>
        <v>4</v>
      </c>
      <c r="C1126" s="103" t="s">
        <v>153</v>
      </c>
      <c r="D1126" s="103" t="str">
        <f t="shared" si="60"/>
        <v>CFLscw-Glb(18w)</v>
      </c>
      <c r="E1126" s="103" t="str">
        <f>IF(LEFT(D1126,3)="Std","Base case cost for mix of 60% Incandescent and 40% CFL lamps for CFL TechID: "&amp;INDEX('Measure &amp; Standard CostIDs'!$C$5:$C$177,A1126),"&lt;from TechID&gt;")</f>
        <v>&lt;from TechID&gt;</v>
      </c>
      <c r="F1126" s="103" t="s">
        <v>860</v>
      </c>
      <c r="G1126" s="103" t="s">
        <v>151</v>
      </c>
      <c r="H1126" s="103" t="s">
        <v>861</v>
      </c>
      <c r="I1126" s="103" t="s">
        <v>862</v>
      </c>
      <c r="J1126" s="103" t="s">
        <v>863</v>
      </c>
      <c r="K1126" s="103" t="s">
        <v>864</v>
      </c>
      <c r="L1126" s="103" t="s">
        <v>153</v>
      </c>
      <c r="M1126" s="103" t="s">
        <v>865</v>
      </c>
      <c r="N1126" s="103" t="s">
        <v>866</v>
      </c>
      <c r="O1126" s="103" t="str">
        <f t="shared" si="58"/>
        <v>CFLscw-Glb(18w)</v>
      </c>
      <c r="P1126" s="103" t="s">
        <v>153</v>
      </c>
      <c r="Q1126" s="103" t="s">
        <v>153</v>
      </c>
      <c r="R1126" s="103" t="s">
        <v>153</v>
      </c>
      <c r="S1126" s="103" t="str">
        <f>INDEX('Measure &amp; Standard CostIDs'!$AK$8:$AK$12,B1126)</f>
        <v>Three-pack</v>
      </c>
      <c r="T1126" s="103" t="s">
        <v>867</v>
      </c>
      <c r="U1126" s="103"/>
      <c r="V1126" s="103"/>
      <c r="W1126" s="103">
        <f>ROUND(IF(LEFT(D1126,3)="Std",VLOOKUP(D1126,'Measure &amp; Standard CostIDs'!$S$5:$X$177,1+B1126,FALSE),VLOOKUP(D1126,'Measure &amp; Standard CostIDs'!$C$5:$H$177,1+B1126,FALSE)),2)</f>
        <v>5.73</v>
      </c>
      <c r="X1126" s="103"/>
      <c r="Y1126" s="103"/>
      <c r="Z1126" s="103" t="s">
        <v>868</v>
      </c>
      <c r="AA1126" s="103" t="s">
        <v>874</v>
      </c>
      <c r="AB1126" s="103" t="s">
        <v>153</v>
      </c>
      <c r="AC1126" s="103">
        <v>0</v>
      </c>
      <c r="AD1126" s="156">
        <v>42005</v>
      </c>
      <c r="AE1126" s="103"/>
      <c r="AF1126" s="103" t="s">
        <v>870</v>
      </c>
      <c r="AG1126" s="103" t="s">
        <v>871</v>
      </c>
      <c r="AH1126" s="103" t="s">
        <v>976</v>
      </c>
      <c r="AI1126" s="103">
        <v>0</v>
      </c>
      <c r="AJ1126" s="103"/>
      <c r="AK1126" s="103"/>
      <c r="AL1126" s="103"/>
      <c r="AM1126" s="103"/>
      <c r="AN1126" s="103"/>
      <c r="AO1126" s="103" t="str">
        <f t="shared" si="59"/>
        <v>CFLscw-Glb(18w)Three-pack</v>
      </c>
    </row>
    <row r="1127" spans="1:41">
      <c r="A1127" s="177">
        <f>IFERROR(MATCH(D1127,'Measure &amp; Standard CostIDs'!C$5:C$177,0),MATCH(D1127,'Measure &amp; Standard CostIDs'!S$5:S$177,0))</f>
        <v>133</v>
      </c>
      <c r="B1127" s="177">
        <f t="shared" si="61"/>
        <v>4</v>
      </c>
      <c r="C1127" s="103" t="s">
        <v>153</v>
      </c>
      <c r="D1127" s="103" t="str">
        <f t="shared" si="60"/>
        <v>CFLscw-Glb(19w)</v>
      </c>
      <c r="E1127" s="103" t="str">
        <f>IF(LEFT(D1127,3)="Std","Base case cost for mix of 60% Incandescent and 40% CFL lamps for CFL TechID: "&amp;INDEX('Measure &amp; Standard CostIDs'!$C$5:$C$177,A1127),"&lt;from TechID&gt;")</f>
        <v>&lt;from TechID&gt;</v>
      </c>
      <c r="F1127" s="103" t="s">
        <v>860</v>
      </c>
      <c r="G1127" s="103" t="s">
        <v>151</v>
      </c>
      <c r="H1127" s="103" t="s">
        <v>861</v>
      </c>
      <c r="I1127" s="103" t="s">
        <v>862</v>
      </c>
      <c r="J1127" s="103" t="s">
        <v>863</v>
      </c>
      <c r="K1127" s="103" t="s">
        <v>864</v>
      </c>
      <c r="L1127" s="103" t="s">
        <v>153</v>
      </c>
      <c r="M1127" s="103" t="s">
        <v>865</v>
      </c>
      <c r="N1127" s="103" t="s">
        <v>866</v>
      </c>
      <c r="O1127" s="103" t="str">
        <f t="shared" si="58"/>
        <v>CFLscw-Glb(19w)</v>
      </c>
      <c r="P1127" s="103" t="s">
        <v>153</v>
      </c>
      <c r="Q1127" s="103" t="s">
        <v>153</v>
      </c>
      <c r="R1127" s="103" t="s">
        <v>153</v>
      </c>
      <c r="S1127" s="103" t="str">
        <f>INDEX('Measure &amp; Standard CostIDs'!$AK$8:$AK$12,B1127)</f>
        <v>Three-pack</v>
      </c>
      <c r="T1127" s="103" t="s">
        <v>867</v>
      </c>
      <c r="U1127" s="103"/>
      <c r="V1127" s="103"/>
      <c r="W1127" s="103">
        <f>ROUND(IF(LEFT(D1127,3)="Std",VLOOKUP(D1127,'Measure &amp; Standard CostIDs'!$S$5:$X$177,1+B1127,FALSE),VLOOKUP(D1127,'Measure &amp; Standard CostIDs'!$C$5:$H$177,1+B1127,FALSE)),2)</f>
        <v>5.7</v>
      </c>
      <c r="X1127" s="103"/>
      <c r="Y1127" s="103"/>
      <c r="Z1127" s="103" t="s">
        <v>868</v>
      </c>
      <c r="AA1127" s="103" t="s">
        <v>874</v>
      </c>
      <c r="AB1127" s="103" t="s">
        <v>153</v>
      </c>
      <c r="AC1127" s="103">
        <v>0</v>
      </c>
      <c r="AD1127" s="156">
        <v>42005</v>
      </c>
      <c r="AE1127" s="103"/>
      <c r="AF1127" s="103" t="s">
        <v>870</v>
      </c>
      <c r="AG1127" s="103" t="s">
        <v>871</v>
      </c>
      <c r="AH1127" s="103" t="s">
        <v>976</v>
      </c>
      <c r="AI1127" s="103">
        <v>0</v>
      </c>
      <c r="AJ1127" s="103"/>
      <c r="AK1127" s="103"/>
      <c r="AL1127" s="103"/>
      <c r="AM1127" s="103"/>
      <c r="AN1127" s="103"/>
      <c r="AO1127" s="103" t="str">
        <f t="shared" si="59"/>
        <v>CFLscw-Glb(19w)Three-pack</v>
      </c>
    </row>
    <row r="1128" spans="1:41">
      <c r="A1128" s="177">
        <f>IFERROR(MATCH(D1128,'Measure &amp; Standard CostIDs'!C$5:C$177,0),MATCH(D1128,'Measure &amp; Standard CostIDs'!S$5:S$177,0))</f>
        <v>134</v>
      </c>
      <c r="B1128" s="177">
        <f t="shared" si="61"/>
        <v>4</v>
      </c>
      <c r="C1128" s="103" t="s">
        <v>153</v>
      </c>
      <c r="D1128" s="103" t="str">
        <f t="shared" si="60"/>
        <v>CFLscw-Glb(20w)</v>
      </c>
      <c r="E1128" s="103" t="str">
        <f>IF(LEFT(D1128,3)="Std","Base case cost for mix of 60% Incandescent and 40% CFL lamps for CFL TechID: "&amp;INDEX('Measure &amp; Standard CostIDs'!$C$5:$C$177,A1128),"&lt;from TechID&gt;")</f>
        <v>&lt;from TechID&gt;</v>
      </c>
      <c r="F1128" s="103" t="s">
        <v>860</v>
      </c>
      <c r="G1128" s="103" t="s">
        <v>151</v>
      </c>
      <c r="H1128" s="103" t="s">
        <v>861</v>
      </c>
      <c r="I1128" s="103" t="s">
        <v>862</v>
      </c>
      <c r="J1128" s="103" t="s">
        <v>863</v>
      </c>
      <c r="K1128" s="103" t="s">
        <v>864</v>
      </c>
      <c r="L1128" s="103" t="s">
        <v>153</v>
      </c>
      <c r="M1128" s="103" t="s">
        <v>865</v>
      </c>
      <c r="N1128" s="103" t="s">
        <v>866</v>
      </c>
      <c r="O1128" s="103" t="str">
        <f t="shared" si="58"/>
        <v>CFLscw-Glb(20w)</v>
      </c>
      <c r="P1128" s="103" t="s">
        <v>153</v>
      </c>
      <c r="Q1128" s="103" t="s">
        <v>153</v>
      </c>
      <c r="R1128" s="103" t="s">
        <v>153</v>
      </c>
      <c r="S1128" s="103" t="str">
        <f>INDEX('Measure &amp; Standard CostIDs'!$AK$8:$AK$12,B1128)</f>
        <v>Three-pack</v>
      </c>
      <c r="T1128" s="103" t="s">
        <v>867</v>
      </c>
      <c r="U1128" s="103"/>
      <c r="V1128" s="103"/>
      <c r="W1128" s="103">
        <f>ROUND(IF(LEFT(D1128,3)="Std",VLOOKUP(D1128,'Measure &amp; Standard CostIDs'!$S$5:$X$177,1+B1128,FALSE),VLOOKUP(D1128,'Measure &amp; Standard CostIDs'!$C$5:$H$177,1+B1128,FALSE)),2)</f>
        <v>5.67</v>
      </c>
      <c r="X1128" s="103"/>
      <c r="Y1128" s="103"/>
      <c r="Z1128" s="103" t="s">
        <v>868</v>
      </c>
      <c r="AA1128" s="103" t="s">
        <v>874</v>
      </c>
      <c r="AB1128" s="103" t="s">
        <v>153</v>
      </c>
      <c r="AC1128" s="103">
        <v>0</v>
      </c>
      <c r="AD1128" s="156">
        <v>42005</v>
      </c>
      <c r="AE1128" s="103"/>
      <c r="AF1128" s="103" t="s">
        <v>870</v>
      </c>
      <c r="AG1128" s="103" t="s">
        <v>871</v>
      </c>
      <c r="AH1128" s="103" t="s">
        <v>976</v>
      </c>
      <c r="AI1128" s="103">
        <v>0</v>
      </c>
      <c r="AJ1128" s="103"/>
      <c r="AK1128" s="103"/>
      <c r="AL1128" s="103"/>
      <c r="AM1128" s="103"/>
      <c r="AN1128" s="103"/>
      <c r="AO1128" s="103" t="str">
        <f t="shared" si="59"/>
        <v>CFLscw-Glb(20w)Three-pack</v>
      </c>
    </row>
    <row r="1129" spans="1:41">
      <c r="A1129" s="177">
        <f>IFERROR(MATCH(D1129,'Measure &amp; Standard CostIDs'!C$5:C$177,0),MATCH(D1129,'Measure &amp; Standard CostIDs'!S$5:S$177,0))</f>
        <v>135</v>
      </c>
      <c r="B1129" s="177">
        <f t="shared" si="61"/>
        <v>4</v>
      </c>
      <c r="C1129" s="103" t="s">
        <v>153</v>
      </c>
      <c r="D1129" s="103" t="str">
        <f t="shared" si="60"/>
        <v>CFLscw-Glb(22w)</v>
      </c>
      <c r="E1129" s="103" t="str">
        <f>IF(LEFT(D1129,3)="Std","Base case cost for mix of 60% Incandescent and 40% CFL lamps for CFL TechID: "&amp;INDEX('Measure &amp; Standard CostIDs'!$C$5:$C$177,A1129),"&lt;from TechID&gt;")</f>
        <v>&lt;from TechID&gt;</v>
      </c>
      <c r="F1129" s="103" t="s">
        <v>860</v>
      </c>
      <c r="G1129" s="103" t="s">
        <v>151</v>
      </c>
      <c r="H1129" s="103" t="s">
        <v>861</v>
      </c>
      <c r="I1129" s="103" t="s">
        <v>862</v>
      </c>
      <c r="J1129" s="103" t="s">
        <v>863</v>
      </c>
      <c r="K1129" s="103" t="s">
        <v>864</v>
      </c>
      <c r="L1129" s="103" t="s">
        <v>153</v>
      </c>
      <c r="M1129" s="103" t="s">
        <v>865</v>
      </c>
      <c r="N1129" s="103" t="s">
        <v>866</v>
      </c>
      <c r="O1129" s="103" t="str">
        <f t="shared" si="58"/>
        <v>CFLscw-Glb(22w)</v>
      </c>
      <c r="P1129" s="103" t="s">
        <v>153</v>
      </c>
      <c r="Q1129" s="103" t="s">
        <v>153</v>
      </c>
      <c r="R1129" s="103" t="s">
        <v>153</v>
      </c>
      <c r="S1129" s="103" t="str">
        <f>INDEX('Measure &amp; Standard CostIDs'!$AK$8:$AK$12,B1129)</f>
        <v>Three-pack</v>
      </c>
      <c r="T1129" s="103" t="s">
        <v>867</v>
      </c>
      <c r="U1129" s="103"/>
      <c r="V1129" s="103"/>
      <c r="W1129" s="103">
        <f>ROUND(IF(LEFT(D1129,3)="Std",VLOOKUP(D1129,'Measure &amp; Standard CostIDs'!$S$5:$X$177,1+B1129,FALSE),VLOOKUP(D1129,'Measure &amp; Standard CostIDs'!$C$5:$H$177,1+B1129,FALSE)),2)</f>
        <v>5.62</v>
      </c>
      <c r="X1129" s="103"/>
      <c r="Y1129" s="103"/>
      <c r="Z1129" s="103" t="s">
        <v>868</v>
      </c>
      <c r="AA1129" s="103" t="s">
        <v>874</v>
      </c>
      <c r="AB1129" s="103" t="s">
        <v>153</v>
      </c>
      <c r="AC1129" s="103">
        <v>0</v>
      </c>
      <c r="AD1129" s="156">
        <v>42005</v>
      </c>
      <c r="AE1129" s="103"/>
      <c r="AF1129" s="103" t="s">
        <v>870</v>
      </c>
      <c r="AG1129" s="103" t="s">
        <v>871</v>
      </c>
      <c r="AH1129" s="103" t="s">
        <v>976</v>
      </c>
      <c r="AI1129" s="103">
        <v>0</v>
      </c>
      <c r="AJ1129" s="103"/>
      <c r="AK1129" s="103"/>
      <c r="AL1129" s="103"/>
      <c r="AM1129" s="103"/>
      <c r="AN1129" s="103"/>
      <c r="AO1129" s="103" t="str">
        <f t="shared" si="59"/>
        <v>CFLscw-Glb(22w)Three-pack</v>
      </c>
    </row>
    <row r="1130" spans="1:41">
      <c r="A1130" s="177">
        <f>IFERROR(MATCH(D1130,'Measure &amp; Standard CostIDs'!C$5:C$177,0),MATCH(D1130,'Measure &amp; Standard CostIDs'!S$5:S$177,0))</f>
        <v>136</v>
      </c>
      <c r="B1130" s="177">
        <f t="shared" si="61"/>
        <v>4</v>
      </c>
      <c r="C1130" s="103" t="s">
        <v>153</v>
      </c>
      <c r="D1130" s="103" t="str">
        <f t="shared" si="60"/>
        <v>CFLscw-Glb(23w)</v>
      </c>
      <c r="E1130" s="103" t="str">
        <f>IF(LEFT(D1130,3)="Std","Base case cost for mix of 60% Incandescent and 40% CFL lamps for CFL TechID: "&amp;INDEX('Measure &amp; Standard CostIDs'!$C$5:$C$177,A1130),"&lt;from TechID&gt;")</f>
        <v>&lt;from TechID&gt;</v>
      </c>
      <c r="F1130" s="103" t="s">
        <v>860</v>
      </c>
      <c r="G1130" s="103" t="s">
        <v>151</v>
      </c>
      <c r="H1130" s="103" t="s">
        <v>861</v>
      </c>
      <c r="I1130" s="103" t="s">
        <v>862</v>
      </c>
      <c r="J1130" s="103" t="s">
        <v>863</v>
      </c>
      <c r="K1130" s="103" t="s">
        <v>864</v>
      </c>
      <c r="L1130" s="103" t="s">
        <v>153</v>
      </c>
      <c r="M1130" s="103" t="s">
        <v>865</v>
      </c>
      <c r="N1130" s="103" t="s">
        <v>866</v>
      </c>
      <c r="O1130" s="103" t="str">
        <f t="shared" si="58"/>
        <v>CFLscw-Glb(23w)</v>
      </c>
      <c r="P1130" s="103" t="s">
        <v>153</v>
      </c>
      <c r="Q1130" s="103" t="s">
        <v>153</v>
      </c>
      <c r="R1130" s="103" t="s">
        <v>153</v>
      </c>
      <c r="S1130" s="103" t="str">
        <f>INDEX('Measure &amp; Standard CostIDs'!$AK$8:$AK$12,B1130)</f>
        <v>Three-pack</v>
      </c>
      <c r="T1130" s="103" t="s">
        <v>867</v>
      </c>
      <c r="U1130" s="103"/>
      <c r="V1130" s="103"/>
      <c r="W1130" s="103">
        <f>ROUND(IF(LEFT(D1130,3)="Std",VLOOKUP(D1130,'Measure &amp; Standard CostIDs'!$S$5:$X$177,1+B1130,FALSE),VLOOKUP(D1130,'Measure &amp; Standard CostIDs'!$C$5:$H$177,1+B1130,FALSE)),2)</f>
        <v>5.6</v>
      </c>
      <c r="X1130" s="103"/>
      <c r="Y1130" s="103"/>
      <c r="Z1130" s="103" t="s">
        <v>868</v>
      </c>
      <c r="AA1130" s="103" t="s">
        <v>874</v>
      </c>
      <c r="AB1130" s="103" t="s">
        <v>153</v>
      </c>
      <c r="AC1130" s="103">
        <v>0</v>
      </c>
      <c r="AD1130" s="156">
        <v>42005</v>
      </c>
      <c r="AE1130" s="103"/>
      <c r="AF1130" s="103" t="s">
        <v>870</v>
      </c>
      <c r="AG1130" s="103" t="s">
        <v>871</v>
      </c>
      <c r="AH1130" s="103" t="s">
        <v>976</v>
      </c>
      <c r="AI1130" s="103">
        <v>0</v>
      </c>
      <c r="AJ1130" s="103"/>
      <c r="AK1130" s="103"/>
      <c r="AL1130" s="103"/>
      <c r="AM1130" s="103"/>
      <c r="AN1130" s="103"/>
      <c r="AO1130" s="103" t="str">
        <f t="shared" si="59"/>
        <v>CFLscw-Glb(23w)Three-pack</v>
      </c>
    </row>
    <row r="1131" spans="1:41">
      <c r="A1131" s="177">
        <f>IFERROR(MATCH(D1131,'Measure &amp; Standard CostIDs'!C$5:C$177,0),MATCH(D1131,'Measure &amp; Standard CostIDs'!S$5:S$177,0))</f>
        <v>137</v>
      </c>
      <c r="B1131" s="177">
        <f t="shared" si="61"/>
        <v>4</v>
      </c>
      <c r="C1131" s="103" t="s">
        <v>153</v>
      </c>
      <c r="D1131" s="103" t="str">
        <f t="shared" si="60"/>
        <v>CFLscw-Glb(9w)</v>
      </c>
      <c r="E1131" s="103" t="str">
        <f>IF(LEFT(D1131,3)="Std","Base case cost for mix of 60% Incandescent and 40% CFL lamps for CFL TechID: "&amp;INDEX('Measure &amp; Standard CostIDs'!$C$5:$C$177,A1131),"&lt;from TechID&gt;")</f>
        <v>&lt;from TechID&gt;</v>
      </c>
      <c r="F1131" s="103" t="s">
        <v>860</v>
      </c>
      <c r="G1131" s="103" t="s">
        <v>151</v>
      </c>
      <c r="H1131" s="103" t="s">
        <v>861</v>
      </c>
      <c r="I1131" s="103" t="s">
        <v>862</v>
      </c>
      <c r="J1131" s="103" t="s">
        <v>863</v>
      </c>
      <c r="K1131" s="103" t="s">
        <v>864</v>
      </c>
      <c r="L1131" s="103" t="s">
        <v>153</v>
      </c>
      <c r="M1131" s="103" t="s">
        <v>865</v>
      </c>
      <c r="N1131" s="103" t="s">
        <v>866</v>
      </c>
      <c r="O1131" s="103" t="str">
        <f t="shared" si="58"/>
        <v>CFLscw-Glb(9w)</v>
      </c>
      <c r="P1131" s="103" t="s">
        <v>153</v>
      </c>
      <c r="Q1131" s="103" t="s">
        <v>153</v>
      </c>
      <c r="R1131" s="103" t="s">
        <v>153</v>
      </c>
      <c r="S1131" s="103" t="str">
        <f>INDEX('Measure &amp; Standard CostIDs'!$AK$8:$AK$12,B1131)</f>
        <v>Three-pack</v>
      </c>
      <c r="T1131" s="103" t="s">
        <v>867</v>
      </c>
      <c r="U1131" s="103"/>
      <c r="V1131" s="103"/>
      <c r="W1131" s="103">
        <f>ROUND(IF(LEFT(D1131,3)="Std",VLOOKUP(D1131,'Measure &amp; Standard CostIDs'!$S$5:$X$177,1+B1131,FALSE),VLOOKUP(D1131,'Measure &amp; Standard CostIDs'!$C$5:$H$177,1+B1131,FALSE)),2)</f>
        <v>5.96</v>
      </c>
      <c r="X1131" s="103"/>
      <c r="Y1131" s="103"/>
      <c r="Z1131" s="103" t="s">
        <v>868</v>
      </c>
      <c r="AA1131" s="103" t="s">
        <v>874</v>
      </c>
      <c r="AB1131" s="103" t="s">
        <v>153</v>
      </c>
      <c r="AC1131" s="103">
        <v>0</v>
      </c>
      <c r="AD1131" s="156">
        <v>42005</v>
      </c>
      <c r="AE1131" s="103"/>
      <c r="AF1131" s="103" t="s">
        <v>870</v>
      </c>
      <c r="AG1131" s="103" t="s">
        <v>871</v>
      </c>
      <c r="AH1131" s="103" t="s">
        <v>976</v>
      </c>
      <c r="AI1131" s="103">
        <v>0</v>
      </c>
      <c r="AJ1131" s="103"/>
      <c r="AK1131" s="103"/>
      <c r="AL1131" s="103"/>
      <c r="AM1131" s="103"/>
      <c r="AN1131" s="103"/>
      <c r="AO1131" s="103" t="str">
        <f t="shared" si="59"/>
        <v>CFLscw-Glb(9w)Three-pack</v>
      </c>
    </row>
    <row r="1132" spans="1:41">
      <c r="A1132" s="177">
        <f>IFERROR(MATCH(D1132,'Measure &amp; Standard CostIDs'!C$5:C$177,0),MATCH(D1132,'Measure &amp; Standard CostIDs'!S$5:S$177,0))</f>
        <v>138</v>
      </c>
      <c r="B1132" s="177">
        <f t="shared" si="61"/>
        <v>4</v>
      </c>
      <c r="C1132" s="103" t="s">
        <v>153</v>
      </c>
      <c r="D1132" s="103" t="str">
        <f t="shared" si="60"/>
        <v>CFLscw-PAR38(23w)</v>
      </c>
      <c r="E1132" s="103" t="str">
        <f>IF(LEFT(D1132,3)="Std","Base case cost for mix of 60% Incandescent and 40% CFL lamps for CFL TechID: "&amp;INDEX('Measure &amp; Standard CostIDs'!$C$5:$C$177,A1132),"&lt;from TechID&gt;")</f>
        <v>&lt;from TechID&gt;</v>
      </c>
      <c r="F1132" s="103" t="s">
        <v>860</v>
      </c>
      <c r="G1132" s="103" t="s">
        <v>151</v>
      </c>
      <c r="H1132" s="103" t="s">
        <v>861</v>
      </c>
      <c r="I1132" s="103" t="s">
        <v>862</v>
      </c>
      <c r="J1132" s="103" t="s">
        <v>863</v>
      </c>
      <c r="K1132" s="103" t="s">
        <v>864</v>
      </c>
      <c r="L1132" s="103" t="s">
        <v>153</v>
      </c>
      <c r="M1132" s="103" t="s">
        <v>865</v>
      </c>
      <c r="N1132" s="103" t="s">
        <v>866</v>
      </c>
      <c r="O1132" s="103" t="str">
        <f t="shared" si="58"/>
        <v>CFLscw-PAR38(23w)</v>
      </c>
      <c r="P1132" s="103" t="s">
        <v>153</v>
      </c>
      <c r="Q1132" s="103" t="s">
        <v>153</v>
      </c>
      <c r="R1132" s="103" t="s">
        <v>153</v>
      </c>
      <c r="S1132" s="103" t="str">
        <f>INDEX('Measure &amp; Standard CostIDs'!$AK$8:$AK$12,B1132)</f>
        <v>Three-pack</v>
      </c>
      <c r="T1132" s="103" t="s">
        <v>867</v>
      </c>
      <c r="U1132" s="103"/>
      <c r="V1132" s="103"/>
      <c r="W1132" s="103">
        <f>ROUND(IF(LEFT(D1132,3)="Std",VLOOKUP(D1132,'Measure &amp; Standard CostIDs'!$S$5:$X$177,1+B1132,FALSE),VLOOKUP(D1132,'Measure &amp; Standard CostIDs'!$C$5:$H$177,1+B1132,FALSE)),2)</f>
        <v>6.8</v>
      </c>
      <c r="X1132" s="103"/>
      <c r="Y1132" s="103"/>
      <c r="Z1132" s="103" t="s">
        <v>868</v>
      </c>
      <c r="AA1132" s="103" t="s">
        <v>874</v>
      </c>
      <c r="AB1132" s="103" t="s">
        <v>153</v>
      </c>
      <c r="AC1132" s="103">
        <v>0</v>
      </c>
      <c r="AD1132" s="156">
        <v>42005</v>
      </c>
      <c r="AE1132" s="103"/>
      <c r="AF1132" s="103" t="s">
        <v>870</v>
      </c>
      <c r="AG1132" s="103" t="s">
        <v>871</v>
      </c>
      <c r="AH1132" s="103" t="s">
        <v>976</v>
      </c>
      <c r="AI1132" s="103">
        <v>0</v>
      </c>
      <c r="AJ1132" s="103"/>
      <c r="AK1132" s="103"/>
      <c r="AL1132" s="103"/>
      <c r="AM1132" s="103"/>
      <c r="AN1132" s="103"/>
      <c r="AO1132" s="103" t="str">
        <f t="shared" si="59"/>
        <v>CFLscw-PAR38(23w)Three-pack</v>
      </c>
    </row>
    <row r="1133" spans="1:41">
      <c r="A1133" s="177">
        <f>IFERROR(MATCH(D1133,'Measure &amp; Standard CostIDs'!C$5:C$177,0),MATCH(D1133,'Measure &amp; Standard CostIDs'!S$5:S$177,0))</f>
        <v>139</v>
      </c>
      <c r="B1133" s="177">
        <f t="shared" si="61"/>
        <v>4</v>
      </c>
      <c r="C1133" s="103" t="s">
        <v>153</v>
      </c>
      <c r="D1133" s="103" t="str">
        <f t="shared" si="60"/>
        <v>CFLscw-Refl(10w)</v>
      </c>
      <c r="E1133" s="103" t="str">
        <f>IF(LEFT(D1133,3)="Std","Base case cost for mix of 60% Incandescent and 40% CFL lamps for CFL TechID: "&amp;INDEX('Measure &amp; Standard CostIDs'!$C$5:$C$177,A1133),"&lt;from TechID&gt;")</f>
        <v>&lt;from TechID&gt;</v>
      </c>
      <c r="F1133" s="103" t="s">
        <v>860</v>
      </c>
      <c r="G1133" s="103" t="s">
        <v>151</v>
      </c>
      <c r="H1133" s="103" t="s">
        <v>861</v>
      </c>
      <c r="I1133" s="103" t="s">
        <v>862</v>
      </c>
      <c r="J1133" s="103" t="s">
        <v>863</v>
      </c>
      <c r="K1133" s="103" t="s">
        <v>864</v>
      </c>
      <c r="L1133" s="103" t="s">
        <v>153</v>
      </c>
      <c r="M1133" s="103" t="s">
        <v>865</v>
      </c>
      <c r="N1133" s="103" t="s">
        <v>866</v>
      </c>
      <c r="O1133" s="103" t="str">
        <f t="shared" si="58"/>
        <v>CFLscw-Refl(10w)</v>
      </c>
      <c r="P1133" s="103" t="s">
        <v>153</v>
      </c>
      <c r="Q1133" s="103" t="s">
        <v>153</v>
      </c>
      <c r="R1133" s="103" t="s">
        <v>153</v>
      </c>
      <c r="S1133" s="103" t="str">
        <f>INDEX('Measure &amp; Standard CostIDs'!$AK$8:$AK$12,B1133)</f>
        <v>Three-pack</v>
      </c>
      <c r="T1133" s="103" t="s">
        <v>867</v>
      </c>
      <c r="U1133" s="103"/>
      <c r="V1133" s="103"/>
      <c r="W1133" s="103">
        <f>ROUND(IF(LEFT(D1133,3)="Std",VLOOKUP(D1133,'Measure &amp; Standard CostIDs'!$S$5:$X$177,1+B1133,FALSE),VLOOKUP(D1133,'Measure &amp; Standard CostIDs'!$C$5:$H$177,1+B1133,FALSE)),2)</f>
        <v>4.88</v>
      </c>
      <c r="X1133" s="103"/>
      <c r="Y1133" s="103"/>
      <c r="Z1133" s="103" t="s">
        <v>868</v>
      </c>
      <c r="AA1133" s="103" t="s">
        <v>874</v>
      </c>
      <c r="AB1133" s="103" t="s">
        <v>153</v>
      </c>
      <c r="AC1133" s="103">
        <v>0</v>
      </c>
      <c r="AD1133" s="156">
        <v>42005</v>
      </c>
      <c r="AE1133" s="103"/>
      <c r="AF1133" s="103" t="s">
        <v>870</v>
      </c>
      <c r="AG1133" s="103" t="s">
        <v>871</v>
      </c>
      <c r="AH1133" s="103" t="s">
        <v>976</v>
      </c>
      <c r="AI1133" s="103">
        <v>0</v>
      </c>
      <c r="AJ1133" s="103"/>
      <c r="AK1133" s="103"/>
      <c r="AL1133" s="103"/>
      <c r="AM1133" s="103"/>
      <c r="AN1133" s="103"/>
      <c r="AO1133" s="103" t="str">
        <f t="shared" si="59"/>
        <v>CFLscw-Refl(10w)Three-pack</v>
      </c>
    </row>
    <row r="1134" spans="1:41">
      <c r="A1134" s="177">
        <f>IFERROR(MATCH(D1134,'Measure &amp; Standard CostIDs'!C$5:C$177,0),MATCH(D1134,'Measure &amp; Standard CostIDs'!S$5:S$177,0))</f>
        <v>140</v>
      </c>
      <c r="B1134" s="177">
        <f t="shared" si="61"/>
        <v>4</v>
      </c>
      <c r="C1134" s="103" t="s">
        <v>153</v>
      </c>
      <c r="D1134" s="103" t="str">
        <f t="shared" si="60"/>
        <v>CFLscw-Refl(11w)</v>
      </c>
      <c r="E1134" s="103" t="str">
        <f>IF(LEFT(D1134,3)="Std","Base case cost for mix of 60% Incandescent and 40% CFL lamps for CFL TechID: "&amp;INDEX('Measure &amp; Standard CostIDs'!$C$5:$C$177,A1134),"&lt;from TechID&gt;")</f>
        <v>&lt;from TechID&gt;</v>
      </c>
      <c r="F1134" s="103" t="s">
        <v>860</v>
      </c>
      <c r="G1134" s="103" t="s">
        <v>151</v>
      </c>
      <c r="H1134" s="103" t="s">
        <v>861</v>
      </c>
      <c r="I1134" s="103" t="s">
        <v>862</v>
      </c>
      <c r="J1134" s="103" t="s">
        <v>863</v>
      </c>
      <c r="K1134" s="103" t="s">
        <v>864</v>
      </c>
      <c r="L1134" s="103" t="s">
        <v>153</v>
      </c>
      <c r="M1134" s="103" t="s">
        <v>865</v>
      </c>
      <c r="N1134" s="103" t="s">
        <v>866</v>
      </c>
      <c r="O1134" s="103" t="str">
        <f t="shared" si="58"/>
        <v>CFLscw-Refl(11w)</v>
      </c>
      <c r="P1134" s="103" t="s">
        <v>153</v>
      </c>
      <c r="Q1134" s="103" t="s">
        <v>153</v>
      </c>
      <c r="R1134" s="103" t="s">
        <v>153</v>
      </c>
      <c r="S1134" s="103" t="str">
        <f>INDEX('Measure &amp; Standard CostIDs'!$AK$8:$AK$12,B1134)</f>
        <v>Three-pack</v>
      </c>
      <c r="T1134" s="103" t="s">
        <v>867</v>
      </c>
      <c r="U1134" s="103"/>
      <c r="V1134" s="103"/>
      <c r="W1134" s="103">
        <f>ROUND(IF(LEFT(D1134,3)="Std",VLOOKUP(D1134,'Measure &amp; Standard CostIDs'!$S$5:$X$177,1+B1134,FALSE),VLOOKUP(D1134,'Measure &amp; Standard CostIDs'!$C$5:$H$177,1+B1134,FALSE)),2)</f>
        <v>5.03</v>
      </c>
      <c r="X1134" s="103"/>
      <c r="Y1134" s="103"/>
      <c r="Z1134" s="103" t="s">
        <v>868</v>
      </c>
      <c r="AA1134" s="103" t="s">
        <v>874</v>
      </c>
      <c r="AB1134" s="103" t="s">
        <v>153</v>
      </c>
      <c r="AC1134" s="103">
        <v>0</v>
      </c>
      <c r="AD1134" s="156">
        <v>42005</v>
      </c>
      <c r="AE1134" s="103"/>
      <c r="AF1134" s="103" t="s">
        <v>870</v>
      </c>
      <c r="AG1134" s="103" t="s">
        <v>871</v>
      </c>
      <c r="AH1134" s="103" t="s">
        <v>976</v>
      </c>
      <c r="AI1134" s="103">
        <v>0</v>
      </c>
      <c r="AJ1134" s="103"/>
      <c r="AK1134" s="103"/>
      <c r="AL1134" s="103"/>
      <c r="AM1134" s="103"/>
      <c r="AN1134" s="103"/>
      <c r="AO1134" s="103" t="str">
        <f t="shared" si="59"/>
        <v>CFLscw-Refl(11w)Three-pack</v>
      </c>
    </row>
    <row r="1135" spans="1:41">
      <c r="A1135" s="177">
        <f>IFERROR(MATCH(D1135,'Measure &amp; Standard CostIDs'!C$5:C$177,0),MATCH(D1135,'Measure &amp; Standard CostIDs'!S$5:S$177,0))</f>
        <v>141</v>
      </c>
      <c r="B1135" s="177">
        <f t="shared" si="61"/>
        <v>4</v>
      </c>
      <c r="C1135" s="103" t="s">
        <v>153</v>
      </c>
      <c r="D1135" s="103" t="str">
        <f t="shared" si="60"/>
        <v>CFLscw-Refl(12w)</v>
      </c>
      <c r="E1135" s="103" t="str">
        <f>IF(LEFT(D1135,3)="Std","Base case cost for mix of 60% Incandescent and 40% CFL lamps for CFL TechID: "&amp;INDEX('Measure &amp; Standard CostIDs'!$C$5:$C$177,A1135),"&lt;from TechID&gt;")</f>
        <v>&lt;from TechID&gt;</v>
      </c>
      <c r="F1135" s="103" t="s">
        <v>860</v>
      </c>
      <c r="G1135" s="103" t="s">
        <v>151</v>
      </c>
      <c r="H1135" s="103" t="s">
        <v>861</v>
      </c>
      <c r="I1135" s="103" t="s">
        <v>862</v>
      </c>
      <c r="J1135" s="103" t="s">
        <v>863</v>
      </c>
      <c r="K1135" s="103" t="s">
        <v>864</v>
      </c>
      <c r="L1135" s="103" t="s">
        <v>153</v>
      </c>
      <c r="M1135" s="103" t="s">
        <v>865</v>
      </c>
      <c r="N1135" s="103" t="s">
        <v>866</v>
      </c>
      <c r="O1135" s="103" t="str">
        <f t="shared" si="58"/>
        <v>CFLscw-Refl(12w)</v>
      </c>
      <c r="P1135" s="103" t="s">
        <v>153</v>
      </c>
      <c r="Q1135" s="103" t="s">
        <v>153</v>
      </c>
      <c r="R1135" s="103" t="s">
        <v>153</v>
      </c>
      <c r="S1135" s="103" t="str">
        <f>INDEX('Measure &amp; Standard CostIDs'!$AK$8:$AK$12,B1135)</f>
        <v>Three-pack</v>
      </c>
      <c r="T1135" s="103" t="s">
        <v>867</v>
      </c>
      <c r="U1135" s="103"/>
      <c r="V1135" s="103"/>
      <c r="W1135" s="103">
        <f>ROUND(IF(LEFT(D1135,3)="Std",VLOOKUP(D1135,'Measure &amp; Standard CostIDs'!$S$5:$X$177,1+B1135,FALSE),VLOOKUP(D1135,'Measure &amp; Standard CostIDs'!$C$5:$H$177,1+B1135,FALSE)),2)</f>
        <v>5.18</v>
      </c>
      <c r="X1135" s="103"/>
      <c r="Y1135" s="103"/>
      <c r="Z1135" s="103" t="s">
        <v>868</v>
      </c>
      <c r="AA1135" s="103" t="s">
        <v>874</v>
      </c>
      <c r="AB1135" s="103" t="s">
        <v>153</v>
      </c>
      <c r="AC1135" s="103">
        <v>0</v>
      </c>
      <c r="AD1135" s="156">
        <v>42005</v>
      </c>
      <c r="AE1135" s="103"/>
      <c r="AF1135" s="103" t="s">
        <v>870</v>
      </c>
      <c r="AG1135" s="103" t="s">
        <v>871</v>
      </c>
      <c r="AH1135" s="103" t="s">
        <v>976</v>
      </c>
      <c r="AI1135" s="103">
        <v>0</v>
      </c>
      <c r="AJ1135" s="103"/>
      <c r="AK1135" s="103"/>
      <c r="AL1135" s="103"/>
      <c r="AM1135" s="103"/>
      <c r="AN1135" s="103"/>
      <c r="AO1135" s="103" t="str">
        <f t="shared" si="59"/>
        <v>CFLscw-Refl(12w)Three-pack</v>
      </c>
    </row>
    <row r="1136" spans="1:41">
      <c r="A1136" s="177">
        <f>IFERROR(MATCH(D1136,'Measure &amp; Standard CostIDs'!C$5:C$177,0),MATCH(D1136,'Measure &amp; Standard CostIDs'!S$5:S$177,0))</f>
        <v>142</v>
      </c>
      <c r="B1136" s="177">
        <f t="shared" si="61"/>
        <v>4</v>
      </c>
      <c r="C1136" s="103" t="s">
        <v>153</v>
      </c>
      <c r="D1136" s="103" t="str">
        <f t="shared" si="60"/>
        <v>CFLscw-Refl(13w)</v>
      </c>
      <c r="E1136" s="103" t="str">
        <f>IF(LEFT(D1136,3)="Std","Base case cost for mix of 60% Incandescent and 40% CFL lamps for CFL TechID: "&amp;INDEX('Measure &amp; Standard CostIDs'!$C$5:$C$177,A1136),"&lt;from TechID&gt;")</f>
        <v>&lt;from TechID&gt;</v>
      </c>
      <c r="F1136" s="103" t="s">
        <v>860</v>
      </c>
      <c r="G1136" s="103" t="s">
        <v>151</v>
      </c>
      <c r="H1136" s="103" t="s">
        <v>861</v>
      </c>
      <c r="I1136" s="103" t="s">
        <v>862</v>
      </c>
      <c r="J1136" s="103" t="s">
        <v>863</v>
      </c>
      <c r="K1136" s="103" t="s">
        <v>864</v>
      </c>
      <c r="L1136" s="103" t="s">
        <v>153</v>
      </c>
      <c r="M1136" s="103" t="s">
        <v>865</v>
      </c>
      <c r="N1136" s="103" t="s">
        <v>866</v>
      </c>
      <c r="O1136" s="103" t="str">
        <f t="shared" si="58"/>
        <v>CFLscw-Refl(13w)</v>
      </c>
      <c r="P1136" s="103" t="s">
        <v>153</v>
      </c>
      <c r="Q1136" s="103" t="s">
        <v>153</v>
      </c>
      <c r="R1136" s="103" t="s">
        <v>153</v>
      </c>
      <c r="S1136" s="103" t="str">
        <f>INDEX('Measure &amp; Standard CostIDs'!$AK$8:$AK$12,B1136)</f>
        <v>Three-pack</v>
      </c>
      <c r="T1136" s="103" t="s">
        <v>867</v>
      </c>
      <c r="U1136" s="103"/>
      <c r="V1136" s="103"/>
      <c r="W1136" s="103">
        <f>ROUND(IF(LEFT(D1136,3)="Std",VLOOKUP(D1136,'Measure &amp; Standard CostIDs'!$S$5:$X$177,1+B1136,FALSE),VLOOKUP(D1136,'Measure &amp; Standard CostIDs'!$C$5:$H$177,1+B1136,FALSE)),2)</f>
        <v>5.32</v>
      </c>
      <c r="X1136" s="103"/>
      <c r="Y1136" s="103"/>
      <c r="Z1136" s="103" t="s">
        <v>868</v>
      </c>
      <c r="AA1136" s="103" t="s">
        <v>874</v>
      </c>
      <c r="AB1136" s="103" t="s">
        <v>153</v>
      </c>
      <c r="AC1136" s="103">
        <v>0</v>
      </c>
      <c r="AD1136" s="156">
        <v>42005</v>
      </c>
      <c r="AE1136" s="103"/>
      <c r="AF1136" s="103" t="s">
        <v>870</v>
      </c>
      <c r="AG1136" s="103" t="s">
        <v>871</v>
      </c>
      <c r="AH1136" s="103" t="s">
        <v>976</v>
      </c>
      <c r="AI1136" s="103">
        <v>0</v>
      </c>
      <c r="AJ1136" s="103"/>
      <c r="AK1136" s="103"/>
      <c r="AL1136" s="103"/>
      <c r="AM1136" s="103"/>
      <c r="AN1136" s="103"/>
      <c r="AO1136" s="103" t="str">
        <f t="shared" si="59"/>
        <v>CFLscw-Refl(13w)Three-pack</v>
      </c>
    </row>
    <row r="1137" spans="1:41">
      <c r="A1137" s="177">
        <f>IFERROR(MATCH(D1137,'Measure &amp; Standard CostIDs'!C$5:C$177,0),MATCH(D1137,'Measure &amp; Standard CostIDs'!S$5:S$177,0))</f>
        <v>143</v>
      </c>
      <c r="B1137" s="177">
        <f t="shared" si="61"/>
        <v>4</v>
      </c>
      <c r="C1137" s="103" t="s">
        <v>153</v>
      </c>
      <c r="D1137" s="103" t="str">
        <f t="shared" si="60"/>
        <v>CFLscw-Refl(14w)</v>
      </c>
      <c r="E1137" s="103" t="str">
        <f>IF(LEFT(D1137,3)="Std","Base case cost for mix of 60% Incandescent and 40% CFL lamps for CFL TechID: "&amp;INDEX('Measure &amp; Standard CostIDs'!$C$5:$C$177,A1137),"&lt;from TechID&gt;")</f>
        <v>&lt;from TechID&gt;</v>
      </c>
      <c r="F1137" s="103" t="s">
        <v>860</v>
      </c>
      <c r="G1137" s="103" t="s">
        <v>151</v>
      </c>
      <c r="H1137" s="103" t="s">
        <v>861</v>
      </c>
      <c r="I1137" s="103" t="s">
        <v>862</v>
      </c>
      <c r="J1137" s="103" t="s">
        <v>863</v>
      </c>
      <c r="K1137" s="103" t="s">
        <v>864</v>
      </c>
      <c r="L1137" s="103" t="s">
        <v>153</v>
      </c>
      <c r="M1137" s="103" t="s">
        <v>865</v>
      </c>
      <c r="N1137" s="103" t="s">
        <v>866</v>
      </c>
      <c r="O1137" s="103" t="str">
        <f t="shared" si="58"/>
        <v>CFLscw-Refl(14w)</v>
      </c>
      <c r="P1137" s="103" t="s">
        <v>153</v>
      </c>
      <c r="Q1137" s="103" t="s">
        <v>153</v>
      </c>
      <c r="R1137" s="103" t="s">
        <v>153</v>
      </c>
      <c r="S1137" s="103" t="str">
        <f>INDEX('Measure &amp; Standard CostIDs'!$AK$8:$AK$12,B1137)</f>
        <v>Three-pack</v>
      </c>
      <c r="T1137" s="103" t="s">
        <v>867</v>
      </c>
      <c r="U1137" s="103"/>
      <c r="V1137" s="103"/>
      <c r="W1137" s="103">
        <f>ROUND(IF(LEFT(D1137,3)="Std",VLOOKUP(D1137,'Measure &amp; Standard CostIDs'!$S$5:$X$177,1+B1137,FALSE),VLOOKUP(D1137,'Measure &amp; Standard CostIDs'!$C$5:$H$177,1+B1137,FALSE)),2)</f>
        <v>5.47</v>
      </c>
      <c r="X1137" s="103"/>
      <c r="Y1137" s="103"/>
      <c r="Z1137" s="103" t="s">
        <v>868</v>
      </c>
      <c r="AA1137" s="103" t="s">
        <v>874</v>
      </c>
      <c r="AB1137" s="103" t="s">
        <v>153</v>
      </c>
      <c r="AC1137" s="103">
        <v>0</v>
      </c>
      <c r="AD1137" s="156">
        <v>42005</v>
      </c>
      <c r="AE1137" s="103"/>
      <c r="AF1137" s="103" t="s">
        <v>870</v>
      </c>
      <c r="AG1137" s="103" t="s">
        <v>871</v>
      </c>
      <c r="AH1137" s="103" t="s">
        <v>976</v>
      </c>
      <c r="AI1137" s="103">
        <v>0</v>
      </c>
      <c r="AJ1137" s="103"/>
      <c r="AK1137" s="103"/>
      <c r="AL1137" s="103"/>
      <c r="AM1137" s="103"/>
      <c r="AN1137" s="103"/>
      <c r="AO1137" s="103" t="str">
        <f t="shared" si="59"/>
        <v>CFLscw-Refl(14w)Three-pack</v>
      </c>
    </row>
    <row r="1138" spans="1:41">
      <c r="A1138" s="177">
        <f>IFERROR(MATCH(D1138,'Measure &amp; Standard CostIDs'!C$5:C$177,0),MATCH(D1138,'Measure &amp; Standard CostIDs'!S$5:S$177,0))</f>
        <v>144</v>
      </c>
      <c r="B1138" s="177">
        <f t="shared" si="61"/>
        <v>4</v>
      </c>
      <c r="C1138" s="103" t="s">
        <v>153</v>
      </c>
      <c r="D1138" s="103" t="str">
        <f t="shared" si="60"/>
        <v>CFLscw-Refl(16w)</v>
      </c>
      <c r="E1138" s="103" t="str">
        <f>IF(LEFT(D1138,3)="Std","Base case cost for mix of 60% Incandescent and 40% CFL lamps for CFL TechID: "&amp;INDEX('Measure &amp; Standard CostIDs'!$C$5:$C$177,A1138),"&lt;from TechID&gt;")</f>
        <v>&lt;from TechID&gt;</v>
      </c>
      <c r="F1138" s="103" t="s">
        <v>860</v>
      </c>
      <c r="G1138" s="103" t="s">
        <v>151</v>
      </c>
      <c r="H1138" s="103" t="s">
        <v>861</v>
      </c>
      <c r="I1138" s="103" t="s">
        <v>862</v>
      </c>
      <c r="J1138" s="103" t="s">
        <v>863</v>
      </c>
      <c r="K1138" s="103" t="s">
        <v>864</v>
      </c>
      <c r="L1138" s="103" t="s">
        <v>153</v>
      </c>
      <c r="M1138" s="103" t="s">
        <v>865</v>
      </c>
      <c r="N1138" s="103" t="s">
        <v>866</v>
      </c>
      <c r="O1138" s="103" t="str">
        <f t="shared" si="58"/>
        <v>CFLscw-Refl(16w)</v>
      </c>
      <c r="P1138" s="103" t="s">
        <v>153</v>
      </c>
      <c r="Q1138" s="103" t="s">
        <v>153</v>
      </c>
      <c r="R1138" s="103" t="s">
        <v>153</v>
      </c>
      <c r="S1138" s="103" t="str">
        <f>INDEX('Measure &amp; Standard CostIDs'!$AK$8:$AK$12,B1138)</f>
        <v>Three-pack</v>
      </c>
      <c r="T1138" s="103" t="s">
        <v>867</v>
      </c>
      <c r="U1138" s="103"/>
      <c r="V1138" s="103"/>
      <c r="W1138" s="103">
        <f>ROUND(IF(LEFT(D1138,3)="Std",VLOOKUP(D1138,'Measure &amp; Standard CostIDs'!$S$5:$X$177,1+B1138,FALSE),VLOOKUP(D1138,'Measure &amp; Standard CostIDs'!$C$5:$H$177,1+B1138,FALSE)),2)</f>
        <v>5.76</v>
      </c>
      <c r="X1138" s="103"/>
      <c r="Y1138" s="103"/>
      <c r="Z1138" s="103" t="s">
        <v>868</v>
      </c>
      <c r="AA1138" s="103" t="s">
        <v>874</v>
      </c>
      <c r="AB1138" s="103" t="s">
        <v>153</v>
      </c>
      <c r="AC1138" s="103">
        <v>0</v>
      </c>
      <c r="AD1138" s="156">
        <v>42005</v>
      </c>
      <c r="AE1138" s="103"/>
      <c r="AF1138" s="103" t="s">
        <v>870</v>
      </c>
      <c r="AG1138" s="103" t="s">
        <v>871</v>
      </c>
      <c r="AH1138" s="103" t="s">
        <v>976</v>
      </c>
      <c r="AI1138" s="103">
        <v>0</v>
      </c>
      <c r="AJ1138" s="103"/>
      <c r="AK1138" s="103"/>
      <c r="AL1138" s="103"/>
      <c r="AM1138" s="103"/>
      <c r="AN1138" s="103"/>
      <c r="AO1138" s="103" t="str">
        <f t="shared" si="59"/>
        <v>CFLscw-Refl(16w)Three-pack</v>
      </c>
    </row>
    <row r="1139" spans="1:41">
      <c r="A1139" s="177">
        <f>IFERROR(MATCH(D1139,'Measure &amp; Standard CostIDs'!C$5:C$177,0),MATCH(D1139,'Measure &amp; Standard CostIDs'!S$5:S$177,0))</f>
        <v>145</v>
      </c>
      <c r="B1139" s="177">
        <f t="shared" si="61"/>
        <v>4</v>
      </c>
      <c r="C1139" s="103" t="s">
        <v>153</v>
      </c>
      <c r="D1139" s="103" t="str">
        <f t="shared" si="60"/>
        <v>CFLscw-Refl(17w)</v>
      </c>
      <c r="E1139" s="103" t="str">
        <f>IF(LEFT(D1139,3)="Std","Base case cost for mix of 60% Incandescent and 40% CFL lamps for CFL TechID: "&amp;INDEX('Measure &amp; Standard CostIDs'!$C$5:$C$177,A1139),"&lt;from TechID&gt;")</f>
        <v>&lt;from TechID&gt;</v>
      </c>
      <c r="F1139" s="103" t="s">
        <v>860</v>
      </c>
      <c r="G1139" s="103" t="s">
        <v>151</v>
      </c>
      <c r="H1139" s="103" t="s">
        <v>861</v>
      </c>
      <c r="I1139" s="103" t="s">
        <v>862</v>
      </c>
      <c r="J1139" s="103" t="s">
        <v>863</v>
      </c>
      <c r="K1139" s="103" t="s">
        <v>864</v>
      </c>
      <c r="L1139" s="103" t="s">
        <v>153</v>
      </c>
      <c r="M1139" s="103" t="s">
        <v>865</v>
      </c>
      <c r="N1139" s="103" t="s">
        <v>866</v>
      </c>
      <c r="O1139" s="103" t="str">
        <f t="shared" si="58"/>
        <v>CFLscw-Refl(17w)</v>
      </c>
      <c r="P1139" s="103" t="s">
        <v>153</v>
      </c>
      <c r="Q1139" s="103" t="s">
        <v>153</v>
      </c>
      <c r="R1139" s="103" t="s">
        <v>153</v>
      </c>
      <c r="S1139" s="103" t="str">
        <f>INDEX('Measure &amp; Standard CostIDs'!$AK$8:$AK$12,B1139)</f>
        <v>Three-pack</v>
      </c>
      <c r="T1139" s="103" t="s">
        <v>867</v>
      </c>
      <c r="U1139" s="103"/>
      <c r="V1139" s="103"/>
      <c r="W1139" s="103">
        <f>ROUND(IF(LEFT(D1139,3)="Std",VLOOKUP(D1139,'Measure &amp; Standard CostIDs'!$S$5:$X$177,1+B1139,FALSE),VLOOKUP(D1139,'Measure &amp; Standard CostIDs'!$C$5:$H$177,1+B1139,FALSE)),2)</f>
        <v>5.91</v>
      </c>
      <c r="X1139" s="103"/>
      <c r="Y1139" s="103"/>
      <c r="Z1139" s="103" t="s">
        <v>868</v>
      </c>
      <c r="AA1139" s="103" t="s">
        <v>874</v>
      </c>
      <c r="AB1139" s="103" t="s">
        <v>153</v>
      </c>
      <c r="AC1139" s="103">
        <v>0</v>
      </c>
      <c r="AD1139" s="156">
        <v>42005</v>
      </c>
      <c r="AE1139" s="103"/>
      <c r="AF1139" s="103" t="s">
        <v>870</v>
      </c>
      <c r="AG1139" s="103" t="s">
        <v>871</v>
      </c>
      <c r="AH1139" s="103" t="s">
        <v>976</v>
      </c>
      <c r="AI1139" s="103">
        <v>0</v>
      </c>
      <c r="AJ1139" s="103"/>
      <c r="AK1139" s="103"/>
      <c r="AL1139" s="103"/>
      <c r="AM1139" s="103"/>
      <c r="AN1139" s="103"/>
      <c r="AO1139" s="103" t="str">
        <f t="shared" si="59"/>
        <v>CFLscw-Refl(17w)Three-pack</v>
      </c>
    </row>
    <row r="1140" spans="1:41">
      <c r="A1140" s="177">
        <f>IFERROR(MATCH(D1140,'Measure &amp; Standard CostIDs'!C$5:C$177,0),MATCH(D1140,'Measure &amp; Standard CostIDs'!S$5:S$177,0))</f>
        <v>146</v>
      </c>
      <c r="B1140" s="177">
        <f t="shared" si="61"/>
        <v>4</v>
      </c>
      <c r="C1140" s="103" t="s">
        <v>153</v>
      </c>
      <c r="D1140" s="103" t="str">
        <f t="shared" si="60"/>
        <v>CFLscw-Refl(18w)</v>
      </c>
      <c r="E1140" s="103" t="str">
        <f>IF(LEFT(D1140,3)="Std","Base case cost for mix of 60% Incandescent and 40% CFL lamps for CFL TechID: "&amp;INDEX('Measure &amp; Standard CostIDs'!$C$5:$C$177,A1140),"&lt;from TechID&gt;")</f>
        <v>&lt;from TechID&gt;</v>
      </c>
      <c r="F1140" s="103" t="s">
        <v>860</v>
      </c>
      <c r="G1140" s="103" t="s">
        <v>151</v>
      </c>
      <c r="H1140" s="103" t="s">
        <v>861</v>
      </c>
      <c r="I1140" s="103" t="s">
        <v>862</v>
      </c>
      <c r="J1140" s="103" t="s">
        <v>863</v>
      </c>
      <c r="K1140" s="103" t="s">
        <v>864</v>
      </c>
      <c r="L1140" s="103" t="s">
        <v>153</v>
      </c>
      <c r="M1140" s="103" t="s">
        <v>865</v>
      </c>
      <c r="N1140" s="103" t="s">
        <v>866</v>
      </c>
      <c r="O1140" s="103" t="str">
        <f t="shared" si="58"/>
        <v>CFLscw-Refl(18w)</v>
      </c>
      <c r="P1140" s="103" t="s">
        <v>153</v>
      </c>
      <c r="Q1140" s="103" t="s">
        <v>153</v>
      </c>
      <c r="R1140" s="103" t="s">
        <v>153</v>
      </c>
      <c r="S1140" s="103" t="str">
        <f>INDEX('Measure &amp; Standard CostIDs'!$AK$8:$AK$12,B1140)</f>
        <v>Three-pack</v>
      </c>
      <c r="T1140" s="103" t="s">
        <v>867</v>
      </c>
      <c r="U1140" s="103"/>
      <c r="V1140" s="103"/>
      <c r="W1140" s="103">
        <f>ROUND(IF(LEFT(D1140,3)="Std",VLOOKUP(D1140,'Measure &amp; Standard CostIDs'!$S$5:$X$177,1+B1140,FALSE),VLOOKUP(D1140,'Measure &amp; Standard CostIDs'!$C$5:$H$177,1+B1140,FALSE)),2)</f>
        <v>6.06</v>
      </c>
      <c r="X1140" s="103"/>
      <c r="Y1140" s="103"/>
      <c r="Z1140" s="103" t="s">
        <v>868</v>
      </c>
      <c r="AA1140" s="103" t="s">
        <v>874</v>
      </c>
      <c r="AB1140" s="103" t="s">
        <v>153</v>
      </c>
      <c r="AC1140" s="103">
        <v>0</v>
      </c>
      <c r="AD1140" s="156">
        <v>42005</v>
      </c>
      <c r="AE1140" s="103"/>
      <c r="AF1140" s="103" t="s">
        <v>870</v>
      </c>
      <c r="AG1140" s="103" t="s">
        <v>871</v>
      </c>
      <c r="AH1140" s="103" t="s">
        <v>976</v>
      </c>
      <c r="AI1140" s="103">
        <v>0</v>
      </c>
      <c r="AJ1140" s="103"/>
      <c r="AK1140" s="103"/>
      <c r="AL1140" s="103"/>
      <c r="AM1140" s="103"/>
      <c r="AN1140" s="103"/>
      <c r="AO1140" s="103" t="str">
        <f t="shared" si="59"/>
        <v>CFLscw-Refl(18w)Three-pack</v>
      </c>
    </row>
    <row r="1141" spans="1:41">
      <c r="A1141" s="177">
        <f>IFERROR(MATCH(D1141,'Measure &amp; Standard CostIDs'!C$5:C$177,0),MATCH(D1141,'Measure &amp; Standard CostIDs'!S$5:S$177,0))</f>
        <v>147</v>
      </c>
      <c r="B1141" s="177">
        <f t="shared" si="61"/>
        <v>4</v>
      </c>
      <c r="C1141" s="103" t="s">
        <v>153</v>
      </c>
      <c r="D1141" s="103" t="str">
        <f t="shared" si="60"/>
        <v>CFLscw-Refl(19w)</v>
      </c>
      <c r="E1141" s="103" t="str">
        <f>IF(LEFT(D1141,3)="Std","Base case cost for mix of 60% Incandescent and 40% CFL lamps for CFL TechID: "&amp;INDEX('Measure &amp; Standard CostIDs'!$C$5:$C$177,A1141),"&lt;from TechID&gt;")</f>
        <v>&lt;from TechID&gt;</v>
      </c>
      <c r="F1141" s="103" t="s">
        <v>860</v>
      </c>
      <c r="G1141" s="103" t="s">
        <v>151</v>
      </c>
      <c r="H1141" s="103" t="s">
        <v>861</v>
      </c>
      <c r="I1141" s="103" t="s">
        <v>862</v>
      </c>
      <c r="J1141" s="103" t="s">
        <v>863</v>
      </c>
      <c r="K1141" s="103" t="s">
        <v>864</v>
      </c>
      <c r="L1141" s="103" t="s">
        <v>153</v>
      </c>
      <c r="M1141" s="103" t="s">
        <v>865</v>
      </c>
      <c r="N1141" s="103" t="s">
        <v>866</v>
      </c>
      <c r="O1141" s="103" t="str">
        <f t="shared" si="58"/>
        <v>CFLscw-Refl(19w)</v>
      </c>
      <c r="P1141" s="103" t="s">
        <v>153</v>
      </c>
      <c r="Q1141" s="103" t="s">
        <v>153</v>
      </c>
      <c r="R1141" s="103" t="s">
        <v>153</v>
      </c>
      <c r="S1141" s="103" t="str">
        <f>INDEX('Measure &amp; Standard CostIDs'!$AK$8:$AK$12,B1141)</f>
        <v>Three-pack</v>
      </c>
      <c r="T1141" s="103" t="s">
        <v>867</v>
      </c>
      <c r="U1141" s="103"/>
      <c r="V1141" s="103"/>
      <c r="W1141" s="103">
        <f>ROUND(IF(LEFT(D1141,3)="Std",VLOOKUP(D1141,'Measure &amp; Standard CostIDs'!$S$5:$X$177,1+B1141,FALSE),VLOOKUP(D1141,'Measure &amp; Standard CostIDs'!$C$5:$H$177,1+B1141,FALSE)),2)</f>
        <v>6.21</v>
      </c>
      <c r="X1141" s="103"/>
      <c r="Y1141" s="103"/>
      <c r="Z1141" s="103" t="s">
        <v>868</v>
      </c>
      <c r="AA1141" s="103" t="s">
        <v>874</v>
      </c>
      <c r="AB1141" s="103" t="s">
        <v>153</v>
      </c>
      <c r="AC1141" s="103">
        <v>0</v>
      </c>
      <c r="AD1141" s="156">
        <v>42005</v>
      </c>
      <c r="AE1141" s="103"/>
      <c r="AF1141" s="103" t="s">
        <v>870</v>
      </c>
      <c r="AG1141" s="103" t="s">
        <v>871</v>
      </c>
      <c r="AH1141" s="103" t="s">
        <v>976</v>
      </c>
      <c r="AI1141" s="103">
        <v>0</v>
      </c>
      <c r="AJ1141" s="103"/>
      <c r="AK1141" s="103"/>
      <c r="AL1141" s="103"/>
      <c r="AM1141" s="103"/>
      <c r="AN1141" s="103"/>
      <c r="AO1141" s="103" t="str">
        <f t="shared" si="59"/>
        <v>CFLscw-Refl(19w)Three-pack</v>
      </c>
    </row>
    <row r="1142" spans="1:41">
      <c r="A1142" s="177">
        <f>IFERROR(MATCH(D1142,'Measure &amp; Standard CostIDs'!C$5:C$177,0),MATCH(D1142,'Measure &amp; Standard CostIDs'!S$5:S$177,0))</f>
        <v>148</v>
      </c>
      <c r="B1142" s="177">
        <f t="shared" si="61"/>
        <v>4</v>
      </c>
      <c r="C1142" s="103" t="s">
        <v>153</v>
      </c>
      <c r="D1142" s="103" t="str">
        <f t="shared" si="60"/>
        <v>CFLscw-Refl(20w)</v>
      </c>
      <c r="E1142" s="103" t="str">
        <f>IF(LEFT(D1142,3)="Std","Base case cost for mix of 60% Incandescent and 40% CFL lamps for CFL TechID: "&amp;INDEX('Measure &amp; Standard CostIDs'!$C$5:$C$177,A1142),"&lt;from TechID&gt;")</f>
        <v>&lt;from TechID&gt;</v>
      </c>
      <c r="F1142" s="103" t="s">
        <v>860</v>
      </c>
      <c r="G1142" s="103" t="s">
        <v>151</v>
      </c>
      <c r="H1142" s="103" t="s">
        <v>861</v>
      </c>
      <c r="I1142" s="103" t="s">
        <v>862</v>
      </c>
      <c r="J1142" s="103" t="s">
        <v>863</v>
      </c>
      <c r="K1142" s="103" t="s">
        <v>864</v>
      </c>
      <c r="L1142" s="103" t="s">
        <v>153</v>
      </c>
      <c r="M1142" s="103" t="s">
        <v>865</v>
      </c>
      <c r="N1142" s="103" t="s">
        <v>866</v>
      </c>
      <c r="O1142" s="103" t="str">
        <f t="shared" si="58"/>
        <v>CFLscw-Refl(20w)</v>
      </c>
      <c r="P1142" s="103" t="s">
        <v>153</v>
      </c>
      <c r="Q1142" s="103" t="s">
        <v>153</v>
      </c>
      <c r="R1142" s="103" t="s">
        <v>153</v>
      </c>
      <c r="S1142" s="103" t="str">
        <f>INDEX('Measure &amp; Standard CostIDs'!$AK$8:$AK$12,B1142)</f>
        <v>Three-pack</v>
      </c>
      <c r="T1142" s="103" t="s">
        <v>867</v>
      </c>
      <c r="U1142" s="103"/>
      <c r="V1142" s="103"/>
      <c r="W1142" s="103">
        <f>ROUND(IF(LEFT(D1142,3)="Std",VLOOKUP(D1142,'Measure &amp; Standard CostIDs'!$S$5:$X$177,1+B1142,FALSE),VLOOKUP(D1142,'Measure &amp; Standard CostIDs'!$C$5:$H$177,1+B1142,FALSE)),2)</f>
        <v>6.35</v>
      </c>
      <c r="X1142" s="103"/>
      <c r="Y1142" s="103"/>
      <c r="Z1142" s="103" t="s">
        <v>868</v>
      </c>
      <c r="AA1142" s="103" t="s">
        <v>874</v>
      </c>
      <c r="AB1142" s="103" t="s">
        <v>153</v>
      </c>
      <c r="AC1142" s="103">
        <v>0</v>
      </c>
      <c r="AD1142" s="156">
        <v>42005</v>
      </c>
      <c r="AE1142" s="103"/>
      <c r="AF1142" s="103" t="s">
        <v>870</v>
      </c>
      <c r="AG1142" s="103" t="s">
        <v>871</v>
      </c>
      <c r="AH1142" s="103" t="s">
        <v>976</v>
      </c>
      <c r="AI1142" s="103">
        <v>0</v>
      </c>
      <c r="AJ1142" s="103"/>
      <c r="AK1142" s="103"/>
      <c r="AL1142" s="103"/>
      <c r="AM1142" s="103"/>
      <c r="AN1142" s="103"/>
      <c r="AO1142" s="103" t="str">
        <f t="shared" si="59"/>
        <v>CFLscw-Refl(20w)Three-pack</v>
      </c>
    </row>
    <row r="1143" spans="1:41">
      <c r="A1143" s="177">
        <f>IFERROR(MATCH(D1143,'Measure &amp; Standard CostIDs'!C$5:C$177,0),MATCH(D1143,'Measure &amp; Standard CostIDs'!S$5:S$177,0))</f>
        <v>149</v>
      </c>
      <c r="B1143" s="177">
        <f t="shared" si="61"/>
        <v>4</v>
      </c>
      <c r="C1143" s="103" t="s">
        <v>153</v>
      </c>
      <c r="D1143" s="103" t="str">
        <f t="shared" si="60"/>
        <v>CFLscw-Refl(21w)</v>
      </c>
      <c r="E1143" s="103" t="str">
        <f>IF(LEFT(D1143,3)="Std","Base case cost for mix of 60% Incandescent and 40% CFL lamps for CFL TechID: "&amp;INDEX('Measure &amp; Standard CostIDs'!$C$5:$C$177,A1143),"&lt;from TechID&gt;")</f>
        <v>&lt;from TechID&gt;</v>
      </c>
      <c r="F1143" s="103" t="s">
        <v>860</v>
      </c>
      <c r="G1143" s="103" t="s">
        <v>151</v>
      </c>
      <c r="H1143" s="103" t="s">
        <v>861</v>
      </c>
      <c r="I1143" s="103" t="s">
        <v>862</v>
      </c>
      <c r="J1143" s="103" t="s">
        <v>863</v>
      </c>
      <c r="K1143" s="103" t="s">
        <v>864</v>
      </c>
      <c r="L1143" s="103" t="s">
        <v>153</v>
      </c>
      <c r="M1143" s="103" t="s">
        <v>865</v>
      </c>
      <c r="N1143" s="103" t="s">
        <v>866</v>
      </c>
      <c r="O1143" s="103" t="str">
        <f t="shared" si="58"/>
        <v>CFLscw-Refl(21w)</v>
      </c>
      <c r="P1143" s="103" t="s">
        <v>153</v>
      </c>
      <c r="Q1143" s="103" t="s">
        <v>153</v>
      </c>
      <c r="R1143" s="103" t="s">
        <v>153</v>
      </c>
      <c r="S1143" s="103" t="str">
        <f>INDEX('Measure &amp; Standard CostIDs'!$AK$8:$AK$12,B1143)</f>
        <v>Three-pack</v>
      </c>
      <c r="T1143" s="103" t="s">
        <v>867</v>
      </c>
      <c r="U1143" s="103"/>
      <c r="V1143" s="103"/>
      <c r="W1143" s="103">
        <f>ROUND(IF(LEFT(D1143,3)="Std",VLOOKUP(D1143,'Measure &amp; Standard CostIDs'!$S$5:$X$177,1+B1143,FALSE),VLOOKUP(D1143,'Measure &amp; Standard CostIDs'!$C$5:$H$177,1+B1143,FALSE)),2)</f>
        <v>6.5</v>
      </c>
      <c r="X1143" s="103"/>
      <c r="Y1143" s="103"/>
      <c r="Z1143" s="103" t="s">
        <v>868</v>
      </c>
      <c r="AA1143" s="103" t="s">
        <v>874</v>
      </c>
      <c r="AB1143" s="103" t="s">
        <v>153</v>
      </c>
      <c r="AC1143" s="103">
        <v>0</v>
      </c>
      <c r="AD1143" s="156">
        <v>42005</v>
      </c>
      <c r="AE1143" s="103"/>
      <c r="AF1143" s="103" t="s">
        <v>870</v>
      </c>
      <c r="AG1143" s="103" t="s">
        <v>871</v>
      </c>
      <c r="AH1143" s="103" t="s">
        <v>976</v>
      </c>
      <c r="AI1143" s="103">
        <v>0</v>
      </c>
      <c r="AJ1143" s="103"/>
      <c r="AK1143" s="103"/>
      <c r="AL1143" s="103"/>
      <c r="AM1143" s="103"/>
      <c r="AN1143" s="103"/>
      <c r="AO1143" s="103" t="str">
        <f t="shared" si="59"/>
        <v>CFLscw-Refl(21w)Three-pack</v>
      </c>
    </row>
    <row r="1144" spans="1:41">
      <c r="A1144" s="177">
        <f>IFERROR(MATCH(D1144,'Measure &amp; Standard CostIDs'!C$5:C$177,0),MATCH(D1144,'Measure &amp; Standard CostIDs'!S$5:S$177,0))</f>
        <v>150</v>
      </c>
      <c r="B1144" s="177">
        <f t="shared" si="61"/>
        <v>4</v>
      </c>
      <c r="C1144" s="103" t="s">
        <v>153</v>
      </c>
      <c r="D1144" s="103" t="str">
        <f t="shared" si="60"/>
        <v>CFLscw-Refl(22w)</v>
      </c>
      <c r="E1144" s="103" t="str">
        <f>IF(LEFT(D1144,3)="Std","Base case cost for mix of 60% Incandescent and 40% CFL lamps for CFL TechID: "&amp;INDEX('Measure &amp; Standard CostIDs'!$C$5:$C$177,A1144),"&lt;from TechID&gt;")</f>
        <v>&lt;from TechID&gt;</v>
      </c>
      <c r="F1144" s="103" t="s">
        <v>860</v>
      </c>
      <c r="G1144" s="103" t="s">
        <v>151</v>
      </c>
      <c r="H1144" s="103" t="s">
        <v>861</v>
      </c>
      <c r="I1144" s="103" t="s">
        <v>862</v>
      </c>
      <c r="J1144" s="103" t="s">
        <v>863</v>
      </c>
      <c r="K1144" s="103" t="s">
        <v>864</v>
      </c>
      <c r="L1144" s="103" t="s">
        <v>153</v>
      </c>
      <c r="M1144" s="103" t="s">
        <v>865</v>
      </c>
      <c r="N1144" s="103" t="s">
        <v>866</v>
      </c>
      <c r="O1144" s="103" t="str">
        <f t="shared" si="58"/>
        <v>CFLscw-Refl(22w)</v>
      </c>
      <c r="P1144" s="103" t="s">
        <v>153</v>
      </c>
      <c r="Q1144" s="103" t="s">
        <v>153</v>
      </c>
      <c r="R1144" s="103" t="s">
        <v>153</v>
      </c>
      <c r="S1144" s="103" t="str">
        <f>INDEX('Measure &amp; Standard CostIDs'!$AK$8:$AK$12,B1144)</f>
        <v>Three-pack</v>
      </c>
      <c r="T1144" s="103" t="s">
        <v>867</v>
      </c>
      <c r="U1144" s="103"/>
      <c r="V1144" s="103"/>
      <c r="W1144" s="103">
        <f>ROUND(IF(LEFT(D1144,3)="Std",VLOOKUP(D1144,'Measure &amp; Standard CostIDs'!$S$5:$X$177,1+B1144,FALSE),VLOOKUP(D1144,'Measure &amp; Standard CostIDs'!$C$5:$H$177,1+B1144,FALSE)),2)</f>
        <v>6.65</v>
      </c>
      <c r="X1144" s="103"/>
      <c r="Y1144" s="103"/>
      <c r="Z1144" s="103" t="s">
        <v>868</v>
      </c>
      <c r="AA1144" s="103" t="s">
        <v>874</v>
      </c>
      <c r="AB1144" s="103" t="s">
        <v>153</v>
      </c>
      <c r="AC1144" s="103">
        <v>0</v>
      </c>
      <c r="AD1144" s="156">
        <v>42005</v>
      </c>
      <c r="AE1144" s="103"/>
      <c r="AF1144" s="103" t="s">
        <v>870</v>
      </c>
      <c r="AG1144" s="103" t="s">
        <v>871</v>
      </c>
      <c r="AH1144" s="103" t="s">
        <v>976</v>
      </c>
      <c r="AI1144" s="103">
        <v>0</v>
      </c>
      <c r="AJ1144" s="103"/>
      <c r="AK1144" s="103"/>
      <c r="AL1144" s="103"/>
      <c r="AM1144" s="103"/>
      <c r="AN1144" s="103"/>
      <c r="AO1144" s="103" t="str">
        <f t="shared" si="59"/>
        <v>CFLscw-Refl(22w)Three-pack</v>
      </c>
    </row>
    <row r="1145" spans="1:41">
      <c r="A1145" s="177">
        <f>IFERROR(MATCH(D1145,'Measure &amp; Standard CostIDs'!C$5:C$177,0),MATCH(D1145,'Measure &amp; Standard CostIDs'!S$5:S$177,0))</f>
        <v>151</v>
      </c>
      <c r="B1145" s="177">
        <f t="shared" si="61"/>
        <v>4</v>
      </c>
      <c r="C1145" s="103" t="s">
        <v>153</v>
      </c>
      <c r="D1145" s="103" t="str">
        <f t="shared" si="60"/>
        <v>CFLscw-Refl(24w)</v>
      </c>
      <c r="E1145" s="103" t="str">
        <f>IF(LEFT(D1145,3)="Std","Base case cost for mix of 60% Incandescent and 40% CFL lamps for CFL TechID: "&amp;INDEX('Measure &amp; Standard CostIDs'!$C$5:$C$177,A1145),"&lt;from TechID&gt;")</f>
        <v>&lt;from TechID&gt;</v>
      </c>
      <c r="F1145" s="103" t="s">
        <v>860</v>
      </c>
      <c r="G1145" s="103" t="s">
        <v>151</v>
      </c>
      <c r="H1145" s="103" t="s">
        <v>861</v>
      </c>
      <c r="I1145" s="103" t="s">
        <v>862</v>
      </c>
      <c r="J1145" s="103" t="s">
        <v>863</v>
      </c>
      <c r="K1145" s="103" t="s">
        <v>864</v>
      </c>
      <c r="L1145" s="103" t="s">
        <v>153</v>
      </c>
      <c r="M1145" s="103" t="s">
        <v>865</v>
      </c>
      <c r="N1145" s="103" t="s">
        <v>866</v>
      </c>
      <c r="O1145" s="103" t="str">
        <f t="shared" si="58"/>
        <v>CFLscw-Refl(24w)</v>
      </c>
      <c r="P1145" s="103" t="s">
        <v>153</v>
      </c>
      <c r="Q1145" s="103" t="s">
        <v>153</v>
      </c>
      <c r="R1145" s="103" t="s">
        <v>153</v>
      </c>
      <c r="S1145" s="103" t="str">
        <f>INDEX('Measure &amp; Standard CostIDs'!$AK$8:$AK$12,B1145)</f>
        <v>Three-pack</v>
      </c>
      <c r="T1145" s="103" t="s">
        <v>867</v>
      </c>
      <c r="U1145" s="103"/>
      <c r="V1145" s="103"/>
      <c r="W1145" s="103">
        <f>ROUND(IF(LEFT(D1145,3)="Std",VLOOKUP(D1145,'Measure &amp; Standard CostIDs'!$S$5:$X$177,1+B1145,FALSE),VLOOKUP(D1145,'Measure &amp; Standard CostIDs'!$C$5:$H$177,1+B1145,FALSE)),2)</f>
        <v>6.94</v>
      </c>
      <c r="X1145" s="103"/>
      <c r="Y1145" s="103"/>
      <c r="Z1145" s="103" t="s">
        <v>868</v>
      </c>
      <c r="AA1145" s="103" t="s">
        <v>874</v>
      </c>
      <c r="AB1145" s="103" t="s">
        <v>153</v>
      </c>
      <c r="AC1145" s="103">
        <v>0</v>
      </c>
      <c r="AD1145" s="156">
        <v>42005</v>
      </c>
      <c r="AE1145" s="103"/>
      <c r="AF1145" s="103" t="s">
        <v>870</v>
      </c>
      <c r="AG1145" s="103" t="s">
        <v>871</v>
      </c>
      <c r="AH1145" s="103" t="s">
        <v>976</v>
      </c>
      <c r="AI1145" s="103">
        <v>0</v>
      </c>
      <c r="AJ1145" s="103"/>
      <c r="AK1145" s="103"/>
      <c r="AL1145" s="103"/>
      <c r="AM1145" s="103"/>
      <c r="AN1145" s="103"/>
      <c r="AO1145" s="103" t="str">
        <f t="shared" si="59"/>
        <v>CFLscw-Refl(24w)Three-pack</v>
      </c>
    </row>
    <row r="1146" spans="1:41">
      <c r="A1146" s="177">
        <f>IFERROR(MATCH(D1146,'Measure &amp; Standard CostIDs'!C$5:C$177,0),MATCH(D1146,'Measure &amp; Standard CostIDs'!S$5:S$177,0))</f>
        <v>152</v>
      </c>
      <c r="B1146" s="177">
        <f t="shared" si="61"/>
        <v>4</v>
      </c>
      <c r="C1146" s="103" t="s">
        <v>153</v>
      </c>
      <c r="D1146" s="103" t="str">
        <f t="shared" si="60"/>
        <v>CFLscw-Refl(25w)</v>
      </c>
      <c r="E1146" s="103" t="str">
        <f>IF(LEFT(D1146,3)="Std","Base case cost for mix of 60% Incandescent and 40% CFL lamps for CFL TechID: "&amp;INDEX('Measure &amp; Standard CostIDs'!$C$5:$C$177,A1146),"&lt;from TechID&gt;")</f>
        <v>&lt;from TechID&gt;</v>
      </c>
      <c r="F1146" s="103" t="s">
        <v>860</v>
      </c>
      <c r="G1146" s="103" t="s">
        <v>151</v>
      </c>
      <c r="H1146" s="103" t="s">
        <v>861</v>
      </c>
      <c r="I1146" s="103" t="s">
        <v>862</v>
      </c>
      <c r="J1146" s="103" t="s">
        <v>863</v>
      </c>
      <c r="K1146" s="103" t="s">
        <v>864</v>
      </c>
      <c r="L1146" s="103" t="s">
        <v>153</v>
      </c>
      <c r="M1146" s="103" t="s">
        <v>865</v>
      </c>
      <c r="N1146" s="103" t="s">
        <v>866</v>
      </c>
      <c r="O1146" s="103" t="str">
        <f t="shared" si="58"/>
        <v>CFLscw-Refl(25w)</v>
      </c>
      <c r="P1146" s="103" t="s">
        <v>153</v>
      </c>
      <c r="Q1146" s="103" t="s">
        <v>153</v>
      </c>
      <c r="R1146" s="103" t="s">
        <v>153</v>
      </c>
      <c r="S1146" s="103" t="str">
        <f>INDEX('Measure &amp; Standard CostIDs'!$AK$8:$AK$12,B1146)</f>
        <v>Three-pack</v>
      </c>
      <c r="T1146" s="103" t="s">
        <v>867</v>
      </c>
      <c r="U1146" s="103"/>
      <c r="V1146" s="103"/>
      <c r="W1146" s="103">
        <f>ROUND(IF(LEFT(D1146,3)="Std",VLOOKUP(D1146,'Measure &amp; Standard CostIDs'!$S$5:$X$177,1+B1146,FALSE),VLOOKUP(D1146,'Measure &amp; Standard CostIDs'!$C$5:$H$177,1+B1146,FALSE)),2)</f>
        <v>7.09</v>
      </c>
      <c r="X1146" s="103"/>
      <c r="Y1146" s="103"/>
      <c r="Z1146" s="103" t="s">
        <v>868</v>
      </c>
      <c r="AA1146" s="103" t="s">
        <v>874</v>
      </c>
      <c r="AB1146" s="103" t="s">
        <v>153</v>
      </c>
      <c r="AC1146" s="103">
        <v>0</v>
      </c>
      <c r="AD1146" s="156">
        <v>42005</v>
      </c>
      <c r="AE1146" s="103"/>
      <c r="AF1146" s="103" t="s">
        <v>870</v>
      </c>
      <c r="AG1146" s="103" t="s">
        <v>871</v>
      </c>
      <c r="AH1146" s="103" t="s">
        <v>976</v>
      </c>
      <c r="AI1146" s="103">
        <v>0</v>
      </c>
      <c r="AJ1146" s="103"/>
      <c r="AK1146" s="103"/>
      <c r="AL1146" s="103"/>
      <c r="AM1146" s="103"/>
      <c r="AN1146" s="103"/>
      <c r="AO1146" s="103" t="str">
        <f t="shared" si="59"/>
        <v>CFLscw-Refl(25w)Three-pack</v>
      </c>
    </row>
    <row r="1147" spans="1:41">
      <c r="A1147" s="177">
        <f>IFERROR(MATCH(D1147,'Measure &amp; Standard CostIDs'!C$5:C$177,0),MATCH(D1147,'Measure &amp; Standard CostIDs'!S$5:S$177,0))</f>
        <v>153</v>
      </c>
      <c r="B1147" s="177">
        <f t="shared" si="61"/>
        <v>4</v>
      </c>
      <c r="C1147" s="103" t="s">
        <v>153</v>
      </c>
      <c r="D1147" s="103" t="str">
        <f t="shared" si="60"/>
        <v>CFLscw-Refl(26w)</v>
      </c>
      <c r="E1147" s="103" t="str">
        <f>IF(LEFT(D1147,3)="Std","Base case cost for mix of 60% Incandescent and 40% CFL lamps for CFL TechID: "&amp;INDEX('Measure &amp; Standard CostIDs'!$C$5:$C$177,A1147),"&lt;from TechID&gt;")</f>
        <v>&lt;from TechID&gt;</v>
      </c>
      <c r="F1147" s="103" t="s">
        <v>860</v>
      </c>
      <c r="G1147" s="103" t="s">
        <v>151</v>
      </c>
      <c r="H1147" s="103" t="s">
        <v>861</v>
      </c>
      <c r="I1147" s="103" t="s">
        <v>862</v>
      </c>
      <c r="J1147" s="103" t="s">
        <v>863</v>
      </c>
      <c r="K1147" s="103" t="s">
        <v>864</v>
      </c>
      <c r="L1147" s="103" t="s">
        <v>153</v>
      </c>
      <c r="M1147" s="103" t="s">
        <v>865</v>
      </c>
      <c r="N1147" s="103" t="s">
        <v>866</v>
      </c>
      <c r="O1147" s="103" t="str">
        <f t="shared" si="58"/>
        <v>CFLscw-Refl(26w)</v>
      </c>
      <c r="P1147" s="103" t="s">
        <v>153</v>
      </c>
      <c r="Q1147" s="103" t="s">
        <v>153</v>
      </c>
      <c r="R1147" s="103" t="s">
        <v>153</v>
      </c>
      <c r="S1147" s="103" t="str">
        <f>INDEX('Measure &amp; Standard CostIDs'!$AK$8:$AK$12,B1147)</f>
        <v>Three-pack</v>
      </c>
      <c r="T1147" s="103" t="s">
        <v>867</v>
      </c>
      <c r="U1147" s="103"/>
      <c r="V1147" s="103"/>
      <c r="W1147" s="103">
        <f>ROUND(IF(LEFT(D1147,3)="Std",VLOOKUP(D1147,'Measure &amp; Standard CostIDs'!$S$5:$X$177,1+B1147,FALSE),VLOOKUP(D1147,'Measure &amp; Standard CostIDs'!$C$5:$H$177,1+B1147,FALSE)),2)</f>
        <v>7.24</v>
      </c>
      <c r="X1147" s="103"/>
      <c r="Y1147" s="103"/>
      <c r="Z1147" s="103" t="s">
        <v>868</v>
      </c>
      <c r="AA1147" s="103" t="s">
        <v>874</v>
      </c>
      <c r="AB1147" s="103" t="s">
        <v>153</v>
      </c>
      <c r="AC1147" s="103">
        <v>0</v>
      </c>
      <c r="AD1147" s="156">
        <v>42005</v>
      </c>
      <c r="AE1147" s="103"/>
      <c r="AF1147" s="103" t="s">
        <v>870</v>
      </c>
      <c r="AG1147" s="103" t="s">
        <v>871</v>
      </c>
      <c r="AH1147" s="103" t="s">
        <v>976</v>
      </c>
      <c r="AI1147" s="103">
        <v>0</v>
      </c>
      <c r="AJ1147" s="103"/>
      <c r="AK1147" s="103"/>
      <c r="AL1147" s="103"/>
      <c r="AM1147" s="103"/>
      <c r="AN1147" s="103"/>
      <c r="AO1147" s="103" t="str">
        <f t="shared" si="59"/>
        <v>CFLscw-Refl(26w)Three-pack</v>
      </c>
    </row>
    <row r="1148" spans="1:41">
      <c r="A1148" s="177">
        <f>IFERROR(MATCH(D1148,'Measure &amp; Standard CostIDs'!C$5:C$177,0),MATCH(D1148,'Measure &amp; Standard CostIDs'!S$5:S$177,0))</f>
        <v>154</v>
      </c>
      <c r="B1148" s="177">
        <f t="shared" si="61"/>
        <v>4</v>
      </c>
      <c r="C1148" s="103" t="s">
        <v>153</v>
      </c>
      <c r="D1148" s="103" t="str">
        <f t="shared" si="60"/>
        <v>CFLscw-Refl(5w)</v>
      </c>
      <c r="E1148" s="103" t="str">
        <f>IF(LEFT(D1148,3)="Std","Base case cost for mix of 60% Incandescent and 40% CFL lamps for CFL TechID: "&amp;INDEX('Measure &amp; Standard CostIDs'!$C$5:$C$177,A1148),"&lt;from TechID&gt;")</f>
        <v>&lt;from TechID&gt;</v>
      </c>
      <c r="F1148" s="103" t="s">
        <v>860</v>
      </c>
      <c r="G1148" s="103" t="s">
        <v>151</v>
      </c>
      <c r="H1148" s="103" t="s">
        <v>861</v>
      </c>
      <c r="I1148" s="103" t="s">
        <v>862</v>
      </c>
      <c r="J1148" s="103" t="s">
        <v>863</v>
      </c>
      <c r="K1148" s="103" t="s">
        <v>864</v>
      </c>
      <c r="L1148" s="103" t="s">
        <v>153</v>
      </c>
      <c r="M1148" s="103" t="s">
        <v>865</v>
      </c>
      <c r="N1148" s="103" t="s">
        <v>866</v>
      </c>
      <c r="O1148" s="103" t="str">
        <f t="shared" si="58"/>
        <v>CFLscw-Refl(5w)</v>
      </c>
      <c r="P1148" s="103" t="s">
        <v>153</v>
      </c>
      <c r="Q1148" s="103" t="s">
        <v>153</v>
      </c>
      <c r="R1148" s="103" t="s">
        <v>153</v>
      </c>
      <c r="S1148" s="103" t="str">
        <f>INDEX('Measure &amp; Standard CostIDs'!$AK$8:$AK$12,B1148)</f>
        <v>Three-pack</v>
      </c>
      <c r="T1148" s="103" t="s">
        <v>867</v>
      </c>
      <c r="U1148" s="103"/>
      <c r="V1148" s="103"/>
      <c r="W1148" s="103">
        <f>ROUND(IF(LEFT(D1148,3)="Std",VLOOKUP(D1148,'Measure &amp; Standard CostIDs'!$S$5:$X$177,1+B1148,FALSE),VLOOKUP(D1148,'Measure &amp; Standard CostIDs'!$C$5:$H$177,1+B1148,FALSE)),2)</f>
        <v>4.1399999999999997</v>
      </c>
      <c r="X1148" s="103"/>
      <c r="Y1148" s="103"/>
      <c r="Z1148" s="103" t="s">
        <v>868</v>
      </c>
      <c r="AA1148" s="103" t="s">
        <v>874</v>
      </c>
      <c r="AB1148" s="103" t="s">
        <v>153</v>
      </c>
      <c r="AC1148" s="103">
        <v>0</v>
      </c>
      <c r="AD1148" s="156">
        <v>42005</v>
      </c>
      <c r="AE1148" s="103"/>
      <c r="AF1148" s="103" t="s">
        <v>870</v>
      </c>
      <c r="AG1148" s="103" t="s">
        <v>871</v>
      </c>
      <c r="AH1148" s="103" t="s">
        <v>976</v>
      </c>
      <c r="AI1148" s="103">
        <v>0</v>
      </c>
      <c r="AJ1148" s="103"/>
      <c r="AK1148" s="103"/>
      <c r="AL1148" s="103"/>
      <c r="AM1148" s="103"/>
      <c r="AN1148" s="103"/>
      <c r="AO1148" s="103" t="str">
        <f t="shared" si="59"/>
        <v>CFLscw-Refl(5w)Three-pack</v>
      </c>
    </row>
    <row r="1149" spans="1:41">
      <c r="A1149" s="177">
        <f>IFERROR(MATCH(D1149,'Measure &amp; Standard CostIDs'!C$5:C$177,0),MATCH(D1149,'Measure &amp; Standard CostIDs'!S$5:S$177,0))</f>
        <v>155</v>
      </c>
      <c r="B1149" s="177">
        <f t="shared" si="61"/>
        <v>4</v>
      </c>
      <c r="C1149" s="103" t="s">
        <v>153</v>
      </c>
      <c r="D1149" s="103" t="str">
        <f t="shared" si="60"/>
        <v>CFLscw-Refl(6w)</v>
      </c>
      <c r="E1149" s="103" t="str">
        <f>IF(LEFT(D1149,3)="Std","Base case cost for mix of 60% Incandescent and 40% CFL lamps for CFL TechID: "&amp;INDEX('Measure &amp; Standard CostIDs'!$C$5:$C$177,A1149),"&lt;from TechID&gt;")</f>
        <v>&lt;from TechID&gt;</v>
      </c>
      <c r="F1149" s="103" t="s">
        <v>860</v>
      </c>
      <c r="G1149" s="103" t="s">
        <v>151</v>
      </c>
      <c r="H1149" s="103" t="s">
        <v>861</v>
      </c>
      <c r="I1149" s="103" t="s">
        <v>862</v>
      </c>
      <c r="J1149" s="103" t="s">
        <v>863</v>
      </c>
      <c r="K1149" s="103" t="s">
        <v>864</v>
      </c>
      <c r="L1149" s="103" t="s">
        <v>153</v>
      </c>
      <c r="M1149" s="103" t="s">
        <v>865</v>
      </c>
      <c r="N1149" s="103" t="s">
        <v>866</v>
      </c>
      <c r="O1149" s="103" t="str">
        <f t="shared" si="58"/>
        <v>CFLscw-Refl(6w)</v>
      </c>
      <c r="P1149" s="103" t="s">
        <v>153</v>
      </c>
      <c r="Q1149" s="103" t="s">
        <v>153</v>
      </c>
      <c r="R1149" s="103" t="s">
        <v>153</v>
      </c>
      <c r="S1149" s="103" t="str">
        <f>INDEX('Measure &amp; Standard CostIDs'!$AK$8:$AK$12,B1149)</f>
        <v>Three-pack</v>
      </c>
      <c r="T1149" s="103" t="s">
        <v>867</v>
      </c>
      <c r="U1149" s="103"/>
      <c r="V1149" s="103"/>
      <c r="W1149" s="103">
        <f>ROUND(IF(LEFT(D1149,3)="Std",VLOOKUP(D1149,'Measure &amp; Standard CostIDs'!$S$5:$X$177,1+B1149,FALSE),VLOOKUP(D1149,'Measure &amp; Standard CostIDs'!$C$5:$H$177,1+B1149,FALSE)),2)</f>
        <v>4.29</v>
      </c>
      <c r="X1149" s="103"/>
      <c r="Y1149" s="103"/>
      <c r="Z1149" s="103" t="s">
        <v>868</v>
      </c>
      <c r="AA1149" s="103" t="s">
        <v>874</v>
      </c>
      <c r="AB1149" s="103" t="s">
        <v>153</v>
      </c>
      <c r="AC1149" s="103">
        <v>0</v>
      </c>
      <c r="AD1149" s="156">
        <v>42005</v>
      </c>
      <c r="AE1149" s="103"/>
      <c r="AF1149" s="103" t="s">
        <v>870</v>
      </c>
      <c r="AG1149" s="103" t="s">
        <v>871</v>
      </c>
      <c r="AH1149" s="103" t="s">
        <v>976</v>
      </c>
      <c r="AI1149" s="103">
        <v>0</v>
      </c>
      <c r="AJ1149" s="103"/>
      <c r="AK1149" s="103"/>
      <c r="AL1149" s="103"/>
      <c r="AM1149" s="103"/>
      <c r="AN1149" s="103"/>
      <c r="AO1149" s="103" t="str">
        <f t="shared" si="59"/>
        <v>CFLscw-Refl(6w)Three-pack</v>
      </c>
    </row>
    <row r="1150" spans="1:41">
      <c r="A1150" s="177">
        <f>IFERROR(MATCH(D1150,'Measure &amp; Standard CostIDs'!C$5:C$177,0),MATCH(D1150,'Measure &amp; Standard CostIDs'!S$5:S$177,0))</f>
        <v>156</v>
      </c>
      <c r="B1150" s="177">
        <f t="shared" si="61"/>
        <v>4</v>
      </c>
      <c r="C1150" s="103" t="s">
        <v>153</v>
      </c>
      <c r="D1150" s="103" t="str">
        <f t="shared" si="60"/>
        <v>CFLscw-Refl(7w)</v>
      </c>
      <c r="E1150" s="103" t="str">
        <f>IF(LEFT(D1150,3)="Std","Base case cost for mix of 60% Incandescent and 40% CFL lamps for CFL TechID: "&amp;INDEX('Measure &amp; Standard CostIDs'!$C$5:$C$177,A1150),"&lt;from TechID&gt;")</f>
        <v>&lt;from TechID&gt;</v>
      </c>
      <c r="F1150" s="103" t="s">
        <v>860</v>
      </c>
      <c r="G1150" s="103" t="s">
        <v>151</v>
      </c>
      <c r="H1150" s="103" t="s">
        <v>861</v>
      </c>
      <c r="I1150" s="103" t="s">
        <v>862</v>
      </c>
      <c r="J1150" s="103" t="s">
        <v>863</v>
      </c>
      <c r="K1150" s="103" t="s">
        <v>864</v>
      </c>
      <c r="L1150" s="103" t="s">
        <v>153</v>
      </c>
      <c r="M1150" s="103" t="s">
        <v>865</v>
      </c>
      <c r="N1150" s="103" t="s">
        <v>866</v>
      </c>
      <c r="O1150" s="103" t="str">
        <f t="shared" si="58"/>
        <v>CFLscw-Refl(7w)</v>
      </c>
      <c r="P1150" s="103" t="s">
        <v>153</v>
      </c>
      <c r="Q1150" s="103" t="s">
        <v>153</v>
      </c>
      <c r="R1150" s="103" t="s">
        <v>153</v>
      </c>
      <c r="S1150" s="103" t="str">
        <f>INDEX('Measure &amp; Standard CostIDs'!$AK$8:$AK$12,B1150)</f>
        <v>Three-pack</v>
      </c>
      <c r="T1150" s="103" t="s">
        <v>867</v>
      </c>
      <c r="U1150" s="103"/>
      <c r="V1150" s="103"/>
      <c r="W1150" s="103">
        <f>ROUND(IF(LEFT(D1150,3)="Std",VLOOKUP(D1150,'Measure &amp; Standard CostIDs'!$S$5:$X$177,1+B1150,FALSE),VLOOKUP(D1150,'Measure &amp; Standard CostIDs'!$C$5:$H$177,1+B1150,FALSE)),2)</f>
        <v>4.4400000000000004</v>
      </c>
      <c r="X1150" s="103"/>
      <c r="Y1150" s="103"/>
      <c r="Z1150" s="103" t="s">
        <v>868</v>
      </c>
      <c r="AA1150" s="103" t="s">
        <v>874</v>
      </c>
      <c r="AB1150" s="103" t="s">
        <v>153</v>
      </c>
      <c r="AC1150" s="103">
        <v>0</v>
      </c>
      <c r="AD1150" s="156">
        <v>42005</v>
      </c>
      <c r="AE1150" s="103"/>
      <c r="AF1150" s="103" t="s">
        <v>870</v>
      </c>
      <c r="AG1150" s="103" t="s">
        <v>871</v>
      </c>
      <c r="AH1150" s="103" t="s">
        <v>976</v>
      </c>
      <c r="AI1150" s="103">
        <v>0</v>
      </c>
      <c r="AJ1150" s="103"/>
      <c r="AK1150" s="103"/>
      <c r="AL1150" s="103"/>
      <c r="AM1150" s="103"/>
      <c r="AN1150" s="103"/>
      <c r="AO1150" s="103" t="str">
        <f t="shared" si="59"/>
        <v>CFLscw-Refl(7w)Three-pack</v>
      </c>
    </row>
    <row r="1151" spans="1:41">
      <c r="A1151" s="177">
        <f>IFERROR(MATCH(D1151,'Measure &amp; Standard CostIDs'!C$5:C$177,0),MATCH(D1151,'Measure &amp; Standard CostIDs'!S$5:S$177,0))</f>
        <v>157</v>
      </c>
      <c r="B1151" s="177">
        <f t="shared" si="61"/>
        <v>4</v>
      </c>
      <c r="C1151" s="103" t="s">
        <v>153</v>
      </c>
      <c r="D1151" s="103" t="str">
        <f t="shared" si="60"/>
        <v>CFLscw-Refl(8w)</v>
      </c>
      <c r="E1151" s="103" t="str">
        <f>IF(LEFT(D1151,3)="Std","Base case cost for mix of 60% Incandescent and 40% CFL lamps for CFL TechID: "&amp;INDEX('Measure &amp; Standard CostIDs'!$C$5:$C$177,A1151),"&lt;from TechID&gt;")</f>
        <v>&lt;from TechID&gt;</v>
      </c>
      <c r="F1151" s="103" t="s">
        <v>860</v>
      </c>
      <c r="G1151" s="103" t="s">
        <v>151</v>
      </c>
      <c r="H1151" s="103" t="s">
        <v>861</v>
      </c>
      <c r="I1151" s="103" t="s">
        <v>862</v>
      </c>
      <c r="J1151" s="103" t="s">
        <v>863</v>
      </c>
      <c r="K1151" s="103" t="s">
        <v>864</v>
      </c>
      <c r="L1151" s="103" t="s">
        <v>153</v>
      </c>
      <c r="M1151" s="103" t="s">
        <v>865</v>
      </c>
      <c r="N1151" s="103" t="s">
        <v>866</v>
      </c>
      <c r="O1151" s="103" t="str">
        <f t="shared" si="58"/>
        <v>CFLscw-Refl(8w)</v>
      </c>
      <c r="P1151" s="103" t="s">
        <v>153</v>
      </c>
      <c r="Q1151" s="103" t="s">
        <v>153</v>
      </c>
      <c r="R1151" s="103" t="s">
        <v>153</v>
      </c>
      <c r="S1151" s="103" t="str">
        <f>INDEX('Measure &amp; Standard CostIDs'!$AK$8:$AK$12,B1151)</f>
        <v>Three-pack</v>
      </c>
      <c r="T1151" s="103" t="s">
        <v>867</v>
      </c>
      <c r="U1151" s="103"/>
      <c r="V1151" s="103"/>
      <c r="W1151" s="103">
        <f>ROUND(IF(LEFT(D1151,3)="Std",VLOOKUP(D1151,'Measure &amp; Standard CostIDs'!$S$5:$X$177,1+B1151,FALSE),VLOOKUP(D1151,'Measure &amp; Standard CostIDs'!$C$5:$H$177,1+B1151,FALSE)),2)</f>
        <v>4.59</v>
      </c>
      <c r="X1151" s="103"/>
      <c r="Y1151" s="103"/>
      <c r="Z1151" s="103" t="s">
        <v>868</v>
      </c>
      <c r="AA1151" s="103" t="s">
        <v>874</v>
      </c>
      <c r="AB1151" s="103" t="s">
        <v>153</v>
      </c>
      <c r="AC1151" s="103">
        <v>0</v>
      </c>
      <c r="AD1151" s="156">
        <v>42005</v>
      </c>
      <c r="AE1151" s="103"/>
      <c r="AF1151" s="103" t="s">
        <v>870</v>
      </c>
      <c r="AG1151" s="103" t="s">
        <v>871</v>
      </c>
      <c r="AH1151" s="103" t="s">
        <v>976</v>
      </c>
      <c r="AI1151" s="103">
        <v>0</v>
      </c>
      <c r="AJ1151" s="103"/>
      <c r="AK1151" s="103"/>
      <c r="AL1151" s="103"/>
      <c r="AM1151" s="103"/>
      <c r="AN1151" s="103"/>
      <c r="AO1151" s="103" t="str">
        <f t="shared" si="59"/>
        <v>CFLscw-Refl(8w)Three-pack</v>
      </c>
    </row>
    <row r="1152" spans="1:41">
      <c r="A1152" s="177">
        <f>IFERROR(MATCH(D1152,'Measure &amp; Standard CostIDs'!C$5:C$177,0),MATCH(D1152,'Measure &amp; Standard CostIDs'!S$5:S$177,0))</f>
        <v>158</v>
      </c>
      <c r="B1152" s="177">
        <f t="shared" si="61"/>
        <v>4</v>
      </c>
      <c r="C1152" s="103" t="s">
        <v>153</v>
      </c>
      <c r="D1152" s="103" t="str">
        <f t="shared" si="60"/>
        <v>CFLscw-Refl(9w)</v>
      </c>
      <c r="E1152" s="103" t="str">
        <f>IF(LEFT(D1152,3)="Std","Base case cost for mix of 60% Incandescent and 40% CFL lamps for CFL TechID: "&amp;INDEX('Measure &amp; Standard CostIDs'!$C$5:$C$177,A1152),"&lt;from TechID&gt;")</f>
        <v>&lt;from TechID&gt;</v>
      </c>
      <c r="F1152" s="103" t="s">
        <v>860</v>
      </c>
      <c r="G1152" s="103" t="s">
        <v>151</v>
      </c>
      <c r="H1152" s="103" t="s">
        <v>861</v>
      </c>
      <c r="I1152" s="103" t="s">
        <v>862</v>
      </c>
      <c r="J1152" s="103" t="s">
        <v>863</v>
      </c>
      <c r="K1152" s="103" t="s">
        <v>864</v>
      </c>
      <c r="L1152" s="103" t="s">
        <v>153</v>
      </c>
      <c r="M1152" s="103" t="s">
        <v>865</v>
      </c>
      <c r="N1152" s="103" t="s">
        <v>866</v>
      </c>
      <c r="O1152" s="103" t="str">
        <f t="shared" si="58"/>
        <v>CFLscw-Refl(9w)</v>
      </c>
      <c r="P1152" s="103" t="s">
        <v>153</v>
      </c>
      <c r="Q1152" s="103" t="s">
        <v>153</v>
      </c>
      <c r="R1152" s="103" t="s">
        <v>153</v>
      </c>
      <c r="S1152" s="103" t="str">
        <f>INDEX('Measure &amp; Standard CostIDs'!$AK$8:$AK$12,B1152)</f>
        <v>Three-pack</v>
      </c>
      <c r="T1152" s="103" t="s">
        <v>867</v>
      </c>
      <c r="U1152" s="103"/>
      <c r="V1152" s="103"/>
      <c r="W1152" s="103">
        <f>ROUND(IF(LEFT(D1152,3)="Std",VLOOKUP(D1152,'Measure &amp; Standard CostIDs'!$S$5:$X$177,1+B1152,FALSE),VLOOKUP(D1152,'Measure &amp; Standard CostIDs'!$C$5:$H$177,1+B1152,FALSE)),2)</f>
        <v>4.7300000000000004</v>
      </c>
      <c r="X1152" s="103"/>
      <c r="Y1152" s="103"/>
      <c r="Z1152" s="103" t="s">
        <v>868</v>
      </c>
      <c r="AA1152" s="103" t="s">
        <v>874</v>
      </c>
      <c r="AB1152" s="103" t="s">
        <v>153</v>
      </c>
      <c r="AC1152" s="103">
        <v>0</v>
      </c>
      <c r="AD1152" s="156">
        <v>42005</v>
      </c>
      <c r="AE1152" s="103"/>
      <c r="AF1152" s="103" t="s">
        <v>870</v>
      </c>
      <c r="AG1152" s="103" t="s">
        <v>871</v>
      </c>
      <c r="AH1152" s="103" t="s">
        <v>976</v>
      </c>
      <c r="AI1152" s="103">
        <v>0</v>
      </c>
      <c r="AJ1152" s="103"/>
      <c r="AK1152" s="103"/>
      <c r="AL1152" s="103"/>
      <c r="AM1152" s="103"/>
      <c r="AN1152" s="103"/>
      <c r="AO1152" s="103" t="str">
        <f t="shared" si="59"/>
        <v>CFLscw-Refl(9w)Three-pack</v>
      </c>
    </row>
    <row r="1153" spans="1:41">
      <c r="A1153" s="177">
        <f>IFERROR(MATCH(D1153,'Measure &amp; Standard CostIDs'!C$5:C$177,0),MATCH(D1153,'Measure &amp; Standard CostIDs'!S$5:S$177,0))</f>
        <v>159</v>
      </c>
      <c r="B1153" s="177">
        <f t="shared" si="61"/>
        <v>4</v>
      </c>
      <c r="C1153" s="103" t="s">
        <v>153</v>
      </c>
      <c r="D1153" s="103" t="str">
        <f t="shared" si="60"/>
        <v>CFLscw-Refl-1(15w)</v>
      </c>
      <c r="E1153" s="103" t="str">
        <f>IF(LEFT(D1153,3)="Std","Base case cost for mix of 60% Incandescent and 40% CFL lamps for CFL TechID: "&amp;INDEX('Measure &amp; Standard CostIDs'!$C$5:$C$177,A1153),"&lt;from TechID&gt;")</f>
        <v>&lt;from TechID&gt;</v>
      </c>
      <c r="F1153" s="103" t="s">
        <v>860</v>
      </c>
      <c r="G1153" s="103" t="s">
        <v>151</v>
      </c>
      <c r="H1153" s="103" t="s">
        <v>861</v>
      </c>
      <c r="I1153" s="103" t="s">
        <v>862</v>
      </c>
      <c r="J1153" s="103" t="s">
        <v>863</v>
      </c>
      <c r="K1153" s="103" t="s">
        <v>864</v>
      </c>
      <c r="L1153" s="103" t="s">
        <v>153</v>
      </c>
      <c r="M1153" s="103" t="s">
        <v>865</v>
      </c>
      <c r="N1153" s="103" t="s">
        <v>866</v>
      </c>
      <c r="O1153" s="103" t="str">
        <f t="shared" si="58"/>
        <v>CFLscw-Refl-1(15w)</v>
      </c>
      <c r="P1153" s="103" t="s">
        <v>153</v>
      </c>
      <c r="Q1153" s="103" t="s">
        <v>153</v>
      </c>
      <c r="R1153" s="103" t="s">
        <v>153</v>
      </c>
      <c r="S1153" s="103" t="str">
        <f>INDEX('Measure &amp; Standard CostIDs'!$AK$8:$AK$12,B1153)</f>
        <v>Three-pack</v>
      </c>
      <c r="T1153" s="103" t="s">
        <v>867</v>
      </c>
      <c r="U1153" s="103"/>
      <c r="V1153" s="103"/>
      <c r="W1153" s="103">
        <f>ROUND(IF(LEFT(D1153,3)="Std",VLOOKUP(D1153,'Measure &amp; Standard CostIDs'!$S$5:$X$177,1+B1153,FALSE),VLOOKUP(D1153,'Measure &amp; Standard CostIDs'!$C$5:$H$177,1+B1153,FALSE)),2)</f>
        <v>5.62</v>
      </c>
      <c r="X1153" s="103"/>
      <c r="Y1153" s="103"/>
      <c r="Z1153" s="103" t="s">
        <v>868</v>
      </c>
      <c r="AA1153" s="103" t="s">
        <v>874</v>
      </c>
      <c r="AB1153" s="103" t="s">
        <v>153</v>
      </c>
      <c r="AC1153" s="103">
        <v>0</v>
      </c>
      <c r="AD1153" s="156">
        <v>42005</v>
      </c>
      <c r="AE1153" s="103"/>
      <c r="AF1153" s="103" t="s">
        <v>870</v>
      </c>
      <c r="AG1153" s="103" t="s">
        <v>871</v>
      </c>
      <c r="AH1153" s="103" t="s">
        <v>976</v>
      </c>
      <c r="AI1153" s="103">
        <v>0</v>
      </c>
      <c r="AJ1153" s="103"/>
      <c r="AK1153" s="103"/>
      <c r="AL1153" s="103"/>
      <c r="AM1153" s="103"/>
      <c r="AN1153" s="103"/>
      <c r="AO1153" s="103" t="str">
        <f t="shared" si="59"/>
        <v>CFLscw-Refl-1(15w)Three-pack</v>
      </c>
    </row>
    <row r="1154" spans="1:41">
      <c r="A1154" s="177">
        <f>IFERROR(MATCH(D1154,'Measure &amp; Standard CostIDs'!C$5:C$177,0),MATCH(D1154,'Measure &amp; Standard CostIDs'!S$5:S$177,0))</f>
        <v>160</v>
      </c>
      <c r="B1154" s="177">
        <f t="shared" si="61"/>
        <v>4</v>
      </c>
      <c r="C1154" s="103" t="s">
        <v>153</v>
      </c>
      <c r="D1154" s="103" t="str">
        <f t="shared" si="60"/>
        <v>CFLscw-Refl-1(23w)</v>
      </c>
      <c r="E1154" s="103" t="str">
        <f>IF(LEFT(D1154,3)="Std","Base case cost for mix of 60% Incandescent and 40% CFL lamps for CFL TechID: "&amp;INDEX('Measure &amp; Standard CostIDs'!$C$5:$C$177,A1154),"&lt;from TechID&gt;")</f>
        <v>&lt;from TechID&gt;</v>
      </c>
      <c r="F1154" s="103" t="s">
        <v>860</v>
      </c>
      <c r="G1154" s="103" t="s">
        <v>151</v>
      </c>
      <c r="H1154" s="103" t="s">
        <v>861</v>
      </c>
      <c r="I1154" s="103" t="s">
        <v>862</v>
      </c>
      <c r="J1154" s="103" t="s">
        <v>863</v>
      </c>
      <c r="K1154" s="103" t="s">
        <v>864</v>
      </c>
      <c r="L1154" s="103" t="s">
        <v>153</v>
      </c>
      <c r="M1154" s="103" t="s">
        <v>865</v>
      </c>
      <c r="N1154" s="103" t="s">
        <v>866</v>
      </c>
      <c r="O1154" s="103" t="str">
        <f t="shared" si="58"/>
        <v>CFLscw-Refl-1(23w)</v>
      </c>
      <c r="P1154" s="103" t="s">
        <v>153</v>
      </c>
      <c r="Q1154" s="103" t="s">
        <v>153</v>
      </c>
      <c r="R1154" s="103" t="s">
        <v>153</v>
      </c>
      <c r="S1154" s="103" t="str">
        <f>INDEX('Measure &amp; Standard CostIDs'!$AK$8:$AK$12,B1154)</f>
        <v>Three-pack</v>
      </c>
      <c r="T1154" s="103" t="s">
        <v>867</v>
      </c>
      <c r="U1154" s="103"/>
      <c r="V1154" s="103"/>
      <c r="W1154" s="103">
        <f>ROUND(IF(LEFT(D1154,3)="Std",VLOOKUP(D1154,'Measure &amp; Standard CostIDs'!$S$5:$X$177,1+B1154,FALSE),VLOOKUP(D1154,'Measure &amp; Standard CostIDs'!$C$5:$H$177,1+B1154,FALSE)),2)</f>
        <v>6.8</v>
      </c>
      <c r="X1154" s="103"/>
      <c r="Y1154" s="103"/>
      <c r="Z1154" s="103" t="s">
        <v>868</v>
      </c>
      <c r="AA1154" s="103" t="s">
        <v>874</v>
      </c>
      <c r="AB1154" s="103" t="s">
        <v>153</v>
      </c>
      <c r="AC1154" s="103">
        <v>0</v>
      </c>
      <c r="AD1154" s="156">
        <v>42005</v>
      </c>
      <c r="AE1154" s="103"/>
      <c r="AF1154" s="103" t="s">
        <v>870</v>
      </c>
      <c r="AG1154" s="103" t="s">
        <v>871</v>
      </c>
      <c r="AH1154" s="103" t="s">
        <v>976</v>
      </c>
      <c r="AI1154" s="103">
        <v>0</v>
      </c>
      <c r="AJ1154" s="103"/>
      <c r="AK1154" s="103"/>
      <c r="AL1154" s="103"/>
      <c r="AM1154" s="103"/>
      <c r="AN1154" s="103"/>
      <c r="AO1154" s="103" t="str">
        <f t="shared" si="59"/>
        <v>CFLscw-Refl-1(23w)Three-pack</v>
      </c>
    </row>
    <row r="1155" spans="1:41">
      <c r="A1155" s="177">
        <f>IFERROR(MATCH(D1155,'Measure &amp; Standard CostIDs'!C$5:C$177,0),MATCH(D1155,'Measure &amp; Standard CostIDs'!S$5:S$177,0))</f>
        <v>161</v>
      </c>
      <c r="B1155" s="177">
        <f t="shared" si="61"/>
        <v>4</v>
      </c>
      <c r="C1155" s="103" t="s">
        <v>153</v>
      </c>
      <c r="D1155" s="103" t="str">
        <f t="shared" si="60"/>
        <v>CFLscw-Refl-2(15w)</v>
      </c>
      <c r="E1155" s="103" t="str">
        <f>IF(LEFT(D1155,3)="Std","Base case cost for mix of 60% Incandescent and 40% CFL lamps for CFL TechID: "&amp;INDEX('Measure &amp; Standard CostIDs'!$C$5:$C$177,A1155),"&lt;from TechID&gt;")</f>
        <v>&lt;from TechID&gt;</v>
      </c>
      <c r="F1155" s="103" t="s">
        <v>860</v>
      </c>
      <c r="G1155" s="103" t="s">
        <v>151</v>
      </c>
      <c r="H1155" s="103" t="s">
        <v>861</v>
      </c>
      <c r="I1155" s="103" t="s">
        <v>862</v>
      </c>
      <c r="J1155" s="103" t="s">
        <v>863</v>
      </c>
      <c r="K1155" s="103" t="s">
        <v>864</v>
      </c>
      <c r="L1155" s="103" t="s">
        <v>153</v>
      </c>
      <c r="M1155" s="103" t="s">
        <v>865</v>
      </c>
      <c r="N1155" s="103" t="s">
        <v>866</v>
      </c>
      <c r="O1155" s="103" t="str">
        <f t="shared" si="58"/>
        <v>CFLscw-Refl-2(15w)</v>
      </c>
      <c r="P1155" s="103" t="s">
        <v>153</v>
      </c>
      <c r="Q1155" s="103" t="s">
        <v>153</v>
      </c>
      <c r="R1155" s="103" t="s">
        <v>153</v>
      </c>
      <c r="S1155" s="103" t="str">
        <f>INDEX('Measure &amp; Standard CostIDs'!$AK$8:$AK$12,B1155)</f>
        <v>Three-pack</v>
      </c>
      <c r="T1155" s="103" t="s">
        <v>867</v>
      </c>
      <c r="U1155" s="103"/>
      <c r="V1155" s="103"/>
      <c r="W1155" s="103">
        <f>ROUND(IF(LEFT(D1155,3)="Std",VLOOKUP(D1155,'Measure &amp; Standard CostIDs'!$S$5:$X$177,1+B1155,FALSE),VLOOKUP(D1155,'Measure &amp; Standard CostIDs'!$C$5:$H$177,1+B1155,FALSE)),2)</f>
        <v>5.62</v>
      </c>
      <c r="X1155" s="103"/>
      <c r="Y1155" s="103"/>
      <c r="Z1155" s="103" t="s">
        <v>868</v>
      </c>
      <c r="AA1155" s="103" t="s">
        <v>874</v>
      </c>
      <c r="AB1155" s="103" t="s">
        <v>153</v>
      </c>
      <c r="AC1155" s="103">
        <v>0</v>
      </c>
      <c r="AD1155" s="156">
        <v>42005</v>
      </c>
      <c r="AE1155" s="103"/>
      <c r="AF1155" s="103" t="s">
        <v>870</v>
      </c>
      <c r="AG1155" s="103" t="s">
        <v>871</v>
      </c>
      <c r="AH1155" s="103" t="s">
        <v>976</v>
      </c>
      <c r="AI1155" s="103">
        <v>0</v>
      </c>
      <c r="AJ1155" s="103"/>
      <c r="AK1155" s="103"/>
      <c r="AL1155" s="103"/>
      <c r="AM1155" s="103"/>
      <c r="AN1155" s="103"/>
      <c r="AO1155" s="103" t="str">
        <f t="shared" si="59"/>
        <v>CFLscw-Refl-2(15w)Three-pack</v>
      </c>
    </row>
    <row r="1156" spans="1:41">
      <c r="A1156" s="177">
        <f>IFERROR(MATCH(D1156,'Measure &amp; Standard CostIDs'!C$5:C$177,0),MATCH(D1156,'Measure &amp; Standard CostIDs'!S$5:S$177,0))</f>
        <v>162</v>
      </c>
      <c r="B1156" s="177">
        <f t="shared" si="61"/>
        <v>4</v>
      </c>
      <c r="C1156" s="103" t="s">
        <v>153</v>
      </c>
      <c r="D1156" s="103" t="str">
        <f t="shared" si="60"/>
        <v>CFLscw-Refl-2(23w)</v>
      </c>
      <c r="E1156" s="103" t="str">
        <f>IF(LEFT(D1156,3)="Std","Base case cost for mix of 60% Incandescent and 40% CFL lamps for CFL TechID: "&amp;INDEX('Measure &amp; Standard CostIDs'!$C$5:$C$177,A1156),"&lt;from TechID&gt;")</f>
        <v>&lt;from TechID&gt;</v>
      </c>
      <c r="F1156" s="103" t="s">
        <v>860</v>
      </c>
      <c r="G1156" s="103" t="s">
        <v>151</v>
      </c>
      <c r="H1156" s="103" t="s">
        <v>861</v>
      </c>
      <c r="I1156" s="103" t="s">
        <v>862</v>
      </c>
      <c r="J1156" s="103" t="s">
        <v>863</v>
      </c>
      <c r="K1156" s="103" t="s">
        <v>864</v>
      </c>
      <c r="L1156" s="103" t="s">
        <v>153</v>
      </c>
      <c r="M1156" s="103" t="s">
        <v>865</v>
      </c>
      <c r="N1156" s="103" t="s">
        <v>866</v>
      </c>
      <c r="O1156" s="103" t="str">
        <f t="shared" si="58"/>
        <v>CFLscw-Refl-2(23w)</v>
      </c>
      <c r="P1156" s="103" t="s">
        <v>153</v>
      </c>
      <c r="Q1156" s="103" t="s">
        <v>153</v>
      </c>
      <c r="R1156" s="103" t="s">
        <v>153</v>
      </c>
      <c r="S1156" s="103" t="str">
        <f>INDEX('Measure &amp; Standard CostIDs'!$AK$8:$AK$12,B1156)</f>
        <v>Three-pack</v>
      </c>
      <c r="T1156" s="103" t="s">
        <v>867</v>
      </c>
      <c r="U1156" s="103"/>
      <c r="V1156" s="103"/>
      <c r="W1156" s="103">
        <f>ROUND(IF(LEFT(D1156,3)="Std",VLOOKUP(D1156,'Measure &amp; Standard CostIDs'!$S$5:$X$177,1+B1156,FALSE),VLOOKUP(D1156,'Measure &amp; Standard CostIDs'!$C$5:$H$177,1+B1156,FALSE)),2)</f>
        <v>6.8</v>
      </c>
      <c r="X1156" s="103"/>
      <c r="Y1156" s="103"/>
      <c r="Z1156" s="103" t="s">
        <v>868</v>
      </c>
      <c r="AA1156" s="103" t="s">
        <v>874</v>
      </c>
      <c r="AB1156" s="103" t="s">
        <v>153</v>
      </c>
      <c r="AC1156" s="103">
        <v>0</v>
      </c>
      <c r="AD1156" s="156">
        <v>42005</v>
      </c>
      <c r="AE1156" s="103"/>
      <c r="AF1156" s="103" t="s">
        <v>870</v>
      </c>
      <c r="AG1156" s="103" t="s">
        <v>871</v>
      </c>
      <c r="AH1156" s="103" t="s">
        <v>976</v>
      </c>
      <c r="AI1156" s="103">
        <v>0</v>
      </c>
      <c r="AJ1156" s="103"/>
      <c r="AK1156" s="103"/>
      <c r="AL1156" s="103"/>
      <c r="AM1156" s="103"/>
      <c r="AN1156" s="103"/>
      <c r="AO1156" s="103" t="str">
        <f t="shared" si="59"/>
        <v>CFLscw-Refl-2(23w)Three-pack</v>
      </c>
    </row>
    <row r="1157" spans="1:41">
      <c r="A1157" s="177">
        <f>IFERROR(MATCH(D1157,'Measure &amp; Standard CostIDs'!C$5:C$177,0),MATCH(D1157,'Measure &amp; Standard CostIDs'!S$5:S$177,0))</f>
        <v>163</v>
      </c>
      <c r="B1157" s="177">
        <f t="shared" si="61"/>
        <v>4</v>
      </c>
      <c r="C1157" s="103" t="s">
        <v>153</v>
      </c>
      <c r="D1157" s="103" t="str">
        <f t="shared" si="60"/>
        <v>CFLscw-Refl-Dim(15w)</v>
      </c>
      <c r="E1157" s="103" t="str">
        <f>IF(LEFT(D1157,3)="Std","Base case cost for mix of 60% Incandescent and 40% CFL lamps for CFL TechID: "&amp;INDEX('Measure &amp; Standard CostIDs'!$C$5:$C$177,A1157),"&lt;from TechID&gt;")</f>
        <v>&lt;from TechID&gt;</v>
      </c>
      <c r="F1157" s="103" t="s">
        <v>860</v>
      </c>
      <c r="G1157" s="103" t="s">
        <v>151</v>
      </c>
      <c r="H1157" s="103" t="s">
        <v>861</v>
      </c>
      <c r="I1157" s="103" t="s">
        <v>862</v>
      </c>
      <c r="J1157" s="103" t="s">
        <v>863</v>
      </c>
      <c r="K1157" s="103" t="s">
        <v>864</v>
      </c>
      <c r="L1157" s="103" t="s">
        <v>153</v>
      </c>
      <c r="M1157" s="103" t="s">
        <v>865</v>
      </c>
      <c r="N1157" s="103" t="s">
        <v>866</v>
      </c>
      <c r="O1157" s="103" t="str">
        <f t="shared" si="58"/>
        <v>CFLscw-Refl-Dim(15w)</v>
      </c>
      <c r="P1157" s="103" t="s">
        <v>153</v>
      </c>
      <c r="Q1157" s="103" t="s">
        <v>153</v>
      </c>
      <c r="R1157" s="103" t="s">
        <v>153</v>
      </c>
      <c r="S1157" s="103" t="str">
        <f>INDEX('Measure &amp; Standard CostIDs'!$AK$8:$AK$12,B1157)</f>
        <v>Three-pack</v>
      </c>
      <c r="T1157" s="103" t="s">
        <v>867</v>
      </c>
      <c r="U1157" s="103"/>
      <c r="V1157" s="103"/>
      <c r="W1157" s="103">
        <f>ROUND(IF(LEFT(D1157,3)="Std",VLOOKUP(D1157,'Measure &amp; Standard CostIDs'!$S$5:$X$177,1+B1157,FALSE),VLOOKUP(D1157,'Measure &amp; Standard CostIDs'!$C$5:$H$177,1+B1157,FALSE)),2)</f>
        <v>9.66</v>
      </c>
      <c r="X1157" s="103"/>
      <c r="Y1157" s="103"/>
      <c r="Z1157" s="103" t="s">
        <v>868</v>
      </c>
      <c r="AA1157" s="103" t="s">
        <v>874</v>
      </c>
      <c r="AB1157" s="103" t="s">
        <v>153</v>
      </c>
      <c r="AC1157" s="103">
        <v>0</v>
      </c>
      <c r="AD1157" s="156">
        <v>42005</v>
      </c>
      <c r="AE1157" s="103"/>
      <c r="AF1157" s="103" t="s">
        <v>870</v>
      </c>
      <c r="AG1157" s="103" t="s">
        <v>871</v>
      </c>
      <c r="AH1157" s="103" t="s">
        <v>976</v>
      </c>
      <c r="AI1157" s="103">
        <v>0</v>
      </c>
      <c r="AJ1157" s="103"/>
      <c r="AK1157" s="103"/>
      <c r="AL1157" s="103"/>
      <c r="AM1157" s="103"/>
      <c r="AN1157" s="103"/>
      <c r="AO1157" s="103" t="str">
        <f t="shared" si="59"/>
        <v>CFLscw-Refl-Dim(15w)Three-pack</v>
      </c>
    </row>
    <row r="1158" spans="1:41">
      <c r="A1158" s="177">
        <f>IFERROR(MATCH(D1158,'Measure &amp; Standard CostIDs'!C$5:C$177,0),MATCH(D1158,'Measure &amp; Standard CostIDs'!S$5:S$177,0))</f>
        <v>164</v>
      </c>
      <c r="B1158" s="177">
        <f t="shared" si="61"/>
        <v>4</v>
      </c>
      <c r="C1158" s="103" t="s">
        <v>153</v>
      </c>
      <c r="D1158" s="103" t="str">
        <f t="shared" si="60"/>
        <v>CFLscw-Refl-Dim(16w)</v>
      </c>
      <c r="E1158" s="103" t="str">
        <f>IF(LEFT(D1158,3)="Std","Base case cost for mix of 60% Incandescent and 40% CFL lamps for CFL TechID: "&amp;INDEX('Measure &amp; Standard CostIDs'!$C$5:$C$177,A1158),"&lt;from TechID&gt;")</f>
        <v>&lt;from TechID&gt;</v>
      </c>
      <c r="F1158" s="103" t="s">
        <v>860</v>
      </c>
      <c r="G1158" s="103" t="s">
        <v>151</v>
      </c>
      <c r="H1158" s="103" t="s">
        <v>861</v>
      </c>
      <c r="I1158" s="103" t="s">
        <v>862</v>
      </c>
      <c r="J1158" s="103" t="s">
        <v>863</v>
      </c>
      <c r="K1158" s="103" t="s">
        <v>864</v>
      </c>
      <c r="L1158" s="103" t="s">
        <v>153</v>
      </c>
      <c r="M1158" s="103" t="s">
        <v>865</v>
      </c>
      <c r="N1158" s="103" t="s">
        <v>866</v>
      </c>
      <c r="O1158" s="103" t="str">
        <f t="shared" ref="O1158:O1221" si="62">IF(LEFT(D1158,3)="Std","",D1158)</f>
        <v>CFLscw-Refl-Dim(16w)</v>
      </c>
      <c r="P1158" s="103" t="s">
        <v>153</v>
      </c>
      <c r="Q1158" s="103" t="s">
        <v>153</v>
      </c>
      <c r="R1158" s="103" t="s">
        <v>153</v>
      </c>
      <c r="S1158" s="103" t="str">
        <f>INDEX('Measure &amp; Standard CostIDs'!$AK$8:$AK$12,B1158)</f>
        <v>Three-pack</v>
      </c>
      <c r="T1158" s="103" t="s">
        <v>867</v>
      </c>
      <c r="U1158" s="103"/>
      <c r="V1158" s="103"/>
      <c r="W1158" s="103">
        <f>ROUND(IF(LEFT(D1158,3)="Std",VLOOKUP(D1158,'Measure &amp; Standard CostIDs'!$S$5:$X$177,1+B1158,FALSE),VLOOKUP(D1158,'Measure &amp; Standard CostIDs'!$C$5:$H$177,1+B1158,FALSE)),2)</f>
        <v>9.81</v>
      </c>
      <c r="X1158" s="103"/>
      <c r="Y1158" s="103"/>
      <c r="Z1158" s="103" t="s">
        <v>868</v>
      </c>
      <c r="AA1158" s="103" t="s">
        <v>874</v>
      </c>
      <c r="AB1158" s="103" t="s">
        <v>153</v>
      </c>
      <c r="AC1158" s="103">
        <v>0</v>
      </c>
      <c r="AD1158" s="156">
        <v>42005</v>
      </c>
      <c r="AE1158" s="103"/>
      <c r="AF1158" s="103" t="s">
        <v>870</v>
      </c>
      <c r="AG1158" s="103" t="s">
        <v>871</v>
      </c>
      <c r="AH1158" s="103" t="s">
        <v>976</v>
      </c>
      <c r="AI1158" s="103">
        <v>0</v>
      </c>
      <c r="AJ1158" s="103"/>
      <c r="AK1158" s="103"/>
      <c r="AL1158" s="103"/>
      <c r="AM1158" s="103"/>
      <c r="AN1158" s="103"/>
      <c r="AO1158" s="103" t="str">
        <f t="shared" ref="AO1158:AO1221" si="63">D1158&amp;S1158</f>
        <v>CFLscw-Refl-Dim(16w)Three-pack</v>
      </c>
    </row>
    <row r="1159" spans="1:41">
      <c r="A1159" s="177">
        <f>IFERROR(MATCH(D1159,'Measure &amp; Standard CostIDs'!C$5:C$177,0),MATCH(D1159,'Measure &amp; Standard CostIDs'!S$5:S$177,0))</f>
        <v>165</v>
      </c>
      <c r="B1159" s="177">
        <f t="shared" si="61"/>
        <v>4</v>
      </c>
      <c r="C1159" s="103" t="s">
        <v>153</v>
      </c>
      <c r="D1159" s="103" t="str">
        <f t="shared" si="60"/>
        <v>CFLscw-Refl-Dim(20w)</v>
      </c>
      <c r="E1159" s="103" t="str">
        <f>IF(LEFT(D1159,3)="Std","Base case cost for mix of 60% Incandescent and 40% CFL lamps for CFL TechID: "&amp;INDEX('Measure &amp; Standard CostIDs'!$C$5:$C$177,A1159),"&lt;from TechID&gt;")</f>
        <v>&lt;from TechID&gt;</v>
      </c>
      <c r="F1159" s="103" t="s">
        <v>860</v>
      </c>
      <c r="G1159" s="103" t="s">
        <v>151</v>
      </c>
      <c r="H1159" s="103" t="s">
        <v>861</v>
      </c>
      <c r="I1159" s="103" t="s">
        <v>862</v>
      </c>
      <c r="J1159" s="103" t="s">
        <v>863</v>
      </c>
      <c r="K1159" s="103" t="s">
        <v>864</v>
      </c>
      <c r="L1159" s="103" t="s">
        <v>153</v>
      </c>
      <c r="M1159" s="103" t="s">
        <v>865</v>
      </c>
      <c r="N1159" s="103" t="s">
        <v>866</v>
      </c>
      <c r="O1159" s="103" t="str">
        <f t="shared" si="62"/>
        <v>CFLscw-Refl-Dim(20w)</v>
      </c>
      <c r="P1159" s="103" t="s">
        <v>153</v>
      </c>
      <c r="Q1159" s="103" t="s">
        <v>153</v>
      </c>
      <c r="R1159" s="103" t="s">
        <v>153</v>
      </c>
      <c r="S1159" s="103" t="str">
        <f>INDEX('Measure &amp; Standard CostIDs'!$AK$8:$AK$12,B1159)</f>
        <v>Three-pack</v>
      </c>
      <c r="T1159" s="103" t="s">
        <v>867</v>
      </c>
      <c r="U1159" s="103"/>
      <c r="V1159" s="103"/>
      <c r="W1159" s="103">
        <f>ROUND(IF(LEFT(D1159,3)="Std",VLOOKUP(D1159,'Measure &amp; Standard CostIDs'!$S$5:$X$177,1+B1159,FALSE),VLOOKUP(D1159,'Measure &amp; Standard CostIDs'!$C$5:$H$177,1+B1159,FALSE)),2)</f>
        <v>10.4</v>
      </c>
      <c r="X1159" s="103"/>
      <c r="Y1159" s="103"/>
      <c r="Z1159" s="103" t="s">
        <v>868</v>
      </c>
      <c r="AA1159" s="103" t="s">
        <v>874</v>
      </c>
      <c r="AB1159" s="103" t="s">
        <v>153</v>
      </c>
      <c r="AC1159" s="103">
        <v>0</v>
      </c>
      <c r="AD1159" s="156">
        <v>42005</v>
      </c>
      <c r="AE1159" s="103"/>
      <c r="AF1159" s="103" t="s">
        <v>870</v>
      </c>
      <c r="AG1159" s="103" t="s">
        <v>871</v>
      </c>
      <c r="AH1159" s="103" t="s">
        <v>976</v>
      </c>
      <c r="AI1159" s="103">
        <v>0</v>
      </c>
      <c r="AJ1159" s="103"/>
      <c r="AK1159" s="103"/>
      <c r="AL1159" s="103"/>
      <c r="AM1159" s="103"/>
      <c r="AN1159" s="103"/>
      <c r="AO1159" s="103" t="str">
        <f t="shared" si="63"/>
        <v>CFLscw-Refl-Dim(20w)Three-pack</v>
      </c>
    </row>
    <row r="1160" spans="1:41">
      <c r="A1160" s="177">
        <f>IFERROR(MATCH(D1160,'Measure &amp; Standard CostIDs'!C$5:C$177,0),MATCH(D1160,'Measure &amp; Standard CostIDs'!S$5:S$177,0))</f>
        <v>166</v>
      </c>
      <c r="B1160" s="177">
        <f t="shared" si="61"/>
        <v>4</v>
      </c>
      <c r="C1160" s="103" t="s">
        <v>153</v>
      </c>
      <c r="D1160" s="103" t="str">
        <f t="shared" si="60"/>
        <v>CFLscw-Refl-Dim(26w)</v>
      </c>
      <c r="E1160" s="103" t="str">
        <f>IF(LEFT(D1160,3)="Std","Base case cost for mix of 60% Incandescent and 40% CFL lamps for CFL TechID: "&amp;INDEX('Measure &amp; Standard CostIDs'!$C$5:$C$177,A1160),"&lt;from TechID&gt;")</f>
        <v>&lt;from TechID&gt;</v>
      </c>
      <c r="F1160" s="103" t="s">
        <v>860</v>
      </c>
      <c r="G1160" s="103" t="s">
        <v>151</v>
      </c>
      <c r="H1160" s="103" t="s">
        <v>861</v>
      </c>
      <c r="I1160" s="103" t="s">
        <v>862</v>
      </c>
      <c r="J1160" s="103" t="s">
        <v>863</v>
      </c>
      <c r="K1160" s="103" t="s">
        <v>864</v>
      </c>
      <c r="L1160" s="103" t="s">
        <v>153</v>
      </c>
      <c r="M1160" s="103" t="s">
        <v>865</v>
      </c>
      <c r="N1160" s="103" t="s">
        <v>866</v>
      </c>
      <c r="O1160" s="103" t="str">
        <f t="shared" si="62"/>
        <v>CFLscw-Refl-Dim(26w)</v>
      </c>
      <c r="P1160" s="103" t="s">
        <v>153</v>
      </c>
      <c r="Q1160" s="103" t="s">
        <v>153</v>
      </c>
      <c r="R1160" s="103" t="s">
        <v>153</v>
      </c>
      <c r="S1160" s="103" t="str">
        <f>INDEX('Measure &amp; Standard CostIDs'!$AK$8:$AK$12,B1160)</f>
        <v>Three-pack</v>
      </c>
      <c r="T1160" s="103" t="s">
        <v>867</v>
      </c>
      <c r="U1160" s="103"/>
      <c r="V1160" s="103"/>
      <c r="W1160" s="103">
        <f>ROUND(IF(LEFT(D1160,3)="Std",VLOOKUP(D1160,'Measure &amp; Standard CostIDs'!$S$5:$X$177,1+B1160,FALSE),VLOOKUP(D1160,'Measure &amp; Standard CostIDs'!$C$5:$H$177,1+B1160,FALSE)),2)</f>
        <v>11.28</v>
      </c>
      <c r="X1160" s="103"/>
      <c r="Y1160" s="103"/>
      <c r="Z1160" s="103" t="s">
        <v>868</v>
      </c>
      <c r="AA1160" s="103" t="s">
        <v>874</v>
      </c>
      <c r="AB1160" s="103" t="s">
        <v>153</v>
      </c>
      <c r="AC1160" s="103">
        <v>0</v>
      </c>
      <c r="AD1160" s="156">
        <v>42005</v>
      </c>
      <c r="AE1160" s="103"/>
      <c r="AF1160" s="103" t="s">
        <v>870</v>
      </c>
      <c r="AG1160" s="103" t="s">
        <v>871</v>
      </c>
      <c r="AH1160" s="103" t="s">
        <v>976</v>
      </c>
      <c r="AI1160" s="103">
        <v>0</v>
      </c>
      <c r="AJ1160" s="103"/>
      <c r="AK1160" s="103"/>
      <c r="AL1160" s="103"/>
      <c r="AM1160" s="103"/>
      <c r="AN1160" s="103"/>
      <c r="AO1160" s="103" t="str">
        <f t="shared" si="63"/>
        <v>CFLscw-Refl-Dim(26w)Three-pack</v>
      </c>
    </row>
    <row r="1161" spans="1:41">
      <c r="A1161" s="177">
        <f>IFERROR(MATCH(D1161,'Measure &amp; Standard CostIDs'!C$5:C$177,0),MATCH(D1161,'Measure &amp; Standard CostIDs'!S$5:S$177,0))</f>
        <v>167</v>
      </c>
      <c r="B1161" s="177">
        <f t="shared" si="61"/>
        <v>4</v>
      </c>
      <c r="C1161" s="103" t="s">
        <v>153</v>
      </c>
      <c r="D1161" s="103" t="str">
        <f t="shared" si="60"/>
        <v>CFLscw-Refl-Ext(13w)</v>
      </c>
      <c r="E1161" s="103" t="str">
        <f>IF(LEFT(D1161,3)="Std","Base case cost for mix of 60% Incandescent and 40% CFL lamps for CFL TechID: "&amp;INDEX('Measure &amp; Standard CostIDs'!$C$5:$C$177,A1161),"&lt;from TechID&gt;")</f>
        <v>&lt;from TechID&gt;</v>
      </c>
      <c r="F1161" s="103" t="s">
        <v>860</v>
      </c>
      <c r="G1161" s="103" t="s">
        <v>151</v>
      </c>
      <c r="H1161" s="103" t="s">
        <v>861</v>
      </c>
      <c r="I1161" s="103" t="s">
        <v>862</v>
      </c>
      <c r="J1161" s="103" t="s">
        <v>863</v>
      </c>
      <c r="K1161" s="103" t="s">
        <v>864</v>
      </c>
      <c r="L1161" s="103" t="s">
        <v>153</v>
      </c>
      <c r="M1161" s="103" t="s">
        <v>865</v>
      </c>
      <c r="N1161" s="103" t="s">
        <v>866</v>
      </c>
      <c r="O1161" s="103" t="str">
        <f t="shared" si="62"/>
        <v>CFLscw-Refl-Ext(13w)</v>
      </c>
      <c r="P1161" s="103" t="s">
        <v>153</v>
      </c>
      <c r="Q1161" s="103" t="s">
        <v>153</v>
      </c>
      <c r="R1161" s="103" t="s">
        <v>153</v>
      </c>
      <c r="S1161" s="103" t="str">
        <f>INDEX('Measure &amp; Standard CostIDs'!$AK$8:$AK$12,B1161)</f>
        <v>Three-pack</v>
      </c>
      <c r="T1161" s="103" t="s">
        <v>867</v>
      </c>
      <c r="U1161" s="103"/>
      <c r="V1161" s="103"/>
      <c r="W1161" s="103">
        <f>ROUND(IF(LEFT(D1161,3)="Std",VLOOKUP(D1161,'Measure &amp; Standard CostIDs'!$S$5:$X$177,1+B1161,FALSE),VLOOKUP(D1161,'Measure &amp; Standard CostIDs'!$C$5:$H$177,1+B1161,FALSE)),2)</f>
        <v>5.32</v>
      </c>
      <c r="X1161" s="103"/>
      <c r="Y1161" s="103"/>
      <c r="Z1161" s="103" t="s">
        <v>868</v>
      </c>
      <c r="AA1161" s="103" t="s">
        <v>874</v>
      </c>
      <c r="AB1161" s="103" t="s">
        <v>153</v>
      </c>
      <c r="AC1161" s="103">
        <v>0</v>
      </c>
      <c r="AD1161" s="156">
        <v>42005</v>
      </c>
      <c r="AE1161" s="103"/>
      <c r="AF1161" s="103" t="s">
        <v>870</v>
      </c>
      <c r="AG1161" s="103" t="s">
        <v>871</v>
      </c>
      <c r="AH1161" s="103" t="s">
        <v>976</v>
      </c>
      <c r="AI1161" s="103">
        <v>0</v>
      </c>
      <c r="AJ1161" s="103"/>
      <c r="AK1161" s="103"/>
      <c r="AL1161" s="103"/>
      <c r="AM1161" s="103"/>
      <c r="AN1161" s="103"/>
      <c r="AO1161" s="103" t="str">
        <f t="shared" si="63"/>
        <v>CFLscw-Refl-Ext(13w)Three-pack</v>
      </c>
    </row>
    <row r="1162" spans="1:41">
      <c r="A1162" s="177">
        <f>IFERROR(MATCH(D1162,'Measure &amp; Standard CostIDs'!C$5:C$177,0),MATCH(D1162,'Measure &amp; Standard CostIDs'!S$5:S$177,0))</f>
        <v>168</v>
      </c>
      <c r="B1162" s="177">
        <f t="shared" si="61"/>
        <v>4</v>
      </c>
      <c r="C1162" s="103" t="s">
        <v>153</v>
      </c>
      <c r="D1162" s="103" t="str">
        <f t="shared" si="60"/>
        <v>CFLscw-Refl-Ext(14w)</v>
      </c>
      <c r="E1162" s="103" t="str">
        <f>IF(LEFT(D1162,3)="Std","Base case cost for mix of 60% Incandescent and 40% CFL lamps for CFL TechID: "&amp;INDEX('Measure &amp; Standard CostIDs'!$C$5:$C$177,A1162),"&lt;from TechID&gt;")</f>
        <v>&lt;from TechID&gt;</v>
      </c>
      <c r="F1162" s="103" t="s">
        <v>860</v>
      </c>
      <c r="G1162" s="103" t="s">
        <v>151</v>
      </c>
      <c r="H1162" s="103" t="s">
        <v>861</v>
      </c>
      <c r="I1162" s="103" t="s">
        <v>862</v>
      </c>
      <c r="J1162" s="103" t="s">
        <v>863</v>
      </c>
      <c r="K1162" s="103" t="s">
        <v>864</v>
      </c>
      <c r="L1162" s="103" t="s">
        <v>153</v>
      </c>
      <c r="M1162" s="103" t="s">
        <v>865</v>
      </c>
      <c r="N1162" s="103" t="s">
        <v>866</v>
      </c>
      <c r="O1162" s="103" t="str">
        <f t="shared" si="62"/>
        <v>CFLscw-Refl-Ext(14w)</v>
      </c>
      <c r="P1162" s="103" t="s">
        <v>153</v>
      </c>
      <c r="Q1162" s="103" t="s">
        <v>153</v>
      </c>
      <c r="R1162" s="103" t="s">
        <v>153</v>
      </c>
      <c r="S1162" s="103" t="str">
        <f>INDEX('Measure &amp; Standard CostIDs'!$AK$8:$AK$12,B1162)</f>
        <v>Three-pack</v>
      </c>
      <c r="T1162" s="103" t="s">
        <v>867</v>
      </c>
      <c r="U1162" s="103"/>
      <c r="V1162" s="103"/>
      <c r="W1162" s="103">
        <f>ROUND(IF(LEFT(D1162,3)="Std",VLOOKUP(D1162,'Measure &amp; Standard CostIDs'!$S$5:$X$177,1+B1162,FALSE),VLOOKUP(D1162,'Measure &amp; Standard CostIDs'!$C$5:$H$177,1+B1162,FALSE)),2)</f>
        <v>5.47</v>
      </c>
      <c r="X1162" s="103"/>
      <c r="Y1162" s="103"/>
      <c r="Z1162" s="103" t="s">
        <v>868</v>
      </c>
      <c r="AA1162" s="103" t="s">
        <v>874</v>
      </c>
      <c r="AB1162" s="103" t="s">
        <v>153</v>
      </c>
      <c r="AC1162" s="103">
        <v>0</v>
      </c>
      <c r="AD1162" s="156">
        <v>42005</v>
      </c>
      <c r="AE1162" s="103"/>
      <c r="AF1162" s="103" t="s">
        <v>870</v>
      </c>
      <c r="AG1162" s="103" t="s">
        <v>871</v>
      </c>
      <c r="AH1162" s="103" t="s">
        <v>976</v>
      </c>
      <c r="AI1162" s="103">
        <v>0</v>
      </c>
      <c r="AJ1162" s="103"/>
      <c r="AK1162" s="103"/>
      <c r="AL1162" s="103"/>
      <c r="AM1162" s="103"/>
      <c r="AN1162" s="103"/>
      <c r="AO1162" s="103" t="str">
        <f t="shared" si="63"/>
        <v>CFLscw-Refl-Ext(14w)Three-pack</v>
      </c>
    </row>
    <row r="1163" spans="1:41">
      <c r="A1163" s="177">
        <f>IFERROR(MATCH(D1163,'Measure &amp; Standard CostIDs'!C$5:C$177,0),MATCH(D1163,'Measure &amp; Standard CostIDs'!S$5:S$177,0))</f>
        <v>169</v>
      </c>
      <c r="B1163" s="177">
        <f t="shared" si="61"/>
        <v>4</v>
      </c>
      <c r="C1163" s="103" t="s">
        <v>153</v>
      </c>
      <c r="D1163" s="103" t="str">
        <f t="shared" si="60"/>
        <v>CFLscw-Refl-Ext(15w)</v>
      </c>
      <c r="E1163" s="103" t="str">
        <f>IF(LEFT(D1163,3)="Std","Base case cost for mix of 60% Incandescent and 40% CFL lamps for CFL TechID: "&amp;INDEX('Measure &amp; Standard CostIDs'!$C$5:$C$177,A1163),"&lt;from TechID&gt;")</f>
        <v>&lt;from TechID&gt;</v>
      </c>
      <c r="F1163" s="103" t="s">
        <v>860</v>
      </c>
      <c r="G1163" s="103" t="s">
        <v>151</v>
      </c>
      <c r="H1163" s="103" t="s">
        <v>861</v>
      </c>
      <c r="I1163" s="103" t="s">
        <v>862</v>
      </c>
      <c r="J1163" s="103" t="s">
        <v>863</v>
      </c>
      <c r="K1163" s="103" t="s">
        <v>864</v>
      </c>
      <c r="L1163" s="103" t="s">
        <v>153</v>
      </c>
      <c r="M1163" s="103" t="s">
        <v>865</v>
      </c>
      <c r="N1163" s="103" t="s">
        <v>866</v>
      </c>
      <c r="O1163" s="103" t="str">
        <f t="shared" si="62"/>
        <v>CFLscw-Refl-Ext(15w)</v>
      </c>
      <c r="P1163" s="103" t="s">
        <v>153</v>
      </c>
      <c r="Q1163" s="103" t="s">
        <v>153</v>
      </c>
      <c r="R1163" s="103" t="s">
        <v>153</v>
      </c>
      <c r="S1163" s="103" t="str">
        <f>INDEX('Measure &amp; Standard CostIDs'!$AK$8:$AK$12,B1163)</f>
        <v>Three-pack</v>
      </c>
      <c r="T1163" s="103" t="s">
        <v>867</v>
      </c>
      <c r="U1163" s="103"/>
      <c r="V1163" s="103"/>
      <c r="W1163" s="103">
        <f>ROUND(IF(LEFT(D1163,3)="Std",VLOOKUP(D1163,'Measure &amp; Standard CostIDs'!$S$5:$X$177,1+B1163,FALSE),VLOOKUP(D1163,'Measure &amp; Standard CostIDs'!$C$5:$H$177,1+B1163,FALSE)),2)</f>
        <v>5.62</v>
      </c>
      <c r="X1163" s="103"/>
      <c r="Y1163" s="103"/>
      <c r="Z1163" s="103" t="s">
        <v>868</v>
      </c>
      <c r="AA1163" s="103" t="s">
        <v>874</v>
      </c>
      <c r="AB1163" s="103" t="s">
        <v>153</v>
      </c>
      <c r="AC1163" s="103">
        <v>0</v>
      </c>
      <c r="AD1163" s="156">
        <v>42005</v>
      </c>
      <c r="AE1163" s="103"/>
      <c r="AF1163" s="103" t="s">
        <v>870</v>
      </c>
      <c r="AG1163" s="103" t="s">
        <v>871</v>
      </c>
      <c r="AH1163" s="103" t="s">
        <v>976</v>
      </c>
      <c r="AI1163" s="103">
        <v>0</v>
      </c>
      <c r="AJ1163" s="103"/>
      <c r="AK1163" s="103"/>
      <c r="AL1163" s="103"/>
      <c r="AM1163" s="103"/>
      <c r="AN1163" s="103"/>
      <c r="AO1163" s="103" t="str">
        <f t="shared" si="63"/>
        <v>CFLscw-Refl-Ext(15w)Three-pack</v>
      </c>
    </row>
    <row r="1164" spans="1:41">
      <c r="A1164" s="177">
        <f>IFERROR(MATCH(D1164,'Measure &amp; Standard CostIDs'!C$5:C$177,0),MATCH(D1164,'Measure &amp; Standard CostIDs'!S$5:S$177,0))</f>
        <v>170</v>
      </c>
      <c r="B1164" s="177">
        <f t="shared" si="61"/>
        <v>4</v>
      </c>
      <c r="C1164" s="103" t="s">
        <v>153</v>
      </c>
      <c r="D1164" s="103" t="str">
        <f t="shared" si="60"/>
        <v>CFLscw-Refl-Ext(16w)</v>
      </c>
      <c r="E1164" s="103" t="str">
        <f>IF(LEFT(D1164,3)="Std","Base case cost for mix of 60% Incandescent and 40% CFL lamps for CFL TechID: "&amp;INDEX('Measure &amp; Standard CostIDs'!$C$5:$C$177,A1164),"&lt;from TechID&gt;")</f>
        <v>&lt;from TechID&gt;</v>
      </c>
      <c r="F1164" s="103" t="s">
        <v>860</v>
      </c>
      <c r="G1164" s="103" t="s">
        <v>151</v>
      </c>
      <c r="H1164" s="103" t="s">
        <v>861</v>
      </c>
      <c r="I1164" s="103" t="s">
        <v>862</v>
      </c>
      <c r="J1164" s="103" t="s">
        <v>863</v>
      </c>
      <c r="K1164" s="103" t="s">
        <v>864</v>
      </c>
      <c r="L1164" s="103" t="s">
        <v>153</v>
      </c>
      <c r="M1164" s="103" t="s">
        <v>865</v>
      </c>
      <c r="N1164" s="103" t="s">
        <v>866</v>
      </c>
      <c r="O1164" s="103" t="str">
        <f t="shared" si="62"/>
        <v>CFLscw-Refl-Ext(16w)</v>
      </c>
      <c r="P1164" s="103" t="s">
        <v>153</v>
      </c>
      <c r="Q1164" s="103" t="s">
        <v>153</v>
      </c>
      <c r="R1164" s="103" t="s">
        <v>153</v>
      </c>
      <c r="S1164" s="103" t="str">
        <f>INDEX('Measure &amp; Standard CostIDs'!$AK$8:$AK$12,B1164)</f>
        <v>Three-pack</v>
      </c>
      <c r="T1164" s="103" t="s">
        <v>867</v>
      </c>
      <c r="U1164" s="103"/>
      <c r="V1164" s="103"/>
      <c r="W1164" s="103">
        <f>ROUND(IF(LEFT(D1164,3)="Std",VLOOKUP(D1164,'Measure &amp; Standard CostIDs'!$S$5:$X$177,1+B1164,FALSE),VLOOKUP(D1164,'Measure &amp; Standard CostIDs'!$C$5:$H$177,1+B1164,FALSE)),2)</f>
        <v>5.76</v>
      </c>
      <c r="X1164" s="103"/>
      <c r="Y1164" s="103"/>
      <c r="Z1164" s="103" t="s">
        <v>868</v>
      </c>
      <c r="AA1164" s="103" t="s">
        <v>874</v>
      </c>
      <c r="AB1164" s="103" t="s">
        <v>153</v>
      </c>
      <c r="AC1164" s="103">
        <v>0</v>
      </c>
      <c r="AD1164" s="156">
        <v>42005</v>
      </c>
      <c r="AE1164" s="103"/>
      <c r="AF1164" s="103" t="s">
        <v>870</v>
      </c>
      <c r="AG1164" s="103" t="s">
        <v>871</v>
      </c>
      <c r="AH1164" s="103" t="s">
        <v>976</v>
      </c>
      <c r="AI1164" s="103">
        <v>0</v>
      </c>
      <c r="AJ1164" s="103"/>
      <c r="AK1164" s="103"/>
      <c r="AL1164" s="103"/>
      <c r="AM1164" s="103"/>
      <c r="AN1164" s="103"/>
      <c r="AO1164" s="103" t="str">
        <f t="shared" si="63"/>
        <v>CFLscw-Refl-Ext(16w)Three-pack</v>
      </c>
    </row>
    <row r="1165" spans="1:41">
      <c r="A1165" s="177">
        <f>IFERROR(MATCH(D1165,'Measure &amp; Standard CostIDs'!C$5:C$177,0),MATCH(D1165,'Measure &amp; Standard CostIDs'!S$5:S$177,0))</f>
        <v>171</v>
      </c>
      <c r="B1165" s="177">
        <f t="shared" si="61"/>
        <v>4</v>
      </c>
      <c r="C1165" s="103" t="s">
        <v>153</v>
      </c>
      <c r="D1165" s="103" t="str">
        <f t="shared" si="60"/>
        <v>CFLscw-Refl-Ext(18w)</v>
      </c>
      <c r="E1165" s="103" t="str">
        <f>IF(LEFT(D1165,3)="Std","Base case cost for mix of 60% Incandescent and 40% CFL lamps for CFL TechID: "&amp;INDEX('Measure &amp; Standard CostIDs'!$C$5:$C$177,A1165),"&lt;from TechID&gt;")</f>
        <v>&lt;from TechID&gt;</v>
      </c>
      <c r="F1165" s="103" t="s">
        <v>860</v>
      </c>
      <c r="G1165" s="103" t="s">
        <v>151</v>
      </c>
      <c r="H1165" s="103" t="s">
        <v>861</v>
      </c>
      <c r="I1165" s="103" t="s">
        <v>862</v>
      </c>
      <c r="J1165" s="103" t="s">
        <v>863</v>
      </c>
      <c r="K1165" s="103" t="s">
        <v>864</v>
      </c>
      <c r="L1165" s="103" t="s">
        <v>153</v>
      </c>
      <c r="M1165" s="103" t="s">
        <v>865</v>
      </c>
      <c r="N1165" s="103" t="s">
        <v>866</v>
      </c>
      <c r="O1165" s="103" t="str">
        <f t="shared" si="62"/>
        <v>CFLscw-Refl-Ext(18w)</v>
      </c>
      <c r="P1165" s="103" t="s">
        <v>153</v>
      </c>
      <c r="Q1165" s="103" t="s">
        <v>153</v>
      </c>
      <c r="R1165" s="103" t="s">
        <v>153</v>
      </c>
      <c r="S1165" s="103" t="str">
        <f>INDEX('Measure &amp; Standard CostIDs'!$AK$8:$AK$12,B1165)</f>
        <v>Three-pack</v>
      </c>
      <c r="T1165" s="103" t="s">
        <v>867</v>
      </c>
      <c r="U1165" s="103"/>
      <c r="V1165" s="103"/>
      <c r="W1165" s="103">
        <f>ROUND(IF(LEFT(D1165,3)="Std",VLOOKUP(D1165,'Measure &amp; Standard CostIDs'!$S$5:$X$177,1+B1165,FALSE),VLOOKUP(D1165,'Measure &amp; Standard CostIDs'!$C$5:$H$177,1+B1165,FALSE)),2)</f>
        <v>6.06</v>
      </c>
      <c r="X1165" s="103"/>
      <c r="Y1165" s="103"/>
      <c r="Z1165" s="103" t="s">
        <v>868</v>
      </c>
      <c r="AA1165" s="103" t="s">
        <v>874</v>
      </c>
      <c r="AB1165" s="103" t="s">
        <v>153</v>
      </c>
      <c r="AC1165" s="103">
        <v>0</v>
      </c>
      <c r="AD1165" s="156">
        <v>42005</v>
      </c>
      <c r="AE1165" s="103"/>
      <c r="AF1165" s="103" t="s">
        <v>870</v>
      </c>
      <c r="AG1165" s="103" t="s">
        <v>871</v>
      </c>
      <c r="AH1165" s="103" t="s">
        <v>976</v>
      </c>
      <c r="AI1165" s="103">
        <v>0</v>
      </c>
      <c r="AJ1165" s="103"/>
      <c r="AK1165" s="103"/>
      <c r="AL1165" s="103"/>
      <c r="AM1165" s="103"/>
      <c r="AN1165" s="103"/>
      <c r="AO1165" s="103" t="str">
        <f t="shared" si="63"/>
        <v>CFLscw-Refl-Ext(18w)Three-pack</v>
      </c>
    </row>
    <row r="1166" spans="1:41">
      <c r="A1166" s="177">
        <f>IFERROR(MATCH(D1166,'Measure &amp; Standard CostIDs'!C$5:C$177,0),MATCH(D1166,'Measure &amp; Standard CostIDs'!S$5:S$177,0))</f>
        <v>172</v>
      </c>
      <c r="B1166" s="177">
        <f t="shared" si="61"/>
        <v>4</v>
      </c>
      <c r="C1166" s="103" t="s">
        <v>153</v>
      </c>
      <c r="D1166" s="103" t="str">
        <f t="shared" si="60"/>
        <v>CFLscw-Refl-Ext(20w)</v>
      </c>
      <c r="E1166" s="103" t="str">
        <f>IF(LEFT(D1166,3)="Std","Base case cost for mix of 60% Incandescent and 40% CFL lamps for CFL TechID: "&amp;INDEX('Measure &amp; Standard CostIDs'!$C$5:$C$177,A1166),"&lt;from TechID&gt;")</f>
        <v>&lt;from TechID&gt;</v>
      </c>
      <c r="F1166" s="103" t="s">
        <v>860</v>
      </c>
      <c r="G1166" s="103" t="s">
        <v>151</v>
      </c>
      <c r="H1166" s="103" t="s">
        <v>861</v>
      </c>
      <c r="I1166" s="103" t="s">
        <v>862</v>
      </c>
      <c r="J1166" s="103" t="s">
        <v>863</v>
      </c>
      <c r="K1166" s="103" t="s">
        <v>864</v>
      </c>
      <c r="L1166" s="103" t="s">
        <v>153</v>
      </c>
      <c r="M1166" s="103" t="s">
        <v>865</v>
      </c>
      <c r="N1166" s="103" t="s">
        <v>866</v>
      </c>
      <c r="O1166" s="103" t="str">
        <f t="shared" si="62"/>
        <v>CFLscw-Refl-Ext(20w)</v>
      </c>
      <c r="P1166" s="103" t="s">
        <v>153</v>
      </c>
      <c r="Q1166" s="103" t="s">
        <v>153</v>
      </c>
      <c r="R1166" s="103" t="s">
        <v>153</v>
      </c>
      <c r="S1166" s="103" t="str">
        <f>INDEX('Measure &amp; Standard CostIDs'!$AK$8:$AK$12,B1166)</f>
        <v>Three-pack</v>
      </c>
      <c r="T1166" s="103" t="s">
        <v>867</v>
      </c>
      <c r="U1166" s="103"/>
      <c r="V1166" s="103"/>
      <c r="W1166" s="103">
        <f>ROUND(IF(LEFT(D1166,3)="Std",VLOOKUP(D1166,'Measure &amp; Standard CostIDs'!$S$5:$X$177,1+B1166,FALSE),VLOOKUP(D1166,'Measure &amp; Standard CostIDs'!$C$5:$H$177,1+B1166,FALSE)),2)</f>
        <v>6.35</v>
      </c>
      <c r="X1166" s="103"/>
      <c r="Y1166" s="103"/>
      <c r="Z1166" s="103" t="s">
        <v>868</v>
      </c>
      <c r="AA1166" s="103" t="s">
        <v>874</v>
      </c>
      <c r="AB1166" s="103" t="s">
        <v>153</v>
      </c>
      <c r="AC1166" s="103">
        <v>0</v>
      </c>
      <c r="AD1166" s="156">
        <v>42005</v>
      </c>
      <c r="AE1166" s="103"/>
      <c r="AF1166" s="103" t="s">
        <v>870</v>
      </c>
      <c r="AG1166" s="103" t="s">
        <v>871</v>
      </c>
      <c r="AH1166" s="103" t="s">
        <v>976</v>
      </c>
      <c r="AI1166" s="103">
        <v>0</v>
      </c>
      <c r="AJ1166" s="103"/>
      <c r="AK1166" s="103"/>
      <c r="AL1166" s="103"/>
      <c r="AM1166" s="103"/>
      <c r="AN1166" s="103"/>
      <c r="AO1166" s="103" t="str">
        <f t="shared" si="63"/>
        <v>CFLscw-Refl-Ext(20w)Three-pack</v>
      </c>
    </row>
    <row r="1167" spans="1:41">
      <c r="A1167" s="177">
        <f>IFERROR(MATCH(D1167,'Measure &amp; Standard CostIDs'!C$5:C$177,0),MATCH(D1167,'Measure &amp; Standard CostIDs'!S$5:S$177,0))</f>
        <v>173</v>
      </c>
      <c r="B1167" s="177">
        <f t="shared" si="61"/>
        <v>4</v>
      </c>
      <c r="C1167" s="103" t="s">
        <v>153</v>
      </c>
      <c r="D1167" s="103" t="str">
        <f t="shared" si="60"/>
        <v>CFLscw-Refl-Ext(23w)</v>
      </c>
      <c r="E1167" s="103" t="str">
        <f>IF(LEFT(D1167,3)="Std","Base case cost for mix of 60% Incandescent and 40% CFL lamps for CFL TechID: "&amp;INDEX('Measure &amp; Standard CostIDs'!$C$5:$C$177,A1167),"&lt;from TechID&gt;")</f>
        <v>&lt;from TechID&gt;</v>
      </c>
      <c r="F1167" s="103" t="s">
        <v>860</v>
      </c>
      <c r="G1167" s="103" t="s">
        <v>151</v>
      </c>
      <c r="H1167" s="103" t="s">
        <v>861</v>
      </c>
      <c r="I1167" s="103" t="s">
        <v>862</v>
      </c>
      <c r="J1167" s="103" t="s">
        <v>863</v>
      </c>
      <c r="K1167" s="103" t="s">
        <v>864</v>
      </c>
      <c r="L1167" s="103" t="s">
        <v>153</v>
      </c>
      <c r="M1167" s="103" t="s">
        <v>865</v>
      </c>
      <c r="N1167" s="103" t="s">
        <v>866</v>
      </c>
      <c r="O1167" s="103" t="str">
        <f t="shared" si="62"/>
        <v>CFLscw-Refl-Ext(23w)</v>
      </c>
      <c r="P1167" s="103" t="s">
        <v>153</v>
      </c>
      <c r="Q1167" s="103" t="s">
        <v>153</v>
      </c>
      <c r="R1167" s="103" t="s">
        <v>153</v>
      </c>
      <c r="S1167" s="103" t="str">
        <f>INDEX('Measure &amp; Standard CostIDs'!$AK$8:$AK$12,B1167)</f>
        <v>Three-pack</v>
      </c>
      <c r="T1167" s="103" t="s">
        <v>867</v>
      </c>
      <c r="U1167" s="103"/>
      <c r="V1167" s="103"/>
      <c r="W1167" s="103">
        <f>ROUND(IF(LEFT(D1167,3)="Std",VLOOKUP(D1167,'Measure &amp; Standard CostIDs'!$S$5:$X$177,1+B1167,FALSE),VLOOKUP(D1167,'Measure &amp; Standard CostIDs'!$C$5:$H$177,1+B1167,FALSE)),2)</f>
        <v>6.8</v>
      </c>
      <c r="X1167" s="103"/>
      <c r="Y1167" s="103"/>
      <c r="Z1167" s="103" t="s">
        <v>868</v>
      </c>
      <c r="AA1167" s="103" t="s">
        <v>874</v>
      </c>
      <c r="AB1167" s="103" t="s">
        <v>153</v>
      </c>
      <c r="AC1167" s="103">
        <v>0</v>
      </c>
      <c r="AD1167" s="156">
        <v>42005</v>
      </c>
      <c r="AE1167" s="103"/>
      <c r="AF1167" s="103" t="s">
        <v>870</v>
      </c>
      <c r="AG1167" s="103" t="s">
        <v>871</v>
      </c>
      <c r="AH1167" s="103" t="s">
        <v>976</v>
      </c>
      <c r="AI1167" s="103">
        <v>0</v>
      </c>
      <c r="AJ1167" s="103"/>
      <c r="AK1167" s="103"/>
      <c r="AL1167" s="103"/>
      <c r="AM1167" s="103"/>
      <c r="AN1167" s="103"/>
      <c r="AO1167" s="103" t="str">
        <f t="shared" si="63"/>
        <v>CFLscw-Refl-Ext(23w)Three-pack</v>
      </c>
    </row>
    <row r="1168" spans="1:41">
      <c r="A1168" s="177">
        <f>IFERROR(MATCH(D1168,'Measure &amp; Standard CostIDs'!C$5:C$177,0),MATCH(D1168,'Measure &amp; Standard CostIDs'!S$5:S$177,0))</f>
        <v>1</v>
      </c>
      <c r="B1168" s="177">
        <f t="shared" si="61"/>
        <v>4</v>
      </c>
      <c r="C1168" s="103" t="s">
        <v>153</v>
      </c>
      <c r="D1168" s="103" t="str">
        <f t="shared" ref="D1168:D1231" si="64">+D838</f>
        <v>Std_CFLscw(10w)_60pInc-r0248</v>
      </c>
      <c r="E1168" s="103" t="str">
        <f>IF(LEFT(D1168,3)="Std","Base case cost for mix of 60% Incandescent and 40% CFL lamps for CFL TechID: "&amp;INDEX('Measure &amp; Standard CostIDs'!$C$5:$C$177,A1168),"&lt;from TechID&gt;")</f>
        <v>Base case cost for mix of 60% Incandescent and 40% CFL lamps for CFL TechID: CFLscw(10w)</v>
      </c>
      <c r="F1168" s="103" t="s">
        <v>860</v>
      </c>
      <c r="G1168" s="103" t="s">
        <v>151</v>
      </c>
      <c r="H1168" s="103" t="s">
        <v>861</v>
      </c>
      <c r="I1168" s="103" t="s">
        <v>862</v>
      </c>
      <c r="J1168" s="103" t="s">
        <v>863</v>
      </c>
      <c r="K1168" s="103" t="s">
        <v>864</v>
      </c>
      <c r="L1168" s="103" t="s">
        <v>153</v>
      </c>
      <c r="M1168" s="103" t="s">
        <v>865</v>
      </c>
      <c r="N1168" s="103" t="s">
        <v>866</v>
      </c>
      <c r="O1168" s="103" t="str">
        <f t="shared" si="62"/>
        <v/>
      </c>
      <c r="P1168" s="103" t="s">
        <v>153</v>
      </c>
      <c r="Q1168" s="103" t="s">
        <v>153</v>
      </c>
      <c r="R1168" s="103" t="s">
        <v>153</v>
      </c>
      <c r="S1168" s="103" t="str">
        <f>INDEX('Measure &amp; Standard CostIDs'!$AK$8:$AK$12,B1168)</f>
        <v>Three-pack</v>
      </c>
      <c r="T1168" s="103" t="s">
        <v>867</v>
      </c>
      <c r="U1168" s="103"/>
      <c r="V1168" s="103"/>
      <c r="W1168" s="103">
        <f>ROUND(IF(LEFT(D1168,3)="Std",VLOOKUP(D1168,'Measure &amp; Standard CostIDs'!$S$5:$X$177,1+B1168,FALSE),VLOOKUP(D1168,'Measure &amp; Standard CostIDs'!$C$5:$H$177,1+B1168,FALSE)),2)</f>
        <v>1.47</v>
      </c>
      <c r="X1168" s="103"/>
      <c r="Y1168" s="103"/>
      <c r="Z1168" s="103" t="s">
        <v>868</v>
      </c>
      <c r="AA1168" s="103" t="s">
        <v>874</v>
      </c>
      <c r="AB1168" s="103" t="s">
        <v>153</v>
      </c>
      <c r="AC1168" s="103">
        <v>0</v>
      </c>
      <c r="AD1168" s="156">
        <v>42005</v>
      </c>
      <c r="AE1168" s="103"/>
      <c r="AF1168" s="103" t="s">
        <v>870</v>
      </c>
      <c r="AG1168" s="103" t="s">
        <v>871</v>
      </c>
      <c r="AH1168" s="103" t="s">
        <v>976</v>
      </c>
      <c r="AI1168" s="103">
        <v>0</v>
      </c>
      <c r="AJ1168" s="103"/>
      <c r="AK1168" s="103"/>
      <c r="AL1168" s="103"/>
      <c r="AM1168" s="103"/>
      <c r="AN1168" s="103"/>
      <c r="AO1168" s="103" t="str">
        <f t="shared" si="63"/>
        <v>Std_CFLscw(10w)_60pInc-r0248Three-pack</v>
      </c>
    </row>
    <row r="1169" spans="1:41">
      <c r="A1169" s="177">
        <f>IFERROR(MATCH(D1169,'Measure &amp; Standard CostIDs'!C$5:C$177,0),MATCH(D1169,'Measure &amp; Standard CostIDs'!S$5:S$177,0))</f>
        <v>2</v>
      </c>
      <c r="B1169" s="177">
        <f t="shared" ref="B1169:B1232" si="65">+B839+1</f>
        <v>4</v>
      </c>
      <c r="C1169" s="103" t="s">
        <v>153</v>
      </c>
      <c r="D1169" s="103" t="str">
        <f t="shared" si="64"/>
        <v>Std_CFLscw(11w)_60pInc-r0248</v>
      </c>
      <c r="E1169" s="103" t="str">
        <f>IF(LEFT(D1169,3)="Std","Base case cost for mix of 60% Incandescent and 40% CFL lamps for CFL TechID: "&amp;INDEX('Measure &amp; Standard CostIDs'!$C$5:$C$177,A1169),"&lt;from TechID&gt;")</f>
        <v>Base case cost for mix of 60% Incandescent and 40% CFL lamps for CFL TechID: CFLscw(11w)</v>
      </c>
      <c r="F1169" s="103" t="s">
        <v>860</v>
      </c>
      <c r="G1169" s="103" t="s">
        <v>151</v>
      </c>
      <c r="H1169" s="103" t="s">
        <v>861</v>
      </c>
      <c r="I1169" s="103" t="s">
        <v>862</v>
      </c>
      <c r="J1169" s="103" t="s">
        <v>863</v>
      </c>
      <c r="K1169" s="103" t="s">
        <v>864</v>
      </c>
      <c r="L1169" s="103" t="s">
        <v>153</v>
      </c>
      <c r="M1169" s="103" t="s">
        <v>865</v>
      </c>
      <c r="N1169" s="103" t="s">
        <v>866</v>
      </c>
      <c r="O1169" s="103" t="str">
        <f t="shared" si="62"/>
        <v/>
      </c>
      <c r="P1169" s="103" t="s">
        <v>153</v>
      </c>
      <c r="Q1169" s="103" t="s">
        <v>153</v>
      </c>
      <c r="R1169" s="103" t="s">
        <v>153</v>
      </c>
      <c r="S1169" s="103" t="str">
        <f>INDEX('Measure &amp; Standard CostIDs'!$AK$8:$AK$12,B1169)</f>
        <v>Three-pack</v>
      </c>
      <c r="T1169" s="103" t="s">
        <v>867</v>
      </c>
      <c r="U1169" s="103"/>
      <c r="V1169" s="103"/>
      <c r="W1169" s="103">
        <f>ROUND(IF(LEFT(D1169,3)="Std",VLOOKUP(D1169,'Measure &amp; Standard CostIDs'!$S$5:$X$177,1+B1169,FALSE),VLOOKUP(D1169,'Measure &amp; Standard CostIDs'!$C$5:$H$177,1+B1169,FALSE)),2)</f>
        <v>1.51</v>
      </c>
      <c r="X1169" s="103"/>
      <c r="Y1169" s="103"/>
      <c r="Z1169" s="103" t="s">
        <v>868</v>
      </c>
      <c r="AA1169" s="103" t="s">
        <v>874</v>
      </c>
      <c r="AB1169" s="103" t="s">
        <v>153</v>
      </c>
      <c r="AC1169" s="103">
        <v>0</v>
      </c>
      <c r="AD1169" s="156">
        <v>42005</v>
      </c>
      <c r="AE1169" s="103"/>
      <c r="AF1169" s="103" t="s">
        <v>870</v>
      </c>
      <c r="AG1169" s="103" t="s">
        <v>871</v>
      </c>
      <c r="AH1169" s="103" t="s">
        <v>976</v>
      </c>
      <c r="AI1169" s="103">
        <v>0</v>
      </c>
      <c r="AJ1169" s="103"/>
      <c r="AK1169" s="103"/>
      <c r="AL1169" s="103"/>
      <c r="AM1169" s="103"/>
      <c r="AN1169" s="103"/>
      <c r="AO1169" s="103" t="str">
        <f t="shared" si="63"/>
        <v>Std_CFLscw(11w)_60pInc-r0248Three-pack</v>
      </c>
    </row>
    <row r="1170" spans="1:41">
      <c r="A1170" s="177">
        <f>IFERROR(MATCH(D1170,'Measure &amp; Standard CostIDs'!C$5:C$177,0),MATCH(D1170,'Measure &amp; Standard CostIDs'!S$5:S$177,0))</f>
        <v>4</v>
      </c>
      <c r="B1170" s="177">
        <f t="shared" si="65"/>
        <v>4</v>
      </c>
      <c r="C1170" s="103" t="s">
        <v>153</v>
      </c>
      <c r="D1170" s="103" t="str">
        <f t="shared" si="64"/>
        <v>Std_CFLscw(12w)_60pInc-r0248</v>
      </c>
      <c r="E1170" s="103" t="str">
        <f>IF(LEFT(D1170,3)="Std","Base case cost for mix of 60% Incandescent and 40% CFL lamps for CFL TechID: "&amp;INDEX('Measure &amp; Standard CostIDs'!$C$5:$C$177,A1170),"&lt;from TechID&gt;")</f>
        <v>Base case cost for mix of 60% Incandescent and 40% CFL lamps for CFL TechID: CFLscw(12w)</v>
      </c>
      <c r="F1170" s="103" t="s">
        <v>860</v>
      </c>
      <c r="G1170" s="103" t="s">
        <v>151</v>
      </c>
      <c r="H1170" s="103" t="s">
        <v>861</v>
      </c>
      <c r="I1170" s="103" t="s">
        <v>862</v>
      </c>
      <c r="J1170" s="103" t="s">
        <v>863</v>
      </c>
      <c r="K1170" s="103" t="s">
        <v>864</v>
      </c>
      <c r="L1170" s="103" t="s">
        <v>153</v>
      </c>
      <c r="M1170" s="103" t="s">
        <v>865</v>
      </c>
      <c r="N1170" s="103" t="s">
        <v>866</v>
      </c>
      <c r="O1170" s="103" t="str">
        <f t="shared" si="62"/>
        <v/>
      </c>
      <c r="P1170" s="103" t="s">
        <v>153</v>
      </c>
      <c r="Q1170" s="103" t="s">
        <v>153</v>
      </c>
      <c r="R1170" s="103" t="s">
        <v>153</v>
      </c>
      <c r="S1170" s="103" t="str">
        <f>INDEX('Measure &amp; Standard CostIDs'!$AK$8:$AK$12,B1170)</f>
        <v>Three-pack</v>
      </c>
      <c r="T1170" s="103" t="s">
        <v>867</v>
      </c>
      <c r="U1170" s="103"/>
      <c r="V1170" s="103"/>
      <c r="W1170" s="103">
        <f>ROUND(IF(LEFT(D1170,3)="Std",VLOOKUP(D1170,'Measure &amp; Standard CostIDs'!$S$5:$X$177,1+B1170,FALSE),VLOOKUP(D1170,'Measure &amp; Standard CostIDs'!$C$5:$H$177,1+B1170,FALSE)),2)</f>
        <v>1.56</v>
      </c>
      <c r="X1170" s="103"/>
      <c r="Y1170" s="103"/>
      <c r="Z1170" s="103" t="s">
        <v>868</v>
      </c>
      <c r="AA1170" s="103" t="s">
        <v>874</v>
      </c>
      <c r="AB1170" s="103" t="s">
        <v>153</v>
      </c>
      <c r="AC1170" s="103">
        <v>0</v>
      </c>
      <c r="AD1170" s="156">
        <v>42005</v>
      </c>
      <c r="AE1170" s="103"/>
      <c r="AF1170" s="103" t="s">
        <v>870</v>
      </c>
      <c r="AG1170" s="103" t="s">
        <v>871</v>
      </c>
      <c r="AH1170" s="103" t="s">
        <v>976</v>
      </c>
      <c r="AI1170" s="103">
        <v>0</v>
      </c>
      <c r="AJ1170" s="103"/>
      <c r="AK1170" s="103"/>
      <c r="AL1170" s="103"/>
      <c r="AM1170" s="103"/>
      <c r="AN1170" s="103"/>
      <c r="AO1170" s="103" t="str">
        <f t="shared" si="63"/>
        <v>Std_CFLscw(12w)_60pInc-r0248Three-pack</v>
      </c>
    </row>
    <row r="1171" spans="1:41">
      <c r="A1171" s="177">
        <f>IFERROR(MATCH(D1171,'Measure &amp; Standard CostIDs'!C$5:C$177,0),MATCH(D1171,'Measure &amp; Standard CostIDs'!S$5:S$177,0))</f>
        <v>5</v>
      </c>
      <c r="B1171" s="177">
        <f t="shared" si="65"/>
        <v>4</v>
      </c>
      <c r="C1171" s="103" t="s">
        <v>153</v>
      </c>
      <c r="D1171" s="103" t="str">
        <f t="shared" si="64"/>
        <v>Std_CFLscw(13w)_60pInc-r0248</v>
      </c>
      <c r="E1171" s="103" t="str">
        <f>IF(LEFT(D1171,3)="Std","Base case cost for mix of 60% Incandescent and 40% CFL lamps for CFL TechID: "&amp;INDEX('Measure &amp; Standard CostIDs'!$C$5:$C$177,A1171),"&lt;from TechID&gt;")</f>
        <v>Base case cost for mix of 60% Incandescent and 40% CFL lamps for CFL TechID: CFLscw(13w)</v>
      </c>
      <c r="F1171" s="103" t="s">
        <v>860</v>
      </c>
      <c r="G1171" s="103" t="s">
        <v>151</v>
      </c>
      <c r="H1171" s="103" t="s">
        <v>861</v>
      </c>
      <c r="I1171" s="103" t="s">
        <v>862</v>
      </c>
      <c r="J1171" s="103" t="s">
        <v>863</v>
      </c>
      <c r="K1171" s="103" t="s">
        <v>864</v>
      </c>
      <c r="L1171" s="103" t="s">
        <v>153</v>
      </c>
      <c r="M1171" s="103" t="s">
        <v>865</v>
      </c>
      <c r="N1171" s="103" t="s">
        <v>866</v>
      </c>
      <c r="O1171" s="103" t="str">
        <f t="shared" si="62"/>
        <v/>
      </c>
      <c r="P1171" s="103" t="s">
        <v>153</v>
      </c>
      <c r="Q1171" s="103" t="s">
        <v>153</v>
      </c>
      <c r="R1171" s="103" t="s">
        <v>153</v>
      </c>
      <c r="S1171" s="103" t="str">
        <f>INDEX('Measure &amp; Standard CostIDs'!$AK$8:$AK$12,B1171)</f>
        <v>Three-pack</v>
      </c>
      <c r="T1171" s="103" t="s">
        <v>867</v>
      </c>
      <c r="U1171" s="103"/>
      <c r="V1171" s="103"/>
      <c r="W1171" s="103">
        <f>ROUND(IF(LEFT(D1171,3)="Std",VLOOKUP(D1171,'Measure &amp; Standard CostIDs'!$S$5:$X$177,1+B1171,FALSE),VLOOKUP(D1171,'Measure &amp; Standard CostIDs'!$C$5:$H$177,1+B1171,FALSE)),2)</f>
        <v>1.61</v>
      </c>
      <c r="X1171" s="103"/>
      <c r="Y1171" s="103"/>
      <c r="Z1171" s="103" t="s">
        <v>868</v>
      </c>
      <c r="AA1171" s="103" t="s">
        <v>874</v>
      </c>
      <c r="AB1171" s="103" t="s">
        <v>153</v>
      </c>
      <c r="AC1171" s="103">
        <v>0</v>
      </c>
      <c r="AD1171" s="156">
        <v>42005</v>
      </c>
      <c r="AE1171" s="103"/>
      <c r="AF1171" s="103" t="s">
        <v>870</v>
      </c>
      <c r="AG1171" s="103" t="s">
        <v>871</v>
      </c>
      <c r="AH1171" s="103" t="s">
        <v>976</v>
      </c>
      <c r="AI1171" s="103">
        <v>0</v>
      </c>
      <c r="AJ1171" s="103"/>
      <c r="AK1171" s="103"/>
      <c r="AL1171" s="103"/>
      <c r="AM1171" s="103"/>
      <c r="AN1171" s="103"/>
      <c r="AO1171" s="103" t="str">
        <f t="shared" si="63"/>
        <v>Std_CFLscw(13w)_60pInc-r0248Three-pack</v>
      </c>
    </row>
    <row r="1172" spans="1:41">
      <c r="A1172" s="177">
        <f>IFERROR(MATCH(D1172,'Measure &amp; Standard CostIDs'!C$5:C$177,0),MATCH(D1172,'Measure &amp; Standard CostIDs'!S$5:S$177,0))</f>
        <v>6</v>
      </c>
      <c r="B1172" s="177">
        <f t="shared" si="65"/>
        <v>4</v>
      </c>
      <c r="C1172" s="103" t="s">
        <v>153</v>
      </c>
      <c r="D1172" s="103" t="str">
        <f t="shared" si="64"/>
        <v>Std_CFLscw(14w)_60pInc-r0248</v>
      </c>
      <c r="E1172" s="103" t="str">
        <f>IF(LEFT(D1172,3)="Std","Base case cost for mix of 60% Incandescent and 40% CFL lamps for CFL TechID: "&amp;INDEX('Measure &amp; Standard CostIDs'!$C$5:$C$177,A1172),"&lt;from TechID&gt;")</f>
        <v>Base case cost for mix of 60% Incandescent and 40% CFL lamps for CFL TechID: CFLscw(14w)</v>
      </c>
      <c r="F1172" s="103" t="s">
        <v>860</v>
      </c>
      <c r="G1172" s="103" t="s">
        <v>151</v>
      </c>
      <c r="H1172" s="103" t="s">
        <v>861</v>
      </c>
      <c r="I1172" s="103" t="s">
        <v>862</v>
      </c>
      <c r="J1172" s="103" t="s">
        <v>863</v>
      </c>
      <c r="K1172" s="103" t="s">
        <v>864</v>
      </c>
      <c r="L1172" s="103" t="s">
        <v>153</v>
      </c>
      <c r="M1172" s="103" t="s">
        <v>865</v>
      </c>
      <c r="N1172" s="103" t="s">
        <v>866</v>
      </c>
      <c r="O1172" s="103" t="str">
        <f t="shared" si="62"/>
        <v/>
      </c>
      <c r="P1172" s="103" t="s">
        <v>153</v>
      </c>
      <c r="Q1172" s="103" t="s">
        <v>153</v>
      </c>
      <c r="R1172" s="103" t="s">
        <v>153</v>
      </c>
      <c r="S1172" s="103" t="str">
        <f>INDEX('Measure &amp; Standard CostIDs'!$AK$8:$AK$12,B1172)</f>
        <v>Three-pack</v>
      </c>
      <c r="T1172" s="103" t="s">
        <v>867</v>
      </c>
      <c r="U1172" s="103"/>
      <c r="V1172" s="103"/>
      <c r="W1172" s="103">
        <f>ROUND(IF(LEFT(D1172,3)="Std",VLOOKUP(D1172,'Measure &amp; Standard CostIDs'!$S$5:$X$177,1+B1172,FALSE),VLOOKUP(D1172,'Measure &amp; Standard CostIDs'!$C$5:$H$177,1+B1172,FALSE)),2)</f>
        <v>1.65</v>
      </c>
      <c r="X1172" s="103"/>
      <c r="Y1172" s="103"/>
      <c r="Z1172" s="103" t="s">
        <v>868</v>
      </c>
      <c r="AA1172" s="103" t="s">
        <v>874</v>
      </c>
      <c r="AB1172" s="103" t="s">
        <v>153</v>
      </c>
      <c r="AC1172" s="103">
        <v>0</v>
      </c>
      <c r="AD1172" s="156">
        <v>42005</v>
      </c>
      <c r="AE1172" s="103"/>
      <c r="AF1172" s="103" t="s">
        <v>870</v>
      </c>
      <c r="AG1172" s="103" t="s">
        <v>871</v>
      </c>
      <c r="AH1172" s="103" t="s">
        <v>976</v>
      </c>
      <c r="AI1172" s="103">
        <v>0</v>
      </c>
      <c r="AJ1172" s="103"/>
      <c r="AK1172" s="103"/>
      <c r="AL1172" s="103"/>
      <c r="AM1172" s="103"/>
      <c r="AN1172" s="103"/>
      <c r="AO1172" s="103" t="str">
        <f t="shared" si="63"/>
        <v>Std_CFLscw(14w)_60pInc-r0248Three-pack</v>
      </c>
    </row>
    <row r="1173" spans="1:41">
      <c r="A1173" s="177">
        <f>IFERROR(MATCH(D1173,'Measure &amp; Standard CostIDs'!C$5:C$177,0),MATCH(D1173,'Measure &amp; Standard CostIDs'!S$5:S$177,0))</f>
        <v>7</v>
      </c>
      <c r="B1173" s="177">
        <f t="shared" si="65"/>
        <v>4</v>
      </c>
      <c r="C1173" s="103" t="s">
        <v>153</v>
      </c>
      <c r="D1173" s="103" t="str">
        <f t="shared" si="64"/>
        <v>Std_CFLscw(15w)_60pInc-r0248</v>
      </c>
      <c r="E1173" s="103" t="str">
        <f>IF(LEFT(D1173,3)="Std","Base case cost for mix of 60% Incandescent and 40% CFL lamps for CFL TechID: "&amp;INDEX('Measure &amp; Standard CostIDs'!$C$5:$C$177,A1173),"&lt;from TechID&gt;")</f>
        <v>Base case cost for mix of 60% Incandescent and 40% CFL lamps for CFL TechID: CFLscw(15w)</v>
      </c>
      <c r="F1173" s="103" t="s">
        <v>860</v>
      </c>
      <c r="G1173" s="103" t="s">
        <v>151</v>
      </c>
      <c r="H1173" s="103" t="s">
        <v>861</v>
      </c>
      <c r="I1173" s="103" t="s">
        <v>862</v>
      </c>
      <c r="J1173" s="103" t="s">
        <v>863</v>
      </c>
      <c r="K1173" s="103" t="s">
        <v>864</v>
      </c>
      <c r="L1173" s="103" t="s">
        <v>153</v>
      </c>
      <c r="M1173" s="103" t="s">
        <v>865</v>
      </c>
      <c r="N1173" s="103" t="s">
        <v>866</v>
      </c>
      <c r="O1173" s="103" t="str">
        <f t="shared" si="62"/>
        <v/>
      </c>
      <c r="P1173" s="103" t="s">
        <v>153</v>
      </c>
      <c r="Q1173" s="103" t="s">
        <v>153</v>
      </c>
      <c r="R1173" s="103" t="s">
        <v>153</v>
      </c>
      <c r="S1173" s="103" t="str">
        <f>INDEX('Measure &amp; Standard CostIDs'!$AK$8:$AK$12,B1173)</f>
        <v>Three-pack</v>
      </c>
      <c r="T1173" s="103" t="s">
        <v>867</v>
      </c>
      <c r="U1173" s="103"/>
      <c r="V1173" s="103"/>
      <c r="W1173" s="103">
        <f>ROUND(IF(LEFT(D1173,3)="Std",VLOOKUP(D1173,'Measure &amp; Standard CostIDs'!$S$5:$X$177,1+B1173,FALSE),VLOOKUP(D1173,'Measure &amp; Standard CostIDs'!$C$5:$H$177,1+B1173,FALSE)),2)</f>
        <v>1.7</v>
      </c>
      <c r="X1173" s="103"/>
      <c r="Y1173" s="103"/>
      <c r="Z1173" s="103" t="s">
        <v>868</v>
      </c>
      <c r="AA1173" s="103" t="s">
        <v>874</v>
      </c>
      <c r="AB1173" s="103" t="s">
        <v>153</v>
      </c>
      <c r="AC1173" s="103">
        <v>0</v>
      </c>
      <c r="AD1173" s="156">
        <v>42005</v>
      </c>
      <c r="AE1173" s="103"/>
      <c r="AF1173" s="103" t="s">
        <v>870</v>
      </c>
      <c r="AG1173" s="103" t="s">
        <v>871</v>
      </c>
      <c r="AH1173" s="103" t="s">
        <v>976</v>
      </c>
      <c r="AI1173" s="103">
        <v>0</v>
      </c>
      <c r="AJ1173" s="103"/>
      <c r="AK1173" s="103"/>
      <c r="AL1173" s="103"/>
      <c r="AM1173" s="103"/>
      <c r="AN1173" s="103"/>
      <c r="AO1173" s="103" t="str">
        <f t="shared" si="63"/>
        <v>Std_CFLscw(15w)_60pInc-r0248Three-pack</v>
      </c>
    </row>
    <row r="1174" spans="1:41">
      <c r="A1174" s="177">
        <f>IFERROR(MATCH(D1174,'Measure &amp; Standard CostIDs'!C$5:C$177,0),MATCH(D1174,'Measure &amp; Standard CostIDs'!S$5:S$177,0))</f>
        <v>8</v>
      </c>
      <c r="B1174" s="177">
        <f t="shared" si="65"/>
        <v>4</v>
      </c>
      <c r="C1174" s="103" t="s">
        <v>153</v>
      </c>
      <c r="D1174" s="103" t="str">
        <f t="shared" si="64"/>
        <v>Std_CFLscw(16w)_60pInc-r0248</v>
      </c>
      <c r="E1174" s="103" t="str">
        <f>IF(LEFT(D1174,3)="Std","Base case cost for mix of 60% Incandescent and 40% CFL lamps for CFL TechID: "&amp;INDEX('Measure &amp; Standard CostIDs'!$C$5:$C$177,A1174),"&lt;from TechID&gt;")</f>
        <v>Base case cost for mix of 60% Incandescent and 40% CFL lamps for CFL TechID: CFLscw(16w)</v>
      </c>
      <c r="F1174" s="103" t="s">
        <v>860</v>
      </c>
      <c r="G1174" s="103" t="s">
        <v>151</v>
      </c>
      <c r="H1174" s="103" t="s">
        <v>861</v>
      </c>
      <c r="I1174" s="103" t="s">
        <v>862</v>
      </c>
      <c r="J1174" s="103" t="s">
        <v>863</v>
      </c>
      <c r="K1174" s="103" t="s">
        <v>864</v>
      </c>
      <c r="L1174" s="103" t="s">
        <v>153</v>
      </c>
      <c r="M1174" s="103" t="s">
        <v>865</v>
      </c>
      <c r="N1174" s="103" t="s">
        <v>866</v>
      </c>
      <c r="O1174" s="103" t="str">
        <f t="shared" si="62"/>
        <v/>
      </c>
      <c r="P1174" s="103" t="s">
        <v>153</v>
      </c>
      <c r="Q1174" s="103" t="s">
        <v>153</v>
      </c>
      <c r="R1174" s="103" t="s">
        <v>153</v>
      </c>
      <c r="S1174" s="103" t="str">
        <f>INDEX('Measure &amp; Standard CostIDs'!$AK$8:$AK$12,B1174)</f>
        <v>Three-pack</v>
      </c>
      <c r="T1174" s="103" t="s">
        <v>867</v>
      </c>
      <c r="U1174" s="103"/>
      <c r="V1174" s="103"/>
      <c r="W1174" s="103">
        <f>ROUND(IF(LEFT(D1174,3)="Std",VLOOKUP(D1174,'Measure &amp; Standard CostIDs'!$S$5:$X$177,1+B1174,FALSE),VLOOKUP(D1174,'Measure &amp; Standard CostIDs'!$C$5:$H$177,1+B1174,FALSE)),2)</f>
        <v>1.75</v>
      </c>
      <c r="X1174" s="103"/>
      <c r="Y1174" s="103"/>
      <c r="Z1174" s="103" t="s">
        <v>868</v>
      </c>
      <c r="AA1174" s="103" t="s">
        <v>874</v>
      </c>
      <c r="AB1174" s="103" t="s">
        <v>153</v>
      </c>
      <c r="AC1174" s="103">
        <v>0</v>
      </c>
      <c r="AD1174" s="156">
        <v>42005</v>
      </c>
      <c r="AE1174" s="103"/>
      <c r="AF1174" s="103" t="s">
        <v>870</v>
      </c>
      <c r="AG1174" s="103" t="s">
        <v>871</v>
      </c>
      <c r="AH1174" s="103" t="s">
        <v>976</v>
      </c>
      <c r="AI1174" s="103">
        <v>0</v>
      </c>
      <c r="AJ1174" s="103"/>
      <c r="AK1174" s="103"/>
      <c r="AL1174" s="103"/>
      <c r="AM1174" s="103"/>
      <c r="AN1174" s="103"/>
      <c r="AO1174" s="103" t="str">
        <f t="shared" si="63"/>
        <v>Std_CFLscw(16w)_60pInc-r0248Three-pack</v>
      </c>
    </row>
    <row r="1175" spans="1:41">
      <c r="A1175" s="177">
        <f>IFERROR(MATCH(D1175,'Measure &amp; Standard CostIDs'!C$5:C$177,0),MATCH(D1175,'Measure &amp; Standard CostIDs'!S$5:S$177,0))</f>
        <v>9</v>
      </c>
      <c r="B1175" s="177">
        <f t="shared" si="65"/>
        <v>4</v>
      </c>
      <c r="C1175" s="103" t="s">
        <v>153</v>
      </c>
      <c r="D1175" s="103" t="str">
        <f t="shared" si="64"/>
        <v>Std_CFLscw(17w)_60pInc-r0248</v>
      </c>
      <c r="E1175" s="103" t="str">
        <f>IF(LEFT(D1175,3)="Std","Base case cost for mix of 60% Incandescent and 40% CFL lamps for CFL TechID: "&amp;INDEX('Measure &amp; Standard CostIDs'!$C$5:$C$177,A1175),"&lt;from TechID&gt;")</f>
        <v>Base case cost for mix of 60% Incandescent and 40% CFL lamps for CFL TechID: CFLscw(17w)</v>
      </c>
      <c r="F1175" s="103" t="s">
        <v>860</v>
      </c>
      <c r="G1175" s="103" t="s">
        <v>151</v>
      </c>
      <c r="H1175" s="103" t="s">
        <v>861</v>
      </c>
      <c r="I1175" s="103" t="s">
        <v>862</v>
      </c>
      <c r="J1175" s="103" t="s">
        <v>863</v>
      </c>
      <c r="K1175" s="103" t="s">
        <v>864</v>
      </c>
      <c r="L1175" s="103" t="s">
        <v>153</v>
      </c>
      <c r="M1175" s="103" t="s">
        <v>865</v>
      </c>
      <c r="N1175" s="103" t="s">
        <v>866</v>
      </c>
      <c r="O1175" s="103" t="str">
        <f t="shared" si="62"/>
        <v/>
      </c>
      <c r="P1175" s="103" t="s">
        <v>153</v>
      </c>
      <c r="Q1175" s="103" t="s">
        <v>153</v>
      </c>
      <c r="R1175" s="103" t="s">
        <v>153</v>
      </c>
      <c r="S1175" s="103" t="str">
        <f>INDEX('Measure &amp; Standard CostIDs'!$AK$8:$AK$12,B1175)</f>
        <v>Three-pack</v>
      </c>
      <c r="T1175" s="103" t="s">
        <v>867</v>
      </c>
      <c r="U1175" s="103"/>
      <c r="V1175" s="103"/>
      <c r="W1175" s="103">
        <f>ROUND(IF(LEFT(D1175,3)="Std",VLOOKUP(D1175,'Measure &amp; Standard CostIDs'!$S$5:$X$177,1+B1175,FALSE),VLOOKUP(D1175,'Measure &amp; Standard CostIDs'!$C$5:$H$177,1+B1175,FALSE)),2)</f>
        <v>1.79</v>
      </c>
      <c r="X1175" s="103"/>
      <c r="Y1175" s="103"/>
      <c r="Z1175" s="103" t="s">
        <v>868</v>
      </c>
      <c r="AA1175" s="103" t="s">
        <v>874</v>
      </c>
      <c r="AB1175" s="103" t="s">
        <v>153</v>
      </c>
      <c r="AC1175" s="103">
        <v>0</v>
      </c>
      <c r="AD1175" s="156">
        <v>42005</v>
      </c>
      <c r="AE1175" s="103"/>
      <c r="AF1175" s="103" t="s">
        <v>870</v>
      </c>
      <c r="AG1175" s="103" t="s">
        <v>871</v>
      </c>
      <c r="AH1175" s="103" t="s">
        <v>976</v>
      </c>
      <c r="AI1175" s="103">
        <v>0</v>
      </c>
      <c r="AJ1175" s="103"/>
      <c r="AK1175" s="103"/>
      <c r="AL1175" s="103"/>
      <c r="AM1175" s="103"/>
      <c r="AN1175" s="103"/>
      <c r="AO1175" s="103" t="str">
        <f t="shared" si="63"/>
        <v>Std_CFLscw(17w)_60pInc-r0248Three-pack</v>
      </c>
    </row>
    <row r="1176" spans="1:41">
      <c r="A1176" s="177">
        <f>IFERROR(MATCH(D1176,'Measure &amp; Standard CostIDs'!C$5:C$177,0),MATCH(D1176,'Measure &amp; Standard CostIDs'!S$5:S$177,0))</f>
        <v>10</v>
      </c>
      <c r="B1176" s="177">
        <f t="shared" si="65"/>
        <v>4</v>
      </c>
      <c r="C1176" s="103" t="s">
        <v>153</v>
      </c>
      <c r="D1176" s="103" t="str">
        <f t="shared" si="64"/>
        <v>Std_CFLscw(18w)_60pInc-r0248</v>
      </c>
      <c r="E1176" s="103" t="str">
        <f>IF(LEFT(D1176,3)="Std","Base case cost for mix of 60% Incandescent and 40% CFL lamps for CFL TechID: "&amp;INDEX('Measure &amp; Standard CostIDs'!$C$5:$C$177,A1176),"&lt;from TechID&gt;")</f>
        <v>Base case cost for mix of 60% Incandescent and 40% CFL lamps for CFL TechID: CFLscw(18w)</v>
      </c>
      <c r="F1176" s="103" t="s">
        <v>860</v>
      </c>
      <c r="G1176" s="103" t="s">
        <v>151</v>
      </c>
      <c r="H1176" s="103" t="s">
        <v>861</v>
      </c>
      <c r="I1176" s="103" t="s">
        <v>862</v>
      </c>
      <c r="J1176" s="103" t="s">
        <v>863</v>
      </c>
      <c r="K1176" s="103" t="s">
        <v>864</v>
      </c>
      <c r="L1176" s="103" t="s">
        <v>153</v>
      </c>
      <c r="M1176" s="103" t="s">
        <v>865</v>
      </c>
      <c r="N1176" s="103" t="s">
        <v>866</v>
      </c>
      <c r="O1176" s="103" t="str">
        <f t="shared" si="62"/>
        <v/>
      </c>
      <c r="P1176" s="103" t="s">
        <v>153</v>
      </c>
      <c r="Q1176" s="103" t="s">
        <v>153</v>
      </c>
      <c r="R1176" s="103" t="s">
        <v>153</v>
      </c>
      <c r="S1176" s="103" t="str">
        <f>INDEX('Measure &amp; Standard CostIDs'!$AK$8:$AK$12,B1176)</f>
        <v>Three-pack</v>
      </c>
      <c r="T1176" s="103" t="s">
        <v>867</v>
      </c>
      <c r="U1176" s="103"/>
      <c r="V1176" s="103"/>
      <c r="W1176" s="103">
        <f>ROUND(IF(LEFT(D1176,3)="Std",VLOOKUP(D1176,'Measure &amp; Standard CostIDs'!$S$5:$X$177,1+B1176,FALSE),VLOOKUP(D1176,'Measure &amp; Standard CostIDs'!$C$5:$H$177,1+B1176,FALSE)),2)</f>
        <v>1.83</v>
      </c>
      <c r="X1176" s="103"/>
      <c r="Y1176" s="103"/>
      <c r="Z1176" s="103" t="s">
        <v>868</v>
      </c>
      <c r="AA1176" s="103" t="s">
        <v>874</v>
      </c>
      <c r="AB1176" s="103" t="s">
        <v>153</v>
      </c>
      <c r="AC1176" s="103">
        <v>0</v>
      </c>
      <c r="AD1176" s="156">
        <v>42005</v>
      </c>
      <c r="AE1176" s="103"/>
      <c r="AF1176" s="103" t="s">
        <v>870</v>
      </c>
      <c r="AG1176" s="103" t="s">
        <v>871</v>
      </c>
      <c r="AH1176" s="103" t="s">
        <v>976</v>
      </c>
      <c r="AI1176" s="103">
        <v>0</v>
      </c>
      <c r="AJ1176" s="103"/>
      <c r="AK1176" s="103"/>
      <c r="AL1176" s="103"/>
      <c r="AM1176" s="103"/>
      <c r="AN1176" s="103"/>
      <c r="AO1176" s="103" t="str">
        <f t="shared" si="63"/>
        <v>Std_CFLscw(18w)_60pInc-r0248Three-pack</v>
      </c>
    </row>
    <row r="1177" spans="1:41">
      <c r="A1177" s="177">
        <f>IFERROR(MATCH(D1177,'Measure &amp; Standard CostIDs'!C$5:C$177,0),MATCH(D1177,'Measure &amp; Standard CostIDs'!S$5:S$177,0))</f>
        <v>11</v>
      </c>
      <c r="B1177" s="177">
        <f t="shared" si="65"/>
        <v>4</v>
      </c>
      <c r="C1177" s="103" t="s">
        <v>153</v>
      </c>
      <c r="D1177" s="103" t="str">
        <f t="shared" si="64"/>
        <v>Std_CFLscw(19w)_60pInc-r0248</v>
      </c>
      <c r="E1177" s="103" t="str">
        <f>IF(LEFT(D1177,3)="Std","Base case cost for mix of 60% Incandescent and 40% CFL lamps for CFL TechID: "&amp;INDEX('Measure &amp; Standard CostIDs'!$C$5:$C$177,A1177),"&lt;from TechID&gt;")</f>
        <v>Base case cost for mix of 60% Incandescent and 40% CFL lamps for CFL TechID: CFLscw(19w)</v>
      </c>
      <c r="F1177" s="103" t="s">
        <v>860</v>
      </c>
      <c r="G1177" s="103" t="s">
        <v>151</v>
      </c>
      <c r="H1177" s="103" t="s">
        <v>861</v>
      </c>
      <c r="I1177" s="103" t="s">
        <v>862</v>
      </c>
      <c r="J1177" s="103" t="s">
        <v>863</v>
      </c>
      <c r="K1177" s="103" t="s">
        <v>864</v>
      </c>
      <c r="L1177" s="103" t="s">
        <v>153</v>
      </c>
      <c r="M1177" s="103" t="s">
        <v>865</v>
      </c>
      <c r="N1177" s="103" t="s">
        <v>866</v>
      </c>
      <c r="O1177" s="103" t="str">
        <f t="shared" si="62"/>
        <v/>
      </c>
      <c r="P1177" s="103" t="s">
        <v>153</v>
      </c>
      <c r="Q1177" s="103" t="s">
        <v>153</v>
      </c>
      <c r="R1177" s="103" t="s">
        <v>153</v>
      </c>
      <c r="S1177" s="103" t="str">
        <f>INDEX('Measure &amp; Standard CostIDs'!$AK$8:$AK$12,B1177)</f>
        <v>Three-pack</v>
      </c>
      <c r="T1177" s="103" t="s">
        <v>867</v>
      </c>
      <c r="U1177" s="103"/>
      <c r="V1177" s="103"/>
      <c r="W1177" s="103">
        <f>ROUND(IF(LEFT(D1177,3)="Std",VLOOKUP(D1177,'Measure &amp; Standard CostIDs'!$S$5:$X$177,1+B1177,FALSE),VLOOKUP(D1177,'Measure &amp; Standard CostIDs'!$C$5:$H$177,1+B1177,FALSE)),2)</f>
        <v>1.88</v>
      </c>
      <c r="X1177" s="103"/>
      <c r="Y1177" s="103"/>
      <c r="Z1177" s="103" t="s">
        <v>868</v>
      </c>
      <c r="AA1177" s="103" t="s">
        <v>874</v>
      </c>
      <c r="AB1177" s="103" t="s">
        <v>153</v>
      </c>
      <c r="AC1177" s="103">
        <v>0</v>
      </c>
      <c r="AD1177" s="156">
        <v>42005</v>
      </c>
      <c r="AE1177" s="103"/>
      <c r="AF1177" s="103" t="s">
        <v>870</v>
      </c>
      <c r="AG1177" s="103" t="s">
        <v>871</v>
      </c>
      <c r="AH1177" s="103" t="s">
        <v>976</v>
      </c>
      <c r="AI1177" s="103">
        <v>0</v>
      </c>
      <c r="AJ1177" s="103"/>
      <c r="AK1177" s="103"/>
      <c r="AL1177" s="103"/>
      <c r="AM1177" s="103"/>
      <c r="AN1177" s="103"/>
      <c r="AO1177" s="103" t="str">
        <f t="shared" si="63"/>
        <v>Std_CFLscw(19w)_60pInc-r0248Three-pack</v>
      </c>
    </row>
    <row r="1178" spans="1:41">
      <c r="A1178" s="177">
        <f>IFERROR(MATCH(D1178,'Measure &amp; Standard CostIDs'!C$5:C$177,0),MATCH(D1178,'Measure &amp; Standard CostIDs'!S$5:S$177,0))</f>
        <v>12</v>
      </c>
      <c r="B1178" s="177">
        <f t="shared" si="65"/>
        <v>4</v>
      </c>
      <c r="C1178" s="103" t="s">
        <v>153</v>
      </c>
      <c r="D1178" s="103" t="str">
        <f t="shared" si="64"/>
        <v>Std_CFLscw(20w)_60pInc-r0248</v>
      </c>
      <c r="E1178" s="103" t="str">
        <f>IF(LEFT(D1178,3)="Std","Base case cost for mix of 60% Incandescent and 40% CFL lamps for CFL TechID: "&amp;INDEX('Measure &amp; Standard CostIDs'!$C$5:$C$177,A1178),"&lt;from TechID&gt;")</f>
        <v>Base case cost for mix of 60% Incandescent and 40% CFL lamps for CFL TechID: CFLscw(20w)</v>
      </c>
      <c r="F1178" s="103" t="s">
        <v>860</v>
      </c>
      <c r="G1178" s="103" t="s">
        <v>151</v>
      </c>
      <c r="H1178" s="103" t="s">
        <v>861</v>
      </c>
      <c r="I1178" s="103" t="s">
        <v>862</v>
      </c>
      <c r="J1178" s="103" t="s">
        <v>863</v>
      </c>
      <c r="K1178" s="103" t="s">
        <v>864</v>
      </c>
      <c r="L1178" s="103" t="s">
        <v>153</v>
      </c>
      <c r="M1178" s="103" t="s">
        <v>865</v>
      </c>
      <c r="N1178" s="103" t="s">
        <v>866</v>
      </c>
      <c r="O1178" s="103" t="str">
        <f t="shared" si="62"/>
        <v/>
      </c>
      <c r="P1178" s="103" t="s">
        <v>153</v>
      </c>
      <c r="Q1178" s="103" t="s">
        <v>153</v>
      </c>
      <c r="R1178" s="103" t="s">
        <v>153</v>
      </c>
      <c r="S1178" s="103" t="str">
        <f>INDEX('Measure &amp; Standard CostIDs'!$AK$8:$AK$12,B1178)</f>
        <v>Three-pack</v>
      </c>
      <c r="T1178" s="103" t="s">
        <v>867</v>
      </c>
      <c r="U1178" s="103"/>
      <c r="V1178" s="103"/>
      <c r="W1178" s="103">
        <f>ROUND(IF(LEFT(D1178,3)="Std",VLOOKUP(D1178,'Measure &amp; Standard CostIDs'!$S$5:$X$177,1+B1178,FALSE),VLOOKUP(D1178,'Measure &amp; Standard CostIDs'!$C$5:$H$177,1+B1178,FALSE)),2)</f>
        <v>1.92</v>
      </c>
      <c r="X1178" s="103"/>
      <c r="Y1178" s="103"/>
      <c r="Z1178" s="103" t="s">
        <v>868</v>
      </c>
      <c r="AA1178" s="103" t="s">
        <v>874</v>
      </c>
      <c r="AB1178" s="103" t="s">
        <v>153</v>
      </c>
      <c r="AC1178" s="103">
        <v>0</v>
      </c>
      <c r="AD1178" s="156">
        <v>42005</v>
      </c>
      <c r="AE1178" s="103"/>
      <c r="AF1178" s="103" t="s">
        <v>870</v>
      </c>
      <c r="AG1178" s="103" t="s">
        <v>871</v>
      </c>
      <c r="AH1178" s="103" t="s">
        <v>976</v>
      </c>
      <c r="AI1178" s="103">
        <v>0</v>
      </c>
      <c r="AJ1178" s="103"/>
      <c r="AK1178" s="103"/>
      <c r="AL1178" s="103"/>
      <c r="AM1178" s="103"/>
      <c r="AN1178" s="103"/>
      <c r="AO1178" s="103" t="str">
        <f t="shared" si="63"/>
        <v>Std_CFLscw(20w)_60pInc-r0248Three-pack</v>
      </c>
    </row>
    <row r="1179" spans="1:41">
      <c r="A1179" s="177">
        <f>IFERROR(MATCH(D1179,'Measure &amp; Standard CostIDs'!C$5:C$177,0),MATCH(D1179,'Measure &amp; Standard CostIDs'!S$5:S$177,0))</f>
        <v>13</v>
      </c>
      <c r="B1179" s="177">
        <f t="shared" si="65"/>
        <v>4</v>
      </c>
      <c r="C1179" s="103" t="s">
        <v>153</v>
      </c>
      <c r="D1179" s="103" t="str">
        <f t="shared" si="64"/>
        <v>Std_CFLscw(21w)_60pInc-r0248</v>
      </c>
      <c r="E1179" s="103" t="str">
        <f>IF(LEFT(D1179,3)="Std","Base case cost for mix of 60% Incandescent and 40% CFL lamps for CFL TechID: "&amp;INDEX('Measure &amp; Standard CostIDs'!$C$5:$C$177,A1179),"&lt;from TechID&gt;")</f>
        <v>Base case cost for mix of 60% Incandescent and 40% CFL lamps for CFL TechID: CFLscw(21w)</v>
      </c>
      <c r="F1179" s="103" t="s">
        <v>860</v>
      </c>
      <c r="G1179" s="103" t="s">
        <v>151</v>
      </c>
      <c r="H1179" s="103" t="s">
        <v>861</v>
      </c>
      <c r="I1179" s="103" t="s">
        <v>862</v>
      </c>
      <c r="J1179" s="103" t="s">
        <v>863</v>
      </c>
      <c r="K1179" s="103" t="s">
        <v>864</v>
      </c>
      <c r="L1179" s="103" t="s">
        <v>153</v>
      </c>
      <c r="M1179" s="103" t="s">
        <v>865</v>
      </c>
      <c r="N1179" s="103" t="s">
        <v>866</v>
      </c>
      <c r="O1179" s="103" t="str">
        <f t="shared" si="62"/>
        <v/>
      </c>
      <c r="P1179" s="103" t="s">
        <v>153</v>
      </c>
      <c r="Q1179" s="103" t="s">
        <v>153</v>
      </c>
      <c r="R1179" s="103" t="s">
        <v>153</v>
      </c>
      <c r="S1179" s="103" t="str">
        <f>INDEX('Measure &amp; Standard CostIDs'!$AK$8:$AK$12,B1179)</f>
        <v>Three-pack</v>
      </c>
      <c r="T1179" s="103" t="s">
        <v>867</v>
      </c>
      <c r="U1179" s="103"/>
      <c r="V1179" s="103"/>
      <c r="W1179" s="103">
        <f>ROUND(IF(LEFT(D1179,3)="Std",VLOOKUP(D1179,'Measure &amp; Standard CostIDs'!$S$5:$X$177,1+B1179,FALSE),VLOOKUP(D1179,'Measure &amp; Standard CostIDs'!$C$5:$H$177,1+B1179,FALSE)),2)</f>
        <v>1.97</v>
      </c>
      <c r="X1179" s="103"/>
      <c r="Y1179" s="103"/>
      <c r="Z1179" s="103" t="s">
        <v>868</v>
      </c>
      <c r="AA1179" s="103" t="s">
        <v>874</v>
      </c>
      <c r="AB1179" s="103" t="s">
        <v>153</v>
      </c>
      <c r="AC1179" s="103">
        <v>0</v>
      </c>
      <c r="AD1179" s="156">
        <v>42005</v>
      </c>
      <c r="AE1179" s="103"/>
      <c r="AF1179" s="103" t="s">
        <v>870</v>
      </c>
      <c r="AG1179" s="103" t="s">
        <v>871</v>
      </c>
      <c r="AH1179" s="103" t="s">
        <v>976</v>
      </c>
      <c r="AI1179" s="103">
        <v>0</v>
      </c>
      <c r="AJ1179" s="103"/>
      <c r="AK1179" s="103"/>
      <c r="AL1179" s="103"/>
      <c r="AM1179" s="103"/>
      <c r="AN1179" s="103"/>
      <c r="AO1179" s="103" t="str">
        <f t="shared" si="63"/>
        <v>Std_CFLscw(21w)_60pInc-r0248Three-pack</v>
      </c>
    </row>
    <row r="1180" spans="1:41">
      <c r="A1180" s="177">
        <f>IFERROR(MATCH(D1180,'Measure &amp; Standard CostIDs'!C$5:C$177,0),MATCH(D1180,'Measure &amp; Standard CostIDs'!S$5:S$177,0))</f>
        <v>14</v>
      </c>
      <c r="B1180" s="177">
        <f t="shared" si="65"/>
        <v>4</v>
      </c>
      <c r="C1180" s="103" t="s">
        <v>153</v>
      </c>
      <c r="D1180" s="103" t="str">
        <f t="shared" si="64"/>
        <v>Std_CFLscw(22w)_60pInc-r0248</v>
      </c>
      <c r="E1180" s="103" t="str">
        <f>IF(LEFT(D1180,3)="Std","Base case cost for mix of 60% Incandescent and 40% CFL lamps for CFL TechID: "&amp;INDEX('Measure &amp; Standard CostIDs'!$C$5:$C$177,A1180),"&lt;from TechID&gt;")</f>
        <v>Base case cost for mix of 60% Incandescent and 40% CFL lamps for CFL TechID: CFLscw(22w)</v>
      </c>
      <c r="F1180" s="103" t="s">
        <v>860</v>
      </c>
      <c r="G1180" s="103" t="s">
        <v>151</v>
      </c>
      <c r="H1180" s="103" t="s">
        <v>861</v>
      </c>
      <c r="I1180" s="103" t="s">
        <v>862</v>
      </c>
      <c r="J1180" s="103" t="s">
        <v>863</v>
      </c>
      <c r="K1180" s="103" t="s">
        <v>864</v>
      </c>
      <c r="L1180" s="103" t="s">
        <v>153</v>
      </c>
      <c r="M1180" s="103" t="s">
        <v>865</v>
      </c>
      <c r="N1180" s="103" t="s">
        <v>866</v>
      </c>
      <c r="O1180" s="103" t="str">
        <f t="shared" si="62"/>
        <v/>
      </c>
      <c r="P1180" s="103" t="s">
        <v>153</v>
      </c>
      <c r="Q1180" s="103" t="s">
        <v>153</v>
      </c>
      <c r="R1180" s="103" t="s">
        <v>153</v>
      </c>
      <c r="S1180" s="103" t="str">
        <f>INDEX('Measure &amp; Standard CostIDs'!$AK$8:$AK$12,B1180)</f>
        <v>Three-pack</v>
      </c>
      <c r="T1180" s="103" t="s">
        <v>867</v>
      </c>
      <c r="U1180" s="103"/>
      <c r="V1180" s="103"/>
      <c r="W1180" s="103">
        <f>ROUND(IF(LEFT(D1180,3)="Std",VLOOKUP(D1180,'Measure &amp; Standard CostIDs'!$S$5:$X$177,1+B1180,FALSE),VLOOKUP(D1180,'Measure &amp; Standard CostIDs'!$C$5:$H$177,1+B1180,FALSE)),2)</f>
        <v>2.0099999999999998</v>
      </c>
      <c r="X1180" s="103"/>
      <c r="Y1180" s="103"/>
      <c r="Z1180" s="103" t="s">
        <v>868</v>
      </c>
      <c r="AA1180" s="103" t="s">
        <v>874</v>
      </c>
      <c r="AB1180" s="103" t="s">
        <v>153</v>
      </c>
      <c r="AC1180" s="103">
        <v>0</v>
      </c>
      <c r="AD1180" s="156">
        <v>42005</v>
      </c>
      <c r="AE1180" s="103"/>
      <c r="AF1180" s="103" t="s">
        <v>870</v>
      </c>
      <c r="AG1180" s="103" t="s">
        <v>871</v>
      </c>
      <c r="AH1180" s="103" t="s">
        <v>976</v>
      </c>
      <c r="AI1180" s="103">
        <v>0</v>
      </c>
      <c r="AJ1180" s="103"/>
      <c r="AK1180" s="103"/>
      <c r="AL1180" s="103"/>
      <c r="AM1180" s="103"/>
      <c r="AN1180" s="103"/>
      <c r="AO1180" s="103" t="str">
        <f t="shared" si="63"/>
        <v>Std_CFLscw(22w)_60pInc-r0248Three-pack</v>
      </c>
    </row>
    <row r="1181" spans="1:41">
      <c r="A1181" s="177">
        <f>IFERROR(MATCH(D1181,'Measure &amp; Standard CostIDs'!C$5:C$177,0),MATCH(D1181,'Measure &amp; Standard CostIDs'!S$5:S$177,0))</f>
        <v>15</v>
      </c>
      <c r="B1181" s="177">
        <f t="shared" si="65"/>
        <v>4</v>
      </c>
      <c r="C1181" s="103" t="s">
        <v>153</v>
      </c>
      <c r="D1181" s="103" t="str">
        <f t="shared" si="64"/>
        <v>Std_CFLscw(23w)_60pInc-r0248</v>
      </c>
      <c r="E1181" s="103" t="str">
        <f>IF(LEFT(D1181,3)="Std","Base case cost for mix of 60% Incandescent and 40% CFL lamps for CFL TechID: "&amp;INDEX('Measure &amp; Standard CostIDs'!$C$5:$C$177,A1181),"&lt;from TechID&gt;")</f>
        <v>Base case cost for mix of 60% Incandescent and 40% CFL lamps for CFL TechID: CFLscw(23w)</v>
      </c>
      <c r="F1181" s="103" t="s">
        <v>860</v>
      </c>
      <c r="G1181" s="103" t="s">
        <v>151</v>
      </c>
      <c r="H1181" s="103" t="s">
        <v>861</v>
      </c>
      <c r="I1181" s="103" t="s">
        <v>862</v>
      </c>
      <c r="J1181" s="103" t="s">
        <v>863</v>
      </c>
      <c r="K1181" s="103" t="s">
        <v>864</v>
      </c>
      <c r="L1181" s="103" t="s">
        <v>153</v>
      </c>
      <c r="M1181" s="103" t="s">
        <v>865</v>
      </c>
      <c r="N1181" s="103" t="s">
        <v>866</v>
      </c>
      <c r="O1181" s="103" t="str">
        <f t="shared" si="62"/>
        <v/>
      </c>
      <c r="P1181" s="103" t="s">
        <v>153</v>
      </c>
      <c r="Q1181" s="103" t="s">
        <v>153</v>
      </c>
      <c r="R1181" s="103" t="s">
        <v>153</v>
      </c>
      <c r="S1181" s="103" t="str">
        <f>INDEX('Measure &amp; Standard CostIDs'!$AK$8:$AK$12,B1181)</f>
        <v>Three-pack</v>
      </c>
      <c r="T1181" s="103" t="s">
        <v>867</v>
      </c>
      <c r="U1181" s="103"/>
      <c r="V1181" s="103"/>
      <c r="W1181" s="103">
        <f>ROUND(IF(LEFT(D1181,3)="Std",VLOOKUP(D1181,'Measure &amp; Standard CostIDs'!$S$5:$X$177,1+B1181,FALSE),VLOOKUP(D1181,'Measure &amp; Standard CostIDs'!$C$5:$H$177,1+B1181,FALSE)),2)</f>
        <v>2.04</v>
      </c>
      <c r="X1181" s="103"/>
      <c r="Y1181" s="103"/>
      <c r="Z1181" s="103" t="s">
        <v>868</v>
      </c>
      <c r="AA1181" s="103" t="s">
        <v>874</v>
      </c>
      <c r="AB1181" s="103" t="s">
        <v>153</v>
      </c>
      <c r="AC1181" s="103">
        <v>0</v>
      </c>
      <c r="AD1181" s="156">
        <v>42005</v>
      </c>
      <c r="AE1181" s="103"/>
      <c r="AF1181" s="103" t="s">
        <v>870</v>
      </c>
      <c r="AG1181" s="103" t="s">
        <v>871</v>
      </c>
      <c r="AH1181" s="103" t="s">
        <v>976</v>
      </c>
      <c r="AI1181" s="103">
        <v>0</v>
      </c>
      <c r="AJ1181" s="103"/>
      <c r="AK1181" s="103"/>
      <c r="AL1181" s="103"/>
      <c r="AM1181" s="103"/>
      <c r="AN1181" s="103"/>
      <c r="AO1181" s="103" t="str">
        <f t="shared" si="63"/>
        <v>Std_CFLscw(23w)_60pInc-r0248Three-pack</v>
      </c>
    </row>
    <row r="1182" spans="1:41">
      <c r="A1182" s="177">
        <f>IFERROR(MATCH(D1182,'Measure &amp; Standard CostIDs'!C$5:C$177,0),MATCH(D1182,'Measure &amp; Standard CostIDs'!S$5:S$177,0))</f>
        <v>16</v>
      </c>
      <c r="B1182" s="177">
        <f t="shared" si="65"/>
        <v>4</v>
      </c>
      <c r="C1182" s="103" t="s">
        <v>153</v>
      </c>
      <c r="D1182" s="103" t="str">
        <f t="shared" si="64"/>
        <v>Std_CFLscw(24w)_60pInc-r0248</v>
      </c>
      <c r="E1182" s="103" t="str">
        <f>IF(LEFT(D1182,3)="Std","Base case cost for mix of 60% Incandescent and 40% CFL lamps for CFL TechID: "&amp;INDEX('Measure &amp; Standard CostIDs'!$C$5:$C$177,A1182),"&lt;from TechID&gt;")</f>
        <v>Base case cost for mix of 60% Incandescent and 40% CFL lamps for CFL TechID: CFLscw(24w)</v>
      </c>
      <c r="F1182" s="103" t="s">
        <v>860</v>
      </c>
      <c r="G1182" s="103" t="s">
        <v>151</v>
      </c>
      <c r="H1182" s="103" t="s">
        <v>861</v>
      </c>
      <c r="I1182" s="103" t="s">
        <v>862</v>
      </c>
      <c r="J1182" s="103" t="s">
        <v>863</v>
      </c>
      <c r="K1182" s="103" t="s">
        <v>864</v>
      </c>
      <c r="L1182" s="103" t="s">
        <v>153</v>
      </c>
      <c r="M1182" s="103" t="s">
        <v>865</v>
      </c>
      <c r="N1182" s="103" t="s">
        <v>866</v>
      </c>
      <c r="O1182" s="103" t="str">
        <f t="shared" si="62"/>
        <v/>
      </c>
      <c r="P1182" s="103" t="s">
        <v>153</v>
      </c>
      <c r="Q1182" s="103" t="s">
        <v>153</v>
      </c>
      <c r="R1182" s="103" t="s">
        <v>153</v>
      </c>
      <c r="S1182" s="103" t="str">
        <f>INDEX('Measure &amp; Standard CostIDs'!$AK$8:$AK$12,B1182)</f>
        <v>Three-pack</v>
      </c>
      <c r="T1182" s="103" t="s">
        <v>867</v>
      </c>
      <c r="U1182" s="103"/>
      <c r="V1182" s="103"/>
      <c r="W1182" s="103">
        <f>ROUND(IF(LEFT(D1182,3)="Std",VLOOKUP(D1182,'Measure &amp; Standard CostIDs'!$S$5:$X$177,1+B1182,FALSE),VLOOKUP(D1182,'Measure &amp; Standard CostIDs'!$C$5:$H$177,1+B1182,FALSE)),2)</f>
        <v>2.0699999999999998</v>
      </c>
      <c r="X1182" s="103"/>
      <c r="Y1182" s="103"/>
      <c r="Z1182" s="103" t="s">
        <v>868</v>
      </c>
      <c r="AA1182" s="103" t="s">
        <v>874</v>
      </c>
      <c r="AB1182" s="103" t="s">
        <v>153</v>
      </c>
      <c r="AC1182" s="103">
        <v>0</v>
      </c>
      <c r="AD1182" s="156">
        <v>42005</v>
      </c>
      <c r="AE1182" s="103"/>
      <c r="AF1182" s="103" t="s">
        <v>870</v>
      </c>
      <c r="AG1182" s="103" t="s">
        <v>871</v>
      </c>
      <c r="AH1182" s="103" t="s">
        <v>976</v>
      </c>
      <c r="AI1182" s="103">
        <v>0</v>
      </c>
      <c r="AJ1182" s="103"/>
      <c r="AK1182" s="103"/>
      <c r="AL1182" s="103"/>
      <c r="AM1182" s="103"/>
      <c r="AN1182" s="103"/>
      <c r="AO1182" s="103" t="str">
        <f t="shared" si="63"/>
        <v>Std_CFLscw(24w)_60pInc-r0248Three-pack</v>
      </c>
    </row>
    <row r="1183" spans="1:41">
      <c r="A1183" s="177">
        <f>IFERROR(MATCH(D1183,'Measure &amp; Standard CostIDs'!C$5:C$177,0),MATCH(D1183,'Measure &amp; Standard CostIDs'!S$5:S$177,0))</f>
        <v>17</v>
      </c>
      <c r="B1183" s="177">
        <f t="shared" si="65"/>
        <v>4</v>
      </c>
      <c r="C1183" s="103" t="s">
        <v>153</v>
      </c>
      <c r="D1183" s="103" t="str">
        <f t="shared" si="64"/>
        <v>Std_CFLscw(25w)_60pInc-r0248</v>
      </c>
      <c r="E1183" s="103" t="str">
        <f>IF(LEFT(D1183,3)="Std","Base case cost for mix of 60% Incandescent and 40% CFL lamps for CFL TechID: "&amp;INDEX('Measure &amp; Standard CostIDs'!$C$5:$C$177,A1183),"&lt;from TechID&gt;")</f>
        <v>Base case cost for mix of 60% Incandescent and 40% CFL lamps for CFL TechID: CFLscw(25w)</v>
      </c>
      <c r="F1183" s="103" t="s">
        <v>860</v>
      </c>
      <c r="G1183" s="103" t="s">
        <v>151</v>
      </c>
      <c r="H1183" s="103" t="s">
        <v>861</v>
      </c>
      <c r="I1183" s="103" t="s">
        <v>862</v>
      </c>
      <c r="J1183" s="103" t="s">
        <v>863</v>
      </c>
      <c r="K1183" s="103" t="s">
        <v>864</v>
      </c>
      <c r="L1183" s="103" t="s">
        <v>153</v>
      </c>
      <c r="M1183" s="103" t="s">
        <v>865</v>
      </c>
      <c r="N1183" s="103" t="s">
        <v>866</v>
      </c>
      <c r="O1183" s="103" t="str">
        <f t="shared" si="62"/>
        <v/>
      </c>
      <c r="P1183" s="103" t="s">
        <v>153</v>
      </c>
      <c r="Q1183" s="103" t="s">
        <v>153</v>
      </c>
      <c r="R1183" s="103" t="s">
        <v>153</v>
      </c>
      <c r="S1183" s="103" t="str">
        <f>INDEX('Measure &amp; Standard CostIDs'!$AK$8:$AK$12,B1183)</f>
        <v>Three-pack</v>
      </c>
      <c r="T1183" s="103" t="s">
        <v>867</v>
      </c>
      <c r="U1183" s="103"/>
      <c r="V1183" s="103"/>
      <c r="W1183" s="103">
        <f>ROUND(IF(LEFT(D1183,3)="Std",VLOOKUP(D1183,'Measure &amp; Standard CostIDs'!$S$5:$X$177,1+B1183,FALSE),VLOOKUP(D1183,'Measure &amp; Standard CostIDs'!$C$5:$H$177,1+B1183,FALSE)),2)</f>
        <v>2.09</v>
      </c>
      <c r="X1183" s="103"/>
      <c r="Y1183" s="103"/>
      <c r="Z1183" s="103" t="s">
        <v>868</v>
      </c>
      <c r="AA1183" s="103" t="s">
        <v>874</v>
      </c>
      <c r="AB1183" s="103" t="s">
        <v>153</v>
      </c>
      <c r="AC1183" s="103">
        <v>0</v>
      </c>
      <c r="AD1183" s="156">
        <v>42005</v>
      </c>
      <c r="AE1183" s="103"/>
      <c r="AF1183" s="103" t="s">
        <v>870</v>
      </c>
      <c r="AG1183" s="103" t="s">
        <v>871</v>
      </c>
      <c r="AH1183" s="103" t="s">
        <v>976</v>
      </c>
      <c r="AI1183" s="103">
        <v>0</v>
      </c>
      <c r="AJ1183" s="103"/>
      <c r="AK1183" s="103"/>
      <c r="AL1183" s="103"/>
      <c r="AM1183" s="103"/>
      <c r="AN1183" s="103"/>
      <c r="AO1183" s="103" t="str">
        <f t="shared" si="63"/>
        <v>Std_CFLscw(25w)_60pInc-r0248Three-pack</v>
      </c>
    </row>
    <row r="1184" spans="1:41">
      <c r="A1184" s="177">
        <f>IFERROR(MATCH(D1184,'Measure &amp; Standard CostIDs'!C$5:C$177,0),MATCH(D1184,'Measure &amp; Standard CostIDs'!S$5:S$177,0))</f>
        <v>18</v>
      </c>
      <c r="B1184" s="177">
        <f t="shared" si="65"/>
        <v>4</v>
      </c>
      <c r="C1184" s="103" t="s">
        <v>153</v>
      </c>
      <c r="D1184" s="103" t="str">
        <f t="shared" si="64"/>
        <v>Std_CFLscw(26w)_60pInc-r0248</v>
      </c>
      <c r="E1184" s="103" t="str">
        <f>IF(LEFT(D1184,3)="Std","Base case cost for mix of 60% Incandescent and 40% CFL lamps for CFL TechID: "&amp;INDEX('Measure &amp; Standard CostIDs'!$C$5:$C$177,A1184),"&lt;from TechID&gt;")</f>
        <v>Base case cost for mix of 60% Incandescent and 40% CFL lamps for CFL TechID: CFLscw(26w)</v>
      </c>
      <c r="F1184" s="103" t="s">
        <v>860</v>
      </c>
      <c r="G1184" s="103" t="s">
        <v>151</v>
      </c>
      <c r="H1184" s="103" t="s">
        <v>861</v>
      </c>
      <c r="I1184" s="103" t="s">
        <v>862</v>
      </c>
      <c r="J1184" s="103" t="s">
        <v>863</v>
      </c>
      <c r="K1184" s="103" t="s">
        <v>864</v>
      </c>
      <c r="L1184" s="103" t="s">
        <v>153</v>
      </c>
      <c r="M1184" s="103" t="s">
        <v>865</v>
      </c>
      <c r="N1184" s="103" t="s">
        <v>866</v>
      </c>
      <c r="O1184" s="103" t="str">
        <f t="shared" si="62"/>
        <v/>
      </c>
      <c r="P1184" s="103" t="s">
        <v>153</v>
      </c>
      <c r="Q1184" s="103" t="s">
        <v>153</v>
      </c>
      <c r="R1184" s="103" t="s">
        <v>153</v>
      </c>
      <c r="S1184" s="103" t="str">
        <f>INDEX('Measure &amp; Standard CostIDs'!$AK$8:$AK$12,B1184)</f>
        <v>Three-pack</v>
      </c>
      <c r="T1184" s="103" t="s">
        <v>867</v>
      </c>
      <c r="U1184" s="103"/>
      <c r="V1184" s="103"/>
      <c r="W1184" s="103">
        <f>ROUND(IF(LEFT(D1184,3)="Std",VLOOKUP(D1184,'Measure &amp; Standard CostIDs'!$S$5:$X$177,1+B1184,FALSE),VLOOKUP(D1184,'Measure &amp; Standard CostIDs'!$C$5:$H$177,1+B1184,FALSE)),2)</f>
        <v>2.16</v>
      </c>
      <c r="X1184" s="103"/>
      <c r="Y1184" s="103"/>
      <c r="Z1184" s="103" t="s">
        <v>868</v>
      </c>
      <c r="AA1184" s="103" t="s">
        <v>874</v>
      </c>
      <c r="AB1184" s="103" t="s">
        <v>153</v>
      </c>
      <c r="AC1184" s="103">
        <v>0</v>
      </c>
      <c r="AD1184" s="156">
        <v>42005</v>
      </c>
      <c r="AE1184" s="103"/>
      <c r="AF1184" s="103" t="s">
        <v>870</v>
      </c>
      <c r="AG1184" s="103" t="s">
        <v>871</v>
      </c>
      <c r="AH1184" s="103" t="s">
        <v>976</v>
      </c>
      <c r="AI1184" s="103">
        <v>0</v>
      </c>
      <c r="AJ1184" s="103"/>
      <c r="AK1184" s="103"/>
      <c r="AL1184" s="103"/>
      <c r="AM1184" s="103"/>
      <c r="AN1184" s="103"/>
      <c r="AO1184" s="103" t="str">
        <f t="shared" si="63"/>
        <v>Std_CFLscw(26w)_60pInc-r0248Three-pack</v>
      </c>
    </row>
    <row r="1185" spans="1:41">
      <c r="A1185" s="177">
        <f>IFERROR(MATCH(D1185,'Measure &amp; Standard CostIDs'!C$5:C$177,0),MATCH(D1185,'Measure &amp; Standard CostIDs'!S$5:S$177,0))</f>
        <v>19</v>
      </c>
      <c r="B1185" s="177">
        <f t="shared" si="65"/>
        <v>4</v>
      </c>
      <c r="C1185" s="103" t="s">
        <v>153</v>
      </c>
      <c r="D1185" s="103" t="str">
        <f t="shared" si="64"/>
        <v>Std_CFLscw(27w)_60pInc-r0248</v>
      </c>
      <c r="E1185" s="103" t="str">
        <f>IF(LEFT(D1185,3)="Std","Base case cost for mix of 60% Incandescent and 40% CFL lamps for CFL TechID: "&amp;INDEX('Measure &amp; Standard CostIDs'!$C$5:$C$177,A1185),"&lt;from TechID&gt;")</f>
        <v>Base case cost for mix of 60% Incandescent and 40% CFL lamps for CFL TechID: CFLscw(27w)</v>
      </c>
      <c r="F1185" s="103" t="s">
        <v>860</v>
      </c>
      <c r="G1185" s="103" t="s">
        <v>151</v>
      </c>
      <c r="H1185" s="103" t="s">
        <v>861</v>
      </c>
      <c r="I1185" s="103" t="s">
        <v>862</v>
      </c>
      <c r="J1185" s="103" t="s">
        <v>863</v>
      </c>
      <c r="K1185" s="103" t="s">
        <v>864</v>
      </c>
      <c r="L1185" s="103" t="s">
        <v>153</v>
      </c>
      <c r="M1185" s="103" t="s">
        <v>865</v>
      </c>
      <c r="N1185" s="103" t="s">
        <v>866</v>
      </c>
      <c r="O1185" s="103" t="str">
        <f t="shared" si="62"/>
        <v/>
      </c>
      <c r="P1185" s="103" t="s">
        <v>153</v>
      </c>
      <c r="Q1185" s="103" t="s">
        <v>153</v>
      </c>
      <c r="R1185" s="103" t="s">
        <v>153</v>
      </c>
      <c r="S1185" s="103" t="str">
        <f>INDEX('Measure &amp; Standard CostIDs'!$AK$8:$AK$12,B1185)</f>
        <v>Three-pack</v>
      </c>
      <c r="T1185" s="103" t="s">
        <v>867</v>
      </c>
      <c r="U1185" s="103"/>
      <c r="V1185" s="103"/>
      <c r="W1185" s="103">
        <f>ROUND(IF(LEFT(D1185,3)="Std",VLOOKUP(D1185,'Measure &amp; Standard CostIDs'!$S$5:$X$177,1+B1185,FALSE),VLOOKUP(D1185,'Measure &amp; Standard CostIDs'!$C$5:$H$177,1+B1185,FALSE)),2)</f>
        <v>2.2200000000000002</v>
      </c>
      <c r="X1185" s="103"/>
      <c r="Y1185" s="103"/>
      <c r="Z1185" s="103" t="s">
        <v>868</v>
      </c>
      <c r="AA1185" s="103" t="s">
        <v>874</v>
      </c>
      <c r="AB1185" s="103" t="s">
        <v>153</v>
      </c>
      <c r="AC1185" s="103">
        <v>0</v>
      </c>
      <c r="AD1185" s="156">
        <v>42005</v>
      </c>
      <c r="AE1185" s="103"/>
      <c r="AF1185" s="103" t="s">
        <v>870</v>
      </c>
      <c r="AG1185" s="103" t="s">
        <v>871</v>
      </c>
      <c r="AH1185" s="103" t="s">
        <v>976</v>
      </c>
      <c r="AI1185" s="103">
        <v>0</v>
      </c>
      <c r="AJ1185" s="103"/>
      <c r="AK1185" s="103"/>
      <c r="AL1185" s="103"/>
      <c r="AM1185" s="103"/>
      <c r="AN1185" s="103"/>
      <c r="AO1185" s="103" t="str">
        <f t="shared" si="63"/>
        <v>Std_CFLscw(27w)_60pInc-r0248Three-pack</v>
      </c>
    </row>
    <row r="1186" spans="1:41">
      <c r="A1186" s="177">
        <f>IFERROR(MATCH(D1186,'Measure &amp; Standard CostIDs'!C$5:C$177,0),MATCH(D1186,'Measure &amp; Standard CostIDs'!S$5:S$177,0))</f>
        <v>20</v>
      </c>
      <c r="B1186" s="177">
        <f t="shared" si="65"/>
        <v>4</v>
      </c>
      <c r="C1186" s="103" t="s">
        <v>153</v>
      </c>
      <c r="D1186" s="103" t="str">
        <f t="shared" si="64"/>
        <v>Std_CFLscw(28w)_60pInc-r0248</v>
      </c>
      <c r="E1186" s="103" t="str">
        <f>IF(LEFT(D1186,3)="Std","Base case cost for mix of 60% Incandescent and 40% CFL lamps for CFL TechID: "&amp;INDEX('Measure &amp; Standard CostIDs'!$C$5:$C$177,A1186),"&lt;from TechID&gt;")</f>
        <v>Base case cost for mix of 60% Incandescent and 40% CFL lamps for CFL TechID: CFLscw(28w)</v>
      </c>
      <c r="F1186" s="103" t="s">
        <v>860</v>
      </c>
      <c r="G1186" s="103" t="s">
        <v>151</v>
      </c>
      <c r="H1186" s="103" t="s">
        <v>861</v>
      </c>
      <c r="I1186" s="103" t="s">
        <v>862</v>
      </c>
      <c r="J1186" s="103" t="s">
        <v>863</v>
      </c>
      <c r="K1186" s="103" t="s">
        <v>864</v>
      </c>
      <c r="L1186" s="103" t="s">
        <v>153</v>
      </c>
      <c r="M1186" s="103" t="s">
        <v>865</v>
      </c>
      <c r="N1186" s="103" t="s">
        <v>866</v>
      </c>
      <c r="O1186" s="103" t="str">
        <f t="shared" si="62"/>
        <v/>
      </c>
      <c r="P1186" s="103" t="s">
        <v>153</v>
      </c>
      <c r="Q1186" s="103" t="s">
        <v>153</v>
      </c>
      <c r="R1186" s="103" t="s">
        <v>153</v>
      </c>
      <c r="S1186" s="103" t="str">
        <f>INDEX('Measure &amp; Standard CostIDs'!$AK$8:$AK$12,B1186)</f>
        <v>Three-pack</v>
      </c>
      <c r="T1186" s="103" t="s">
        <v>867</v>
      </c>
      <c r="U1186" s="103"/>
      <c r="V1186" s="103"/>
      <c r="W1186" s="103">
        <f>ROUND(IF(LEFT(D1186,3)="Std",VLOOKUP(D1186,'Measure &amp; Standard CostIDs'!$S$5:$X$177,1+B1186,FALSE),VLOOKUP(D1186,'Measure &amp; Standard CostIDs'!$C$5:$H$177,1+B1186,FALSE)),2)</f>
        <v>2.29</v>
      </c>
      <c r="X1186" s="103"/>
      <c r="Y1186" s="103"/>
      <c r="Z1186" s="103" t="s">
        <v>868</v>
      </c>
      <c r="AA1186" s="103" t="s">
        <v>874</v>
      </c>
      <c r="AB1186" s="103" t="s">
        <v>153</v>
      </c>
      <c r="AC1186" s="103">
        <v>0</v>
      </c>
      <c r="AD1186" s="156">
        <v>42005</v>
      </c>
      <c r="AE1186" s="103"/>
      <c r="AF1186" s="103" t="s">
        <v>870</v>
      </c>
      <c r="AG1186" s="103" t="s">
        <v>871</v>
      </c>
      <c r="AH1186" s="103" t="s">
        <v>976</v>
      </c>
      <c r="AI1186" s="103">
        <v>0</v>
      </c>
      <c r="AJ1186" s="103"/>
      <c r="AK1186" s="103"/>
      <c r="AL1186" s="103"/>
      <c r="AM1186" s="103"/>
      <c r="AN1186" s="103"/>
      <c r="AO1186" s="103" t="str">
        <f t="shared" si="63"/>
        <v>Std_CFLscw(28w)_60pInc-r0248Three-pack</v>
      </c>
    </row>
    <row r="1187" spans="1:41">
      <c r="A1187" s="177">
        <f>IFERROR(MATCH(D1187,'Measure &amp; Standard CostIDs'!C$5:C$177,0),MATCH(D1187,'Measure &amp; Standard CostIDs'!S$5:S$177,0))</f>
        <v>21</v>
      </c>
      <c r="B1187" s="177">
        <f t="shared" si="65"/>
        <v>4</v>
      </c>
      <c r="C1187" s="103" t="s">
        <v>153</v>
      </c>
      <c r="D1187" s="103" t="str">
        <f t="shared" si="64"/>
        <v>Std_CFLscw(29w)_60pInc-r0248</v>
      </c>
      <c r="E1187" s="103" t="str">
        <f>IF(LEFT(D1187,3)="Std","Base case cost for mix of 60% Incandescent and 40% CFL lamps for CFL TechID: "&amp;INDEX('Measure &amp; Standard CostIDs'!$C$5:$C$177,A1187),"&lt;from TechID&gt;")</f>
        <v>Base case cost for mix of 60% Incandescent and 40% CFL lamps for CFL TechID: CFLscw(29w)</v>
      </c>
      <c r="F1187" s="103" t="s">
        <v>860</v>
      </c>
      <c r="G1187" s="103" t="s">
        <v>151</v>
      </c>
      <c r="H1187" s="103" t="s">
        <v>861</v>
      </c>
      <c r="I1187" s="103" t="s">
        <v>862</v>
      </c>
      <c r="J1187" s="103" t="s">
        <v>863</v>
      </c>
      <c r="K1187" s="103" t="s">
        <v>864</v>
      </c>
      <c r="L1187" s="103" t="s">
        <v>153</v>
      </c>
      <c r="M1187" s="103" t="s">
        <v>865</v>
      </c>
      <c r="N1187" s="103" t="s">
        <v>866</v>
      </c>
      <c r="O1187" s="103" t="str">
        <f t="shared" si="62"/>
        <v/>
      </c>
      <c r="P1187" s="103" t="s">
        <v>153</v>
      </c>
      <c r="Q1187" s="103" t="s">
        <v>153</v>
      </c>
      <c r="R1187" s="103" t="s">
        <v>153</v>
      </c>
      <c r="S1187" s="103" t="str">
        <f>INDEX('Measure &amp; Standard CostIDs'!$AK$8:$AK$12,B1187)</f>
        <v>Three-pack</v>
      </c>
      <c r="T1187" s="103" t="s">
        <v>867</v>
      </c>
      <c r="U1187" s="103"/>
      <c r="V1187" s="103"/>
      <c r="W1187" s="103">
        <f>ROUND(IF(LEFT(D1187,3)="Std",VLOOKUP(D1187,'Measure &amp; Standard CostIDs'!$S$5:$X$177,1+B1187,FALSE),VLOOKUP(D1187,'Measure &amp; Standard CostIDs'!$C$5:$H$177,1+B1187,FALSE)),2)</f>
        <v>2.35</v>
      </c>
      <c r="X1187" s="103"/>
      <c r="Y1187" s="103"/>
      <c r="Z1187" s="103" t="s">
        <v>868</v>
      </c>
      <c r="AA1187" s="103" t="s">
        <v>874</v>
      </c>
      <c r="AB1187" s="103" t="s">
        <v>153</v>
      </c>
      <c r="AC1187" s="103">
        <v>0</v>
      </c>
      <c r="AD1187" s="156">
        <v>42005</v>
      </c>
      <c r="AE1187" s="103"/>
      <c r="AF1187" s="103" t="s">
        <v>870</v>
      </c>
      <c r="AG1187" s="103" t="s">
        <v>871</v>
      </c>
      <c r="AH1187" s="103" t="s">
        <v>976</v>
      </c>
      <c r="AI1187" s="103">
        <v>0</v>
      </c>
      <c r="AJ1187" s="103"/>
      <c r="AK1187" s="103"/>
      <c r="AL1187" s="103"/>
      <c r="AM1187" s="103"/>
      <c r="AN1187" s="103"/>
      <c r="AO1187" s="103" t="str">
        <f t="shared" si="63"/>
        <v>Std_CFLscw(29w)_60pInc-r0248Three-pack</v>
      </c>
    </row>
    <row r="1188" spans="1:41">
      <c r="A1188" s="177">
        <f>IFERROR(MATCH(D1188,'Measure &amp; Standard CostIDs'!C$5:C$177,0),MATCH(D1188,'Measure &amp; Standard CostIDs'!S$5:S$177,0))</f>
        <v>22</v>
      </c>
      <c r="B1188" s="177">
        <f t="shared" si="65"/>
        <v>4</v>
      </c>
      <c r="C1188" s="103" t="s">
        <v>153</v>
      </c>
      <c r="D1188" s="103" t="str">
        <f t="shared" si="64"/>
        <v>Std_CFLscw(30w)_60pInc-r0248</v>
      </c>
      <c r="E1188" s="103" t="str">
        <f>IF(LEFT(D1188,3)="Std","Base case cost for mix of 60% Incandescent and 40% CFL lamps for CFL TechID: "&amp;INDEX('Measure &amp; Standard CostIDs'!$C$5:$C$177,A1188),"&lt;from TechID&gt;")</f>
        <v>Base case cost for mix of 60% Incandescent and 40% CFL lamps for CFL TechID: CFLscw(30w)</v>
      </c>
      <c r="F1188" s="103" t="s">
        <v>860</v>
      </c>
      <c r="G1188" s="103" t="s">
        <v>151</v>
      </c>
      <c r="H1188" s="103" t="s">
        <v>861</v>
      </c>
      <c r="I1188" s="103" t="s">
        <v>862</v>
      </c>
      <c r="J1188" s="103" t="s">
        <v>863</v>
      </c>
      <c r="K1188" s="103" t="s">
        <v>864</v>
      </c>
      <c r="L1188" s="103" t="s">
        <v>153</v>
      </c>
      <c r="M1188" s="103" t="s">
        <v>865</v>
      </c>
      <c r="N1188" s="103" t="s">
        <v>866</v>
      </c>
      <c r="O1188" s="103" t="str">
        <f t="shared" si="62"/>
        <v/>
      </c>
      <c r="P1188" s="103" t="s">
        <v>153</v>
      </c>
      <c r="Q1188" s="103" t="s">
        <v>153</v>
      </c>
      <c r="R1188" s="103" t="s">
        <v>153</v>
      </c>
      <c r="S1188" s="103" t="str">
        <f>INDEX('Measure &amp; Standard CostIDs'!$AK$8:$AK$12,B1188)</f>
        <v>Three-pack</v>
      </c>
      <c r="T1188" s="103" t="s">
        <v>867</v>
      </c>
      <c r="U1188" s="103"/>
      <c r="V1188" s="103"/>
      <c r="W1188" s="103">
        <f>ROUND(IF(LEFT(D1188,3)="Std",VLOOKUP(D1188,'Measure &amp; Standard CostIDs'!$S$5:$X$177,1+B1188,FALSE),VLOOKUP(D1188,'Measure &amp; Standard CostIDs'!$C$5:$H$177,1+B1188,FALSE)),2)</f>
        <v>2.42</v>
      </c>
      <c r="X1188" s="103"/>
      <c r="Y1188" s="103"/>
      <c r="Z1188" s="103" t="s">
        <v>868</v>
      </c>
      <c r="AA1188" s="103" t="s">
        <v>874</v>
      </c>
      <c r="AB1188" s="103" t="s">
        <v>153</v>
      </c>
      <c r="AC1188" s="103">
        <v>0</v>
      </c>
      <c r="AD1188" s="156">
        <v>42005</v>
      </c>
      <c r="AE1188" s="103"/>
      <c r="AF1188" s="103" t="s">
        <v>870</v>
      </c>
      <c r="AG1188" s="103" t="s">
        <v>871</v>
      </c>
      <c r="AH1188" s="103" t="s">
        <v>976</v>
      </c>
      <c r="AI1188" s="103">
        <v>0</v>
      </c>
      <c r="AJ1188" s="103"/>
      <c r="AK1188" s="103"/>
      <c r="AL1188" s="103"/>
      <c r="AM1188" s="103"/>
      <c r="AN1188" s="103"/>
      <c r="AO1188" s="103" t="str">
        <f t="shared" si="63"/>
        <v>Std_CFLscw(30w)_60pInc-r0248Three-pack</v>
      </c>
    </row>
    <row r="1189" spans="1:41">
      <c r="A1189" s="177">
        <f>IFERROR(MATCH(D1189,'Measure &amp; Standard CostIDs'!C$5:C$177,0),MATCH(D1189,'Measure &amp; Standard CostIDs'!S$5:S$177,0))</f>
        <v>23</v>
      </c>
      <c r="B1189" s="177">
        <f t="shared" si="65"/>
        <v>4</v>
      </c>
      <c r="C1189" s="103" t="s">
        <v>153</v>
      </c>
      <c r="D1189" s="103" t="str">
        <f t="shared" si="64"/>
        <v>Std_CFLscw(31w)_60pInc-r0248</v>
      </c>
      <c r="E1189" s="103" t="str">
        <f>IF(LEFT(D1189,3)="Std","Base case cost for mix of 60% Incandescent and 40% CFL lamps for CFL TechID: "&amp;INDEX('Measure &amp; Standard CostIDs'!$C$5:$C$177,A1189),"&lt;from TechID&gt;")</f>
        <v>Base case cost for mix of 60% Incandescent and 40% CFL lamps for CFL TechID: CFLscw(31w)</v>
      </c>
      <c r="F1189" s="103" t="s">
        <v>860</v>
      </c>
      <c r="G1189" s="103" t="s">
        <v>151</v>
      </c>
      <c r="H1189" s="103" t="s">
        <v>861</v>
      </c>
      <c r="I1189" s="103" t="s">
        <v>862</v>
      </c>
      <c r="J1189" s="103" t="s">
        <v>863</v>
      </c>
      <c r="K1189" s="103" t="s">
        <v>864</v>
      </c>
      <c r="L1189" s="103" t="s">
        <v>153</v>
      </c>
      <c r="M1189" s="103" t="s">
        <v>865</v>
      </c>
      <c r="N1189" s="103" t="s">
        <v>866</v>
      </c>
      <c r="O1189" s="103" t="str">
        <f t="shared" si="62"/>
        <v/>
      </c>
      <c r="P1189" s="103" t="s">
        <v>153</v>
      </c>
      <c r="Q1189" s="103" t="s">
        <v>153</v>
      </c>
      <c r="R1189" s="103" t="s">
        <v>153</v>
      </c>
      <c r="S1189" s="103" t="str">
        <f>INDEX('Measure &amp; Standard CostIDs'!$AK$8:$AK$12,B1189)</f>
        <v>Three-pack</v>
      </c>
      <c r="T1189" s="103" t="s">
        <v>867</v>
      </c>
      <c r="U1189" s="103"/>
      <c r="V1189" s="103"/>
      <c r="W1189" s="103">
        <f>ROUND(IF(LEFT(D1189,3)="Std",VLOOKUP(D1189,'Measure &amp; Standard CostIDs'!$S$5:$X$177,1+B1189,FALSE),VLOOKUP(D1189,'Measure &amp; Standard CostIDs'!$C$5:$H$177,1+B1189,FALSE)),2)</f>
        <v>2.48</v>
      </c>
      <c r="X1189" s="103"/>
      <c r="Y1189" s="103"/>
      <c r="Z1189" s="103" t="s">
        <v>868</v>
      </c>
      <c r="AA1189" s="103" t="s">
        <v>874</v>
      </c>
      <c r="AB1189" s="103" t="s">
        <v>153</v>
      </c>
      <c r="AC1189" s="103">
        <v>0</v>
      </c>
      <c r="AD1189" s="156">
        <v>42005</v>
      </c>
      <c r="AE1189" s="103"/>
      <c r="AF1189" s="103" t="s">
        <v>870</v>
      </c>
      <c r="AG1189" s="103" t="s">
        <v>871</v>
      </c>
      <c r="AH1189" s="103" t="s">
        <v>976</v>
      </c>
      <c r="AI1189" s="103">
        <v>0</v>
      </c>
      <c r="AJ1189" s="103"/>
      <c r="AK1189" s="103"/>
      <c r="AL1189" s="103"/>
      <c r="AM1189" s="103"/>
      <c r="AN1189" s="103"/>
      <c r="AO1189" s="103" t="str">
        <f t="shared" si="63"/>
        <v>Std_CFLscw(31w)_60pInc-r0248Three-pack</v>
      </c>
    </row>
    <row r="1190" spans="1:41">
      <c r="A1190" s="177">
        <f>IFERROR(MATCH(D1190,'Measure &amp; Standard CostIDs'!C$5:C$177,0),MATCH(D1190,'Measure &amp; Standard CostIDs'!S$5:S$177,0))</f>
        <v>24</v>
      </c>
      <c r="B1190" s="177">
        <f t="shared" si="65"/>
        <v>4</v>
      </c>
      <c r="C1190" s="103" t="s">
        <v>153</v>
      </c>
      <c r="D1190" s="103" t="str">
        <f t="shared" si="64"/>
        <v>Std_CFLscw(32w)_60pInc-r0248</v>
      </c>
      <c r="E1190" s="103" t="str">
        <f>IF(LEFT(D1190,3)="Std","Base case cost for mix of 60% Incandescent and 40% CFL lamps for CFL TechID: "&amp;INDEX('Measure &amp; Standard CostIDs'!$C$5:$C$177,A1190),"&lt;from TechID&gt;")</f>
        <v>Base case cost for mix of 60% Incandescent and 40% CFL lamps for CFL TechID: CFLscw(32w)</v>
      </c>
      <c r="F1190" s="103" t="s">
        <v>860</v>
      </c>
      <c r="G1190" s="103" t="s">
        <v>151</v>
      </c>
      <c r="H1190" s="103" t="s">
        <v>861</v>
      </c>
      <c r="I1190" s="103" t="s">
        <v>862</v>
      </c>
      <c r="J1190" s="103" t="s">
        <v>863</v>
      </c>
      <c r="K1190" s="103" t="s">
        <v>864</v>
      </c>
      <c r="L1190" s="103" t="s">
        <v>153</v>
      </c>
      <c r="M1190" s="103" t="s">
        <v>865</v>
      </c>
      <c r="N1190" s="103" t="s">
        <v>866</v>
      </c>
      <c r="O1190" s="103" t="str">
        <f t="shared" si="62"/>
        <v/>
      </c>
      <c r="P1190" s="103" t="s">
        <v>153</v>
      </c>
      <c r="Q1190" s="103" t="s">
        <v>153</v>
      </c>
      <c r="R1190" s="103" t="s">
        <v>153</v>
      </c>
      <c r="S1190" s="103" t="str">
        <f>INDEX('Measure &amp; Standard CostIDs'!$AK$8:$AK$12,B1190)</f>
        <v>Three-pack</v>
      </c>
      <c r="T1190" s="103" t="s">
        <v>867</v>
      </c>
      <c r="U1190" s="103"/>
      <c r="V1190" s="103"/>
      <c r="W1190" s="103">
        <f>ROUND(IF(LEFT(D1190,3)="Std",VLOOKUP(D1190,'Measure &amp; Standard CostIDs'!$S$5:$X$177,1+B1190,FALSE),VLOOKUP(D1190,'Measure &amp; Standard CostIDs'!$C$5:$H$177,1+B1190,FALSE)),2)</f>
        <v>2.5499999999999998</v>
      </c>
      <c r="X1190" s="103"/>
      <c r="Y1190" s="103"/>
      <c r="Z1190" s="103" t="s">
        <v>868</v>
      </c>
      <c r="AA1190" s="103" t="s">
        <v>874</v>
      </c>
      <c r="AB1190" s="103" t="s">
        <v>153</v>
      </c>
      <c r="AC1190" s="103">
        <v>0</v>
      </c>
      <c r="AD1190" s="156">
        <v>42005</v>
      </c>
      <c r="AE1190" s="103"/>
      <c r="AF1190" s="103" t="s">
        <v>870</v>
      </c>
      <c r="AG1190" s="103" t="s">
        <v>871</v>
      </c>
      <c r="AH1190" s="103" t="s">
        <v>976</v>
      </c>
      <c r="AI1190" s="103">
        <v>0</v>
      </c>
      <c r="AJ1190" s="103"/>
      <c r="AK1190" s="103"/>
      <c r="AL1190" s="103"/>
      <c r="AM1190" s="103"/>
      <c r="AN1190" s="103"/>
      <c r="AO1190" s="103" t="str">
        <f t="shared" si="63"/>
        <v>Std_CFLscw(32w)_60pInc-r0248Three-pack</v>
      </c>
    </row>
    <row r="1191" spans="1:41">
      <c r="A1191" s="177">
        <f>IFERROR(MATCH(D1191,'Measure &amp; Standard CostIDs'!C$5:C$177,0),MATCH(D1191,'Measure &amp; Standard CostIDs'!S$5:S$177,0))</f>
        <v>25</v>
      </c>
      <c r="B1191" s="177">
        <f t="shared" si="65"/>
        <v>4</v>
      </c>
      <c r="C1191" s="103" t="s">
        <v>153</v>
      </c>
      <c r="D1191" s="103" t="str">
        <f t="shared" si="64"/>
        <v>Std_CFLscw(33w)_60pInc-r0248</v>
      </c>
      <c r="E1191" s="103" t="str">
        <f>IF(LEFT(D1191,3)="Std","Base case cost for mix of 60% Incandescent and 40% CFL lamps for CFL TechID: "&amp;INDEX('Measure &amp; Standard CostIDs'!$C$5:$C$177,A1191),"&lt;from TechID&gt;")</f>
        <v>Base case cost for mix of 60% Incandescent and 40% CFL lamps for CFL TechID: CFLscw(33w)</v>
      </c>
      <c r="F1191" s="103" t="s">
        <v>860</v>
      </c>
      <c r="G1191" s="103" t="s">
        <v>151</v>
      </c>
      <c r="H1191" s="103" t="s">
        <v>861</v>
      </c>
      <c r="I1191" s="103" t="s">
        <v>862</v>
      </c>
      <c r="J1191" s="103" t="s">
        <v>863</v>
      </c>
      <c r="K1191" s="103" t="s">
        <v>864</v>
      </c>
      <c r="L1191" s="103" t="s">
        <v>153</v>
      </c>
      <c r="M1191" s="103" t="s">
        <v>865</v>
      </c>
      <c r="N1191" s="103" t="s">
        <v>866</v>
      </c>
      <c r="O1191" s="103" t="str">
        <f t="shared" si="62"/>
        <v/>
      </c>
      <c r="P1191" s="103" t="s">
        <v>153</v>
      </c>
      <c r="Q1191" s="103" t="s">
        <v>153</v>
      </c>
      <c r="R1191" s="103" t="s">
        <v>153</v>
      </c>
      <c r="S1191" s="103" t="str">
        <f>INDEX('Measure &amp; Standard CostIDs'!$AK$8:$AK$12,B1191)</f>
        <v>Three-pack</v>
      </c>
      <c r="T1191" s="103" t="s">
        <v>867</v>
      </c>
      <c r="U1191" s="103"/>
      <c r="V1191" s="103"/>
      <c r="W1191" s="103">
        <f>ROUND(IF(LEFT(D1191,3)="Std",VLOOKUP(D1191,'Measure &amp; Standard CostIDs'!$S$5:$X$177,1+B1191,FALSE),VLOOKUP(D1191,'Measure &amp; Standard CostIDs'!$C$5:$H$177,1+B1191,FALSE)),2)</f>
        <v>2.61</v>
      </c>
      <c r="X1191" s="103"/>
      <c r="Y1191" s="103"/>
      <c r="Z1191" s="103" t="s">
        <v>868</v>
      </c>
      <c r="AA1191" s="103" t="s">
        <v>874</v>
      </c>
      <c r="AB1191" s="103" t="s">
        <v>153</v>
      </c>
      <c r="AC1191" s="103">
        <v>0</v>
      </c>
      <c r="AD1191" s="156">
        <v>42005</v>
      </c>
      <c r="AE1191" s="103"/>
      <c r="AF1191" s="103" t="s">
        <v>870</v>
      </c>
      <c r="AG1191" s="103" t="s">
        <v>871</v>
      </c>
      <c r="AH1191" s="103" t="s">
        <v>976</v>
      </c>
      <c r="AI1191" s="103">
        <v>0</v>
      </c>
      <c r="AJ1191" s="103"/>
      <c r="AK1191" s="103"/>
      <c r="AL1191" s="103"/>
      <c r="AM1191" s="103"/>
      <c r="AN1191" s="103"/>
      <c r="AO1191" s="103" t="str">
        <f t="shared" si="63"/>
        <v>Std_CFLscw(33w)_60pInc-r0248Three-pack</v>
      </c>
    </row>
    <row r="1192" spans="1:41">
      <c r="A1192" s="177">
        <f>IFERROR(MATCH(D1192,'Measure &amp; Standard CostIDs'!C$5:C$177,0),MATCH(D1192,'Measure &amp; Standard CostIDs'!S$5:S$177,0))</f>
        <v>26</v>
      </c>
      <c r="B1192" s="177">
        <f t="shared" si="65"/>
        <v>4</v>
      </c>
      <c r="C1192" s="103" t="s">
        <v>153</v>
      </c>
      <c r="D1192" s="103" t="str">
        <f t="shared" si="64"/>
        <v>Std_CFLscw(36w)_60pInc-r0248</v>
      </c>
      <c r="E1192" s="103" t="str">
        <f>IF(LEFT(D1192,3)="Std","Base case cost for mix of 60% Incandescent and 40% CFL lamps for CFL TechID: "&amp;INDEX('Measure &amp; Standard CostIDs'!$C$5:$C$177,A1192),"&lt;from TechID&gt;")</f>
        <v>Base case cost for mix of 60% Incandescent and 40% CFL lamps for CFL TechID: CFLscw(36w)</v>
      </c>
      <c r="F1192" s="103" t="s">
        <v>860</v>
      </c>
      <c r="G1192" s="103" t="s">
        <v>151</v>
      </c>
      <c r="H1192" s="103" t="s">
        <v>861</v>
      </c>
      <c r="I1192" s="103" t="s">
        <v>862</v>
      </c>
      <c r="J1192" s="103" t="s">
        <v>863</v>
      </c>
      <c r="K1192" s="103" t="s">
        <v>864</v>
      </c>
      <c r="L1192" s="103" t="s">
        <v>153</v>
      </c>
      <c r="M1192" s="103" t="s">
        <v>865</v>
      </c>
      <c r="N1192" s="103" t="s">
        <v>866</v>
      </c>
      <c r="O1192" s="103" t="str">
        <f t="shared" si="62"/>
        <v/>
      </c>
      <c r="P1192" s="103" t="s">
        <v>153</v>
      </c>
      <c r="Q1192" s="103" t="s">
        <v>153</v>
      </c>
      <c r="R1192" s="103" t="s">
        <v>153</v>
      </c>
      <c r="S1192" s="103" t="str">
        <f>INDEX('Measure &amp; Standard CostIDs'!$AK$8:$AK$12,B1192)</f>
        <v>Three-pack</v>
      </c>
      <c r="T1192" s="103" t="s">
        <v>867</v>
      </c>
      <c r="U1192" s="103"/>
      <c r="V1192" s="103"/>
      <c r="W1192" s="103">
        <f>ROUND(IF(LEFT(D1192,3)="Std",VLOOKUP(D1192,'Measure &amp; Standard CostIDs'!$S$5:$X$177,1+B1192,FALSE),VLOOKUP(D1192,'Measure &amp; Standard CostIDs'!$C$5:$H$177,1+B1192,FALSE)),2)</f>
        <v>2.81</v>
      </c>
      <c r="X1192" s="103"/>
      <c r="Y1192" s="103"/>
      <c r="Z1192" s="103" t="s">
        <v>868</v>
      </c>
      <c r="AA1192" s="103" t="s">
        <v>874</v>
      </c>
      <c r="AB1192" s="103" t="s">
        <v>153</v>
      </c>
      <c r="AC1192" s="103">
        <v>0</v>
      </c>
      <c r="AD1192" s="156">
        <v>42005</v>
      </c>
      <c r="AE1192" s="103"/>
      <c r="AF1192" s="103" t="s">
        <v>870</v>
      </c>
      <c r="AG1192" s="103" t="s">
        <v>871</v>
      </c>
      <c r="AH1192" s="103" t="s">
        <v>976</v>
      </c>
      <c r="AI1192" s="103">
        <v>0</v>
      </c>
      <c r="AJ1192" s="103"/>
      <c r="AK1192" s="103"/>
      <c r="AL1192" s="103"/>
      <c r="AM1192" s="103"/>
      <c r="AN1192" s="103"/>
      <c r="AO1192" s="103" t="str">
        <f t="shared" si="63"/>
        <v>Std_CFLscw(36w)_60pInc-r0248Three-pack</v>
      </c>
    </row>
    <row r="1193" spans="1:41">
      <c r="A1193" s="177">
        <f>IFERROR(MATCH(D1193,'Measure &amp; Standard CostIDs'!C$5:C$177,0),MATCH(D1193,'Measure &amp; Standard CostIDs'!S$5:S$177,0))</f>
        <v>27</v>
      </c>
      <c r="B1193" s="177">
        <f t="shared" si="65"/>
        <v>4</v>
      </c>
      <c r="C1193" s="103" t="s">
        <v>153</v>
      </c>
      <c r="D1193" s="103" t="str">
        <f t="shared" si="64"/>
        <v>Std_CFLscw(38w)_60pInc-r0248</v>
      </c>
      <c r="E1193" s="103" t="str">
        <f>IF(LEFT(D1193,3)="Std","Base case cost for mix of 60% Incandescent and 40% CFL lamps for CFL TechID: "&amp;INDEX('Measure &amp; Standard CostIDs'!$C$5:$C$177,A1193),"&lt;from TechID&gt;")</f>
        <v>Base case cost for mix of 60% Incandescent and 40% CFL lamps for CFL TechID: CFLscw(38w)</v>
      </c>
      <c r="F1193" s="103" t="s">
        <v>860</v>
      </c>
      <c r="G1193" s="103" t="s">
        <v>151</v>
      </c>
      <c r="H1193" s="103" t="s">
        <v>861</v>
      </c>
      <c r="I1193" s="103" t="s">
        <v>862</v>
      </c>
      <c r="J1193" s="103" t="s">
        <v>863</v>
      </c>
      <c r="K1193" s="103" t="s">
        <v>864</v>
      </c>
      <c r="L1193" s="103" t="s">
        <v>153</v>
      </c>
      <c r="M1193" s="103" t="s">
        <v>865</v>
      </c>
      <c r="N1193" s="103" t="s">
        <v>866</v>
      </c>
      <c r="O1193" s="103" t="str">
        <f t="shared" si="62"/>
        <v/>
      </c>
      <c r="P1193" s="103" t="s">
        <v>153</v>
      </c>
      <c r="Q1193" s="103" t="s">
        <v>153</v>
      </c>
      <c r="R1193" s="103" t="s">
        <v>153</v>
      </c>
      <c r="S1193" s="103" t="str">
        <f>INDEX('Measure &amp; Standard CostIDs'!$AK$8:$AK$12,B1193)</f>
        <v>Three-pack</v>
      </c>
      <c r="T1193" s="103" t="s">
        <v>867</v>
      </c>
      <c r="U1193" s="103"/>
      <c r="V1193" s="103"/>
      <c r="W1193" s="103">
        <f>ROUND(IF(LEFT(D1193,3)="Std",VLOOKUP(D1193,'Measure &amp; Standard CostIDs'!$S$5:$X$177,1+B1193,FALSE),VLOOKUP(D1193,'Measure &amp; Standard CostIDs'!$C$5:$H$177,1+B1193,FALSE)),2)</f>
        <v>2.94</v>
      </c>
      <c r="X1193" s="103"/>
      <c r="Y1193" s="103"/>
      <c r="Z1193" s="103" t="s">
        <v>868</v>
      </c>
      <c r="AA1193" s="103" t="s">
        <v>874</v>
      </c>
      <c r="AB1193" s="103" t="s">
        <v>153</v>
      </c>
      <c r="AC1193" s="103">
        <v>0</v>
      </c>
      <c r="AD1193" s="156">
        <v>42005</v>
      </c>
      <c r="AE1193" s="103"/>
      <c r="AF1193" s="103" t="s">
        <v>870</v>
      </c>
      <c r="AG1193" s="103" t="s">
        <v>871</v>
      </c>
      <c r="AH1193" s="103" t="s">
        <v>976</v>
      </c>
      <c r="AI1193" s="103">
        <v>0</v>
      </c>
      <c r="AJ1193" s="103"/>
      <c r="AK1193" s="103"/>
      <c r="AL1193" s="103"/>
      <c r="AM1193" s="103"/>
      <c r="AN1193" s="103"/>
      <c r="AO1193" s="103" t="str">
        <f t="shared" si="63"/>
        <v>Std_CFLscw(38w)_60pInc-r0248Three-pack</v>
      </c>
    </row>
    <row r="1194" spans="1:41">
      <c r="A1194" s="177">
        <f>IFERROR(MATCH(D1194,'Measure &amp; Standard CostIDs'!C$5:C$177,0),MATCH(D1194,'Measure &amp; Standard CostIDs'!S$5:S$177,0))</f>
        <v>28</v>
      </c>
      <c r="B1194" s="177">
        <f t="shared" si="65"/>
        <v>4</v>
      </c>
      <c r="C1194" s="103" t="s">
        <v>153</v>
      </c>
      <c r="D1194" s="103" t="str">
        <f t="shared" si="64"/>
        <v>Std_CFLscw(39w)_60pInc-r0248</v>
      </c>
      <c r="E1194" s="103" t="str">
        <f>IF(LEFT(D1194,3)="Std","Base case cost for mix of 60% Incandescent and 40% CFL lamps for CFL TechID: "&amp;INDEX('Measure &amp; Standard CostIDs'!$C$5:$C$177,A1194),"&lt;from TechID&gt;")</f>
        <v>Base case cost for mix of 60% Incandescent and 40% CFL lamps for CFL TechID: CFLscw(39w)</v>
      </c>
      <c r="F1194" s="103" t="s">
        <v>860</v>
      </c>
      <c r="G1194" s="103" t="s">
        <v>151</v>
      </c>
      <c r="H1194" s="103" t="s">
        <v>861</v>
      </c>
      <c r="I1194" s="103" t="s">
        <v>862</v>
      </c>
      <c r="J1194" s="103" t="s">
        <v>863</v>
      </c>
      <c r="K1194" s="103" t="s">
        <v>864</v>
      </c>
      <c r="L1194" s="103" t="s">
        <v>153</v>
      </c>
      <c r="M1194" s="103" t="s">
        <v>865</v>
      </c>
      <c r="N1194" s="103" t="s">
        <v>866</v>
      </c>
      <c r="O1194" s="103" t="str">
        <f t="shared" si="62"/>
        <v/>
      </c>
      <c r="P1194" s="103" t="s">
        <v>153</v>
      </c>
      <c r="Q1194" s="103" t="s">
        <v>153</v>
      </c>
      <c r="R1194" s="103" t="s">
        <v>153</v>
      </c>
      <c r="S1194" s="103" t="str">
        <f>INDEX('Measure &amp; Standard CostIDs'!$AK$8:$AK$12,B1194)</f>
        <v>Three-pack</v>
      </c>
      <c r="T1194" s="103" t="s">
        <v>867</v>
      </c>
      <c r="U1194" s="103"/>
      <c r="V1194" s="103"/>
      <c r="W1194" s="103">
        <f>ROUND(IF(LEFT(D1194,3)="Std",VLOOKUP(D1194,'Measure &amp; Standard CostIDs'!$S$5:$X$177,1+B1194,FALSE),VLOOKUP(D1194,'Measure &amp; Standard CostIDs'!$C$5:$H$177,1+B1194,FALSE)),2)</f>
        <v>3</v>
      </c>
      <c r="X1194" s="103"/>
      <c r="Y1194" s="103"/>
      <c r="Z1194" s="103" t="s">
        <v>868</v>
      </c>
      <c r="AA1194" s="103" t="s">
        <v>874</v>
      </c>
      <c r="AB1194" s="103" t="s">
        <v>153</v>
      </c>
      <c r="AC1194" s="103">
        <v>0</v>
      </c>
      <c r="AD1194" s="156">
        <v>42005</v>
      </c>
      <c r="AE1194" s="103"/>
      <c r="AF1194" s="103" t="s">
        <v>870</v>
      </c>
      <c r="AG1194" s="103" t="s">
        <v>871</v>
      </c>
      <c r="AH1194" s="103" t="s">
        <v>976</v>
      </c>
      <c r="AI1194" s="103">
        <v>0</v>
      </c>
      <c r="AJ1194" s="103"/>
      <c r="AK1194" s="103"/>
      <c r="AL1194" s="103"/>
      <c r="AM1194" s="103"/>
      <c r="AN1194" s="103"/>
      <c r="AO1194" s="103" t="str">
        <f t="shared" si="63"/>
        <v>Std_CFLscw(39w)_60pInc-r0248Three-pack</v>
      </c>
    </row>
    <row r="1195" spans="1:41">
      <c r="A1195" s="177">
        <f>IFERROR(MATCH(D1195,'Measure &amp; Standard CostIDs'!C$5:C$177,0),MATCH(D1195,'Measure &amp; Standard CostIDs'!S$5:S$177,0))</f>
        <v>29</v>
      </c>
      <c r="B1195" s="177">
        <f t="shared" si="65"/>
        <v>4</v>
      </c>
      <c r="C1195" s="103" t="s">
        <v>153</v>
      </c>
      <c r="D1195" s="103" t="str">
        <f t="shared" si="64"/>
        <v>Std_CFLscw(3w)_60pInc-r0248</v>
      </c>
      <c r="E1195" s="103" t="str">
        <f>IF(LEFT(D1195,3)="Std","Base case cost for mix of 60% Incandescent and 40% CFL lamps for CFL TechID: "&amp;INDEX('Measure &amp; Standard CostIDs'!$C$5:$C$177,A1195),"&lt;from TechID&gt;")</f>
        <v>Base case cost for mix of 60% Incandescent and 40% CFL lamps for CFL TechID: CFLscw(3w)</v>
      </c>
      <c r="F1195" s="103" t="s">
        <v>860</v>
      </c>
      <c r="G1195" s="103" t="s">
        <v>151</v>
      </c>
      <c r="H1195" s="103" t="s">
        <v>861</v>
      </c>
      <c r="I1195" s="103" t="s">
        <v>862</v>
      </c>
      <c r="J1195" s="103" t="s">
        <v>863</v>
      </c>
      <c r="K1195" s="103" t="s">
        <v>864</v>
      </c>
      <c r="L1195" s="103" t="s">
        <v>153</v>
      </c>
      <c r="M1195" s="103" t="s">
        <v>865</v>
      </c>
      <c r="N1195" s="103" t="s">
        <v>866</v>
      </c>
      <c r="O1195" s="103" t="str">
        <f t="shared" si="62"/>
        <v/>
      </c>
      <c r="P1195" s="103" t="s">
        <v>153</v>
      </c>
      <c r="Q1195" s="103" t="s">
        <v>153</v>
      </c>
      <c r="R1195" s="103" t="s">
        <v>153</v>
      </c>
      <c r="S1195" s="103" t="str">
        <f>INDEX('Measure &amp; Standard CostIDs'!$AK$8:$AK$12,B1195)</f>
        <v>Three-pack</v>
      </c>
      <c r="T1195" s="103" t="s">
        <v>867</v>
      </c>
      <c r="U1195" s="103"/>
      <c r="V1195" s="103"/>
      <c r="W1195" s="103">
        <f>ROUND(IF(LEFT(D1195,3)="Std",VLOOKUP(D1195,'Measure &amp; Standard CostIDs'!$S$5:$X$177,1+B1195,FALSE),VLOOKUP(D1195,'Measure &amp; Standard CostIDs'!$C$5:$H$177,1+B1195,FALSE)),2)</f>
        <v>1.26</v>
      </c>
      <c r="X1195" s="103"/>
      <c r="Y1195" s="103"/>
      <c r="Z1195" s="103" t="s">
        <v>868</v>
      </c>
      <c r="AA1195" s="103" t="s">
        <v>874</v>
      </c>
      <c r="AB1195" s="103" t="s">
        <v>153</v>
      </c>
      <c r="AC1195" s="103">
        <v>0</v>
      </c>
      <c r="AD1195" s="156">
        <v>42005</v>
      </c>
      <c r="AE1195" s="103"/>
      <c r="AF1195" s="103" t="s">
        <v>870</v>
      </c>
      <c r="AG1195" s="103" t="s">
        <v>871</v>
      </c>
      <c r="AH1195" s="103" t="s">
        <v>976</v>
      </c>
      <c r="AI1195" s="103">
        <v>0</v>
      </c>
      <c r="AJ1195" s="103"/>
      <c r="AK1195" s="103"/>
      <c r="AL1195" s="103"/>
      <c r="AM1195" s="103"/>
      <c r="AN1195" s="103"/>
      <c r="AO1195" s="103" t="str">
        <f t="shared" si="63"/>
        <v>Std_CFLscw(3w)_60pInc-r0248Three-pack</v>
      </c>
    </row>
    <row r="1196" spans="1:41">
      <c r="A1196" s="177">
        <f>IFERROR(MATCH(D1196,'Measure &amp; Standard CostIDs'!C$5:C$177,0),MATCH(D1196,'Measure &amp; Standard CostIDs'!S$5:S$177,0))</f>
        <v>30</v>
      </c>
      <c r="B1196" s="177">
        <f t="shared" si="65"/>
        <v>4</v>
      </c>
      <c r="C1196" s="103" t="s">
        <v>153</v>
      </c>
      <c r="D1196" s="103" t="str">
        <f t="shared" si="64"/>
        <v>Std_CFLscw(40w)_60pInc-r0248</v>
      </c>
      <c r="E1196" s="103" t="str">
        <f>IF(LEFT(D1196,3)="Std","Base case cost for mix of 60% Incandescent and 40% CFL lamps for CFL TechID: "&amp;INDEX('Measure &amp; Standard CostIDs'!$C$5:$C$177,A1196),"&lt;from TechID&gt;")</f>
        <v>Base case cost for mix of 60% Incandescent and 40% CFL lamps for CFL TechID: CFLscw(40w)</v>
      </c>
      <c r="F1196" s="103" t="s">
        <v>860</v>
      </c>
      <c r="G1196" s="103" t="s">
        <v>151</v>
      </c>
      <c r="H1196" s="103" t="s">
        <v>861</v>
      </c>
      <c r="I1196" s="103" t="s">
        <v>862</v>
      </c>
      <c r="J1196" s="103" t="s">
        <v>863</v>
      </c>
      <c r="K1196" s="103" t="s">
        <v>864</v>
      </c>
      <c r="L1196" s="103" t="s">
        <v>153</v>
      </c>
      <c r="M1196" s="103" t="s">
        <v>865</v>
      </c>
      <c r="N1196" s="103" t="s">
        <v>866</v>
      </c>
      <c r="O1196" s="103" t="str">
        <f t="shared" si="62"/>
        <v/>
      </c>
      <c r="P1196" s="103" t="s">
        <v>153</v>
      </c>
      <c r="Q1196" s="103" t="s">
        <v>153</v>
      </c>
      <c r="R1196" s="103" t="s">
        <v>153</v>
      </c>
      <c r="S1196" s="103" t="str">
        <f>INDEX('Measure &amp; Standard CostIDs'!$AK$8:$AK$12,B1196)</f>
        <v>Three-pack</v>
      </c>
      <c r="T1196" s="103" t="s">
        <v>867</v>
      </c>
      <c r="U1196" s="103"/>
      <c r="V1196" s="103"/>
      <c r="W1196" s="103">
        <f>ROUND(IF(LEFT(D1196,3)="Std",VLOOKUP(D1196,'Measure &amp; Standard CostIDs'!$S$5:$X$177,1+B1196,FALSE),VLOOKUP(D1196,'Measure &amp; Standard CostIDs'!$C$5:$H$177,1+B1196,FALSE)),2)</f>
        <v>3.07</v>
      </c>
      <c r="X1196" s="103"/>
      <c r="Y1196" s="103"/>
      <c r="Z1196" s="103" t="s">
        <v>868</v>
      </c>
      <c r="AA1196" s="103" t="s">
        <v>874</v>
      </c>
      <c r="AB1196" s="103" t="s">
        <v>153</v>
      </c>
      <c r="AC1196" s="103">
        <v>0</v>
      </c>
      <c r="AD1196" s="156">
        <v>42005</v>
      </c>
      <c r="AE1196" s="103"/>
      <c r="AF1196" s="103" t="s">
        <v>870</v>
      </c>
      <c r="AG1196" s="103" t="s">
        <v>871</v>
      </c>
      <c r="AH1196" s="103" t="s">
        <v>976</v>
      </c>
      <c r="AI1196" s="103">
        <v>0</v>
      </c>
      <c r="AJ1196" s="103"/>
      <c r="AK1196" s="103"/>
      <c r="AL1196" s="103"/>
      <c r="AM1196" s="103"/>
      <c r="AN1196" s="103"/>
      <c r="AO1196" s="103" t="str">
        <f t="shared" si="63"/>
        <v>Std_CFLscw(40w)_60pInc-r0248Three-pack</v>
      </c>
    </row>
    <row r="1197" spans="1:41">
      <c r="A1197" s="177">
        <f>IFERROR(MATCH(D1197,'Measure &amp; Standard CostIDs'!C$5:C$177,0),MATCH(D1197,'Measure &amp; Standard CostIDs'!S$5:S$177,0))</f>
        <v>31</v>
      </c>
      <c r="B1197" s="177">
        <f t="shared" si="65"/>
        <v>4</v>
      </c>
      <c r="C1197" s="103" t="s">
        <v>153</v>
      </c>
      <c r="D1197" s="103" t="str">
        <f t="shared" si="64"/>
        <v>Std_CFLscw(42w)_60pInc-r0248</v>
      </c>
      <c r="E1197" s="103" t="str">
        <f>IF(LEFT(D1197,3)="Std","Base case cost for mix of 60% Incandescent and 40% CFL lamps for CFL TechID: "&amp;INDEX('Measure &amp; Standard CostIDs'!$C$5:$C$177,A1197),"&lt;from TechID&gt;")</f>
        <v>Base case cost for mix of 60% Incandescent and 40% CFL lamps for CFL TechID: CFLscw(42w)</v>
      </c>
      <c r="F1197" s="103" t="s">
        <v>860</v>
      </c>
      <c r="G1197" s="103" t="s">
        <v>151</v>
      </c>
      <c r="H1197" s="103" t="s">
        <v>861</v>
      </c>
      <c r="I1197" s="103" t="s">
        <v>862</v>
      </c>
      <c r="J1197" s="103" t="s">
        <v>863</v>
      </c>
      <c r="K1197" s="103" t="s">
        <v>864</v>
      </c>
      <c r="L1197" s="103" t="s">
        <v>153</v>
      </c>
      <c r="M1197" s="103" t="s">
        <v>865</v>
      </c>
      <c r="N1197" s="103" t="s">
        <v>866</v>
      </c>
      <c r="O1197" s="103" t="str">
        <f t="shared" si="62"/>
        <v/>
      </c>
      <c r="P1197" s="103" t="s">
        <v>153</v>
      </c>
      <c r="Q1197" s="103" t="s">
        <v>153</v>
      </c>
      <c r="R1197" s="103" t="s">
        <v>153</v>
      </c>
      <c r="S1197" s="103" t="str">
        <f>INDEX('Measure &amp; Standard CostIDs'!$AK$8:$AK$12,B1197)</f>
        <v>Three-pack</v>
      </c>
      <c r="T1197" s="103" t="s">
        <v>867</v>
      </c>
      <c r="U1197" s="103"/>
      <c r="V1197" s="103"/>
      <c r="W1197" s="103">
        <f>ROUND(IF(LEFT(D1197,3)="Std",VLOOKUP(D1197,'Measure &amp; Standard CostIDs'!$S$5:$X$177,1+B1197,FALSE),VLOOKUP(D1197,'Measure &amp; Standard CostIDs'!$C$5:$H$177,1+B1197,FALSE)),2)</f>
        <v>3.2</v>
      </c>
      <c r="X1197" s="103"/>
      <c r="Y1197" s="103"/>
      <c r="Z1197" s="103" t="s">
        <v>868</v>
      </c>
      <c r="AA1197" s="103" t="s">
        <v>874</v>
      </c>
      <c r="AB1197" s="103" t="s">
        <v>153</v>
      </c>
      <c r="AC1197" s="103">
        <v>0</v>
      </c>
      <c r="AD1197" s="156">
        <v>42005</v>
      </c>
      <c r="AE1197" s="103"/>
      <c r="AF1197" s="103" t="s">
        <v>870</v>
      </c>
      <c r="AG1197" s="103" t="s">
        <v>871</v>
      </c>
      <c r="AH1197" s="103" t="s">
        <v>976</v>
      </c>
      <c r="AI1197" s="103">
        <v>0</v>
      </c>
      <c r="AJ1197" s="103"/>
      <c r="AK1197" s="103"/>
      <c r="AL1197" s="103"/>
      <c r="AM1197" s="103"/>
      <c r="AN1197" s="103"/>
      <c r="AO1197" s="103" t="str">
        <f t="shared" si="63"/>
        <v>Std_CFLscw(42w)_60pInc-r0248Three-pack</v>
      </c>
    </row>
    <row r="1198" spans="1:41">
      <c r="A1198" s="177">
        <f>IFERROR(MATCH(D1198,'Measure &amp; Standard CostIDs'!C$5:C$177,0),MATCH(D1198,'Measure &amp; Standard CostIDs'!S$5:S$177,0))</f>
        <v>35</v>
      </c>
      <c r="B1198" s="177">
        <f t="shared" si="65"/>
        <v>4</v>
      </c>
      <c r="C1198" s="103" t="s">
        <v>153</v>
      </c>
      <c r="D1198" s="103" t="str">
        <f t="shared" si="64"/>
        <v>Std_CFLscw(4w)_60pInc-r0248</v>
      </c>
      <c r="E1198" s="103" t="str">
        <f>IF(LEFT(D1198,3)="Std","Base case cost for mix of 60% Incandescent and 40% CFL lamps for CFL TechID: "&amp;INDEX('Measure &amp; Standard CostIDs'!$C$5:$C$177,A1198),"&lt;from TechID&gt;")</f>
        <v>Base case cost for mix of 60% Incandescent and 40% CFL lamps for CFL TechID: CFLscw(4w)</v>
      </c>
      <c r="F1198" s="103" t="s">
        <v>860</v>
      </c>
      <c r="G1198" s="103" t="s">
        <v>151</v>
      </c>
      <c r="H1198" s="103" t="s">
        <v>861</v>
      </c>
      <c r="I1198" s="103" t="s">
        <v>862</v>
      </c>
      <c r="J1198" s="103" t="s">
        <v>863</v>
      </c>
      <c r="K1198" s="103" t="s">
        <v>864</v>
      </c>
      <c r="L1198" s="103" t="s">
        <v>153</v>
      </c>
      <c r="M1198" s="103" t="s">
        <v>865</v>
      </c>
      <c r="N1198" s="103" t="s">
        <v>866</v>
      </c>
      <c r="O1198" s="103" t="str">
        <f t="shared" si="62"/>
        <v/>
      </c>
      <c r="P1198" s="103" t="s">
        <v>153</v>
      </c>
      <c r="Q1198" s="103" t="s">
        <v>153</v>
      </c>
      <c r="R1198" s="103" t="s">
        <v>153</v>
      </c>
      <c r="S1198" s="103" t="str">
        <f>INDEX('Measure &amp; Standard CostIDs'!$AK$8:$AK$12,B1198)</f>
        <v>Three-pack</v>
      </c>
      <c r="T1198" s="103" t="s">
        <v>867</v>
      </c>
      <c r="U1198" s="103"/>
      <c r="V1198" s="103"/>
      <c r="W1198" s="103">
        <f>ROUND(IF(LEFT(D1198,3)="Std",VLOOKUP(D1198,'Measure &amp; Standard CostIDs'!$S$5:$X$177,1+B1198,FALSE),VLOOKUP(D1198,'Measure &amp; Standard CostIDs'!$C$5:$H$177,1+B1198,FALSE)),2)</f>
        <v>1.28</v>
      </c>
      <c r="X1198" s="103"/>
      <c r="Y1198" s="103"/>
      <c r="Z1198" s="103" t="s">
        <v>868</v>
      </c>
      <c r="AA1198" s="103" t="s">
        <v>874</v>
      </c>
      <c r="AB1198" s="103" t="s">
        <v>153</v>
      </c>
      <c r="AC1198" s="103">
        <v>0</v>
      </c>
      <c r="AD1198" s="156">
        <v>42005</v>
      </c>
      <c r="AE1198" s="103"/>
      <c r="AF1198" s="103" t="s">
        <v>870</v>
      </c>
      <c r="AG1198" s="103" t="s">
        <v>871</v>
      </c>
      <c r="AH1198" s="103" t="s">
        <v>976</v>
      </c>
      <c r="AI1198" s="103">
        <v>0</v>
      </c>
      <c r="AJ1198" s="103"/>
      <c r="AK1198" s="103"/>
      <c r="AL1198" s="103"/>
      <c r="AM1198" s="103"/>
      <c r="AN1198" s="103"/>
      <c r="AO1198" s="103" t="str">
        <f t="shared" si="63"/>
        <v>Std_CFLscw(4w)_60pInc-r0248Three-pack</v>
      </c>
    </row>
    <row r="1199" spans="1:41">
      <c r="A1199" s="177">
        <f>IFERROR(MATCH(D1199,'Measure &amp; Standard CostIDs'!C$5:C$177,0),MATCH(D1199,'Measure &amp; Standard CostIDs'!S$5:S$177,0))</f>
        <v>39</v>
      </c>
      <c r="B1199" s="177">
        <f t="shared" si="65"/>
        <v>4</v>
      </c>
      <c r="C1199" s="103" t="s">
        <v>153</v>
      </c>
      <c r="D1199" s="103" t="str">
        <f t="shared" si="64"/>
        <v>Std_CFLscw(5w)_60pInc-r0248</v>
      </c>
      <c r="E1199" s="103" t="str">
        <f>IF(LEFT(D1199,3)="Std","Base case cost for mix of 60% Incandescent and 40% CFL lamps for CFL TechID: "&amp;INDEX('Measure &amp; Standard CostIDs'!$C$5:$C$177,A1199),"&lt;from TechID&gt;")</f>
        <v>Base case cost for mix of 60% Incandescent and 40% CFL lamps for CFL TechID: CFLscw(5w)</v>
      </c>
      <c r="F1199" s="103" t="s">
        <v>860</v>
      </c>
      <c r="G1199" s="103" t="s">
        <v>151</v>
      </c>
      <c r="H1199" s="103" t="s">
        <v>861</v>
      </c>
      <c r="I1199" s="103" t="s">
        <v>862</v>
      </c>
      <c r="J1199" s="103" t="s">
        <v>863</v>
      </c>
      <c r="K1199" s="103" t="s">
        <v>864</v>
      </c>
      <c r="L1199" s="103" t="s">
        <v>153</v>
      </c>
      <c r="M1199" s="103" t="s">
        <v>865</v>
      </c>
      <c r="N1199" s="103" t="s">
        <v>866</v>
      </c>
      <c r="O1199" s="103" t="str">
        <f t="shared" si="62"/>
        <v/>
      </c>
      <c r="P1199" s="103" t="s">
        <v>153</v>
      </c>
      <c r="Q1199" s="103" t="s">
        <v>153</v>
      </c>
      <c r="R1199" s="103" t="s">
        <v>153</v>
      </c>
      <c r="S1199" s="103" t="str">
        <f>INDEX('Measure &amp; Standard CostIDs'!$AK$8:$AK$12,B1199)</f>
        <v>Three-pack</v>
      </c>
      <c r="T1199" s="103" t="s">
        <v>867</v>
      </c>
      <c r="U1199" s="103"/>
      <c r="V1199" s="103"/>
      <c r="W1199" s="103">
        <f>ROUND(IF(LEFT(D1199,3)="Std",VLOOKUP(D1199,'Measure &amp; Standard CostIDs'!$S$5:$X$177,1+B1199,FALSE),VLOOKUP(D1199,'Measure &amp; Standard CostIDs'!$C$5:$H$177,1+B1199,FALSE)),2)</f>
        <v>1.31</v>
      </c>
      <c r="X1199" s="103"/>
      <c r="Y1199" s="103"/>
      <c r="Z1199" s="103" t="s">
        <v>868</v>
      </c>
      <c r="AA1199" s="103" t="s">
        <v>874</v>
      </c>
      <c r="AB1199" s="103" t="s">
        <v>153</v>
      </c>
      <c r="AC1199" s="103">
        <v>0</v>
      </c>
      <c r="AD1199" s="156">
        <v>42005</v>
      </c>
      <c r="AE1199" s="103"/>
      <c r="AF1199" s="103" t="s">
        <v>870</v>
      </c>
      <c r="AG1199" s="103" t="s">
        <v>871</v>
      </c>
      <c r="AH1199" s="103" t="s">
        <v>976</v>
      </c>
      <c r="AI1199" s="103">
        <v>0</v>
      </c>
      <c r="AJ1199" s="103"/>
      <c r="AK1199" s="103"/>
      <c r="AL1199" s="103"/>
      <c r="AM1199" s="103"/>
      <c r="AN1199" s="103"/>
      <c r="AO1199" s="103" t="str">
        <f t="shared" si="63"/>
        <v>Std_CFLscw(5w)_60pInc-r0248Three-pack</v>
      </c>
    </row>
    <row r="1200" spans="1:41">
      <c r="A1200" s="177">
        <f>IFERROR(MATCH(D1200,'Measure &amp; Standard CostIDs'!C$5:C$177,0),MATCH(D1200,'Measure &amp; Standard CostIDs'!S$5:S$177,0))</f>
        <v>42</v>
      </c>
      <c r="B1200" s="177">
        <f t="shared" si="65"/>
        <v>4</v>
      </c>
      <c r="C1200" s="103" t="s">
        <v>153</v>
      </c>
      <c r="D1200" s="103" t="str">
        <f t="shared" si="64"/>
        <v>Std_CFLscw(6w)_60pInc-r0248</v>
      </c>
      <c r="E1200" s="103" t="str">
        <f>IF(LEFT(D1200,3)="Std","Base case cost for mix of 60% Incandescent and 40% CFL lamps for CFL TechID: "&amp;INDEX('Measure &amp; Standard CostIDs'!$C$5:$C$177,A1200),"&lt;from TechID&gt;")</f>
        <v>Base case cost for mix of 60% Incandescent and 40% CFL lamps for CFL TechID: CFLscw(6w)</v>
      </c>
      <c r="F1200" s="103" t="s">
        <v>860</v>
      </c>
      <c r="G1200" s="103" t="s">
        <v>151</v>
      </c>
      <c r="H1200" s="103" t="s">
        <v>861</v>
      </c>
      <c r="I1200" s="103" t="s">
        <v>862</v>
      </c>
      <c r="J1200" s="103" t="s">
        <v>863</v>
      </c>
      <c r="K1200" s="103" t="s">
        <v>864</v>
      </c>
      <c r="L1200" s="103" t="s">
        <v>153</v>
      </c>
      <c r="M1200" s="103" t="s">
        <v>865</v>
      </c>
      <c r="N1200" s="103" t="s">
        <v>866</v>
      </c>
      <c r="O1200" s="103" t="str">
        <f t="shared" si="62"/>
        <v/>
      </c>
      <c r="P1200" s="103" t="s">
        <v>153</v>
      </c>
      <c r="Q1200" s="103" t="s">
        <v>153</v>
      </c>
      <c r="R1200" s="103" t="s">
        <v>153</v>
      </c>
      <c r="S1200" s="103" t="str">
        <f>INDEX('Measure &amp; Standard CostIDs'!$AK$8:$AK$12,B1200)</f>
        <v>Three-pack</v>
      </c>
      <c r="T1200" s="103" t="s">
        <v>867</v>
      </c>
      <c r="U1200" s="103"/>
      <c r="V1200" s="103"/>
      <c r="W1200" s="103">
        <f>ROUND(IF(LEFT(D1200,3)="Std",VLOOKUP(D1200,'Measure &amp; Standard CostIDs'!$S$5:$X$177,1+B1200,FALSE),VLOOKUP(D1200,'Measure &amp; Standard CostIDs'!$C$5:$H$177,1+B1200,FALSE)),2)</f>
        <v>1.34</v>
      </c>
      <c r="X1200" s="103"/>
      <c r="Y1200" s="103"/>
      <c r="Z1200" s="103" t="s">
        <v>868</v>
      </c>
      <c r="AA1200" s="103" t="s">
        <v>874</v>
      </c>
      <c r="AB1200" s="103" t="s">
        <v>153</v>
      </c>
      <c r="AC1200" s="103">
        <v>0</v>
      </c>
      <c r="AD1200" s="156">
        <v>42005</v>
      </c>
      <c r="AE1200" s="103"/>
      <c r="AF1200" s="103" t="s">
        <v>870</v>
      </c>
      <c r="AG1200" s="103" t="s">
        <v>871</v>
      </c>
      <c r="AH1200" s="103" t="s">
        <v>976</v>
      </c>
      <c r="AI1200" s="103">
        <v>0</v>
      </c>
      <c r="AJ1200" s="103"/>
      <c r="AK1200" s="103"/>
      <c r="AL1200" s="103"/>
      <c r="AM1200" s="103"/>
      <c r="AN1200" s="103"/>
      <c r="AO1200" s="103" t="str">
        <f t="shared" si="63"/>
        <v>Std_CFLscw(6w)_60pInc-r0248Three-pack</v>
      </c>
    </row>
    <row r="1201" spans="1:41">
      <c r="A1201" s="177">
        <f>IFERROR(MATCH(D1201,'Measure &amp; Standard CostIDs'!C$5:C$177,0),MATCH(D1201,'Measure &amp; Standard CostIDs'!S$5:S$177,0))</f>
        <v>43</v>
      </c>
      <c r="B1201" s="177">
        <f t="shared" si="65"/>
        <v>4</v>
      </c>
      <c r="C1201" s="103" t="s">
        <v>153</v>
      </c>
      <c r="D1201" s="103" t="str">
        <f t="shared" si="64"/>
        <v>Std_CFLscw(7w)_60pInc-r0248</v>
      </c>
      <c r="E1201" s="103" t="str">
        <f>IF(LEFT(D1201,3)="Std","Base case cost for mix of 60% Incandescent and 40% CFL lamps for CFL TechID: "&amp;INDEX('Measure &amp; Standard CostIDs'!$C$5:$C$177,A1201),"&lt;from TechID&gt;")</f>
        <v>Base case cost for mix of 60% Incandescent and 40% CFL lamps for CFL TechID: CFLscw(7w)</v>
      </c>
      <c r="F1201" s="103" t="s">
        <v>860</v>
      </c>
      <c r="G1201" s="103" t="s">
        <v>151</v>
      </c>
      <c r="H1201" s="103" t="s">
        <v>861</v>
      </c>
      <c r="I1201" s="103" t="s">
        <v>862</v>
      </c>
      <c r="J1201" s="103" t="s">
        <v>863</v>
      </c>
      <c r="K1201" s="103" t="s">
        <v>864</v>
      </c>
      <c r="L1201" s="103" t="s">
        <v>153</v>
      </c>
      <c r="M1201" s="103" t="s">
        <v>865</v>
      </c>
      <c r="N1201" s="103" t="s">
        <v>866</v>
      </c>
      <c r="O1201" s="103" t="str">
        <f t="shared" si="62"/>
        <v/>
      </c>
      <c r="P1201" s="103" t="s">
        <v>153</v>
      </c>
      <c r="Q1201" s="103" t="s">
        <v>153</v>
      </c>
      <c r="R1201" s="103" t="s">
        <v>153</v>
      </c>
      <c r="S1201" s="103" t="str">
        <f>INDEX('Measure &amp; Standard CostIDs'!$AK$8:$AK$12,B1201)</f>
        <v>Three-pack</v>
      </c>
      <c r="T1201" s="103" t="s">
        <v>867</v>
      </c>
      <c r="U1201" s="103"/>
      <c r="V1201" s="103"/>
      <c r="W1201" s="103">
        <f>ROUND(IF(LEFT(D1201,3)="Std",VLOOKUP(D1201,'Measure &amp; Standard CostIDs'!$S$5:$X$177,1+B1201,FALSE),VLOOKUP(D1201,'Measure &amp; Standard CostIDs'!$C$5:$H$177,1+B1201,FALSE)),2)</f>
        <v>1.36</v>
      </c>
      <c r="X1201" s="103"/>
      <c r="Y1201" s="103"/>
      <c r="Z1201" s="103" t="s">
        <v>868</v>
      </c>
      <c r="AA1201" s="103" t="s">
        <v>874</v>
      </c>
      <c r="AB1201" s="103" t="s">
        <v>153</v>
      </c>
      <c r="AC1201" s="103">
        <v>0</v>
      </c>
      <c r="AD1201" s="156">
        <v>42005</v>
      </c>
      <c r="AE1201" s="103"/>
      <c r="AF1201" s="103" t="s">
        <v>870</v>
      </c>
      <c r="AG1201" s="103" t="s">
        <v>871</v>
      </c>
      <c r="AH1201" s="103" t="s">
        <v>976</v>
      </c>
      <c r="AI1201" s="103">
        <v>0</v>
      </c>
      <c r="AJ1201" s="103"/>
      <c r="AK1201" s="103"/>
      <c r="AL1201" s="103"/>
      <c r="AM1201" s="103"/>
      <c r="AN1201" s="103"/>
      <c r="AO1201" s="103" t="str">
        <f t="shared" si="63"/>
        <v>Std_CFLscw(7w)_60pInc-r0248Three-pack</v>
      </c>
    </row>
    <row r="1202" spans="1:41">
      <c r="A1202" s="177">
        <f>IFERROR(MATCH(D1202,'Measure &amp; Standard CostIDs'!C$5:C$177,0),MATCH(D1202,'Measure &amp; Standard CostIDs'!S$5:S$177,0))</f>
        <v>46</v>
      </c>
      <c r="B1202" s="177">
        <f t="shared" si="65"/>
        <v>4</v>
      </c>
      <c r="C1202" s="103" t="s">
        <v>153</v>
      </c>
      <c r="D1202" s="103" t="str">
        <f t="shared" si="64"/>
        <v>Std_CFLscw(8w)_60pInc-r0248</v>
      </c>
      <c r="E1202" s="103" t="str">
        <f>IF(LEFT(D1202,3)="Std","Base case cost for mix of 60% Incandescent and 40% CFL lamps for CFL TechID: "&amp;INDEX('Measure &amp; Standard CostIDs'!$C$5:$C$177,A1202),"&lt;from TechID&gt;")</f>
        <v>Base case cost for mix of 60% Incandescent and 40% CFL lamps for CFL TechID: CFLscw(8w)</v>
      </c>
      <c r="F1202" s="103" t="s">
        <v>860</v>
      </c>
      <c r="G1202" s="103" t="s">
        <v>151</v>
      </c>
      <c r="H1202" s="103" t="s">
        <v>861</v>
      </c>
      <c r="I1202" s="103" t="s">
        <v>862</v>
      </c>
      <c r="J1202" s="103" t="s">
        <v>863</v>
      </c>
      <c r="K1202" s="103" t="s">
        <v>864</v>
      </c>
      <c r="L1202" s="103" t="s">
        <v>153</v>
      </c>
      <c r="M1202" s="103" t="s">
        <v>865</v>
      </c>
      <c r="N1202" s="103" t="s">
        <v>866</v>
      </c>
      <c r="O1202" s="103" t="str">
        <f t="shared" si="62"/>
        <v/>
      </c>
      <c r="P1202" s="103" t="s">
        <v>153</v>
      </c>
      <c r="Q1202" s="103" t="s">
        <v>153</v>
      </c>
      <c r="R1202" s="103" t="s">
        <v>153</v>
      </c>
      <c r="S1202" s="103" t="str">
        <f>INDEX('Measure &amp; Standard CostIDs'!$AK$8:$AK$12,B1202)</f>
        <v>Three-pack</v>
      </c>
      <c r="T1202" s="103" t="s">
        <v>867</v>
      </c>
      <c r="U1202" s="103"/>
      <c r="V1202" s="103"/>
      <c r="W1202" s="103">
        <f>ROUND(IF(LEFT(D1202,3)="Std",VLOOKUP(D1202,'Measure &amp; Standard CostIDs'!$S$5:$X$177,1+B1202,FALSE),VLOOKUP(D1202,'Measure &amp; Standard CostIDs'!$C$5:$H$177,1+B1202,FALSE)),2)</f>
        <v>1.39</v>
      </c>
      <c r="X1202" s="103"/>
      <c r="Y1202" s="103"/>
      <c r="Z1202" s="103" t="s">
        <v>868</v>
      </c>
      <c r="AA1202" s="103" t="s">
        <v>874</v>
      </c>
      <c r="AB1202" s="103" t="s">
        <v>153</v>
      </c>
      <c r="AC1202" s="103">
        <v>0</v>
      </c>
      <c r="AD1202" s="156">
        <v>42005</v>
      </c>
      <c r="AE1202" s="103"/>
      <c r="AF1202" s="103" t="s">
        <v>870</v>
      </c>
      <c r="AG1202" s="103" t="s">
        <v>871</v>
      </c>
      <c r="AH1202" s="103" t="s">
        <v>976</v>
      </c>
      <c r="AI1202" s="103">
        <v>0</v>
      </c>
      <c r="AJ1202" s="103"/>
      <c r="AK1202" s="103"/>
      <c r="AL1202" s="103"/>
      <c r="AM1202" s="103"/>
      <c r="AN1202" s="103"/>
      <c r="AO1202" s="103" t="str">
        <f t="shared" si="63"/>
        <v>Std_CFLscw(8w)_60pInc-r0248Three-pack</v>
      </c>
    </row>
    <row r="1203" spans="1:41">
      <c r="A1203" s="177">
        <f>IFERROR(MATCH(D1203,'Measure &amp; Standard CostIDs'!C$5:C$177,0),MATCH(D1203,'Measure &amp; Standard CostIDs'!S$5:S$177,0))</f>
        <v>47</v>
      </c>
      <c r="B1203" s="177">
        <f t="shared" si="65"/>
        <v>4</v>
      </c>
      <c r="C1203" s="103" t="s">
        <v>153</v>
      </c>
      <c r="D1203" s="103" t="str">
        <f t="shared" si="64"/>
        <v>Std_CFLscw(9w)_60pInc-r0248</v>
      </c>
      <c r="E1203" s="103" t="str">
        <f>IF(LEFT(D1203,3)="Std","Base case cost for mix of 60% Incandescent and 40% CFL lamps for CFL TechID: "&amp;INDEX('Measure &amp; Standard CostIDs'!$C$5:$C$177,A1203),"&lt;from TechID&gt;")</f>
        <v>Base case cost for mix of 60% Incandescent and 40% CFL lamps for CFL TechID: CFLscw(9w)</v>
      </c>
      <c r="F1203" s="103" t="s">
        <v>860</v>
      </c>
      <c r="G1203" s="103" t="s">
        <v>151</v>
      </c>
      <c r="H1203" s="103" t="s">
        <v>861</v>
      </c>
      <c r="I1203" s="103" t="s">
        <v>862</v>
      </c>
      <c r="J1203" s="103" t="s">
        <v>863</v>
      </c>
      <c r="K1203" s="103" t="s">
        <v>864</v>
      </c>
      <c r="L1203" s="103" t="s">
        <v>153</v>
      </c>
      <c r="M1203" s="103" t="s">
        <v>865</v>
      </c>
      <c r="N1203" s="103" t="s">
        <v>866</v>
      </c>
      <c r="O1203" s="103" t="str">
        <f t="shared" si="62"/>
        <v/>
      </c>
      <c r="P1203" s="103" t="s">
        <v>153</v>
      </c>
      <c r="Q1203" s="103" t="s">
        <v>153</v>
      </c>
      <c r="R1203" s="103" t="s">
        <v>153</v>
      </c>
      <c r="S1203" s="103" t="str">
        <f>INDEX('Measure &amp; Standard CostIDs'!$AK$8:$AK$12,B1203)</f>
        <v>Three-pack</v>
      </c>
      <c r="T1203" s="103" t="s">
        <v>867</v>
      </c>
      <c r="U1203" s="103"/>
      <c r="V1203" s="103"/>
      <c r="W1203" s="103">
        <f>ROUND(IF(LEFT(D1203,3)="Std",VLOOKUP(D1203,'Measure &amp; Standard CostIDs'!$S$5:$X$177,1+B1203,FALSE),VLOOKUP(D1203,'Measure &amp; Standard CostIDs'!$C$5:$H$177,1+B1203,FALSE)),2)</f>
        <v>1.42</v>
      </c>
      <c r="X1203" s="103"/>
      <c r="Y1203" s="103"/>
      <c r="Z1203" s="103" t="s">
        <v>868</v>
      </c>
      <c r="AA1203" s="103" t="s">
        <v>874</v>
      </c>
      <c r="AB1203" s="103" t="s">
        <v>153</v>
      </c>
      <c r="AC1203" s="103">
        <v>0</v>
      </c>
      <c r="AD1203" s="156">
        <v>42005</v>
      </c>
      <c r="AE1203" s="103"/>
      <c r="AF1203" s="103" t="s">
        <v>870</v>
      </c>
      <c r="AG1203" s="103" t="s">
        <v>871</v>
      </c>
      <c r="AH1203" s="103" t="s">
        <v>976</v>
      </c>
      <c r="AI1203" s="103">
        <v>0</v>
      </c>
      <c r="AJ1203" s="103"/>
      <c r="AK1203" s="103"/>
      <c r="AL1203" s="103"/>
      <c r="AM1203" s="103"/>
      <c r="AN1203" s="103"/>
      <c r="AO1203" s="103" t="str">
        <f t="shared" si="63"/>
        <v>Std_CFLscw(9w)_60pInc-r0248Three-pack</v>
      </c>
    </row>
    <row r="1204" spans="1:41">
      <c r="A1204" s="177">
        <f>IFERROR(MATCH(D1204,'Measure &amp; Standard CostIDs'!C$5:C$177,0),MATCH(D1204,'Measure &amp; Standard CostIDs'!S$5:S$177,0))</f>
        <v>48</v>
      </c>
      <c r="B1204" s="177">
        <f t="shared" si="65"/>
        <v>4</v>
      </c>
      <c r="C1204" s="103" t="s">
        <v>153</v>
      </c>
      <c r="D1204" s="103" t="str">
        <f t="shared" si="64"/>
        <v>Std_CFLscw-3way(13w)_60pInc-r0248</v>
      </c>
      <c r="E1204" s="103" t="str">
        <f>IF(LEFT(D1204,3)="Std","Base case cost for mix of 60% Incandescent and 40% CFL lamps for CFL TechID: "&amp;INDEX('Measure &amp; Standard CostIDs'!$C$5:$C$177,A1204),"&lt;from TechID&gt;")</f>
        <v>Base case cost for mix of 60% Incandescent and 40% CFL lamps for CFL TechID: CFLscw-3way(13w)</v>
      </c>
      <c r="F1204" s="103" t="s">
        <v>860</v>
      </c>
      <c r="G1204" s="103" t="s">
        <v>151</v>
      </c>
      <c r="H1204" s="103" t="s">
        <v>861</v>
      </c>
      <c r="I1204" s="103" t="s">
        <v>862</v>
      </c>
      <c r="J1204" s="103" t="s">
        <v>863</v>
      </c>
      <c r="K1204" s="103" t="s">
        <v>864</v>
      </c>
      <c r="L1204" s="103" t="s">
        <v>153</v>
      </c>
      <c r="M1204" s="103" t="s">
        <v>865</v>
      </c>
      <c r="N1204" s="103" t="s">
        <v>866</v>
      </c>
      <c r="O1204" s="103" t="str">
        <f t="shared" si="62"/>
        <v/>
      </c>
      <c r="P1204" s="103" t="s">
        <v>153</v>
      </c>
      <c r="Q1204" s="103" t="s">
        <v>153</v>
      </c>
      <c r="R1204" s="103" t="s">
        <v>153</v>
      </c>
      <c r="S1204" s="103" t="str">
        <f>INDEX('Measure &amp; Standard CostIDs'!$AK$8:$AK$12,B1204)</f>
        <v>Three-pack</v>
      </c>
      <c r="T1204" s="103" t="s">
        <v>867</v>
      </c>
      <c r="U1204" s="103"/>
      <c r="V1204" s="103"/>
      <c r="W1204" s="103">
        <f>ROUND(IF(LEFT(D1204,3)="Std",VLOOKUP(D1204,'Measure &amp; Standard CostIDs'!$S$5:$X$177,1+B1204,FALSE),VLOOKUP(D1204,'Measure &amp; Standard CostIDs'!$C$5:$H$177,1+B1204,FALSE)),2)</f>
        <v>4.58</v>
      </c>
      <c r="X1204" s="103"/>
      <c r="Y1204" s="103"/>
      <c r="Z1204" s="103" t="s">
        <v>868</v>
      </c>
      <c r="AA1204" s="103" t="s">
        <v>874</v>
      </c>
      <c r="AB1204" s="103" t="s">
        <v>153</v>
      </c>
      <c r="AC1204" s="103">
        <v>0</v>
      </c>
      <c r="AD1204" s="156">
        <v>42005</v>
      </c>
      <c r="AE1204" s="103"/>
      <c r="AF1204" s="103" t="s">
        <v>870</v>
      </c>
      <c r="AG1204" s="103" t="s">
        <v>871</v>
      </c>
      <c r="AH1204" s="103" t="s">
        <v>976</v>
      </c>
      <c r="AI1204" s="103">
        <v>0</v>
      </c>
      <c r="AJ1204" s="103"/>
      <c r="AK1204" s="103"/>
      <c r="AL1204" s="103"/>
      <c r="AM1204" s="103"/>
      <c r="AN1204" s="103"/>
      <c r="AO1204" s="103" t="str">
        <f t="shared" si="63"/>
        <v>Std_CFLscw-3way(13w)_60pInc-r0248Three-pack</v>
      </c>
    </row>
    <row r="1205" spans="1:41">
      <c r="A1205" s="177">
        <f>IFERROR(MATCH(D1205,'Measure &amp; Standard CostIDs'!C$5:C$177,0),MATCH(D1205,'Measure &amp; Standard CostIDs'!S$5:S$177,0))</f>
        <v>49</v>
      </c>
      <c r="B1205" s="177">
        <f t="shared" si="65"/>
        <v>4</v>
      </c>
      <c r="C1205" s="103" t="s">
        <v>153</v>
      </c>
      <c r="D1205" s="103" t="str">
        <f t="shared" si="64"/>
        <v>Std_CFLscw-3way(15w)_60pInc-r0248</v>
      </c>
      <c r="E1205" s="103" t="str">
        <f>IF(LEFT(D1205,3)="Std","Base case cost for mix of 60% Incandescent and 40% CFL lamps for CFL TechID: "&amp;INDEX('Measure &amp; Standard CostIDs'!$C$5:$C$177,A1205),"&lt;from TechID&gt;")</f>
        <v>Base case cost for mix of 60% Incandescent and 40% CFL lamps for CFL TechID: CFLscw-3way(15w)</v>
      </c>
      <c r="F1205" s="103" t="s">
        <v>860</v>
      </c>
      <c r="G1205" s="103" t="s">
        <v>151</v>
      </c>
      <c r="H1205" s="103" t="s">
        <v>861</v>
      </c>
      <c r="I1205" s="103" t="s">
        <v>862</v>
      </c>
      <c r="J1205" s="103" t="s">
        <v>863</v>
      </c>
      <c r="K1205" s="103" t="s">
        <v>864</v>
      </c>
      <c r="L1205" s="103" t="s">
        <v>153</v>
      </c>
      <c r="M1205" s="103" t="s">
        <v>865</v>
      </c>
      <c r="N1205" s="103" t="s">
        <v>866</v>
      </c>
      <c r="O1205" s="103" t="str">
        <f t="shared" si="62"/>
        <v/>
      </c>
      <c r="P1205" s="103" t="s">
        <v>153</v>
      </c>
      <c r="Q1205" s="103" t="s">
        <v>153</v>
      </c>
      <c r="R1205" s="103" t="s">
        <v>153</v>
      </c>
      <c r="S1205" s="103" t="str">
        <f>INDEX('Measure &amp; Standard CostIDs'!$AK$8:$AK$12,B1205)</f>
        <v>Three-pack</v>
      </c>
      <c r="T1205" s="103" t="s">
        <v>867</v>
      </c>
      <c r="U1205" s="103"/>
      <c r="V1205" s="103"/>
      <c r="W1205" s="103">
        <f>ROUND(IF(LEFT(D1205,3)="Std",VLOOKUP(D1205,'Measure &amp; Standard CostIDs'!$S$5:$X$177,1+B1205,FALSE),VLOOKUP(D1205,'Measure &amp; Standard CostIDs'!$C$5:$H$177,1+B1205,FALSE)),2)</f>
        <v>4.68</v>
      </c>
      <c r="X1205" s="103"/>
      <c r="Y1205" s="103"/>
      <c r="Z1205" s="103" t="s">
        <v>868</v>
      </c>
      <c r="AA1205" s="103" t="s">
        <v>874</v>
      </c>
      <c r="AB1205" s="103" t="s">
        <v>153</v>
      </c>
      <c r="AC1205" s="103">
        <v>0</v>
      </c>
      <c r="AD1205" s="156">
        <v>42005</v>
      </c>
      <c r="AE1205" s="103"/>
      <c r="AF1205" s="103" t="s">
        <v>870</v>
      </c>
      <c r="AG1205" s="103" t="s">
        <v>871</v>
      </c>
      <c r="AH1205" s="103" t="s">
        <v>976</v>
      </c>
      <c r="AI1205" s="103">
        <v>0</v>
      </c>
      <c r="AJ1205" s="103"/>
      <c r="AK1205" s="103"/>
      <c r="AL1205" s="103"/>
      <c r="AM1205" s="103"/>
      <c r="AN1205" s="103"/>
      <c r="AO1205" s="103" t="str">
        <f t="shared" si="63"/>
        <v>Std_CFLscw-3way(15w)_60pInc-r0248Three-pack</v>
      </c>
    </row>
    <row r="1206" spans="1:41">
      <c r="A1206" s="177">
        <f>IFERROR(MATCH(D1206,'Measure &amp; Standard CostIDs'!C$5:C$177,0),MATCH(D1206,'Measure &amp; Standard CostIDs'!S$5:S$177,0))</f>
        <v>50</v>
      </c>
      <c r="B1206" s="177">
        <f t="shared" si="65"/>
        <v>4</v>
      </c>
      <c r="C1206" s="103" t="s">
        <v>153</v>
      </c>
      <c r="D1206" s="103" t="str">
        <f t="shared" si="64"/>
        <v>Std_CFLscw-3way(16w)_60pInc-r0248</v>
      </c>
      <c r="E1206" s="103" t="str">
        <f>IF(LEFT(D1206,3)="Std","Base case cost for mix of 60% Incandescent and 40% CFL lamps for CFL TechID: "&amp;INDEX('Measure &amp; Standard CostIDs'!$C$5:$C$177,A1206),"&lt;from TechID&gt;")</f>
        <v>Base case cost for mix of 60% Incandescent and 40% CFL lamps for CFL TechID: CFLscw-3way(16w)</v>
      </c>
      <c r="F1206" s="103" t="s">
        <v>860</v>
      </c>
      <c r="G1206" s="103" t="s">
        <v>151</v>
      </c>
      <c r="H1206" s="103" t="s">
        <v>861</v>
      </c>
      <c r="I1206" s="103" t="s">
        <v>862</v>
      </c>
      <c r="J1206" s="103" t="s">
        <v>863</v>
      </c>
      <c r="K1206" s="103" t="s">
        <v>864</v>
      </c>
      <c r="L1206" s="103" t="s">
        <v>153</v>
      </c>
      <c r="M1206" s="103" t="s">
        <v>865</v>
      </c>
      <c r="N1206" s="103" t="s">
        <v>866</v>
      </c>
      <c r="O1206" s="103" t="str">
        <f t="shared" si="62"/>
        <v/>
      </c>
      <c r="P1206" s="103" t="s">
        <v>153</v>
      </c>
      <c r="Q1206" s="103" t="s">
        <v>153</v>
      </c>
      <c r="R1206" s="103" t="s">
        <v>153</v>
      </c>
      <c r="S1206" s="103" t="str">
        <f>INDEX('Measure &amp; Standard CostIDs'!$AK$8:$AK$12,B1206)</f>
        <v>Three-pack</v>
      </c>
      <c r="T1206" s="103" t="s">
        <v>867</v>
      </c>
      <c r="U1206" s="103"/>
      <c r="V1206" s="103"/>
      <c r="W1206" s="103">
        <f>ROUND(IF(LEFT(D1206,3)="Std",VLOOKUP(D1206,'Measure &amp; Standard CostIDs'!$S$5:$X$177,1+B1206,FALSE),VLOOKUP(D1206,'Measure &amp; Standard CostIDs'!$C$5:$H$177,1+B1206,FALSE)),2)</f>
        <v>4.72</v>
      </c>
      <c r="X1206" s="103"/>
      <c r="Y1206" s="103"/>
      <c r="Z1206" s="103" t="s">
        <v>868</v>
      </c>
      <c r="AA1206" s="103" t="s">
        <v>874</v>
      </c>
      <c r="AB1206" s="103" t="s">
        <v>153</v>
      </c>
      <c r="AC1206" s="103">
        <v>0</v>
      </c>
      <c r="AD1206" s="156">
        <v>42005</v>
      </c>
      <c r="AE1206" s="103"/>
      <c r="AF1206" s="103" t="s">
        <v>870</v>
      </c>
      <c r="AG1206" s="103" t="s">
        <v>871</v>
      </c>
      <c r="AH1206" s="103" t="s">
        <v>976</v>
      </c>
      <c r="AI1206" s="103">
        <v>0</v>
      </c>
      <c r="AJ1206" s="103"/>
      <c r="AK1206" s="103"/>
      <c r="AL1206" s="103"/>
      <c r="AM1206" s="103"/>
      <c r="AN1206" s="103"/>
      <c r="AO1206" s="103" t="str">
        <f t="shared" si="63"/>
        <v>Std_CFLscw-3way(16w)_60pInc-r0248Three-pack</v>
      </c>
    </row>
    <row r="1207" spans="1:41">
      <c r="A1207" s="177">
        <f>IFERROR(MATCH(D1207,'Measure &amp; Standard CostIDs'!C$5:C$177,0),MATCH(D1207,'Measure &amp; Standard CostIDs'!S$5:S$177,0))</f>
        <v>51</v>
      </c>
      <c r="B1207" s="177">
        <f t="shared" si="65"/>
        <v>4</v>
      </c>
      <c r="C1207" s="103" t="s">
        <v>153</v>
      </c>
      <c r="D1207" s="103" t="str">
        <f t="shared" si="64"/>
        <v>Std_CFLscw-3way(17w)_60pInc-r0248</v>
      </c>
      <c r="E1207" s="103" t="str">
        <f>IF(LEFT(D1207,3)="Std","Base case cost for mix of 60% Incandescent and 40% CFL lamps for CFL TechID: "&amp;INDEX('Measure &amp; Standard CostIDs'!$C$5:$C$177,A1207),"&lt;from TechID&gt;")</f>
        <v>Base case cost for mix of 60% Incandescent and 40% CFL lamps for CFL TechID: CFLscw-3way(17w)</v>
      </c>
      <c r="F1207" s="103" t="s">
        <v>860</v>
      </c>
      <c r="G1207" s="103" t="s">
        <v>151</v>
      </c>
      <c r="H1207" s="103" t="s">
        <v>861</v>
      </c>
      <c r="I1207" s="103" t="s">
        <v>862</v>
      </c>
      <c r="J1207" s="103" t="s">
        <v>863</v>
      </c>
      <c r="K1207" s="103" t="s">
        <v>864</v>
      </c>
      <c r="L1207" s="103" t="s">
        <v>153</v>
      </c>
      <c r="M1207" s="103" t="s">
        <v>865</v>
      </c>
      <c r="N1207" s="103" t="s">
        <v>866</v>
      </c>
      <c r="O1207" s="103" t="str">
        <f t="shared" si="62"/>
        <v/>
      </c>
      <c r="P1207" s="103" t="s">
        <v>153</v>
      </c>
      <c r="Q1207" s="103" t="s">
        <v>153</v>
      </c>
      <c r="R1207" s="103" t="s">
        <v>153</v>
      </c>
      <c r="S1207" s="103" t="str">
        <f>INDEX('Measure &amp; Standard CostIDs'!$AK$8:$AK$12,B1207)</f>
        <v>Three-pack</v>
      </c>
      <c r="T1207" s="103" t="s">
        <v>867</v>
      </c>
      <c r="U1207" s="103"/>
      <c r="V1207" s="103"/>
      <c r="W1207" s="103">
        <f>ROUND(IF(LEFT(D1207,3)="Std",VLOOKUP(D1207,'Measure &amp; Standard CostIDs'!$S$5:$X$177,1+B1207,FALSE),VLOOKUP(D1207,'Measure &amp; Standard CostIDs'!$C$5:$H$177,1+B1207,FALSE)),2)</f>
        <v>4.7699999999999996</v>
      </c>
      <c r="X1207" s="103"/>
      <c r="Y1207" s="103"/>
      <c r="Z1207" s="103" t="s">
        <v>868</v>
      </c>
      <c r="AA1207" s="103" t="s">
        <v>874</v>
      </c>
      <c r="AB1207" s="103" t="s">
        <v>153</v>
      </c>
      <c r="AC1207" s="103">
        <v>0</v>
      </c>
      <c r="AD1207" s="156">
        <v>42005</v>
      </c>
      <c r="AE1207" s="103"/>
      <c r="AF1207" s="103" t="s">
        <v>870</v>
      </c>
      <c r="AG1207" s="103" t="s">
        <v>871</v>
      </c>
      <c r="AH1207" s="103" t="s">
        <v>976</v>
      </c>
      <c r="AI1207" s="103">
        <v>0</v>
      </c>
      <c r="AJ1207" s="103"/>
      <c r="AK1207" s="103"/>
      <c r="AL1207" s="103"/>
      <c r="AM1207" s="103"/>
      <c r="AN1207" s="103"/>
      <c r="AO1207" s="103" t="str">
        <f t="shared" si="63"/>
        <v>Std_CFLscw-3way(17w)_60pInc-r0248Three-pack</v>
      </c>
    </row>
    <row r="1208" spans="1:41">
      <c r="A1208" s="177">
        <f>IFERROR(MATCH(D1208,'Measure &amp; Standard CostIDs'!C$5:C$177,0),MATCH(D1208,'Measure &amp; Standard CostIDs'!S$5:S$177,0))</f>
        <v>52</v>
      </c>
      <c r="B1208" s="177">
        <f t="shared" si="65"/>
        <v>4</v>
      </c>
      <c r="C1208" s="103" t="s">
        <v>153</v>
      </c>
      <c r="D1208" s="103" t="str">
        <f t="shared" si="64"/>
        <v>Std_CFLscw-3way(18w)_60pInc-r0248</v>
      </c>
      <c r="E1208" s="103" t="str">
        <f>IF(LEFT(D1208,3)="Std","Base case cost for mix of 60% Incandescent and 40% CFL lamps for CFL TechID: "&amp;INDEX('Measure &amp; Standard CostIDs'!$C$5:$C$177,A1208),"&lt;from TechID&gt;")</f>
        <v>Base case cost for mix of 60% Incandescent and 40% CFL lamps for CFL TechID: CFLscw-3way(18w)</v>
      </c>
      <c r="F1208" s="103" t="s">
        <v>860</v>
      </c>
      <c r="G1208" s="103" t="s">
        <v>151</v>
      </c>
      <c r="H1208" s="103" t="s">
        <v>861</v>
      </c>
      <c r="I1208" s="103" t="s">
        <v>862</v>
      </c>
      <c r="J1208" s="103" t="s">
        <v>863</v>
      </c>
      <c r="K1208" s="103" t="s">
        <v>864</v>
      </c>
      <c r="L1208" s="103" t="s">
        <v>153</v>
      </c>
      <c r="M1208" s="103" t="s">
        <v>865</v>
      </c>
      <c r="N1208" s="103" t="s">
        <v>866</v>
      </c>
      <c r="O1208" s="103" t="str">
        <f t="shared" si="62"/>
        <v/>
      </c>
      <c r="P1208" s="103" t="s">
        <v>153</v>
      </c>
      <c r="Q1208" s="103" t="s">
        <v>153</v>
      </c>
      <c r="R1208" s="103" t="s">
        <v>153</v>
      </c>
      <c r="S1208" s="103" t="str">
        <f>INDEX('Measure &amp; Standard CostIDs'!$AK$8:$AK$12,B1208)</f>
        <v>Three-pack</v>
      </c>
      <c r="T1208" s="103" t="s">
        <v>867</v>
      </c>
      <c r="U1208" s="103"/>
      <c r="V1208" s="103"/>
      <c r="W1208" s="103">
        <f>ROUND(IF(LEFT(D1208,3)="Std",VLOOKUP(D1208,'Measure &amp; Standard CostIDs'!$S$5:$X$177,1+B1208,FALSE),VLOOKUP(D1208,'Measure &amp; Standard CostIDs'!$C$5:$H$177,1+B1208,FALSE)),2)</f>
        <v>4.8099999999999996</v>
      </c>
      <c r="X1208" s="103"/>
      <c r="Y1208" s="103"/>
      <c r="Z1208" s="103" t="s">
        <v>868</v>
      </c>
      <c r="AA1208" s="103" t="s">
        <v>874</v>
      </c>
      <c r="AB1208" s="103" t="s">
        <v>153</v>
      </c>
      <c r="AC1208" s="103">
        <v>0</v>
      </c>
      <c r="AD1208" s="156">
        <v>42005</v>
      </c>
      <c r="AE1208" s="103"/>
      <c r="AF1208" s="103" t="s">
        <v>870</v>
      </c>
      <c r="AG1208" s="103" t="s">
        <v>871</v>
      </c>
      <c r="AH1208" s="103" t="s">
        <v>976</v>
      </c>
      <c r="AI1208" s="103">
        <v>0</v>
      </c>
      <c r="AJ1208" s="103"/>
      <c r="AK1208" s="103"/>
      <c r="AL1208" s="103"/>
      <c r="AM1208" s="103"/>
      <c r="AN1208" s="103"/>
      <c r="AO1208" s="103" t="str">
        <f t="shared" si="63"/>
        <v>Std_CFLscw-3way(18w)_60pInc-r0248Three-pack</v>
      </c>
    </row>
    <row r="1209" spans="1:41">
      <c r="A1209" s="177">
        <f>IFERROR(MATCH(D1209,'Measure &amp; Standard CostIDs'!C$5:C$177,0),MATCH(D1209,'Measure &amp; Standard CostIDs'!S$5:S$177,0))</f>
        <v>53</v>
      </c>
      <c r="B1209" s="177">
        <f t="shared" si="65"/>
        <v>4</v>
      </c>
      <c r="C1209" s="103" t="s">
        <v>153</v>
      </c>
      <c r="D1209" s="103" t="str">
        <f t="shared" si="64"/>
        <v>Std_CFLscw-3way(19w)_60pInc-r0248</v>
      </c>
      <c r="E1209" s="103" t="str">
        <f>IF(LEFT(D1209,3)="Std","Base case cost for mix of 60% Incandescent and 40% CFL lamps for CFL TechID: "&amp;INDEX('Measure &amp; Standard CostIDs'!$C$5:$C$177,A1209),"&lt;from TechID&gt;")</f>
        <v>Base case cost for mix of 60% Incandescent and 40% CFL lamps for CFL TechID: CFLscw-3way(19w)</v>
      </c>
      <c r="F1209" s="103" t="s">
        <v>860</v>
      </c>
      <c r="G1209" s="103" t="s">
        <v>151</v>
      </c>
      <c r="H1209" s="103" t="s">
        <v>861</v>
      </c>
      <c r="I1209" s="103" t="s">
        <v>862</v>
      </c>
      <c r="J1209" s="103" t="s">
        <v>863</v>
      </c>
      <c r="K1209" s="103" t="s">
        <v>864</v>
      </c>
      <c r="L1209" s="103" t="s">
        <v>153</v>
      </c>
      <c r="M1209" s="103" t="s">
        <v>865</v>
      </c>
      <c r="N1209" s="103" t="s">
        <v>866</v>
      </c>
      <c r="O1209" s="103" t="str">
        <f t="shared" si="62"/>
        <v/>
      </c>
      <c r="P1209" s="103" t="s">
        <v>153</v>
      </c>
      <c r="Q1209" s="103" t="s">
        <v>153</v>
      </c>
      <c r="R1209" s="103" t="s">
        <v>153</v>
      </c>
      <c r="S1209" s="103" t="str">
        <f>INDEX('Measure &amp; Standard CostIDs'!$AK$8:$AK$12,B1209)</f>
        <v>Three-pack</v>
      </c>
      <c r="T1209" s="103" t="s">
        <v>867</v>
      </c>
      <c r="U1209" s="103"/>
      <c r="V1209" s="103"/>
      <c r="W1209" s="103">
        <f>ROUND(IF(LEFT(D1209,3)="Std",VLOOKUP(D1209,'Measure &amp; Standard CostIDs'!$S$5:$X$177,1+B1209,FALSE),VLOOKUP(D1209,'Measure &amp; Standard CostIDs'!$C$5:$H$177,1+B1209,FALSE)),2)</f>
        <v>4.8600000000000003</v>
      </c>
      <c r="X1209" s="103"/>
      <c r="Y1209" s="103"/>
      <c r="Z1209" s="103" t="s">
        <v>868</v>
      </c>
      <c r="AA1209" s="103" t="s">
        <v>874</v>
      </c>
      <c r="AB1209" s="103" t="s">
        <v>153</v>
      </c>
      <c r="AC1209" s="103">
        <v>0</v>
      </c>
      <c r="AD1209" s="156">
        <v>42005</v>
      </c>
      <c r="AE1209" s="103"/>
      <c r="AF1209" s="103" t="s">
        <v>870</v>
      </c>
      <c r="AG1209" s="103" t="s">
        <v>871</v>
      </c>
      <c r="AH1209" s="103" t="s">
        <v>976</v>
      </c>
      <c r="AI1209" s="103">
        <v>0</v>
      </c>
      <c r="AJ1209" s="103"/>
      <c r="AK1209" s="103"/>
      <c r="AL1209" s="103"/>
      <c r="AM1209" s="103"/>
      <c r="AN1209" s="103"/>
      <c r="AO1209" s="103" t="str">
        <f t="shared" si="63"/>
        <v>Std_CFLscw-3way(19w)_60pInc-r0248Three-pack</v>
      </c>
    </row>
    <row r="1210" spans="1:41">
      <c r="A1210" s="177">
        <f>IFERROR(MATCH(D1210,'Measure &amp; Standard CostIDs'!C$5:C$177,0),MATCH(D1210,'Measure &amp; Standard CostIDs'!S$5:S$177,0))</f>
        <v>54</v>
      </c>
      <c r="B1210" s="177">
        <f t="shared" si="65"/>
        <v>4</v>
      </c>
      <c r="C1210" s="103" t="s">
        <v>153</v>
      </c>
      <c r="D1210" s="103" t="str">
        <f t="shared" si="64"/>
        <v>Std_CFLscw-3way(20w)_60pInc-r0248</v>
      </c>
      <c r="E1210" s="103" t="str">
        <f>IF(LEFT(D1210,3)="Std","Base case cost for mix of 60% Incandescent and 40% CFL lamps for CFL TechID: "&amp;INDEX('Measure &amp; Standard CostIDs'!$C$5:$C$177,A1210),"&lt;from TechID&gt;")</f>
        <v>Base case cost for mix of 60% Incandescent and 40% CFL lamps for CFL TechID: CFLscw-3way(20w)</v>
      </c>
      <c r="F1210" s="103" t="s">
        <v>860</v>
      </c>
      <c r="G1210" s="103" t="s">
        <v>151</v>
      </c>
      <c r="H1210" s="103" t="s">
        <v>861</v>
      </c>
      <c r="I1210" s="103" t="s">
        <v>862</v>
      </c>
      <c r="J1210" s="103" t="s">
        <v>863</v>
      </c>
      <c r="K1210" s="103" t="s">
        <v>864</v>
      </c>
      <c r="L1210" s="103" t="s">
        <v>153</v>
      </c>
      <c r="M1210" s="103" t="s">
        <v>865</v>
      </c>
      <c r="N1210" s="103" t="s">
        <v>866</v>
      </c>
      <c r="O1210" s="103" t="str">
        <f t="shared" si="62"/>
        <v/>
      </c>
      <c r="P1210" s="103" t="s">
        <v>153</v>
      </c>
      <c r="Q1210" s="103" t="s">
        <v>153</v>
      </c>
      <c r="R1210" s="103" t="s">
        <v>153</v>
      </c>
      <c r="S1210" s="103" t="str">
        <f>INDEX('Measure &amp; Standard CostIDs'!$AK$8:$AK$12,B1210)</f>
        <v>Three-pack</v>
      </c>
      <c r="T1210" s="103" t="s">
        <v>867</v>
      </c>
      <c r="U1210" s="103"/>
      <c r="V1210" s="103"/>
      <c r="W1210" s="103">
        <f>ROUND(IF(LEFT(D1210,3)="Std",VLOOKUP(D1210,'Measure &amp; Standard CostIDs'!$S$5:$X$177,1+B1210,FALSE),VLOOKUP(D1210,'Measure &amp; Standard CostIDs'!$C$5:$H$177,1+B1210,FALSE)),2)</f>
        <v>4.9000000000000004</v>
      </c>
      <c r="X1210" s="103"/>
      <c r="Y1210" s="103"/>
      <c r="Z1210" s="103" t="s">
        <v>868</v>
      </c>
      <c r="AA1210" s="103" t="s">
        <v>874</v>
      </c>
      <c r="AB1210" s="103" t="s">
        <v>153</v>
      </c>
      <c r="AC1210" s="103">
        <v>0</v>
      </c>
      <c r="AD1210" s="156">
        <v>42005</v>
      </c>
      <c r="AE1210" s="103"/>
      <c r="AF1210" s="103" t="s">
        <v>870</v>
      </c>
      <c r="AG1210" s="103" t="s">
        <v>871</v>
      </c>
      <c r="AH1210" s="103" t="s">
        <v>976</v>
      </c>
      <c r="AI1210" s="103">
        <v>0</v>
      </c>
      <c r="AJ1210" s="103"/>
      <c r="AK1210" s="103"/>
      <c r="AL1210" s="103"/>
      <c r="AM1210" s="103"/>
      <c r="AN1210" s="103"/>
      <c r="AO1210" s="103" t="str">
        <f t="shared" si="63"/>
        <v>Std_CFLscw-3way(20w)_60pInc-r0248Three-pack</v>
      </c>
    </row>
    <row r="1211" spans="1:41">
      <c r="A1211" s="177">
        <f>IFERROR(MATCH(D1211,'Measure &amp; Standard CostIDs'!C$5:C$177,0),MATCH(D1211,'Measure &amp; Standard CostIDs'!S$5:S$177,0))</f>
        <v>55</v>
      </c>
      <c r="B1211" s="177">
        <f t="shared" si="65"/>
        <v>4</v>
      </c>
      <c r="C1211" s="103" t="s">
        <v>153</v>
      </c>
      <c r="D1211" s="103" t="str">
        <f t="shared" si="64"/>
        <v>Std_CFLscw-3way(21w)_60pInc-r0248</v>
      </c>
      <c r="E1211" s="103" t="str">
        <f>IF(LEFT(D1211,3)="Std","Base case cost for mix of 60% Incandescent and 40% CFL lamps for CFL TechID: "&amp;INDEX('Measure &amp; Standard CostIDs'!$C$5:$C$177,A1211),"&lt;from TechID&gt;")</f>
        <v>Base case cost for mix of 60% Incandescent and 40% CFL lamps for CFL TechID: CFLscw-3way(21w)</v>
      </c>
      <c r="F1211" s="103" t="s">
        <v>860</v>
      </c>
      <c r="G1211" s="103" t="s">
        <v>151</v>
      </c>
      <c r="H1211" s="103" t="s">
        <v>861</v>
      </c>
      <c r="I1211" s="103" t="s">
        <v>862</v>
      </c>
      <c r="J1211" s="103" t="s">
        <v>863</v>
      </c>
      <c r="K1211" s="103" t="s">
        <v>864</v>
      </c>
      <c r="L1211" s="103" t="s">
        <v>153</v>
      </c>
      <c r="M1211" s="103" t="s">
        <v>865</v>
      </c>
      <c r="N1211" s="103" t="s">
        <v>866</v>
      </c>
      <c r="O1211" s="103" t="str">
        <f t="shared" si="62"/>
        <v/>
      </c>
      <c r="P1211" s="103" t="s">
        <v>153</v>
      </c>
      <c r="Q1211" s="103" t="s">
        <v>153</v>
      </c>
      <c r="R1211" s="103" t="s">
        <v>153</v>
      </c>
      <c r="S1211" s="103" t="str">
        <f>INDEX('Measure &amp; Standard CostIDs'!$AK$8:$AK$12,B1211)</f>
        <v>Three-pack</v>
      </c>
      <c r="T1211" s="103" t="s">
        <v>867</v>
      </c>
      <c r="U1211" s="103"/>
      <c r="V1211" s="103"/>
      <c r="W1211" s="103">
        <f>ROUND(IF(LEFT(D1211,3)="Std",VLOOKUP(D1211,'Measure &amp; Standard CostIDs'!$S$5:$X$177,1+B1211,FALSE),VLOOKUP(D1211,'Measure &amp; Standard CostIDs'!$C$5:$H$177,1+B1211,FALSE)),2)</f>
        <v>4.95</v>
      </c>
      <c r="X1211" s="103"/>
      <c r="Y1211" s="103"/>
      <c r="Z1211" s="103" t="s">
        <v>868</v>
      </c>
      <c r="AA1211" s="103" t="s">
        <v>874</v>
      </c>
      <c r="AB1211" s="103" t="s">
        <v>153</v>
      </c>
      <c r="AC1211" s="103">
        <v>0</v>
      </c>
      <c r="AD1211" s="156">
        <v>42005</v>
      </c>
      <c r="AE1211" s="103"/>
      <c r="AF1211" s="103" t="s">
        <v>870</v>
      </c>
      <c r="AG1211" s="103" t="s">
        <v>871</v>
      </c>
      <c r="AH1211" s="103" t="s">
        <v>976</v>
      </c>
      <c r="AI1211" s="103">
        <v>0</v>
      </c>
      <c r="AJ1211" s="103"/>
      <c r="AK1211" s="103"/>
      <c r="AL1211" s="103"/>
      <c r="AM1211" s="103"/>
      <c r="AN1211" s="103"/>
      <c r="AO1211" s="103" t="str">
        <f t="shared" si="63"/>
        <v>Std_CFLscw-3way(21w)_60pInc-r0248Three-pack</v>
      </c>
    </row>
    <row r="1212" spans="1:41">
      <c r="A1212" s="177">
        <f>IFERROR(MATCH(D1212,'Measure &amp; Standard CostIDs'!C$5:C$177,0),MATCH(D1212,'Measure &amp; Standard CostIDs'!S$5:S$177,0))</f>
        <v>56</v>
      </c>
      <c r="B1212" s="177">
        <f t="shared" si="65"/>
        <v>4</v>
      </c>
      <c r="C1212" s="103" t="s">
        <v>153</v>
      </c>
      <c r="D1212" s="103" t="str">
        <f t="shared" si="64"/>
        <v>Std_CFLscw-3way(22w)_60pInc-r0248</v>
      </c>
      <c r="E1212" s="103" t="str">
        <f>IF(LEFT(D1212,3)="Std","Base case cost for mix of 60% Incandescent and 40% CFL lamps for CFL TechID: "&amp;INDEX('Measure &amp; Standard CostIDs'!$C$5:$C$177,A1212),"&lt;from TechID&gt;")</f>
        <v>Base case cost for mix of 60% Incandescent and 40% CFL lamps for CFL TechID: CFLscw-3way(22w)</v>
      </c>
      <c r="F1212" s="103" t="s">
        <v>860</v>
      </c>
      <c r="G1212" s="103" t="s">
        <v>151</v>
      </c>
      <c r="H1212" s="103" t="s">
        <v>861</v>
      </c>
      <c r="I1212" s="103" t="s">
        <v>862</v>
      </c>
      <c r="J1212" s="103" t="s">
        <v>863</v>
      </c>
      <c r="K1212" s="103" t="s">
        <v>864</v>
      </c>
      <c r="L1212" s="103" t="s">
        <v>153</v>
      </c>
      <c r="M1212" s="103" t="s">
        <v>865</v>
      </c>
      <c r="N1212" s="103" t="s">
        <v>866</v>
      </c>
      <c r="O1212" s="103" t="str">
        <f t="shared" si="62"/>
        <v/>
      </c>
      <c r="P1212" s="103" t="s">
        <v>153</v>
      </c>
      <c r="Q1212" s="103" t="s">
        <v>153</v>
      </c>
      <c r="R1212" s="103" t="s">
        <v>153</v>
      </c>
      <c r="S1212" s="103" t="str">
        <f>INDEX('Measure &amp; Standard CostIDs'!$AK$8:$AK$12,B1212)</f>
        <v>Three-pack</v>
      </c>
      <c r="T1212" s="103" t="s">
        <v>867</v>
      </c>
      <c r="U1212" s="103"/>
      <c r="V1212" s="103"/>
      <c r="W1212" s="103">
        <f>ROUND(IF(LEFT(D1212,3)="Std",VLOOKUP(D1212,'Measure &amp; Standard CostIDs'!$S$5:$X$177,1+B1212,FALSE),VLOOKUP(D1212,'Measure &amp; Standard CostIDs'!$C$5:$H$177,1+B1212,FALSE)),2)</f>
        <v>4.99</v>
      </c>
      <c r="X1212" s="103"/>
      <c r="Y1212" s="103"/>
      <c r="Z1212" s="103" t="s">
        <v>868</v>
      </c>
      <c r="AA1212" s="103" t="s">
        <v>874</v>
      </c>
      <c r="AB1212" s="103" t="s">
        <v>153</v>
      </c>
      <c r="AC1212" s="103">
        <v>0</v>
      </c>
      <c r="AD1212" s="156">
        <v>42005</v>
      </c>
      <c r="AE1212" s="103"/>
      <c r="AF1212" s="103" t="s">
        <v>870</v>
      </c>
      <c r="AG1212" s="103" t="s">
        <v>871</v>
      </c>
      <c r="AH1212" s="103" t="s">
        <v>976</v>
      </c>
      <c r="AI1212" s="103">
        <v>0</v>
      </c>
      <c r="AJ1212" s="103"/>
      <c r="AK1212" s="103"/>
      <c r="AL1212" s="103"/>
      <c r="AM1212" s="103"/>
      <c r="AN1212" s="103"/>
      <c r="AO1212" s="103" t="str">
        <f t="shared" si="63"/>
        <v>Std_CFLscw-3way(22w)_60pInc-r0248Three-pack</v>
      </c>
    </row>
    <row r="1213" spans="1:41">
      <c r="A1213" s="177">
        <f>IFERROR(MATCH(D1213,'Measure &amp; Standard CostIDs'!C$5:C$177,0),MATCH(D1213,'Measure &amp; Standard CostIDs'!S$5:S$177,0))</f>
        <v>57</v>
      </c>
      <c r="B1213" s="177">
        <f t="shared" si="65"/>
        <v>4</v>
      </c>
      <c r="C1213" s="103" t="s">
        <v>153</v>
      </c>
      <c r="D1213" s="103" t="str">
        <f t="shared" si="64"/>
        <v>Std_CFLscw-3way(23w)_60pInc-r0248</v>
      </c>
      <c r="E1213" s="103" t="str">
        <f>IF(LEFT(D1213,3)="Std","Base case cost for mix of 60% Incandescent and 40% CFL lamps for CFL TechID: "&amp;INDEX('Measure &amp; Standard CostIDs'!$C$5:$C$177,A1213),"&lt;from TechID&gt;")</f>
        <v>Base case cost for mix of 60% Incandescent and 40% CFL lamps for CFL TechID: CFLscw-3way(23w)</v>
      </c>
      <c r="F1213" s="103" t="s">
        <v>860</v>
      </c>
      <c r="G1213" s="103" t="s">
        <v>151</v>
      </c>
      <c r="H1213" s="103" t="s">
        <v>861</v>
      </c>
      <c r="I1213" s="103" t="s">
        <v>862</v>
      </c>
      <c r="J1213" s="103" t="s">
        <v>863</v>
      </c>
      <c r="K1213" s="103" t="s">
        <v>864</v>
      </c>
      <c r="L1213" s="103" t="s">
        <v>153</v>
      </c>
      <c r="M1213" s="103" t="s">
        <v>865</v>
      </c>
      <c r="N1213" s="103" t="s">
        <v>866</v>
      </c>
      <c r="O1213" s="103" t="str">
        <f t="shared" si="62"/>
        <v/>
      </c>
      <c r="P1213" s="103" t="s">
        <v>153</v>
      </c>
      <c r="Q1213" s="103" t="s">
        <v>153</v>
      </c>
      <c r="R1213" s="103" t="s">
        <v>153</v>
      </c>
      <c r="S1213" s="103" t="str">
        <f>INDEX('Measure &amp; Standard CostIDs'!$AK$8:$AK$12,B1213)</f>
        <v>Three-pack</v>
      </c>
      <c r="T1213" s="103" t="s">
        <v>867</v>
      </c>
      <c r="U1213" s="103"/>
      <c r="V1213" s="103"/>
      <c r="W1213" s="103">
        <f>ROUND(IF(LEFT(D1213,3)="Std",VLOOKUP(D1213,'Measure &amp; Standard CostIDs'!$S$5:$X$177,1+B1213,FALSE),VLOOKUP(D1213,'Measure &amp; Standard CostIDs'!$C$5:$H$177,1+B1213,FALSE)),2)</f>
        <v>5.0199999999999996</v>
      </c>
      <c r="X1213" s="103"/>
      <c r="Y1213" s="103"/>
      <c r="Z1213" s="103" t="s">
        <v>868</v>
      </c>
      <c r="AA1213" s="103" t="s">
        <v>874</v>
      </c>
      <c r="AB1213" s="103" t="s">
        <v>153</v>
      </c>
      <c r="AC1213" s="103">
        <v>0</v>
      </c>
      <c r="AD1213" s="156">
        <v>42005</v>
      </c>
      <c r="AE1213" s="103"/>
      <c r="AF1213" s="103" t="s">
        <v>870</v>
      </c>
      <c r="AG1213" s="103" t="s">
        <v>871</v>
      </c>
      <c r="AH1213" s="103" t="s">
        <v>976</v>
      </c>
      <c r="AI1213" s="103">
        <v>0</v>
      </c>
      <c r="AJ1213" s="103"/>
      <c r="AK1213" s="103"/>
      <c r="AL1213" s="103"/>
      <c r="AM1213" s="103"/>
      <c r="AN1213" s="103"/>
      <c r="AO1213" s="103" t="str">
        <f t="shared" si="63"/>
        <v>Std_CFLscw-3way(23w)_60pInc-r0248Three-pack</v>
      </c>
    </row>
    <row r="1214" spans="1:41">
      <c r="A1214" s="177">
        <f>IFERROR(MATCH(D1214,'Measure &amp; Standard CostIDs'!C$5:C$177,0),MATCH(D1214,'Measure &amp; Standard CostIDs'!S$5:S$177,0))</f>
        <v>58</v>
      </c>
      <c r="B1214" s="177">
        <f t="shared" si="65"/>
        <v>4</v>
      </c>
      <c r="C1214" s="103" t="s">
        <v>153</v>
      </c>
      <c r="D1214" s="103" t="str">
        <f t="shared" si="64"/>
        <v>Std_CFLscw-3way(24w)_60pInc-r0248</v>
      </c>
      <c r="E1214" s="103" t="str">
        <f>IF(LEFT(D1214,3)="Std","Base case cost for mix of 60% Incandescent and 40% CFL lamps for CFL TechID: "&amp;INDEX('Measure &amp; Standard CostIDs'!$C$5:$C$177,A1214),"&lt;from TechID&gt;")</f>
        <v>Base case cost for mix of 60% Incandescent and 40% CFL lamps for CFL TechID: CFLscw-3way(24w)</v>
      </c>
      <c r="F1214" s="103" t="s">
        <v>860</v>
      </c>
      <c r="G1214" s="103" t="s">
        <v>151</v>
      </c>
      <c r="H1214" s="103" t="s">
        <v>861</v>
      </c>
      <c r="I1214" s="103" t="s">
        <v>862</v>
      </c>
      <c r="J1214" s="103" t="s">
        <v>863</v>
      </c>
      <c r="K1214" s="103" t="s">
        <v>864</v>
      </c>
      <c r="L1214" s="103" t="s">
        <v>153</v>
      </c>
      <c r="M1214" s="103" t="s">
        <v>865</v>
      </c>
      <c r="N1214" s="103" t="s">
        <v>866</v>
      </c>
      <c r="O1214" s="103" t="str">
        <f t="shared" si="62"/>
        <v/>
      </c>
      <c r="P1214" s="103" t="s">
        <v>153</v>
      </c>
      <c r="Q1214" s="103" t="s">
        <v>153</v>
      </c>
      <c r="R1214" s="103" t="s">
        <v>153</v>
      </c>
      <c r="S1214" s="103" t="str">
        <f>INDEX('Measure &amp; Standard CostIDs'!$AK$8:$AK$12,B1214)</f>
        <v>Three-pack</v>
      </c>
      <c r="T1214" s="103" t="s">
        <v>867</v>
      </c>
      <c r="U1214" s="103"/>
      <c r="V1214" s="103"/>
      <c r="W1214" s="103">
        <f>ROUND(IF(LEFT(D1214,3)="Std",VLOOKUP(D1214,'Measure &amp; Standard CostIDs'!$S$5:$X$177,1+B1214,FALSE),VLOOKUP(D1214,'Measure &amp; Standard CostIDs'!$C$5:$H$177,1+B1214,FALSE)),2)</f>
        <v>5.04</v>
      </c>
      <c r="X1214" s="103"/>
      <c r="Y1214" s="103"/>
      <c r="Z1214" s="103" t="s">
        <v>868</v>
      </c>
      <c r="AA1214" s="103" t="s">
        <v>874</v>
      </c>
      <c r="AB1214" s="103" t="s">
        <v>153</v>
      </c>
      <c r="AC1214" s="103">
        <v>0</v>
      </c>
      <c r="AD1214" s="156">
        <v>42005</v>
      </c>
      <c r="AE1214" s="103"/>
      <c r="AF1214" s="103" t="s">
        <v>870</v>
      </c>
      <c r="AG1214" s="103" t="s">
        <v>871</v>
      </c>
      <c r="AH1214" s="103" t="s">
        <v>976</v>
      </c>
      <c r="AI1214" s="103">
        <v>0</v>
      </c>
      <c r="AJ1214" s="103"/>
      <c r="AK1214" s="103"/>
      <c r="AL1214" s="103"/>
      <c r="AM1214" s="103"/>
      <c r="AN1214" s="103"/>
      <c r="AO1214" s="103" t="str">
        <f t="shared" si="63"/>
        <v>Std_CFLscw-3way(24w)_60pInc-r0248Three-pack</v>
      </c>
    </row>
    <row r="1215" spans="1:41">
      <c r="A1215" s="177">
        <f>IFERROR(MATCH(D1215,'Measure &amp; Standard CostIDs'!C$5:C$177,0),MATCH(D1215,'Measure &amp; Standard CostIDs'!S$5:S$177,0))</f>
        <v>59</v>
      </c>
      <c r="B1215" s="177">
        <f t="shared" si="65"/>
        <v>4</v>
      </c>
      <c r="C1215" s="103" t="s">
        <v>153</v>
      </c>
      <c r="D1215" s="103" t="str">
        <f t="shared" si="64"/>
        <v>Std_CFLscw-3way(25w)_60pInc-r0248</v>
      </c>
      <c r="E1215" s="103" t="str">
        <f>IF(LEFT(D1215,3)="Std","Base case cost for mix of 60% Incandescent and 40% CFL lamps for CFL TechID: "&amp;INDEX('Measure &amp; Standard CostIDs'!$C$5:$C$177,A1215),"&lt;from TechID&gt;")</f>
        <v>Base case cost for mix of 60% Incandescent and 40% CFL lamps for CFL TechID: CFLscw-3way(25w)</v>
      </c>
      <c r="F1215" s="103" t="s">
        <v>860</v>
      </c>
      <c r="G1215" s="103" t="s">
        <v>151</v>
      </c>
      <c r="H1215" s="103" t="s">
        <v>861</v>
      </c>
      <c r="I1215" s="103" t="s">
        <v>862</v>
      </c>
      <c r="J1215" s="103" t="s">
        <v>863</v>
      </c>
      <c r="K1215" s="103" t="s">
        <v>864</v>
      </c>
      <c r="L1215" s="103" t="s">
        <v>153</v>
      </c>
      <c r="M1215" s="103" t="s">
        <v>865</v>
      </c>
      <c r="N1215" s="103" t="s">
        <v>866</v>
      </c>
      <c r="O1215" s="103" t="str">
        <f t="shared" si="62"/>
        <v/>
      </c>
      <c r="P1215" s="103" t="s">
        <v>153</v>
      </c>
      <c r="Q1215" s="103" t="s">
        <v>153</v>
      </c>
      <c r="R1215" s="103" t="s">
        <v>153</v>
      </c>
      <c r="S1215" s="103" t="str">
        <f>INDEX('Measure &amp; Standard CostIDs'!$AK$8:$AK$12,B1215)</f>
        <v>Three-pack</v>
      </c>
      <c r="T1215" s="103" t="s">
        <v>867</v>
      </c>
      <c r="U1215" s="103"/>
      <c r="V1215" s="103"/>
      <c r="W1215" s="103">
        <f>ROUND(IF(LEFT(D1215,3)="Std",VLOOKUP(D1215,'Measure &amp; Standard CostIDs'!$S$5:$X$177,1+B1215,FALSE),VLOOKUP(D1215,'Measure &amp; Standard CostIDs'!$C$5:$H$177,1+B1215,FALSE)),2)</f>
        <v>5.07</v>
      </c>
      <c r="X1215" s="103"/>
      <c r="Y1215" s="103"/>
      <c r="Z1215" s="103" t="s">
        <v>868</v>
      </c>
      <c r="AA1215" s="103" t="s">
        <v>874</v>
      </c>
      <c r="AB1215" s="103" t="s">
        <v>153</v>
      </c>
      <c r="AC1215" s="103">
        <v>0</v>
      </c>
      <c r="AD1215" s="156">
        <v>42005</v>
      </c>
      <c r="AE1215" s="103"/>
      <c r="AF1215" s="103" t="s">
        <v>870</v>
      </c>
      <c r="AG1215" s="103" t="s">
        <v>871</v>
      </c>
      <c r="AH1215" s="103" t="s">
        <v>976</v>
      </c>
      <c r="AI1215" s="103">
        <v>0</v>
      </c>
      <c r="AJ1215" s="103"/>
      <c r="AK1215" s="103"/>
      <c r="AL1215" s="103"/>
      <c r="AM1215" s="103"/>
      <c r="AN1215" s="103"/>
      <c r="AO1215" s="103" t="str">
        <f t="shared" si="63"/>
        <v>Std_CFLscw-3way(25w)_60pInc-r0248Three-pack</v>
      </c>
    </row>
    <row r="1216" spans="1:41">
      <c r="A1216" s="177">
        <f>IFERROR(MATCH(D1216,'Measure &amp; Standard CostIDs'!C$5:C$177,0),MATCH(D1216,'Measure &amp; Standard CostIDs'!S$5:S$177,0))</f>
        <v>60</v>
      </c>
      <c r="B1216" s="177">
        <f t="shared" si="65"/>
        <v>4</v>
      </c>
      <c r="C1216" s="103" t="s">
        <v>153</v>
      </c>
      <c r="D1216" s="103" t="str">
        <f t="shared" si="64"/>
        <v>Std_CFLscw-3way(26w)_60pInc-r0248</v>
      </c>
      <c r="E1216" s="103" t="str">
        <f>IF(LEFT(D1216,3)="Std","Base case cost for mix of 60% Incandescent and 40% CFL lamps for CFL TechID: "&amp;INDEX('Measure &amp; Standard CostIDs'!$C$5:$C$177,A1216),"&lt;from TechID&gt;")</f>
        <v>Base case cost for mix of 60% Incandescent and 40% CFL lamps for CFL TechID: CFLscw-3way(26w)</v>
      </c>
      <c r="F1216" s="103" t="s">
        <v>860</v>
      </c>
      <c r="G1216" s="103" t="s">
        <v>151</v>
      </c>
      <c r="H1216" s="103" t="s">
        <v>861</v>
      </c>
      <c r="I1216" s="103" t="s">
        <v>862</v>
      </c>
      <c r="J1216" s="103" t="s">
        <v>863</v>
      </c>
      <c r="K1216" s="103" t="s">
        <v>864</v>
      </c>
      <c r="L1216" s="103" t="s">
        <v>153</v>
      </c>
      <c r="M1216" s="103" t="s">
        <v>865</v>
      </c>
      <c r="N1216" s="103" t="s">
        <v>866</v>
      </c>
      <c r="O1216" s="103" t="str">
        <f t="shared" si="62"/>
        <v/>
      </c>
      <c r="P1216" s="103" t="s">
        <v>153</v>
      </c>
      <c r="Q1216" s="103" t="s">
        <v>153</v>
      </c>
      <c r="R1216" s="103" t="s">
        <v>153</v>
      </c>
      <c r="S1216" s="103" t="str">
        <f>INDEX('Measure &amp; Standard CostIDs'!$AK$8:$AK$12,B1216)</f>
        <v>Three-pack</v>
      </c>
      <c r="T1216" s="103" t="s">
        <v>867</v>
      </c>
      <c r="U1216" s="103"/>
      <c r="V1216" s="103"/>
      <c r="W1216" s="103">
        <f>ROUND(IF(LEFT(D1216,3)="Std",VLOOKUP(D1216,'Measure &amp; Standard CostIDs'!$S$5:$X$177,1+B1216,FALSE),VLOOKUP(D1216,'Measure &amp; Standard CostIDs'!$C$5:$H$177,1+B1216,FALSE)),2)</f>
        <v>5.14</v>
      </c>
      <c r="X1216" s="103"/>
      <c r="Y1216" s="103"/>
      <c r="Z1216" s="103" t="s">
        <v>868</v>
      </c>
      <c r="AA1216" s="103" t="s">
        <v>874</v>
      </c>
      <c r="AB1216" s="103" t="s">
        <v>153</v>
      </c>
      <c r="AC1216" s="103">
        <v>0</v>
      </c>
      <c r="AD1216" s="156">
        <v>42005</v>
      </c>
      <c r="AE1216" s="103"/>
      <c r="AF1216" s="103" t="s">
        <v>870</v>
      </c>
      <c r="AG1216" s="103" t="s">
        <v>871</v>
      </c>
      <c r="AH1216" s="103" t="s">
        <v>976</v>
      </c>
      <c r="AI1216" s="103">
        <v>0</v>
      </c>
      <c r="AJ1216" s="103"/>
      <c r="AK1216" s="103"/>
      <c r="AL1216" s="103"/>
      <c r="AM1216" s="103"/>
      <c r="AN1216" s="103"/>
      <c r="AO1216" s="103" t="str">
        <f t="shared" si="63"/>
        <v>Std_CFLscw-3way(26w)_60pInc-r0248Three-pack</v>
      </c>
    </row>
    <row r="1217" spans="1:41">
      <c r="A1217" s="177">
        <f>IFERROR(MATCH(D1217,'Measure &amp; Standard CostIDs'!C$5:C$177,0),MATCH(D1217,'Measure &amp; Standard CostIDs'!S$5:S$177,0))</f>
        <v>61</v>
      </c>
      <c r="B1217" s="177">
        <f t="shared" si="65"/>
        <v>4</v>
      </c>
      <c r="C1217" s="103" t="s">
        <v>153</v>
      </c>
      <c r="D1217" s="103" t="str">
        <f t="shared" si="64"/>
        <v>Std_CFLscw-3way(27w)_60pInc-r0248</v>
      </c>
      <c r="E1217" s="103" t="str">
        <f>IF(LEFT(D1217,3)="Std","Base case cost for mix of 60% Incandescent and 40% CFL lamps for CFL TechID: "&amp;INDEX('Measure &amp; Standard CostIDs'!$C$5:$C$177,A1217),"&lt;from TechID&gt;")</f>
        <v>Base case cost for mix of 60% Incandescent and 40% CFL lamps for CFL TechID: CFLscw-3way(27w)</v>
      </c>
      <c r="F1217" s="103" t="s">
        <v>860</v>
      </c>
      <c r="G1217" s="103" t="s">
        <v>151</v>
      </c>
      <c r="H1217" s="103" t="s">
        <v>861</v>
      </c>
      <c r="I1217" s="103" t="s">
        <v>862</v>
      </c>
      <c r="J1217" s="103" t="s">
        <v>863</v>
      </c>
      <c r="K1217" s="103" t="s">
        <v>864</v>
      </c>
      <c r="L1217" s="103" t="s">
        <v>153</v>
      </c>
      <c r="M1217" s="103" t="s">
        <v>865</v>
      </c>
      <c r="N1217" s="103" t="s">
        <v>866</v>
      </c>
      <c r="O1217" s="103" t="str">
        <f t="shared" si="62"/>
        <v/>
      </c>
      <c r="P1217" s="103" t="s">
        <v>153</v>
      </c>
      <c r="Q1217" s="103" t="s">
        <v>153</v>
      </c>
      <c r="R1217" s="103" t="s">
        <v>153</v>
      </c>
      <c r="S1217" s="103" t="str">
        <f>INDEX('Measure &amp; Standard CostIDs'!$AK$8:$AK$12,B1217)</f>
        <v>Three-pack</v>
      </c>
      <c r="T1217" s="103" t="s">
        <v>867</v>
      </c>
      <c r="U1217" s="103"/>
      <c r="V1217" s="103"/>
      <c r="W1217" s="103">
        <f>ROUND(IF(LEFT(D1217,3)="Std",VLOOKUP(D1217,'Measure &amp; Standard CostIDs'!$S$5:$X$177,1+B1217,FALSE),VLOOKUP(D1217,'Measure &amp; Standard CostIDs'!$C$5:$H$177,1+B1217,FALSE)),2)</f>
        <v>5.2</v>
      </c>
      <c r="X1217" s="103"/>
      <c r="Y1217" s="103"/>
      <c r="Z1217" s="103" t="s">
        <v>868</v>
      </c>
      <c r="AA1217" s="103" t="s">
        <v>874</v>
      </c>
      <c r="AB1217" s="103" t="s">
        <v>153</v>
      </c>
      <c r="AC1217" s="103">
        <v>0</v>
      </c>
      <c r="AD1217" s="156">
        <v>42005</v>
      </c>
      <c r="AE1217" s="103"/>
      <c r="AF1217" s="103" t="s">
        <v>870</v>
      </c>
      <c r="AG1217" s="103" t="s">
        <v>871</v>
      </c>
      <c r="AH1217" s="103" t="s">
        <v>976</v>
      </c>
      <c r="AI1217" s="103">
        <v>0</v>
      </c>
      <c r="AJ1217" s="103"/>
      <c r="AK1217" s="103"/>
      <c r="AL1217" s="103"/>
      <c r="AM1217" s="103"/>
      <c r="AN1217" s="103"/>
      <c r="AO1217" s="103" t="str">
        <f t="shared" si="63"/>
        <v>Std_CFLscw-3way(27w)_60pInc-r0248Three-pack</v>
      </c>
    </row>
    <row r="1218" spans="1:41">
      <c r="A1218" s="177">
        <f>IFERROR(MATCH(D1218,'Measure &amp; Standard CostIDs'!C$5:C$177,0),MATCH(D1218,'Measure &amp; Standard CostIDs'!S$5:S$177,0))</f>
        <v>62</v>
      </c>
      <c r="B1218" s="177">
        <f t="shared" si="65"/>
        <v>4</v>
      </c>
      <c r="C1218" s="103" t="s">
        <v>153</v>
      </c>
      <c r="D1218" s="103" t="str">
        <f t="shared" si="64"/>
        <v>Std_CFLscw-3way(28w)_60pInc-r0248</v>
      </c>
      <c r="E1218" s="103" t="str">
        <f>IF(LEFT(D1218,3)="Std","Base case cost for mix of 60% Incandescent and 40% CFL lamps for CFL TechID: "&amp;INDEX('Measure &amp; Standard CostIDs'!$C$5:$C$177,A1218),"&lt;from TechID&gt;")</f>
        <v>Base case cost for mix of 60% Incandescent and 40% CFL lamps for CFL TechID: CFLscw-3way(28w)</v>
      </c>
      <c r="F1218" s="103" t="s">
        <v>860</v>
      </c>
      <c r="G1218" s="103" t="s">
        <v>151</v>
      </c>
      <c r="H1218" s="103" t="s">
        <v>861</v>
      </c>
      <c r="I1218" s="103" t="s">
        <v>862</v>
      </c>
      <c r="J1218" s="103" t="s">
        <v>863</v>
      </c>
      <c r="K1218" s="103" t="s">
        <v>864</v>
      </c>
      <c r="L1218" s="103" t="s">
        <v>153</v>
      </c>
      <c r="M1218" s="103" t="s">
        <v>865</v>
      </c>
      <c r="N1218" s="103" t="s">
        <v>866</v>
      </c>
      <c r="O1218" s="103" t="str">
        <f t="shared" si="62"/>
        <v/>
      </c>
      <c r="P1218" s="103" t="s">
        <v>153</v>
      </c>
      <c r="Q1218" s="103" t="s">
        <v>153</v>
      </c>
      <c r="R1218" s="103" t="s">
        <v>153</v>
      </c>
      <c r="S1218" s="103" t="str">
        <f>INDEX('Measure &amp; Standard CostIDs'!$AK$8:$AK$12,B1218)</f>
        <v>Three-pack</v>
      </c>
      <c r="T1218" s="103" t="s">
        <v>867</v>
      </c>
      <c r="U1218" s="103"/>
      <c r="V1218" s="103"/>
      <c r="W1218" s="103">
        <f>ROUND(IF(LEFT(D1218,3)="Std",VLOOKUP(D1218,'Measure &amp; Standard CostIDs'!$S$5:$X$177,1+B1218,FALSE),VLOOKUP(D1218,'Measure &amp; Standard CostIDs'!$C$5:$H$177,1+B1218,FALSE)),2)</f>
        <v>5.27</v>
      </c>
      <c r="X1218" s="103"/>
      <c r="Y1218" s="103"/>
      <c r="Z1218" s="103" t="s">
        <v>868</v>
      </c>
      <c r="AA1218" s="103" t="s">
        <v>874</v>
      </c>
      <c r="AB1218" s="103" t="s">
        <v>153</v>
      </c>
      <c r="AC1218" s="103">
        <v>0</v>
      </c>
      <c r="AD1218" s="156">
        <v>42005</v>
      </c>
      <c r="AE1218" s="103"/>
      <c r="AF1218" s="103" t="s">
        <v>870</v>
      </c>
      <c r="AG1218" s="103" t="s">
        <v>871</v>
      </c>
      <c r="AH1218" s="103" t="s">
        <v>976</v>
      </c>
      <c r="AI1218" s="103">
        <v>0</v>
      </c>
      <c r="AJ1218" s="103"/>
      <c r="AK1218" s="103"/>
      <c r="AL1218" s="103"/>
      <c r="AM1218" s="103"/>
      <c r="AN1218" s="103"/>
      <c r="AO1218" s="103" t="str">
        <f t="shared" si="63"/>
        <v>Std_CFLscw-3way(28w)_60pInc-r0248Three-pack</v>
      </c>
    </row>
    <row r="1219" spans="1:41">
      <c r="A1219" s="177">
        <f>IFERROR(MATCH(D1219,'Measure &amp; Standard CostIDs'!C$5:C$177,0),MATCH(D1219,'Measure &amp; Standard CostIDs'!S$5:S$177,0))</f>
        <v>63</v>
      </c>
      <c r="B1219" s="177">
        <f t="shared" si="65"/>
        <v>4</v>
      </c>
      <c r="C1219" s="103" t="s">
        <v>153</v>
      </c>
      <c r="D1219" s="103" t="str">
        <f t="shared" si="64"/>
        <v>Std_CFLscw-3way(29w)_60pInc-r0248</v>
      </c>
      <c r="E1219" s="103" t="str">
        <f>IF(LEFT(D1219,3)="Std","Base case cost for mix of 60% Incandescent and 40% CFL lamps for CFL TechID: "&amp;INDEX('Measure &amp; Standard CostIDs'!$C$5:$C$177,A1219),"&lt;from TechID&gt;")</f>
        <v>Base case cost for mix of 60% Incandescent and 40% CFL lamps for CFL TechID: CFLscw-3way(29w)</v>
      </c>
      <c r="F1219" s="103" t="s">
        <v>860</v>
      </c>
      <c r="G1219" s="103" t="s">
        <v>151</v>
      </c>
      <c r="H1219" s="103" t="s">
        <v>861</v>
      </c>
      <c r="I1219" s="103" t="s">
        <v>862</v>
      </c>
      <c r="J1219" s="103" t="s">
        <v>863</v>
      </c>
      <c r="K1219" s="103" t="s">
        <v>864</v>
      </c>
      <c r="L1219" s="103" t="s">
        <v>153</v>
      </c>
      <c r="M1219" s="103" t="s">
        <v>865</v>
      </c>
      <c r="N1219" s="103" t="s">
        <v>866</v>
      </c>
      <c r="O1219" s="103" t="str">
        <f t="shared" si="62"/>
        <v/>
      </c>
      <c r="P1219" s="103" t="s">
        <v>153</v>
      </c>
      <c r="Q1219" s="103" t="s">
        <v>153</v>
      </c>
      <c r="R1219" s="103" t="s">
        <v>153</v>
      </c>
      <c r="S1219" s="103" t="str">
        <f>INDEX('Measure &amp; Standard CostIDs'!$AK$8:$AK$12,B1219)</f>
        <v>Three-pack</v>
      </c>
      <c r="T1219" s="103" t="s">
        <v>867</v>
      </c>
      <c r="U1219" s="103"/>
      <c r="V1219" s="103"/>
      <c r="W1219" s="103">
        <f>ROUND(IF(LEFT(D1219,3)="Std",VLOOKUP(D1219,'Measure &amp; Standard CostIDs'!$S$5:$X$177,1+B1219,FALSE),VLOOKUP(D1219,'Measure &amp; Standard CostIDs'!$C$5:$H$177,1+B1219,FALSE)),2)</f>
        <v>5.33</v>
      </c>
      <c r="X1219" s="103"/>
      <c r="Y1219" s="103"/>
      <c r="Z1219" s="103" t="s">
        <v>868</v>
      </c>
      <c r="AA1219" s="103" t="s">
        <v>874</v>
      </c>
      <c r="AB1219" s="103" t="s">
        <v>153</v>
      </c>
      <c r="AC1219" s="103">
        <v>0</v>
      </c>
      <c r="AD1219" s="156">
        <v>42005</v>
      </c>
      <c r="AE1219" s="103"/>
      <c r="AF1219" s="103" t="s">
        <v>870</v>
      </c>
      <c r="AG1219" s="103" t="s">
        <v>871</v>
      </c>
      <c r="AH1219" s="103" t="s">
        <v>976</v>
      </c>
      <c r="AI1219" s="103">
        <v>0</v>
      </c>
      <c r="AJ1219" s="103"/>
      <c r="AK1219" s="103"/>
      <c r="AL1219" s="103"/>
      <c r="AM1219" s="103"/>
      <c r="AN1219" s="103"/>
      <c r="AO1219" s="103" t="str">
        <f t="shared" si="63"/>
        <v>Std_CFLscw-3way(29w)_60pInc-r0248Three-pack</v>
      </c>
    </row>
    <row r="1220" spans="1:41">
      <c r="A1220" s="177">
        <f>IFERROR(MATCH(D1220,'Measure &amp; Standard CostIDs'!C$5:C$177,0),MATCH(D1220,'Measure &amp; Standard CostIDs'!S$5:S$177,0))</f>
        <v>64</v>
      </c>
      <c r="B1220" s="177">
        <f t="shared" si="65"/>
        <v>4</v>
      </c>
      <c r="C1220" s="103" t="s">
        <v>153</v>
      </c>
      <c r="D1220" s="103" t="str">
        <f t="shared" si="64"/>
        <v>Std_CFLscw-3way(30w)_60pInc-r0248</v>
      </c>
      <c r="E1220" s="103" t="str">
        <f>IF(LEFT(D1220,3)="Std","Base case cost for mix of 60% Incandescent and 40% CFL lamps for CFL TechID: "&amp;INDEX('Measure &amp; Standard CostIDs'!$C$5:$C$177,A1220),"&lt;from TechID&gt;")</f>
        <v>Base case cost for mix of 60% Incandescent and 40% CFL lamps for CFL TechID: CFLscw-3way(30w)</v>
      </c>
      <c r="F1220" s="103" t="s">
        <v>860</v>
      </c>
      <c r="G1220" s="103" t="s">
        <v>151</v>
      </c>
      <c r="H1220" s="103" t="s">
        <v>861</v>
      </c>
      <c r="I1220" s="103" t="s">
        <v>862</v>
      </c>
      <c r="J1220" s="103" t="s">
        <v>863</v>
      </c>
      <c r="K1220" s="103" t="s">
        <v>864</v>
      </c>
      <c r="L1220" s="103" t="s">
        <v>153</v>
      </c>
      <c r="M1220" s="103" t="s">
        <v>865</v>
      </c>
      <c r="N1220" s="103" t="s">
        <v>866</v>
      </c>
      <c r="O1220" s="103" t="str">
        <f t="shared" si="62"/>
        <v/>
      </c>
      <c r="P1220" s="103" t="s">
        <v>153</v>
      </c>
      <c r="Q1220" s="103" t="s">
        <v>153</v>
      </c>
      <c r="R1220" s="103" t="s">
        <v>153</v>
      </c>
      <c r="S1220" s="103" t="str">
        <f>INDEX('Measure &amp; Standard CostIDs'!$AK$8:$AK$12,B1220)</f>
        <v>Three-pack</v>
      </c>
      <c r="T1220" s="103" t="s">
        <v>867</v>
      </c>
      <c r="U1220" s="103"/>
      <c r="V1220" s="103"/>
      <c r="W1220" s="103">
        <f>ROUND(IF(LEFT(D1220,3)="Std",VLOOKUP(D1220,'Measure &amp; Standard CostIDs'!$S$5:$X$177,1+B1220,FALSE),VLOOKUP(D1220,'Measure &amp; Standard CostIDs'!$C$5:$H$177,1+B1220,FALSE)),2)</f>
        <v>5.4</v>
      </c>
      <c r="X1220" s="103"/>
      <c r="Y1220" s="103"/>
      <c r="Z1220" s="103" t="s">
        <v>868</v>
      </c>
      <c r="AA1220" s="103" t="s">
        <v>874</v>
      </c>
      <c r="AB1220" s="103" t="s">
        <v>153</v>
      </c>
      <c r="AC1220" s="103">
        <v>0</v>
      </c>
      <c r="AD1220" s="156">
        <v>42005</v>
      </c>
      <c r="AE1220" s="103"/>
      <c r="AF1220" s="103" t="s">
        <v>870</v>
      </c>
      <c r="AG1220" s="103" t="s">
        <v>871</v>
      </c>
      <c r="AH1220" s="103" t="s">
        <v>976</v>
      </c>
      <c r="AI1220" s="103">
        <v>0</v>
      </c>
      <c r="AJ1220" s="103"/>
      <c r="AK1220" s="103"/>
      <c r="AL1220" s="103"/>
      <c r="AM1220" s="103"/>
      <c r="AN1220" s="103"/>
      <c r="AO1220" s="103" t="str">
        <f t="shared" si="63"/>
        <v>Std_CFLscw-3way(30w)_60pInc-r0248Three-pack</v>
      </c>
    </row>
    <row r="1221" spans="1:41">
      <c r="A1221" s="177">
        <f>IFERROR(MATCH(D1221,'Measure &amp; Standard CostIDs'!C$5:C$177,0),MATCH(D1221,'Measure &amp; Standard CostIDs'!S$5:S$177,0))</f>
        <v>65</v>
      </c>
      <c r="B1221" s="177">
        <f t="shared" si="65"/>
        <v>4</v>
      </c>
      <c r="C1221" s="103" t="s">
        <v>153</v>
      </c>
      <c r="D1221" s="103" t="str">
        <f t="shared" si="64"/>
        <v>Std_CFLscw-3way(31w)_60pInc-r0248</v>
      </c>
      <c r="E1221" s="103" t="str">
        <f>IF(LEFT(D1221,3)="Std","Base case cost for mix of 60% Incandescent and 40% CFL lamps for CFL TechID: "&amp;INDEX('Measure &amp; Standard CostIDs'!$C$5:$C$177,A1221),"&lt;from TechID&gt;")</f>
        <v>Base case cost for mix of 60% Incandescent and 40% CFL lamps for CFL TechID: CFLscw-3way(31w)</v>
      </c>
      <c r="F1221" s="103" t="s">
        <v>860</v>
      </c>
      <c r="G1221" s="103" t="s">
        <v>151</v>
      </c>
      <c r="H1221" s="103" t="s">
        <v>861</v>
      </c>
      <c r="I1221" s="103" t="s">
        <v>862</v>
      </c>
      <c r="J1221" s="103" t="s">
        <v>863</v>
      </c>
      <c r="K1221" s="103" t="s">
        <v>864</v>
      </c>
      <c r="L1221" s="103" t="s">
        <v>153</v>
      </c>
      <c r="M1221" s="103" t="s">
        <v>865</v>
      </c>
      <c r="N1221" s="103" t="s">
        <v>866</v>
      </c>
      <c r="O1221" s="103" t="str">
        <f t="shared" si="62"/>
        <v/>
      </c>
      <c r="P1221" s="103" t="s">
        <v>153</v>
      </c>
      <c r="Q1221" s="103" t="s">
        <v>153</v>
      </c>
      <c r="R1221" s="103" t="s">
        <v>153</v>
      </c>
      <c r="S1221" s="103" t="str">
        <f>INDEX('Measure &amp; Standard CostIDs'!$AK$8:$AK$12,B1221)</f>
        <v>Three-pack</v>
      </c>
      <c r="T1221" s="103" t="s">
        <v>867</v>
      </c>
      <c r="U1221" s="103"/>
      <c r="V1221" s="103"/>
      <c r="W1221" s="103">
        <f>ROUND(IF(LEFT(D1221,3)="Std",VLOOKUP(D1221,'Measure &amp; Standard CostIDs'!$S$5:$X$177,1+B1221,FALSE),VLOOKUP(D1221,'Measure &amp; Standard CostIDs'!$C$5:$H$177,1+B1221,FALSE)),2)</f>
        <v>5.46</v>
      </c>
      <c r="X1221" s="103"/>
      <c r="Y1221" s="103"/>
      <c r="Z1221" s="103" t="s">
        <v>868</v>
      </c>
      <c r="AA1221" s="103" t="s">
        <v>874</v>
      </c>
      <c r="AB1221" s="103" t="s">
        <v>153</v>
      </c>
      <c r="AC1221" s="103">
        <v>0</v>
      </c>
      <c r="AD1221" s="156">
        <v>42005</v>
      </c>
      <c r="AE1221" s="103"/>
      <c r="AF1221" s="103" t="s">
        <v>870</v>
      </c>
      <c r="AG1221" s="103" t="s">
        <v>871</v>
      </c>
      <c r="AH1221" s="103" t="s">
        <v>976</v>
      </c>
      <c r="AI1221" s="103">
        <v>0</v>
      </c>
      <c r="AJ1221" s="103"/>
      <c r="AK1221" s="103"/>
      <c r="AL1221" s="103"/>
      <c r="AM1221" s="103"/>
      <c r="AN1221" s="103"/>
      <c r="AO1221" s="103" t="str">
        <f t="shared" si="63"/>
        <v>Std_CFLscw-3way(31w)_60pInc-r0248Three-pack</v>
      </c>
    </row>
    <row r="1222" spans="1:41">
      <c r="A1222" s="177">
        <f>IFERROR(MATCH(D1222,'Measure &amp; Standard CostIDs'!C$5:C$177,0),MATCH(D1222,'Measure &amp; Standard CostIDs'!S$5:S$177,0))</f>
        <v>66</v>
      </c>
      <c r="B1222" s="177">
        <f t="shared" si="65"/>
        <v>4</v>
      </c>
      <c r="C1222" s="103" t="s">
        <v>153</v>
      </c>
      <c r="D1222" s="103" t="str">
        <f t="shared" si="64"/>
        <v>Std_CFLscw-3way(32w)_60pInc-r0248</v>
      </c>
      <c r="E1222" s="103" t="str">
        <f>IF(LEFT(D1222,3)="Std","Base case cost for mix of 60% Incandescent and 40% CFL lamps for CFL TechID: "&amp;INDEX('Measure &amp; Standard CostIDs'!$C$5:$C$177,A1222),"&lt;from TechID&gt;")</f>
        <v>Base case cost for mix of 60% Incandescent and 40% CFL lamps for CFL TechID: CFLscw-3way(32w)</v>
      </c>
      <c r="F1222" s="103" t="s">
        <v>860</v>
      </c>
      <c r="G1222" s="103" t="s">
        <v>151</v>
      </c>
      <c r="H1222" s="103" t="s">
        <v>861</v>
      </c>
      <c r="I1222" s="103" t="s">
        <v>862</v>
      </c>
      <c r="J1222" s="103" t="s">
        <v>863</v>
      </c>
      <c r="K1222" s="103" t="s">
        <v>864</v>
      </c>
      <c r="L1222" s="103" t="s">
        <v>153</v>
      </c>
      <c r="M1222" s="103" t="s">
        <v>865</v>
      </c>
      <c r="N1222" s="103" t="s">
        <v>866</v>
      </c>
      <c r="O1222" s="103" t="str">
        <f t="shared" ref="O1222:O1285" si="66">IF(LEFT(D1222,3)="Std","",D1222)</f>
        <v/>
      </c>
      <c r="P1222" s="103" t="s">
        <v>153</v>
      </c>
      <c r="Q1222" s="103" t="s">
        <v>153</v>
      </c>
      <c r="R1222" s="103" t="s">
        <v>153</v>
      </c>
      <c r="S1222" s="103" t="str">
        <f>INDEX('Measure &amp; Standard CostIDs'!$AK$8:$AK$12,B1222)</f>
        <v>Three-pack</v>
      </c>
      <c r="T1222" s="103" t="s">
        <v>867</v>
      </c>
      <c r="U1222" s="103"/>
      <c r="V1222" s="103"/>
      <c r="W1222" s="103">
        <f>ROUND(IF(LEFT(D1222,3)="Std",VLOOKUP(D1222,'Measure &amp; Standard CostIDs'!$S$5:$X$177,1+B1222,FALSE),VLOOKUP(D1222,'Measure &amp; Standard CostIDs'!$C$5:$H$177,1+B1222,FALSE)),2)</f>
        <v>5.52</v>
      </c>
      <c r="X1222" s="103"/>
      <c r="Y1222" s="103"/>
      <c r="Z1222" s="103" t="s">
        <v>868</v>
      </c>
      <c r="AA1222" s="103" t="s">
        <v>874</v>
      </c>
      <c r="AB1222" s="103" t="s">
        <v>153</v>
      </c>
      <c r="AC1222" s="103">
        <v>0</v>
      </c>
      <c r="AD1222" s="156">
        <v>42005</v>
      </c>
      <c r="AE1222" s="103"/>
      <c r="AF1222" s="103" t="s">
        <v>870</v>
      </c>
      <c r="AG1222" s="103" t="s">
        <v>871</v>
      </c>
      <c r="AH1222" s="103" t="s">
        <v>976</v>
      </c>
      <c r="AI1222" s="103">
        <v>0</v>
      </c>
      <c r="AJ1222" s="103"/>
      <c r="AK1222" s="103"/>
      <c r="AL1222" s="103"/>
      <c r="AM1222" s="103"/>
      <c r="AN1222" s="103"/>
      <c r="AO1222" s="103" t="str">
        <f t="shared" ref="AO1222:AO1285" si="67">D1222&amp;S1222</f>
        <v>Std_CFLscw-3way(32w)_60pInc-r0248Three-pack</v>
      </c>
    </row>
    <row r="1223" spans="1:41">
      <c r="A1223" s="177">
        <f>IFERROR(MATCH(D1223,'Measure &amp; Standard CostIDs'!C$5:C$177,0),MATCH(D1223,'Measure &amp; Standard CostIDs'!S$5:S$177,0))</f>
        <v>67</v>
      </c>
      <c r="B1223" s="177">
        <f t="shared" si="65"/>
        <v>4</v>
      </c>
      <c r="C1223" s="103" t="s">
        <v>153</v>
      </c>
      <c r="D1223" s="103" t="str">
        <f t="shared" si="64"/>
        <v>Std_CFLscw-3way(33w)_60pInc-r0248</v>
      </c>
      <c r="E1223" s="103" t="str">
        <f>IF(LEFT(D1223,3)="Std","Base case cost for mix of 60% Incandescent and 40% CFL lamps for CFL TechID: "&amp;INDEX('Measure &amp; Standard CostIDs'!$C$5:$C$177,A1223),"&lt;from TechID&gt;")</f>
        <v>Base case cost for mix of 60% Incandescent and 40% CFL lamps for CFL TechID: CFLscw-3way(33w)</v>
      </c>
      <c r="F1223" s="103" t="s">
        <v>860</v>
      </c>
      <c r="G1223" s="103" t="s">
        <v>151</v>
      </c>
      <c r="H1223" s="103" t="s">
        <v>861</v>
      </c>
      <c r="I1223" s="103" t="s">
        <v>862</v>
      </c>
      <c r="J1223" s="103" t="s">
        <v>863</v>
      </c>
      <c r="K1223" s="103" t="s">
        <v>864</v>
      </c>
      <c r="L1223" s="103" t="s">
        <v>153</v>
      </c>
      <c r="M1223" s="103" t="s">
        <v>865</v>
      </c>
      <c r="N1223" s="103" t="s">
        <v>866</v>
      </c>
      <c r="O1223" s="103" t="str">
        <f t="shared" si="66"/>
        <v/>
      </c>
      <c r="P1223" s="103" t="s">
        <v>153</v>
      </c>
      <c r="Q1223" s="103" t="s">
        <v>153</v>
      </c>
      <c r="R1223" s="103" t="s">
        <v>153</v>
      </c>
      <c r="S1223" s="103" t="str">
        <f>INDEX('Measure &amp; Standard CostIDs'!$AK$8:$AK$12,B1223)</f>
        <v>Three-pack</v>
      </c>
      <c r="T1223" s="103" t="s">
        <v>867</v>
      </c>
      <c r="U1223" s="103"/>
      <c r="V1223" s="103"/>
      <c r="W1223" s="103">
        <f>ROUND(IF(LEFT(D1223,3)="Std",VLOOKUP(D1223,'Measure &amp; Standard CostIDs'!$S$5:$X$177,1+B1223,FALSE),VLOOKUP(D1223,'Measure &amp; Standard CostIDs'!$C$5:$H$177,1+B1223,FALSE)),2)</f>
        <v>5.59</v>
      </c>
      <c r="X1223" s="103"/>
      <c r="Y1223" s="103"/>
      <c r="Z1223" s="103" t="s">
        <v>868</v>
      </c>
      <c r="AA1223" s="103" t="s">
        <v>874</v>
      </c>
      <c r="AB1223" s="103" t="s">
        <v>153</v>
      </c>
      <c r="AC1223" s="103">
        <v>0</v>
      </c>
      <c r="AD1223" s="156">
        <v>42005</v>
      </c>
      <c r="AE1223" s="103"/>
      <c r="AF1223" s="103" t="s">
        <v>870</v>
      </c>
      <c r="AG1223" s="103" t="s">
        <v>871</v>
      </c>
      <c r="AH1223" s="103" t="s">
        <v>976</v>
      </c>
      <c r="AI1223" s="103">
        <v>0</v>
      </c>
      <c r="AJ1223" s="103"/>
      <c r="AK1223" s="103"/>
      <c r="AL1223" s="103"/>
      <c r="AM1223" s="103"/>
      <c r="AN1223" s="103"/>
      <c r="AO1223" s="103" t="str">
        <f t="shared" si="67"/>
        <v>Std_CFLscw-3way(33w)_60pInc-r0248Three-pack</v>
      </c>
    </row>
    <row r="1224" spans="1:41">
      <c r="A1224" s="177">
        <f>IFERROR(MATCH(D1224,'Measure &amp; Standard CostIDs'!C$5:C$177,0),MATCH(D1224,'Measure &amp; Standard CostIDs'!S$5:S$177,0))</f>
        <v>68</v>
      </c>
      <c r="B1224" s="177">
        <f t="shared" si="65"/>
        <v>4</v>
      </c>
      <c r="C1224" s="103" t="s">
        <v>153</v>
      </c>
      <c r="D1224" s="103" t="str">
        <f t="shared" si="64"/>
        <v>Std_CFLscw-3way(40w)_60pInc-r0248</v>
      </c>
      <c r="E1224" s="103" t="str">
        <f>IF(LEFT(D1224,3)="Std","Base case cost for mix of 60% Incandescent and 40% CFL lamps for CFL TechID: "&amp;INDEX('Measure &amp; Standard CostIDs'!$C$5:$C$177,A1224),"&lt;from TechID&gt;")</f>
        <v>Base case cost for mix of 60% Incandescent and 40% CFL lamps for CFL TechID: CFLscw-3way(40w)</v>
      </c>
      <c r="F1224" s="103" t="s">
        <v>860</v>
      </c>
      <c r="G1224" s="103" t="s">
        <v>151</v>
      </c>
      <c r="H1224" s="103" t="s">
        <v>861</v>
      </c>
      <c r="I1224" s="103" t="s">
        <v>862</v>
      </c>
      <c r="J1224" s="103" t="s">
        <v>863</v>
      </c>
      <c r="K1224" s="103" t="s">
        <v>864</v>
      </c>
      <c r="L1224" s="103" t="s">
        <v>153</v>
      </c>
      <c r="M1224" s="103" t="s">
        <v>865</v>
      </c>
      <c r="N1224" s="103" t="s">
        <v>866</v>
      </c>
      <c r="O1224" s="103" t="str">
        <f t="shared" si="66"/>
        <v/>
      </c>
      <c r="P1224" s="103" t="s">
        <v>153</v>
      </c>
      <c r="Q1224" s="103" t="s">
        <v>153</v>
      </c>
      <c r="R1224" s="103" t="s">
        <v>153</v>
      </c>
      <c r="S1224" s="103" t="str">
        <f>INDEX('Measure &amp; Standard CostIDs'!$AK$8:$AK$12,B1224)</f>
        <v>Three-pack</v>
      </c>
      <c r="T1224" s="103" t="s">
        <v>867</v>
      </c>
      <c r="U1224" s="103"/>
      <c r="V1224" s="103"/>
      <c r="W1224" s="103">
        <f>ROUND(IF(LEFT(D1224,3)="Std",VLOOKUP(D1224,'Measure &amp; Standard CostIDs'!$S$5:$X$177,1+B1224,FALSE),VLOOKUP(D1224,'Measure &amp; Standard CostIDs'!$C$5:$H$177,1+B1224,FALSE)),2)</f>
        <v>6.04</v>
      </c>
      <c r="X1224" s="103"/>
      <c r="Y1224" s="103"/>
      <c r="Z1224" s="103" t="s">
        <v>868</v>
      </c>
      <c r="AA1224" s="103" t="s">
        <v>874</v>
      </c>
      <c r="AB1224" s="103" t="s">
        <v>153</v>
      </c>
      <c r="AC1224" s="103">
        <v>0</v>
      </c>
      <c r="AD1224" s="156">
        <v>42005</v>
      </c>
      <c r="AE1224" s="103"/>
      <c r="AF1224" s="103" t="s">
        <v>870</v>
      </c>
      <c r="AG1224" s="103" t="s">
        <v>871</v>
      </c>
      <c r="AH1224" s="103" t="s">
        <v>976</v>
      </c>
      <c r="AI1224" s="103">
        <v>0</v>
      </c>
      <c r="AJ1224" s="103"/>
      <c r="AK1224" s="103"/>
      <c r="AL1224" s="103"/>
      <c r="AM1224" s="103"/>
      <c r="AN1224" s="103"/>
      <c r="AO1224" s="103" t="str">
        <f t="shared" si="67"/>
        <v>Std_CFLscw-3way(40w)_60pInc-r0248Three-pack</v>
      </c>
    </row>
    <row r="1225" spans="1:41">
      <c r="A1225" s="177">
        <f>IFERROR(MATCH(D1225,'Measure &amp; Standard CostIDs'!C$5:C$177,0),MATCH(D1225,'Measure &amp; Standard CostIDs'!S$5:S$177,0))</f>
        <v>69</v>
      </c>
      <c r="B1225" s="177">
        <f t="shared" si="65"/>
        <v>4</v>
      </c>
      <c r="C1225" s="103" t="s">
        <v>153</v>
      </c>
      <c r="D1225" s="103" t="str">
        <f t="shared" si="64"/>
        <v>Std_CFLscw-3way(42w)_60pInc-r0248</v>
      </c>
      <c r="E1225" s="103" t="str">
        <f>IF(LEFT(D1225,3)="Std","Base case cost for mix of 60% Incandescent and 40% CFL lamps for CFL TechID: "&amp;INDEX('Measure &amp; Standard CostIDs'!$C$5:$C$177,A1225),"&lt;from TechID&gt;")</f>
        <v>Base case cost for mix of 60% Incandescent and 40% CFL lamps for CFL TechID: CFLscw-3way(42w)</v>
      </c>
      <c r="F1225" s="103" t="s">
        <v>860</v>
      </c>
      <c r="G1225" s="103" t="s">
        <v>151</v>
      </c>
      <c r="H1225" s="103" t="s">
        <v>861</v>
      </c>
      <c r="I1225" s="103" t="s">
        <v>862</v>
      </c>
      <c r="J1225" s="103" t="s">
        <v>863</v>
      </c>
      <c r="K1225" s="103" t="s">
        <v>864</v>
      </c>
      <c r="L1225" s="103" t="s">
        <v>153</v>
      </c>
      <c r="M1225" s="103" t="s">
        <v>865</v>
      </c>
      <c r="N1225" s="103" t="s">
        <v>866</v>
      </c>
      <c r="O1225" s="103" t="str">
        <f t="shared" si="66"/>
        <v/>
      </c>
      <c r="P1225" s="103" t="s">
        <v>153</v>
      </c>
      <c r="Q1225" s="103" t="s">
        <v>153</v>
      </c>
      <c r="R1225" s="103" t="s">
        <v>153</v>
      </c>
      <c r="S1225" s="103" t="str">
        <f>INDEX('Measure &amp; Standard CostIDs'!$AK$8:$AK$12,B1225)</f>
        <v>Three-pack</v>
      </c>
      <c r="T1225" s="103" t="s">
        <v>867</v>
      </c>
      <c r="U1225" s="103"/>
      <c r="V1225" s="103"/>
      <c r="W1225" s="103">
        <f>ROUND(IF(LEFT(D1225,3)="Std",VLOOKUP(D1225,'Measure &amp; Standard CostIDs'!$S$5:$X$177,1+B1225,FALSE),VLOOKUP(D1225,'Measure &amp; Standard CostIDs'!$C$5:$H$177,1+B1225,FALSE)),2)</f>
        <v>6.17</v>
      </c>
      <c r="X1225" s="103"/>
      <c r="Y1225" s="103"/>
      <c r="Z1225" s="103" t="s">
        <v>868</v>
      </c>
      <c r="AA1225" s="103" t="s">
        <v>874</v>
      </c>
      <c r="AB1225" s="103" t="s">
        <v>153</v>
      </c>
      <c r="AC1225" s="103">
        <v>0</v>
      </c>
      <c r="AD1225" s="156">
        <v>42005</v>
      </c>
      <c r="AE1225" s="103"/>
      <c r="AF1225" s="103" t="s">
        <v>870</v>
      </c>
      <c r="AG1225" s="103" t="s">
        <v>871</v>
      </c>
      <c r="AH1225" s="103" t="s">
        <v>976</v>
      </c>
      <c r="AI1225" s="103">
        <v>0</v>
      </c>
      <c r="AJ1225" s="103"/>
      <c r="AK1225" s="103"/>
      <c r="AL1225" s="103"/>
      <c r="AM1225" s="103"/>
      <c r="AN1225" s="103"/>
      <c r="AO1225" s="103" t="str">
        <f t="shared" si="67"/>
        <v>Std_CFLscw-3way(42w)_60pInc-r0248Three-pack</v>
      </c>
    </row>
    <row r="1226" spans="1:41">
      <c r="A1226" s="177">
        <f>IFERROR(MATCH(D1226,'Measure &amp; Standard CostIDs'!C$5:C$177,0),MATCH(D1226,'Measure &amp; Standard CostIDs'!S$5:S$177,0))</f>
        <v>70</v>
      </c>
      <c r="B1226" s="177">
        <f t="shared" si="65"/>
        <v>4</v>
      </c>
      <c r="C1226" s="103" t="s">
        <v>153</v>
      </c>
      <c r="D1226" s="103" t="str">
        <f t="shared" si="64"/>
        <v>Std_CFLscw-A(10w)_60pInc-r0248</v>
      </c>
      <c r="E1226" s="103" t="str">
        <f>IF(LEFT(D1226,3)="Std","Base case cost for mix of 60% Incandescent and 40% CFL lamps for CFL TechID: "&amp;INDEX('Measure &amp; Standard CostIDs'!$C$5:$C$177,A1226),"&lt;from TechID&gt;")</f>
        <v>Base case cost for mix of 60% Incandescent and 40% CFL lamps for CFL TechID: CFLscw-A(10w)</v>
      </c>
      <c r="F1226" s="103" t="s">
        <v>860</v>
      </c>
      <c r="G1226" s="103" t="s">
        <v>151</v>
      </c>
      <c r="H1226" s="103" t="s">
        <v>861</v>
      </c>
      <c r="I1226" s="103" t="s">
        <v>862</v>
      </c>
      <c r="J1226" s="103" t="s">
        <v>863</v>
      </c>
      <c r="K1226" s="103" t="s">
        <v>864</v>
      </c>
      <c r="L1226" s="103" t="s">
        <v>153</v>
      </c>
      <c r="M1226" s="103" t="s">
        <v>865</v>
      </c>
      <c r="N1226" s="103" t="s">
        <v>866</v>
      </c>
      <c r="O1226" s="103" t="str">
        <f t="shared" si="66"/>
        <v/>
      </c>
      <c r="P1226" s="103" t="s">
        <v>153</v>
      </c>
      <c r="Q1226" s="103" t="s">
        <v>153</v>
      </c>
      <c r="R1226" s="103" t="s">
        <v>153</v>
      </c>
      <c r="S1226" s="103" t="str">
        <f>INDEX('Measure &amp; Standard CostIDs'!$AK$8:$AK$12,B1226)</f>
        <v>Three-pack</v>
      </c>
      <c r="T1226" s="103" t="s">
        <v>867</v>
      </c>
      <c r="U1226" s="103"/>
      <c r="V1226" s="103"/>
      <c r="W1226" s="103">
        <f>ROUND(IF(LEFT(D1226,3)="Std",VLOOKUP(D1226,'Measure &amp; Standard CostIDs'!$S$5:$X$177,1+B1226,FALSE),VLOOKUP(D1226,'Measure &amp; Standard CostIDs'!$C$5:$H$177,1+B1226,FALSE)),2)</f>
        <v>2.21</v>
      </c>
      <c r="X1226" s="103"/>
      <c r="Y1226" s="103"/>
      <c r="Z1226" s="103" t="s">
        <v>868</v>
      </c>
      <c r="AA1226" s="103" t="s">
        <v>874</v>
      </c>
      <c r="AB1226" s="103" t="s">
        <v>153</v>
      </c>
      <c r="AC1226" s="103">
        <v>0</v>
      </c>
      <c r="AD1226" s="156">
        <v>42005</v>
      </c>
      <c r="AE1226" s="103"/>
      <c r="AF1226" s="103" t="s">
        <v>870</v>
      </c>
      <c r="AG1226" s="103" t="s">
        <v>871</v>
      </c>
      <c r="AH1226" s="103" t="s">
        <v>976</v>
      </c>
      <c r="AI1226" s="103">
        <v>0</v>
      </c>
      <c r="AJ1226" s="103"/>
      <c r="AK1226" s="103"/>
      <c r="AL1226" s="103"/>
      <c r="AM1226" s="103"/>
      <c r="AN1226" s="103"/>
      <c r="AO1226" s="103" t="str">
        <f t="shared" si="67"/>
        <v>Std_CFLscw-A(10w)_60pInc-r0248Three-pack</v>
      </c>
    </row>
    <row r="1227" spans="1:41">
      <c r="A1227" s="177">
        <f>IFERROR(MATCH(D1227,'Measure &amp; Standard CostIDs'!C$5:C$177,0),MATCH(D1227,'Measure &amp; Standard CostIDs'!S$5:S$177,0))</f>
        <v>71</v>
      </c>
      <c r="B1227" s="177">
        <f t="shared" si="65"/>
        <v>4</v>
      </c>
      <c r="C1227" s="103" t="s">
        <v>153</v>
      </c>
      <c r="D1227" s="103" t="str">
        <f t="shared" si="64"/>
        <v>Std_CFLscw-A(11w)_60pInc-r0248</v>
      </c>
      <c r="E1227" s="103" t="str">
        <f>IF(LEFT(D1227,3)="Std","Base case cost for mix of 60% Incandescent and 40% CFL lamps for CFL TechID: "&amp;INDEX('Measure &amp; Standard CostIDs'!$C$5:$C$177,A1227),"&lt;from TechID&gt;")</f>
        <v>Base case cost for mix of 60% Incandescent and 40% CFL lamps for CFL TechID: CFLscw-A(11w)</v>
      </c>
      <c r="F1227" s="103" t="s">
        <v>860</v>
      </c>
      <c r="G1227" s="103" t="s">
        <v>151</v>
      </c>
      <c r="H1227" s="103" t="s">
        <v>861</v>
      </c>
      <c r="I1227" s="103" t="s">
        <v>862</v>
      </c>
      <c r="J1227" s="103" t="s">
        <v>863</v>
      </c>
      <c r="K1227" s="103" t="s">
        <v>864</v>
      </c>
      <c r="L1227" s="103" t="s">
        <v>153</v>
      </c>
      <c r="M1227" s="103" t="s">
        <v>865</v>
      </c>
      <c r="N1227" s="103" t="s">
        <v>866</v>
      </c>
      <c r="O1227" s="103" t="str">
        <f t="shared" si="66"/>
        <v/>
      </c>
      <c r="P1227" s="103" t="s">
        <v>153</v>
      </c>
      <c r="Q1227" s="103" t="s">
        <v>153</v>
      </c>
      <c r="R1227" s="103" t="s">
        <v>153</v>
      </c>
      <c r="S1227" s="103" t="str">
        <f>INDEX('Measure &amp; Standard CostIDs'!$AK$8:$AK$12,B1227)</f>
        <v>Three-pack</v>
      </c>
      <c r="T1227" s="103" t="s">
        <v>867</v>
      </c>
      <c r="U1227" s="103"/>
      <c r="V1227" s="103"/>
      <c r="W1227" s="103">
        <f>ROUND(IF(LEFT(D1227,3)="Std",VLOOKUP(D1227,'Measure &amp; Standard CostIDs'!$S$5:$X$177,1+B1227,FALSE),VLOOKUP(D1227,'Measure &amp; Standard CostIDs'!$C$5:$H$177,1+B1227,FALSE)),2)</f>
        <v>2.25</v>
      </c>
      <c r="X1227" s="103"/>
      <c r="Y1227" s="103"/>
      <c r="Z1227" s="103" t="s">
        <v>868</v>
      </c>
      <c r="AA1227" s="103" t="s">
        <v>874</v>
      </c>
      <c r="AB1227" s="103" t="s">
        <v>153</v>
      </c>
      <c r="AC1227" s="103">
        <v>0</v>
      </c>
      <c r="AD1227" s="156">
        <v>42005</v>
      </c>
      <c r="AE1227" s="103"/>
      <c r="AF1227" s="103" t="s">
        <v>870</v>
      </c>
      <c r="AG1227" s="103" t="s">
        <v>871</v>
      </c>
      <c r="AH1227" s="103" t="s">
        <v>976</v>
      </c>
      <c r="AI1227" s="103">
        <v>0</v>
      </c>
      <c r="AJ1227" s="103"/>
      <c r="AK1227" s="103"/>
      <c r="AL1227" s="103"/>
      <c r="AM1227" s="103"/>
      <c r="AN1227" s="103"/>
      <c r="AO1227" s="103" t="str">
        <f t="shared" si="67"/>
        <v>Std_CFLscw-A(11w)_60pInc-r0248Three-pack</v>
      </c>
    </row>
    <row r="1228" spans="1:41">
      <c r="A1228" s="177">
        <f>IFERROR(MATCH(D1228,'Measure &amp; Standard CostIDs'!C$5:C$177,0),MATCH(D1228,'Measure &amp; Standard CostIDs'!S$5:S$177,0))</f>
        <v>72</v>
      </c>
      <c r="B1228" s="177">
        <f t="shared" si="65"/>
        <v>4</v>
      </c>
      <c r="C1228" s="103" t="s">
        <v>153</v>
      </c>
      <c r="D1228" s="103" t="str">
        <f t="shared" si="64"/>
        <v>Std_CFLscw-A(12w)_60pInc-r0248</v>
      </c>
      <c r="E1228" s="103" t="str">
        <f>IF(LEFT(D1228,3)="Std","Base case cost for mix of 60% Incandescent and 40% CFL lamps for CFL TechID: "&amp;INDEX('Measure &amp; Standard CostIDs'!$C$5:$C$177,A1228),"&lt;from TechID&gt;")</f>
        <v>Base case cost for mix of 60% Incandescent and 40% CFL lamps for CFL TechID: CFLscw-A(12w)</v>
      </c>
      <c r="F1228" s="103" t="s">
        <v>860</v>
      </c>
      <c r="G1228" s="103" t="s">
        <v>151</v>
      </c>
      <c r="H1228" s="103" t="s">
        <v>861</v>
      </c>
      <c r="I1228" s="103" t="s">
        <v>862</v>
      </c>
      <c r="J1228" s="103" t="s">
        <v>863</v>
      </c>
      <c r="K1228" s="103" t="s">
        <v>864</v>
      </c>
      <c r="L1228" s="103" t="s">
        <v>153</v>
      </c>
      <c r="M1228" s="103" t="s">
        <v>865</v>
      </c>
      <c r="N1228" s="103" t="s">
        <v>866</v>
      </c>
      <c r="O1228" s="103" t="str">
        <f t="shared" si="66"/>
        <v/>
      </c>
      <c r="P1228" s="103" t="s">
        <v>153</v>
      </c>
      <c r="Q1228" s="103" t="s">
        <v>153</v>
      </c>
      <c r="R1228" s="103" t="s">
        <v>153</v>
      </c>
      <c r="S1228" s="103" t="str">
        <f>INDEX('Measure &amp; Standard CostIDs'!$AK$8:$AK$12,B1228)</f>
        <v>Three-pack</v>
      </c>
      <c r="T1228" s="103" t="s">
        <v>867</v>
      </c>
      <c r="U1228" s="103"/>
      <c r="V1228" s="103"/>
      <c r="W1228" s="103">
        <f>ROUND(IF(LEFT(D1228,3)="Std",VLOOKUP(D1228,'Measure &amp; Standard CostIDs'!$S$5:$X$177,1+B1228,FALSE),VLOOKUP(D1228,'Measure &amp; Standard CostIDs'!$C$5:$H$177,1+B1228,FALSE)),2)</f>
        <v>2.2999999999999998</v>
      </c>
      <c r="X1228" s="103"/>
      <c r="Y1228" s="103"/>
      <c r="Z1228" s="103" t="s">
        <v>868</v>
      </c>
      <c r="AA1228" s="103" t="s">
        <v>874</v>
      </c>
      <c r="AB1228" s="103" t="s">
        <v>153</v>
      </c>
      <c r="AC1228" s="103">
        <v>0</v>
      </c>
      <c r="AD1228" s="156">
        <v>42005</v>
      </c>
      <c r="AE1228" s="103"/>
      <c r="AF1228" s="103" t="s">
        <v>870</v>
      </c>
      <c r="AG1228" s="103" t="s">
        <v>871</v>
      </c>
      <c r="AH1228" s="103" t="s">
        <v>976</v>
      </c>
      <c r="AI1228" s="103">
        <v>0</v>
      </c>
      <c r="AJ1228" s="103"/>
      <c r="AK1228" s="103"/>
      <c r="AL1228" s="103"/>
      <c r="AM1228" s="103"/>
      <c r="AN1228" s="103"/>
      <c r="AO1228" s="103" t="str">
        <f t="shared" si="67"/>
        <v>Std_CFLscw-A(12w)_60pInc-r0248Three-pack</v>
      </c>
    </row>
    <row r="1229" spans="1:41">
      <c r="A1229" s="177">
        <f>IFERROR(MATCH(D1229,'Measure &amp; Standard CostIDs'!C$5:C$177,0),MATCH(D1229,'Measure &amp; Standard CostIDs'!S$5:S$177,0))</f>
        <v>73</v>
      </c>
      <c r="B1229" s="177">
        <f t="shared" si="65"/>
        <v>4</v>
      </c>
      <c r="C1229" s="103" t="s">
        <v>153</v>
      </c>
      <c r="D1229" s="103" t="str">
        <f t="shared" si="64"/>
        <v>Std_CFLscw-A(13w)_60pInc-r0248</v>
      </c>
      <c r="E1229" s="103" t="str">
        <f>IF(LEFT(D1229,3)="Std","Base case cost for mix of 60% Incandescent and 40% CFL lamps for CFL TechID: "&amp;INDEX('Measure &amp; Standard CostIDs'!$C$5:$C$177,A1229),"&lt;from TechID&gt;")</f>
        <v>Base case cost for mix of 60% Incandescent and 40% CFL lamps for CFL TechID: CFLscw-A(13w)</v>
      </c>
      <c r="F1229" s="103" t="s">
        <v>860</v>
      </c>
      <c r="G1229" s="103" t="s">
        <v>151</v>
      </c>
      <c r="H1229" s="103" t="s">
        <v>861</v>
      </c>
      <c r="I1229" s="103" t="s">
        <v>862</v>
      </c>
      <c r="J1229" s="103" t="s">
        <v>863</v>
      </c>
      <c r="K1229" s="103" t="s">
        <v>864</v>
      </c>
      <c r="L1229" s="103" t="s">
        <v>153</v>
      </c>
      <c r="M1229" s="103" t="s">
        <v>865</v>
      </c>
      <c r="N1229" s="103" t="s">
        <v>866</v>
      </c>
      <c r="O1229" s="103" t="str">
        <f t="shared" si="66"/>
        <v/>
      </c>
      <c r="P1229" s="103" t="s">
        <v>153</v>
      </c>
      <c r="Q1229" s="103" t="s">
        <v>153</v>
      </c>
      <c r="R1229" s="103" t="s">
        <v>153</v>
      </c>
      <c r="S1229" s="103" t="str">
        <f>INDEX('Measure &amp; Standard CostIDs'!$AK$8:$AK$12,B1229)</f>
        <v>Three-pack</v>
      </c>
      <c r="T1229" s="103" t="s">
        <v>867</v>
      </c>
      <c r="U1229" s="103"/>
      <c r="V1229" s="103"/>
      <c r="W1229" s="103">
        <f>ROUND(IF(LEFT(D1229,3)="Std",VLOOKUP(D1229,'Measure &amp; Standard CostIDs'!$S$5:$X$177,1+B1229,FALSE),VLOOKUP(D1229,'Measure &amp; Standard CostIDs'!$C$5:$H$177,1+B1229,FALSE)),2)</f>
        <v>2.34</v>
      </c>
      <c r="X1229" s="103"/>
      <c r="Y1229" s="103"/>
      <c r="Z1229" s="103" t="s">
        <v>868</v>
      </c>
      <c r="AA1229" s="103" t="s">
        <v>874</v>
      </c>
      <c r="AB1229" s="103" t="s">
        <v>153</v>
      </c>
      <c r="AC1229" s="103">
        <v>0</v>
      </c>
      <c r="AD1229" s="156">
        <v>42005</v>
      </c>
      <c r="AE1229" s="103"/>
      <c r="AF1229" s="103" t="s">
        <v>870</v>
      </c>
      <c r="AG1229" s="103" t="s">
        <v>871</v>
      </c>
      <c r="AH1229" s="103" t="s">
        <v>976</v>
      </c>
      <c r="AI1229" s="103">
        <v>0</v>
      </c>
      <c r="AJ1229" s="103"/>
      <c r="AK1229" s="103"/>
      <c r="AL1229" s="103"/>
      <c r="AM1229" s="103"/>
      <c r="AN1229" s="103"/>
      <c r="AO1229" s="103" t="str">
        <f t="shared" si="67"/>
        <v>Std_CFLscw-A(13w)_60pInc-r0248Three-pack</v>
      </c>
    </row>
    <row r="1230" spans="1:41">
      <c r="A1230" s="177">
        <f>IFERROR(MATCH(D1230,'Measure &amp; Standard CostIDs'!C$5:C$177,0),MATCH(D1230,'Measure &amp; Standard CostIDs'!S$5:S$177,0))</f>
        <v>74</v>
      </c>
      <c r="B1230" s="177">
        <f t="shared" si="65"/>
        <v>4</v>
      </c>
      <c r="C1230" s="103" t="s">
        <v>153</v>
      </c>
      <c r="D1230" s="103" t="str">
        <f t="shared" si="64"/>
        <v>Std_CFLscw-A(14w)_60pInc-r0248</v>
      </c>
      <c r="E1230" s="103" t="str">
        <f>IF(LEFT(D1230,3)="Std","Base case cost for mix of 60% Incandescent and 40% CFL lamps for CFL TechID: "&amp;INDEX('Measure &amp; Standard CostIDs'!$C$5:$C$177,A1230),"&lt;from TechID&gt;")</f>
        <v>Base case cost for mix of 60% Incandescent and 40% CFL lamps for CFL TechID: CFLscw-A(14w)</v>
      </c>
      <c r="F1230" s="103" t="s">
        <v>860</v>
      </c>
      <c r="G1230" s="103" t="s">
        <v>151</v>
      </c>
      <c r="H1230" s="103" t="s">
        <v>861</v>
      </c>
      <c r="I1230" s="103" t="s">
        <v>862</v>
      </c>
      <c r="J1230" s="103" t="s">
        <v>863</v>
      </c>
      <c r="K1230" s="103" t="s">
        <v>864</v>
      </c>
      <c r="L1230" s="103" t="s">
        <v>153</v>
      </c>
      <c r="M1230" s="103" t="s">
        <v>865</v>
      </c>
      <c r="N1230" s="103" t="s">
        <v>866</v>
      </c>
      <c r="O1230" s="103" t="str">
        <f t="shared" si="66"/>
        <v/>
      </c>
      <c r="P1230" s="103" t="s">
        <v>153</v>
      </c>
      <c r="Q1230" s="103" t="s">
        <v>153</v>
      </c>
      <c r="R1230" s="103" t="s">
        <v>153</v>
      </c>
      <c r="S1230" s="103" t="str">
        <f>INDEX('Measure &amp; Standard CostIDs'!$AK$8:$AK$12,B1230)</f>
        <v>Three-pack</v>
      </c>
      <c r="T1230" s="103" t="s">
        <v>867</v>
      </c>
      <c r="U1230" s="103"/>
      <c r="V1230" s="103"/>
      <c r="W1230" s="103">
        <f>ROUND(IF(LEFT(D1230,3)="Std",VLOOKUP(D1230,'Measure &amp; Standard CostIDs'!$S$5:$X$177,1+B1230,FALSE),VLOOKUP(D1230,'Measure &amp; Standard CostIDs'!$C$5:$H$177,1+B1230,FALSE)),2)</f>
        <v>2.39</v>
      </c>
      <c r="X1230" s="103"/>
      <c r="Y1230" s="103"/>
      <c r="Z1230" s="103" t="s">
        <v>868</v>
      </c>
      <c r="AA1230" s="103" t="s">
        <v>874</v>
      </c>
      <c r="AB1230" s="103" t="s">
        <v>153</v>
      </c>
      <c r="AC1230" s="103">
        <v>0</v>
      </c>
      <c r="AD1230" s="156">
        <v>42005</v>
      </c>
      <c r="AE1230" s="103"/>
      <c r="AF1230" s="103" t="s">
        <v>870</v>
      </c>
      <c r="AG1230" s="103" t="s">
        <v>871</v>
      </c>
      <c r="AH1230" s="103" t="s">
        <v>976</v>
      </c>
      <c r="AI1230" s="103">
        <v>0</v>
      </c>
      <c r="AJ1230" s="103"/>
      <c r="AK1230" s="103"/>
      <c r="AL1230" s="103"/>
      <c r="AM1230" s="103"/>
      <c r="AN1230" s="103"/>
      <c r="AO1230" s="103" t="str">
        <f t="shared" si="67"/>
        <v>Std_CFLscw-A(14w)_60pInc-r0248Three-pack</v>
      </c>
    </row>
    <row r="1231" spans="1:41">
      <c r="A1231" s="177">
        <f>IFERROR(MATCH(D1231,'Measure &amp; Standard CostIDs'!C$5:C$177,0),MATCH(D1231,'Measure &amp; Standard CostIDs'!S$5:S$177,0))</f>
        <v>75</v>
      </c>
      <c r="B1231" s="177">
        <f t="shared" si="65"/>
        <v>4</v>
      </c>
      <c r="C1231" s="103" t="s">
        <v>153</v>
      </c>
      <c r="D1231" s="103" t="str">
        <f t="shared" si="64"/>
        <v>Std_CFLscw-A(15w)_60pInc-r0248</v>
      </c>
      <c r="E1231" s="103" t="str">
        <f>IF(LEFT(D1231,3)="Std","Base case cost for mix of 60% Incandescent and 40% CFL lamps for CFL TechID: "&amp;INDEX('Measure &amp; Standard CostIDs'!$C$5:$C$177,A1231),"&lt;from TechID&gt;")</f>
        <v>Base case cost for mix of 60% Incandescent and 40% CFL lamps for CFL TechID: CFLscw-A(15w)</v>
      </c>
      <c r="F1231" s="103" t="s">
        <v>860</v>
      </c>
      <c r="G1231" s="103" t="s">
        <v>151</v>
      </c>
      <c r="H1231" s="103" t="s">
        <v>861</v>
      </c>
      <c r="I1231" s="103" t="s">
        <v>862</v>
      </c>
      <c r="J1231" s="103" t="s">
        <v>863</v>
      </c>
      <c r="K1231" s="103" t="s">
        <v>864</v>
      </c>
      <c r="L1231" s="103" t="s">
        <v>153</v>
      </c>
      <c r="M1231" s="103" t="s">
        <v>865</v>
      </c>
      <c r="N1231" s="103" t="s">
        <v>866</v>
      </c>
      <c r="O1231" s="103" t="str">
        <f t="shared" si="66"/>
        <v/>
      </c>
      <c r="P1231" s="103" t="s">
        <v>153</v>
      </c>
      <c r="Q1231" s="103" t="s">
        <v>153</v>
      </c>
      <c r="R1231" s="103" t="s">
        <v>153</v>
      </c>
      <c r="S1231" s="103" t="str">
        <f>INDEX('Measure &amp; Standard CostIDs'!$AK$8:$AK$12,B1231)</f>
        <v>Three-pack</v>
      </c>
      <c r="T1231" s="103" t="s">
        <v>867</v>
      </c>
      <c r="U1231" s="103"/>
      <c r="V1231" s="103"/>
      <c r="W1231" s="103">
        <f>ROUND(IF(LEFT(D1231,3)="Std",VLOOKUP(D1231,'Measure &amp; Standard CostIDs'!$S$5:$X$177,1+B1231,FALSE),VLOOKUP(D1231,'Measure &amp; Standard CostIDs'!$C$5:$H$177,1+B1231,FALSE)),2)</f>
        <v>2.4300000000000002</v>
      </c>
      <c r="X1231" s="103"/>
      <c r="Y1231" s="103"/>
      <c r="Z1231" s="103" t="s">
        <v>868</v>
      </c>
      <c r="AA1231" s="103" t="s">
        <v>874</v>
      </c>
      <c r="AB1231" s="103" t="s">
        <v>153</v>
      </c>
      <c r="AC1231" s="103">
        <v>0</v>
      </c>
      <c r="AD1231" s="156">
        <v>42005</v>
      </c>
      <c r="AE1231" s="103"/>
      <c r="AF1231" s="103" t="s">
        <v>870</v>
      </c>
      <c r="AG1231" s="103" t="s">
        <v>871</v>
      </c>
      <c r="AH1231" s="103" t="s">
        <v>976</v>
      </c>
      <c r="AI1231" s="103">
        <v>0</v>
      </c>
      <c r="AJ1231" s="103"/>
      <c r="AK1231" s="103"/>
      <c r="AL1231" s="103"/>
      <c r="AM1231" s="103"/>
      <c r="AN1231" s="103"/>
      <c r="AO1231" s="103" t="str">
        <f t="shared" si="67"/>
        <v>Std_CFLscw-A(15w)_60pInc-r0248Three-pack</v>
      </c>
    </row>
    <row r="1232" spans="1:41">
      <c r="A1232" s="177">
        <f>IFERROR(MATCH(D1232,'Measure &amp; Standard CostIDs'!C$5:C$177,0),MATCH(D1232,'Measure &amp; Standard CostIDs'!S$5:S$177,0))</f>
        <v>76</v>
      </c>
      <c r="B1232" s="177">
        <f t="shared" si="65"/>
        <v>4</v>
      </c>
      <c r="C1232" s="103" t="s">
        <v>153</v>
      </c>
      <c r="D1232" s="103" t="str">
        <f t="shared" ref="D1232:D1295" si="68">+D902</f>
        <v>Std_CFLscw-A(16w)_60pInc-r0248</v>
      </c>
      <c r="E1232" s="103" t="str">
        <f>IF(LEFT(D1232,3)="Std","Base case cost for mix of 60% Incandescent and 40% CFL lamps for CFL TechID: "&amp;INDEX('Measure &amp; Standard CostIDs'!$C$5:$C$177,A1232),"&lt;from TechID&gt;")</f>
        <v>Base case cost for mix of 60% Incandescent and 40% CFL lamps for CFL TechID: CFLscw-A(16w)</v>
      </c>
      <c r="F1232" s="103" t="s">
        <v>860</v>
      </c>
      <c r="G1232" s="103" t="s">
        <v>151</v>
      </c>
      <c r="H1232" s="103" t="s">
        <v>861</v>
      </c>
      <c r="I1232" s="103" t="s">
        <v>862</v>
      </c>
      <c r="J1232" s="103" t="s">
        <v>863</v>
      </c>
      <c r="K1232" s="103" t="s">
        <v>864</v>
      </c>
      <c r="L1232" s="103" t="s">
        <v>153</v>
      </c>
      <c r="M1232" s="103" t="s">
        <v>865</v>
      </c>
      <c r="N1232" s="103" t="s">
        <v>866</v>
      </c>
      <c r="O1232" s="103" t="str">
        <f t="shared" si="66"/>
        <v/>
      </c>
      <c r="P1232" s="103" t="s">
        <v>153</v>
      </c>
      <c r="Q1232" s="103" t="s">
        <v>153</v>
      </c>
      <c r="R1232" s="103" t="s">
        <v>153</v>
      </c>
      <c r="S1232" s="103" t="str">
        <f>INDEX('Measure &amp; Standard CostIDs'!$AK$8:$AK$12,B1232)</f>
        <v>Three-pack</v>
      </c>
      <c r="T1232" s="103" t="s">
        <v>867</v>
      </c>
      <c r="U1232" s="103"/>
      <c r="V1232" s="103"/>
      <c r="W1232" s="103">
        <f>ROUND(IF(LEFT(D1232,3)="Std",VLOOKUP(D1232,'Measure &amp; Standard CostIDs'!$S$5:$X$177,1+B1232,FALSE),VLOOKUP(D1232,'Measure &amp; Standard CostIDs'!$C$5:$H$177,1+B1232,FALSE)),2)</f>
        <v>2.48</v>
      </c>
      <c r="X1232" s="103"/>
      <c r="Y1232" s="103"/>
      <c r="Z1232" s="103" t="s">
        <v>868</v>
      </c>
      <c r="AA1232" s="103" t="s">
        <v>874</v>
      </c>
      <c r="AB1232" s="103" t="s">
        <v>153</v>
      </c>
      <c r="AC1232" s="103">
        <v>0</v>
      </c>
      <c r="AD1232" s="156">
        <v>42005</v>
      </c>
      <c r="AE1232" s="103"/>
      <c r="AF1232" s="103" t="s">
        <v>870</v>
      </c>
      <c r="AG1232" s="103" t="s">
        <v>871</v>
      </c>
      <c r="AH1232" s="103" t="s">
        <v>976</v>
      </c>
      <c r="AI1232" s="103">
        <v>0</v>
      </c>
      <c r="AJ1232" s="103"/>
      <c r="AK1232" s="103"/>
      <c r="AL1232" s="103"/>
      <c r="AM1232" s="103"/>
      <c r="AN1232" s="103"/>
      <c r="AO1232" s="103" t="str">
        <f t="shared" si="67"/>
        <v>Std_CFLscw-A(16w)_60pInc-r0248Three-pack</v>
      </c>
    </row>
    <row r="1233" spans="1:41">
      <c r="A1233" s="177">
        <f>IFERROR(MATCH(D1233,'Measure &amp; Standard CostIDs'!C$5:C$177,0),MATCH(D1233,'Measure &amp; Standard CostIDs'!S$5:S$177,0))</f>
        <v>77</v>
      </c>
      <c r="B1233" s="177">
        <f t="shared" ref="B1233:B1296" si="69">+B903+1</f>
        <v>4</v>
      </c>
      <c r="C1233" s="103" t="s">
        <v>153</v>
      </c>
      <c r="D1233" s="103" t="str">
        <f t="shared" si="68"/>
        <v>Std_CFLscw-A(18w)_60pInc-r0248</v>
      </c>
      <c r="E1233" s="103" t="str">
        <f>IF(LEFT(D1233,3)="Std","Base case cost for mix of 60% Incandescent and 40% CFL lamps for CFL TechID: "&amp;INDEX('Measure &amp; Standard CostIDs'!$C$5:$C$177,A1233),"&lt;from TechID&gt;")</f>
        <v>Base case cost for mix of 60% Incandescent and 40% CFL lamps for CFL TechID: CFLscw-A(18w)</v>
      </c>
      <c r="F1233" s="103" t="s">
        <v>860</v>
      </c>
      <c r="G1233" s="103" t="s">
        <v>151</v>
      </c>
      <c r="H1233" s="103" t="s">
        <v>861</v>
      </c>
      <c r="I1233" s="103" t="s">
        <v>862</v>
      </c>
      <c r="J1233" s="103" t="s">
        <v>863</v>
      </c>
      <c r="K1233" s="103" t="s">
        <v>864</v>
      </c>
      <c r="L1233" s="103" t="s">
        <v>153</v>
      </c>
      <c r="M1233" s="103" t="s">
        <v>865</v>
      </c>
      <c r="N1233" s="103" t="s">
        <v>866</v>
      </c>
      <c r="O1233" s="103" t="str">
        <f t="shared" si="66"/>
        <v/>
      </c>
      <c r="P1233" s="103" t="s">
        <v>153</v>
      </c>
      <c r="Q1233" s="103" t="s">
        <v>153</v>
      </c>
      <c r="R1233" s="103" t="s">
        <v>153</v>
      </c>
      <c r="S1233" s="103" t="str">
        <f>INDEX('Measure &amp; Standard CostIDs'!$AK$8:$AK$12,B1233)</f>
        <v>Three-pack</v>
      </c>
      <c r="T1233" s="103" t="s">
        <v>867</v>
      </c>
      <c r="U1233" s="103"/>
      <c r="V1233" s="103"/>
      <c r="W1233" s="103">
        <f>ROUND(IF(LEFT(D1233,3)="Std",VLOOKUP(D1233,'Measure &amp; Standard CostIDs'!$S$5:$X$177,1+B1233,FALSE),VLOOKUP(D1233,'Measure &amp; Standard CostIDs'!$C$5:$H$177,1+B1233,FALSE)),2)</f>
        <v>2.57</v>
      </c>
      <c r="X1233" s="103"/>
      <c r="Y1233" s="103"/>
      <c r="Z1233" s="103" t="s">
        <v>868</v>
      </c>
      <c r="AA1233" s="103" t="s">
        <v>874</v>
      </c>
      <c r="AB1233" s="103" t="s">
        <v>153</v>
      </c>
      <c r="AC1233" s="103">
        <v>0</v>
      </c>
      <c r="AD1233" s="156">
        <v>42005</v>
      </c>
      <c r="AE1233" s="103"/>
      <c r="AF1233" s="103" t="s">
        <v>870</v>
      </c>
      <c r="AG1233" s="103" t="s">
        <v>871</v>
      </c>
      <c r="AH1233" s="103" t="s">
        <v>976</v>
      </c>
      <c r="AI1233" s="103">
        <v>0</v>
      </c>
      <c r="AJ1233" s="103"/>
      <c r="AK1233" s="103"/>
      <c r="AL1233" s="103"/>
      <c r="AM1233" s="103"/>
      <c r="AN1233" s="103"/>
      <c r="AO1233" s="103" t="str">
        <f t="shared" si="67"/>
        <v>Std_CFLscw-A(18w)_60pInc-r0248Three-pack</v>
      </c>
    </row>
    <row r="1234" spans="1:41">
      <c r="A1234" s="177">
        <f>IFERROR(MATCH(D1234,'Measure &amp; Standard CostIDs'!C$5:C$177,0),MATCH(D1234,'Measure &amp; Standard CostIDs'!S$5:S$177,0))</f>
        <v>78</v>
      </c>
      <c r="B1234" s="177">
        <f t="shared" si="69"/>
        <v>4</v>
      </c>
      <c r="C1234" s="103" t="s">
        <v>153</v>
      </c>
      <c r="D1234" s="103" t="str">
        <f t="shared" si="68"/>
        <v>Std_CFLscw-A(19w)_60pInc-r0248</v>
      </c>
      <c r="E1234" s="103" t="str">
        <f>IF(LEFT(D1234,3)="Std","Base case cost for mix of 60% Incandescent and 40% CFL lamps for CFL TechID: "&amp;INDEX('Measure &amp; Standard CostIDs'!$C$5:$C$177,A1234),"&lt;from TechID&gt;")</f>
        <v>Base case cost for mix of 60% Incandescent and 40% CFL lamps for CFL TechID: CFLscw-A(19w)</v>
      </c>
      <c r="F1234" s="103" t="s">
        <v>860</v>
      </c>
      <c r="G1234" s="103" t="s">
        <v>151</v>
      </c>
      <c r="H1234" s="103" t="s">
        <v>861</v>
      </c>
      <c r="I1234" s="103" t="s">
        <v>862</v>
      </c>
      <c r="J1234" s="103" t="s">
        <v>863</v>
      </c>
      <c r="K1234" s="103" t="s">
        <v>864</v>
      </c>
      <c r="L1234" s="103" t="s">
        <v>153</v>
      </c>
      <c r="M1234" s="103" t="s">
        <v>865</v>
      </c>
      <c r="N1234" s="103" t="s">
        <v>866</v>
      </c>
      <c r="O1234" s="103" t="str">
        <f t="shared" si="66"/>
        <v/>
      </c>
      <c r="P1234" s="103" t="s">
        <v>153</v>
      </c>
      <c r="Q1234" s="103" t="s">
        <v>153</v>
      </c>
      <c r="R1234" s="103" t="s">
        <v>153</v>
      </c>
      <c r="S1234" s="103" t="str">
        <f>INDEX('Measure &amp; Standard CostIDs'!$AK$8:$AK$12,B1234)</f>
        <v>Three-pack</v>
      </c>
      <c r="T1234" s="103" t="s">
        <v>867</v>
      </c>
      <c r="U1234" s="103"/>
      <c r="V1234" s="103"/>
      <c r="W1234" s="103">
        <f>ROUND(IF(LEFT(D1234,3)="Std",VLOOKUP(D1234,'Measure &amp; Standard CostIDs'!$S$5:$X$177,1+B1234,FALSE),VLOOKUP(D1234,'Measure &amp; Standard CostIDs'!$C$5:$H$177,1+B1234,FALSE)),2)</f>
        <v>2.62</v>
      </c>
      <c r="X1234" s="103"/>
      <c r="Y1234" s="103"/>
      <c r="Z1234" s="103" t="s">
        <v>868</v>
      </c>
      <c r="AA1234" s="103" t="s">
        <v>874</v>
      </c>
      <c r="AB1234" s="103" t="s">
        <v>153</v>
      </c>
      <c r="AC1234" s="103">
        <v>0</v>
      </c>
      <c r="AD1234" s="156">
        <v>42005</v>
      </c>
      <c r="AE1234" s="103"/>
      <c r="AF1234" s="103" t="s">
        <v>870</v>
      </c>
      <c r="AG1234" s="103" t="s">
        <v>871</v>
      </c>
      <c r="AH1234" s="103" t="s">
        <v>976</v>
      </c>
      <c r="AI1234" s="103">
        <v>0</v>
      </c>
      <c r="AJ1234" s="103"/>
      <c r="AK1234" s="103"/>
      <c r="AL1234" s="103"/>
      <c r="AM1234" s="103"/>
      <c r="AN1234" s="103"/>
      <c r="AO1234" s="103" t="str">
        <f t="shared" si="67"/>
        <v>Std_CFLscw-A(19w)_60pInc-r0248Three-pack</v>
      </c>
    </row>
    <row r="1235" spans="1:41">
      <c r="A1235" s="177">
        <f>IFERROR(MATCH(D1235,'Measure &amp; Standard CostIDs'!C$5:C$177,0),MATCH(D1235,'Measure &amp; Standard CostIDs'!S$5:S$177,0))</f>
        <v>79</v>
      </c>
      <c r="B1235" s="177">
        <f t="shared" si="69"/>
        <v>4</v>
      </c>
      <c r="C1235" s="103" t="s">
        <v>153</v>
      </c>
      <c r="D1235" s="103" t="str">
        <f t="shared" si="68"/>
        <v>Std_CFLscw-A(20w)_60pInc-r0248</v>
      </c>
      <c r="E1235" s="103" t="str">
        <f>IF(LEFT(D1235,3)="Std","Base case cost for mix of 60% Incandescent and 40% CFL lamps for CFL TechID: "&amp;INDEX('Measure &amp; Standard CostIDs'!$C$5:$C$177,A1235),"&lt;from TechID&gt;")</f>
        <v>Base case cost for mix of 60% Incandescent and 40% CFL lamps for CFL TechID: CFLscw-A(20w)</v>
      </c>
      <c r="F1235" s="103" t="s">
        <v>860</v>
      </c>
      <c r="G1235" s="103" t="s">
        <v>151</v>
      </c>
      <c r="H1235" s="103" t="s">
        <v>861</v>
      </c>
      <c r="I1235" s="103" t="s">
        <v>862</v>
      </c>
      <c r="J1235" s="103" t="s">
        <v>863</v>
      </c>
      <c r="K1235" s="103" t="s">
        <v>864</v>
      </c>
      <c r="L1235" s="103" t="s">
        <v>153</v>
      </c>
      <c r="M1235" s="103" t="s">
        <v>865</v>
      </c>
      <c r="N1235" s="103" t="s">
        <v>866</v>
      </c>
      <c r="O1235" s="103" t="str">
        <f t="shared" si="66"/>
        <v/>
      </c>
      <c r="P1235" s="103" t="s">
        <v>153</v>
      </c>
      <c r="Q1235" s="103" t="s">
        <v>153</v>
      </c>
      <c r="R1235" s="103" t="s">
        <v>153</v>
      </c>
      <c r="S1235" s="103" t="str">
        <f>INDEX('Measure &amp; Standard CostIDs'!$AK$8:$AK$12,B1235)</f>
        <v>Three-pack</v>
      </c>
      <c r="T1235" s="103" t="s">
        <v>867</v>
      </c>
      <c r="U1235" s="103"/>
      <c r="V1235" s="103"/>
      <c r="W1235" s="103">
        <f>ROUND(IF(LEFT(D1235,3)="Std",VLOOKUP(D1235,'Measure &amp; Standard CostIDs'!$S$5:$X$177,1+B1235,FALSE),VLOOKUP(D1235,'Measure &amp; Standard CostIDs'!$C$5:$H$177,1+B1235,FALSE)),2)</f>
        <v>2.66</v>
      </c>
      <c r="X1235" s="103"/>
      <c r="Y1235" s="103"/>
      <c r="Z1235" s="103" t="s">
        <v>868</v>
      </c>
      <c r="AA1235" s="103" t="s">
        <v>874</v>
      </c>
      <c r="AB1235" s="103" t="s">
        <v>153</v>
      </c>
      <c r="AC1235" s="103">
        <v>0</v>
      </c>
      <c r="AD1235" s="156">
        <v>42005</v>
      </c>
      <c r="AE1235" s="103"/>
      <c r="AF1235" s="103" t="s">
        <v>870</v>
      </c>
      <c r="AG1235" s="103" t="s">
        <v>871</v>
      </c>
      <c r="AH1235" s="103" t="s">
        <v>976</v>
      </c>
      <c r="AI1235" s="103">
        <v>0</v>
      </c>
      <c r="AJ1235" s="103"/>
      <c r="AK1235" s="103"/>
      <c r="AL1235" s="103"/>
      <c r="AM1235" s="103"/>
      <c r="AN1235" s="103"/>
      <c r="AO1235" s="103" t="str">
        <f t="shared" si="67"/>
        <v>Std_CFLscw-A(20w)_60pInc-r0248Three-pack</v>
      </c>
    </row>
    <row r="1236" spans="1:41">
      <c r="A1236" s="177">
        <f>IFERROR(MATCH(D1236,'Measure &amp; Standard CostIDs'!C$5:C$177,0),MATCH(D1236,'Measure &amp; Standard CostIDs'!S$5:S$177,0))</f>
        <v>80</v>
      </c>
      <c r="B1236" s="177">
        <f t="shared" si="69"/>
        <v>4</v>
      </c>
      <c r="C1236" s="103" t="s">
        <v>153</v>
      </c>
      <c r="D1236" s="103" t="str">
        <f t="shared" si="68"/>
        <v>Std_CFLscw-A(22w)_60pInc-r0248</v>
      </c>
      <c r="E1236" s="103" t="str">
        <f>IF(LEFT(D1236,3)="Std","Base case cost for mix of 60% Incandescent and 40% CFL lamps for CFL TechID: "&amp;INDEX('Measure &amp; Standard CostIDs'!$C$5:$C$177,A1236),"&lt;from TechID&gt;")</f>
        <v>Base case cost for mix of 60% Incandescent and 40% CFL lamps for CFL TechID: CFLscw-A(22w)</v>
      </c>
      <c r="F1236" s="103" t="s">
        <v>860</v>
      </c>
      <c r="G1236" s="103" t="s">
        <v>151</v>
      </c>
      <c r="H1236" s="103" t="s">
        <v>861</v>
      </c>
      <c r="I1236" s="103" t="s">
        <v>862</v>
      </c>
      <c r="J1236" s="103" t="s">
        <v>863</v>
      </c>
      <c r="K1236" s="103" t="s">
        <v>864</v>
      </c>
      <c r="L1236" s="103" t="s">
        <v>153</v>
      </c>
      <c r="M1236" s="103" t="s">
        <v>865</v>
      </c>
      <c r="N1236" s="103" t="s">
        <v>866</v>
      </c>
      <c r="O1236" s="103" t="str">
        <f t="shared" si="66"/>
        <v/>
      </c>
      <c r="P1236" s="103" t="s">
        <v>153</v>
      </c>
      <c r="Q1236" s="103" t="s">
        <v>153</v>
      </c>
      <c r="R1236" s="103" t="s">
        <v>153</v>
      </c>
      <c r="S1236" s="103" t="str">
        <f>INDEX('Measure &amp; Standard CostIDs'!$AK$8:$AK$12,B1236)</f>
        <v>Three-pack</v>
      </c>
      <c r="T1236" s="103" t="s">
        <v>867</v>
      </c>
      <c r="U1236" s="103"/>
      <c r="V1236" s="103"/>
      <c r="W1236" s="103">
        <f>ROUND(IF(LEFT(D1236,3)="Std",VLOOKUP(D1236,'Measure &amp; Standard CostIDs'!$S$5:$X$177,1+B1236,FALSE),VLOOKUP(D1236,'Measure &amp; Standard CostIDs'!$C$5:$H$177,1+B1236,FALSE)),2)</f>
        <v>2.75</v>
      </c>
      <c r="X1236" s="103"/>
      <c r="Y1236" s="103"/>
      <c r="Z1236" s="103" t="s">
        <v>868</v>
      </c>
      <c r="AA1236" s="103" t="s">
        <v>874</v>
      </c>
      <c r="AB1236" s="103" t="s">
        <v>153</v>
      </c>
      <c r="AC1236" s="103">
        <v>0</v>
      </c>
      <c r="AD1236" s="156">
        <v>42005</v>
      </c>
      <c r="AE1236" s="103"/>
      <c r="AF1236" s="103" t="s">
        <v>870</v>
      </c>
      <c r="AG1236" s="103" t="s">
        <v>871</v>
      </c>
      <c r="AH1236" s="103" t="s">
        <v>976</v>
      </c>
      <c r="AI1236" s="103">
        <v>0</v>
      </c>
      <c r="AJ1236" s="103"/>
      <c r="AK1236" s="103"/>
      <c r="AL1236" s="103"/>
      <c r="AM1236" s="103"/>
      <c r="AN1236" s="103"/>
      <c r="AO1236" s="103" t="str">
        <f t="shared" si="67"/>
        <v>Std_CFLscw-A(22w)_60pInc-r0248Three-pack</v>
      </c>
    </row>
    <row r="1237" spans="1:41">
      <c r="A1237" s="177">
        <f>IFERROR(MATCH(D1237,'Measure &amp; Standard CostIDs'!C$5:C$177,0),MATCH(D1237,'Measure &amp; Standard CostIDs'!S$5:S$177,0))</f>
        <v>81</v>
      </c>
      <c r="B1237" s="177">
        <f t="shared" si="69"/>
        <v>4</v>
      </c>
      <c r="C1237" s="103" t="s">
        <v>153</v>
      </c>
      <c r="D1237" s="103" t="str">
        <f t="shared" si="68"/>
        <v>Std_CFLscw-A(23w)_60pInc-r0248</v>
      </c>
      <c r="E1237" s="103" t="str">
        <f>IF(LEFT(D1237,3)="Std","Base case cost for mix of 60% Incandescent and 40% CFL lamps for CFL TechID: "&amp;INDEX('Measure &amp; Standard CostIDs'!$C$5:$C$177,A1237),"&lt;from TechID&gt;")</f>
        <v>Base case cost for mix of 60% Incandescent and 40% CFL lamps for CFL TechID: CFLscw-A(23w)</v>
      </c>
      <c r="F1237" s="103" t="s">
        <v>860</v>
      </c>
      <c r="G1237" s="103" t="s">
        <v>151</v>
      </c>
      <c r="H1237" s="103" t="s">
        <v>861</v>
      </c>
      <c r="I1237" s="103" t="s">
        <v>862</v>
      </c>
      <c r="J1237" s="103" t="s">
        <v>863</v>
      </c>
      <c r="K1237" s="103" t="s">
        <v>864</v>
      </c>
      <c r="L1237" s="103" t="s">
        <v>153</v>
      </c>
      <c r="M1237" s="103" t="s">
        <v>865</v>
      </c>
      <c r="N1237" s="103" t="s">
        <v>866</v>
      </c>
      <c r="O1237" s="103" t="str">
        <f t="shared" si="66"/>
        <v/>
      </c>
      <c r="P1237" s="103" t="s">
        <v>153</v>
      </c>
      <c r="Q1237" s="103" t="s">
        <v>153</v>
      </c>
      <c r="R1237" s="103" t="s">
        <v>153</v>
      </c>
      <c r="S1237" s="103" t="str">
        <f>INDEX('Measure &amp; Standard CostIDs'!$AK$8:$AK$12,B1237)</f>
        <v>Three-pack</v>
      </c>
      <c r="T1237" s="103" t="s">
        <v>867</v>
      </c>
      <c r="U1237" s="103"/>
      <c r="V1237" s="103"/>
      <c r="W1237" s="103">
        <f>ROUND(IF(LEFT(D1237,3)="Std",VLOOKUP(D1237,'Measure &amp; Standard CostIDs'!$S$5:$X$177,1+B1237,FALSE),VLOOKUP(D1237,'Measure &amp; Standard CostIDs'!$C$5:$H$177,1+B1237,FALSE)),2)</f>
        <v>2.78</v>
      </c>
      <c r="X1237" s="103"/>
      <c r="Y1237" s="103"/>
      <c r="Z1237" s="103" t="s">
        <v>868</v>
      </c>
      <c r="AA1237" s="103" t="s">
        <v>874</v>
      </c>
      <c r="AB1237" s="103" t="s">
        <v>153</v>
      </c>
      <c r="AC1237" s="103">
        <v>0</v>
      </c>
      <c r="AD1237" s="156">
        <v>42005</v>
      </c>
      <c r="AE1237" s="103"/>
      <c r="AF1237" s="103" t="s">
        <v>870</v>
      </c>
      <c r="AG1237" s="103" t="s">
        <v>871</v>
      </c>
      <c r="AH1237" s="103" t="s">
        <v>976</v>
      </c>
      <c r="AI1237" s="103">
        <v>0</v>
      </c>
      <c r="AJ1237" s="103"/>
      <c r="AK1237" s="103"/>
      <c r="AL1237" s="103"/>
      <c r="AM1237" s="103"/>
      <c r="AN1237" s="103"/>
      <c r="AO1237" s="103" t="str">
        <f t="shared" si="67"/>
        <v>Std_CFLscw-A(23w)_60pInc-r0248Three-pack</v>
      </c>
    </row>
    <row r="1238" spans="1:41">
      <c r="A1238" s="177">
        <f>IFERROR(MATCH(D1238,'Measure &amp; Standard CostIDs'!C$5:C$177,0),MATCH(D1238,'Measure &amp; Standard CostIDs'!S$5:S$177,0))</f>
        <v>82</v>
      </c>
      <c r="B1238" s="177">
        <f t="shared" si="69"/>
        <v>4</v>
      </c>
      <c r="C1238" s="103" t="s">
        <v>153</v>
      </c>
      <c r="D1238" s="103" t="str">
        <f t="shared" si="68"/>
        <v>Std_CFLscw-A(24w)_60pInc-r0248</v>
      </c>
      <c r="E1238" s="103" t="str">
        <f>IF(LEFT(D1238,3)="Std","Base case cost for mix of 60% Incandescent and 40% CFL lamps for CFL TechID: "&amp;INDEX('Measure &amp; Standard CostIDs'!$C$5:$C$177,A1238),"&lt;from TechID&gt;")</f>
        <v>Base case cost for mix of 60% Incandescent and 40% CFL lamps for CFL TechID: CFLscw-A(24w)</v>
      </c>
      <c r="F1238" s="103" t="s">
        <v>860</v>
      </c>
      <c r="G1238" s="103" t="s">
        <v>151</v>
      </c>
      <c r="H1238" s="103" t="s">
        <v>861</v>
      </c>
      <c r="I1238" s="103" t="s">
        <v>862</v>
      </c>
      <c r="J1238" s="103" t="s">
        <v>863</v>
      </c>
      <c r="K1238" s="103" t="s">
        <v>864</v>
      </c>
      <c r="L1238" s="103" t="s">
        <v>153</v>
      </c>
      <c r="M1238" s="103" t="s">
        <v>865</v>
      </c>
      <c r="N1238" s="103" t="s">
        <v>866</v>
      </c>
      <c r="O1238" s="103" t="str">
        <f t="shared" si="66"/>
        <v/>
      </c>
      <c r="P1238" s="103" t="s">
        <v>153</v>
      </c>
      <c r="Q1238" s="103" t="s">
        <v>153</v>
      </c>
      <c r="R1238" s="103" t="s">
        <v>153</v>
      </c>
      <c r="S1238" s="103" t="str">
        <f>INDEX('Measure &amp; Standard CostIDs'!$AK$8:$AK$12,B1238)</f>
        <v>Three-pack</v>
      </c>
      <c r="T1238" s="103" t="s">
        <v>867</v>
      </c>
      <c r="U1238" s="103"/>
      <c r="V1238" s="103"/>
      <c r="W1238" s="103">
        <f>ROUND(IF(LEFT(D1238,3)="Std",VLOOKUP(D1238,'Measure &amp; Standard CostIDs'!$S$5:$X$177,1+B1238,FALSE),VLOOKUP(D1238,'Measure &amp; Standard CostIDs'!$C$5:$H$177,1+B1238,FALSE)),2)</f>
        <v>2.8</v>
      </c>
      <c r="X1238" s="103"/>
      <c r="Y1238" s="103"/>
      <c r="Z1238" s="103" t="s">
        <v>868</v>
      </c>
      <c r="AA1238" s="103" t="s">
        <v>874</v>
      </c>
      <c r="AB1238" s="103" t="s">
        <v>153</v>
      </c>
      <c r="AC1238" s="103">
        <v>0</v>
      </c>
      <c r="AD1238" s="156">
        <v>42005</v>
      </c>
      <c r="AE1238" s="103"/>
      <c r="AF1238" s="103" t="s">
        <v>870</v>
      </c>
      <c r="AG1238" s="103" t="s">
        <v>871</v>
      </c>
      <c r="AH1238" s="103" t="s">
        <v>976</v>
      </c>
      <c r="AI1238" s="103">
        <v>0</v>
      </c>
      <c r="AJ1238" s="103"/>
      <c r="AK1238" s="103"/>
      <c r="AL1238" s="103"/>
      <c r="AM1238" s="103"/>
      <c r="AN1238" s="103"/>
      <c r="AO1238" s="103" t="str">
        <f t="shared" si="67"/>
        <v>Std_CFLscw-A(24w)_60pInc-r0248Three-pack</v>
      </c>
    </row>
    <row r="1239" spans="1:41">
      <c r="A1239" s="177">
        <f>IFERROR(MATCH(D1239,'Measure &amp; Standard CostIDs'!C$5:C$177,0),MATCH(D1239,'Measure &amp; Standard CostIDs'!S$5:S$177,0))</f>
        <v>83</v>
      </c>
      <c r="B1239" s="177">
        <f t="shared" si="69"/>
        <v>4</v>
      </c>
      <c r="C1239" s="103" t="s">
        <v>153</v>
      </c>
      <c r="D1239" s="103" t="str">
        <f t="shared" si="68"/>
        <v>Std_CFLscw-A(25w)_60pInc-r0248</v>
      </c>
      <c r="E1239" s="103" t="str">
        <f>IF(LEFT(D1239,3)="Std","Base case cost for mix of 60% Incandescent and 40% CFL lamps for CFL TechID: "&amp;INDEX('Measure &amp; Standard CostIDs'!$C$5:$C$177,A1239),"&lt;from TechID&gt;")</f>
        <v>Base case cost for mix of 60% Incandescent and 40% CFL lamps for CFL TechID: CFLscw-A(25w)</v>
      </c>
      <c r="F1239" s="103" t="s">
        <v>860</v>
      </c>
      <c r="G1239" s="103" t="s">
        <v>151</v>
      </c>
      <c r="H1239" s="103" t="s">
        <v>861</v>
      </c>
      <c r="I1239" s="103" t="s">
        <v>862</v>
      </c>
      <c r="J1239" s="103" t="s">
        <v>863</v>
      </c>
      <c r="K1239" s="103" t="s">
        <v>864</v>
      </c>
      <c r="L1239" s="103" t="s">
        <v>153</v>
      </c>
      <c r="M1239" s="103" t="s">
        <v>865</v>
      </c>
      <c r="N1239" s="103" t="s">
        <v>866</v>
      </c>
      <c r="O1239" s="103" t="str">
        <f t="shared" si="66"/>
        <v/>
      </c>
      <c r="P1239" s="103" t="s">
        <v>153</v>
      </c>
      <c r="Q1239" s="103" t="s">
        <v>153</v>
      </c>
      <c r="R1239" s="103" t="s">
        <v>153</v>
      </c>
      <c r="S1239" s="103" t="str">
        <f>INDEX('Measure &amp; Standard CostIDs'!$AK$8:$AK$12,B1239)</f>
        <v>Three-pack</v>
      </c>
      <c r="T1239" s="103" t="s">
        <v>867</v>
      </c>
      <c r="U1239" s="103"/>
      <c r="V1239" s="103"/>
      <c r="W1239" s="103">
        <f>ROUND(IF(LEFT(D1239,3)="Std",VLOOKUP(D1239,'Measure &amp; Standard CostIDs'!$S$5:$X$177,1+B1239,FALSE),VLOOKUP(D1239,'Measure &amp; Standard CostIDs'!$C$5:$H$177,1+B1239,FALSE)),2)</f>
        <v>2.83</v>
      </c>
      <c r="X1239" s="103"/>
      <c r="Y1239" s="103"/>
      <c r="Z1239" s="103" t="s">
        <v>868</v>
      </c>
      <c r="AA1239" s="103" t="s">
        <v>874</v>
      </c>
      <c r="AB1239" s="103" t="s">
        <v>153</v>
      </c>
      <c r="AC1239" s="103">
        <v>0</v>
      </c>
      <c r="AD1239" s="156">
        <v>42005</v>
      </c>
      <c r="AE1239" s="103"/>
      <c r="AF1239" s="103" t="s">
        <v>870</v>
      </c>
      <c r="AG1239" s="103" t="s">
        <v>871</v>
      </c>
      <c r="AH1239" s="103" t="s">
        <v>976</v>
      </c>
      <c r="AI1239" s="103">
        <v>0</v>
      </c>
      <c r="AJ1239" s="103"/>
      <c r="AK1239" s="103"/>
      <c r="AL1239" s="103"/>
      <c r="AM1239" s="103"/>
      <c r="AN1239" s="103"/>
      <c r="AO1239" s="103" t="str">
        <f t="shared" si="67"/>
        <v>Std_CFLscw-A(25w)_60pInc-r0248Three-pack</v>
      </c>
    </row>
    <row r="1240" spans="1:41">
      <c r="A1240" s="177">
        <f>IFERROR(MATCH(D1240,'Measure &amp; Standard CostIDs'!C$5:C$177,0),MATCH(D1240,'Measure &amp; Standard CostIDs'!S$5:S$177,0))</f>
        <v>84</v>
      </c>
      <c r="B1240" s="177">
        <f t="shared" si="69"/>
        <v>4</v>
      </c>
      <c r="C1240" s="103" t="s">
        <v>153</v>
      </c>
      <c r="D1240" s="103" t="str">
        <f t="shared" si="68"/>
        <v>Std_CFLscw-A(26w)_60pInc-r0248</v>
      </c>
      <c r="E1240" s="103" t="str">
        <f>IF(LEFT(D1240,3)="Std","Base case cost for mix of 60% Incandescent and 40% CFL lamps for CFL TechID: "&amp;INDEX('Measure &amp; Standard CostIDs'!$C$5:$C$177,A1240),"&lt;from TechID&gt;")</f>
        <v>Base case cost for mix of 60% Incandescent and 40% CFL lamps for CFL TechID: CFLscw-A(26w)</v>
      </c>
      <c r="F1240" s="103" t="s">
        <v>860</v>
      </c>
      <c r="G1240" s="103" t="s">
        <v>151</v>
      </c>
      <c r="H1240" s="103" t="s">
        <v>861</v>
      </c>
      <c r="I1240" s="103" t="s">
        <v>862</v>
      </c>
      <c r="J1240" s="103" t="s">
        <v>863</v>
      </c>
      <c r="K1240" s="103" t="s">
        <v>864</v>
      </c>
      <c r="L1240" s="103" t="s">
        <v>153</v>
      </c>
      <c r="M1240" s="103" t="s">
        <v>865</v>
      </c>
      <c r="N1240" s="103" t="s">
        <v>866</v>
      </c>
      <c r="O1240" s="103" t="str">
        <f t="shared" si="66"/>
        <v/>
      </c>
      <c r="P1240" s="103" t="s">
        <v>153</v>
      </c>
      <c r="Q1240" s="103" t="s">
        <v>153</v>
      </c>
      <c r="R1240" s="103" t="s">
        <v>153</v>
      </c>
      <c r="S1240" s="103" t="str">
        <f>INDEX('Measure &amp; Standard CostIDs'!$AK$8:$AK$12,B1240)</f>
        <v>Three-pack</v>
      </c>
      <c r="T1240" s="103" t="s">
        <v>867</v>
      </c>
      <c r="U1240" s="103"/>
      <c r="V1240" s="103"/>
      <c r="W1240" s="103">
        <f>ROUND(IF(LEFT(D1240,3)="Std",VLOOKUP(D1240,'Measure &amp; Standard CostIDs'!$S$5:$X$177,1+B1240,FALSE),VLOOKUP(D1240,'Measure &amp; Standard CostIDs'!$C$5:$H$177,1+B1240,FALSE)),2)</f>
        <v>2.89</v>
      </c>
      <c r="X1240" s="103"/>
      <c r="Y1240" s="103"/>
      <c r="Z1240" s="103" t="s">
        <v>868</v>
      </c>
      <c r="AA1240" s="103" t="s">
        <v>874</v>
      </c>
      <c r="AB1240" s="103" t="s">
        <v>153</v>
      </c>
      <c r="AC1240" s="103">
        <v>0</v>
      </c>
      <c r="AD1240" s="156">
        <v>42005</v>
      </c>
      <c r="AE1240" s="103"/>
      <c r="AF1240" s="103" t="s">
        <v>870</v>
      </c>
      <c r="AG1240" s="103" t="s">
        <v>871</v>
      </c>
      <c r="AH1240" s="103" t="s">
        <v>976</v>
      </c>
      <c r="AI1240" s="103">
        <v>0</v>
      </c>
      <c r="AJ1240" s="103"/>
      <c r="AK1240" s="103"/>
      <c r="AL1240" s="103"/>
      <c r="AM1240" s="103"/>
      <c r="AN1240" s="103"/>
      <c r="AO1240" s="103" t="str">
        <f t="shared" si="67"/>
        <v>Std_CFLscw-A(26w)_60pInc-r0248Three-pack</v>
      </c>
    </row>
    <row r="1241" spans="1:41">
      <c r="A1241" s="177">
        <f>IFERROR(MATCH(D1241,'Measure &amp; Standard CostIDs'!C$5:C$177,0),MATCH(D1241,'Measure &amp; Standard CostIDs'!S$5:S$177,0))</f>
        <v>85</v>
      </c>
      <c r="B1241" s="177">
        <f t="shared" si="69"/>
        <v>4</v>
      </c>
      <c r="C1241" s="103" t="s">
        <v>153</v>
      </c>
      <c r="D1241" s="103" t="str">
        <f t="shared" si="68"/>
        <v>Std_CFLscw-A(27w)_60pInc-r0248</v>
      </c>
      <c r="E1241" s="103" t="str">
        <f>IF(LEFT(D1241,3)="Std","Base case cost for mix of 60% Incandescent and 40% CFL lamps for CFL TechID: "&amp;INDEX('Measure &amp; Standard CostIDs'!$C$5:$C$177,A1241),"&lt;from TechID&gt;")</f>
        <v>Base case cost for mix of 60% Incandescent and 40% CFL lamps for CFL TechID: CFLscw-A(27w)</v>
      </c>
      <c r="F1241" s="103" t="s">
        <v>860</v>
      </c>
      <c r="G1241" s="103" t="s">
        <v>151</v>
      </c>
      <c r="H1241" s="103" t="s">
        <v>861</v>
      </c>
      <c r="I1241" s="103" t="s">
        <v>862</v>
      </c>
      <c r="J1241" s="103" t="s">
        <v>863</v>
      </c>
      <c r="K1241" s="103" t="s">
        <v>864</v>
      </c>
      <c r="L1241" s="103" t="s">
        <v>153</v>
      </c>
      <c r="M1241" s="103" t="s">
        <v>865</v>
      </c>
      <c r="N1241" s="103" t="s">
        <v>866</v>
      </c>
      <c r="O1241" s="103" t="str">
        <f t="shared" si="66"/>
        <v/>
      </c>
      <c r="P1241" s="103" t="s">
        <v>153</v>
      </c>
      <c r="Q1241" s="103" t="s">
        <v>153</v>
      </c>
      <c r="R1241" s="103" t="s">
        <v>153</v>
      </c>
      <c r="S1241" s="103" t="str">
        <f>INDEX('Measure &amp; Standard CostIDs'!$AK$8:$AK$12,B1241)</f>
        <v>Three-pack</v>
      </c>
      <c r="T1241" s="103" t="s">
        <v>867</v>
      </c>
      <c r="U1241" s="103"/>
      <c r="V1241" s="103"/>
      <c r="W1241" s="103">
        <f>ROUND(IF(LEFT(D1241,3)="Std",VLOOKUP(D1241,'Measure &amp; Standard CostIDs'!$S$5:$X$177,1+B1241,FALSE),VLOOKUP(D1241,'Measure &amp; Standard CostIDs'!$C$5:$H$177,1+B1241,FALSE)),2)</f>
        <v>2.96</v>
      </c>
      <c r="X1241" s="103"/>
      <c r="Y1241" s="103"/>
      <c r="Z1241" s="103" t="s">
        <v>868</v>
      </c>
      <c r="AA1241" s="103" t="s">
        <v>874</v>
      </c>
      <c r="AB1241" s="103" t="s">
        <v>153</v>
      </c>
      <c r="AC1241" s="103">
        <v>0</v>
      </c>
      <c r="AD1241" s="156">
        <v>42005</v>
      </c>
      <c r="AE1241" s="103"/>
      <c r="AF1241" s="103" t="s">
        <v>870</v>
      </c>
      <c r="AG1241" s="103" t="s">
        <v>871</v>
      </c>
      <c r="AH1241" s="103" t="s">
        <v>976</v>
      </c>
      <c r="AI1241" s="103">
        <v>0</v>
      </c>
      <c r="AJ1241" s="103"/>
      <c r="AK1241" s="103"/>
      <c r="AL1241" s="103"/>
      <c r="AM1241" s="103"/>
      <c r="AN1241" s="103"/>
      <c r="AO1241" s="103" t="str">
        <f t="shared" si="67"/>
        <v>Std_CFLscw-A(27w)_60pInc-r0248Three-pack</v>
      </c>
    </row>
    <row r="1242" spans="1:41">
      <c r="A1242" s="177">
        <f>IFERROR(MATCH(D1242,'Measure &amp; Standard CostIDs'!C$5:C$177,0),MATCH(D1242,'Measure &amp; Standard CostIDs'!S$5:S$177,0))</f>
        <v>86</v>
      </c>
      <c r="B1242" s="177">
        <f t="shared" si="69"/>
        <v>4</v>
      </c>
      <c r="C1242" s="103" t="s">
        <v>153</v>
      </c>
      <c r="D1242" s="103" t="str">
        <f t="shared" si="68"/>
        <v>Std_CFLscw-A(28w)_60pInc-r0248</v>
      </c>
      <c r="E1242" s="103" t="str">
        <f>IF(LEFT(D1242,3)="Std","Base case cost for mix of 60% Incandescent and 40% CFL lamps for CFL TechID: "&amp;INDEX('Measure &amp; Standard CostIDs'!$C$5:$C$177,A1242),"&lt;from TechID&gt;")</f>
        <v>Base case cost for mix of 60% Incandescent and 40% CFL lamps for CFL TechID: CFLscw-A(28w)</v>
      </c>
      <c r="F1242" s="103" t="s">
        <v>860</v>
      </c>
      <c r="G1242" s="103" t="s">
        <v>151</v>
      </c>
      <c r="H1242" s="103" t="s">
        <v>861</v>
      </c>
      <c r="I1242" s="103" t="s">
        <v>862</v>
      </c>
      <c r="J1242" s="103" t="s">
        <v>863</v>
      </c>
      <c r="K1242" s="103" t="s">
        <v>864</v>
      </c>
      <c r="L1242" s="103" t="s">
        <v>153</v>
      </c>
      <c r="M1242" s="103" t="s">
        <v>865</v>
      </c>
      <c r="N1242" s="103" t="s">
        <v>866</v>
      </c>
      <c r="O1242" s="103" t="str">
        <f t="shared" si="66"/>
        <v/>
      </c>
      <c r="P1242" s="103" t="s">
        <v>153</v>
      </c>
      <c r="Q1242" s="103" t="s">
        <v>153</v>
      </c>
      <c r="R1242" s="103" t="s">
        <v>153</v>
      </c>
      <c r="S1242" s="103" t="str">
        <f>INDEX('Measure &amp; Standard CostIDs'!$AK$8:$AK$12,B1242)</f>
        <v>Three-pack</v>
      </c>
      <c r="T1242" s="103" t="s">
        <v>867</v>
      </c>
      <c r="U1242" s="103"/>
      <c r="V1242" s="103"/>
      <c r="W1242" s="103">
        <f>ROUND(IF(LEFT(D1242,3)="Std",VLOOKUP(D1242,'Measure &amp; Standard CostIDs'!$S$5:$X$177,1+B1242,FALSE),VLOOKUP(D1242,'Measure &amp; Standard CostIDs'!$C$5:$H$177,1+B1242,FALSE)),2)</f>
        <v>3.02</v>
      </c>
      <c r="X1242" s="103"/>
      <c r="Y1242" s="103"/>
      <c r="Z1242" s="103" t="s">
        <v>868</v>
      </c>
      <c r="AA1242" s="103" t="s">
        <v>874</v>
      </c>
      <c r="AB1242" s="103" t="s">
        <v>153</v>
      </c>
      <c r="AC1242" s="103">
        <v>0</v>
      </c>
      <c r="AD1242" s="156">
        <v>42005</v>
      </c>
      <c r="AE1242" s="103"/>
      <c r="AF1242" s="103" t="s">
        <v>870</v>
      </c>
      <c r="AG1242" s="103" t="s">
        <v>871</v>
      </c>
      <c r="AH1242" s="103" t="s">
        <v>976</v>
      </c>
      <c r="AI1242" s="103">
        <v>0</v>
      </c>
      <c r="AJ1242" s="103"/>
      <c r="AK1242" s="103"/>
      <c r="AL1242" s="103"/>
      <c r="AM1242" s="103"/>
      <c r="AN1242" s="103"/>
      <c r="AO1242" s="103" t="str">
        <f t="shared" si="67"/>
        <v>Std_CFLscw-A(28w)_60pInc-r0248Three-pack</v>
      </c>
    </row>
    <row r="1243" spans="1:41">
      <c r="A1243" s="177">
        <f>IFERROR(MATCH(D1243,'Measure &amp; Standard CostIDs'!C$5:C$177,0),MATCH(D1243,'Measure &amp; Standard CostIDs'!S$5:S$177,0))</f>
        <v>87</v>
      </c>
      <c r="B1243" s="177">
        <f t="shared" si="69"/>
        <v>4</v>
      </c>
      <c r="C1243" s="103" t="s">
        <v>153</v>
      </c>
      <c r="D1243" s="103" t="str">
        <f t="shared" si="68"/>
        <v>Std_CFLscw-A(30w)_60pInc-r0248</v>
      </c>
      <c r="E1243" s="103" t="str">
        <f>IF(LEFT(D1243,3)="Std","Base case cost for mix of 60% Incandescent and 40% CFL lamps for CFL TechID: "&amp;INDEX('Measure &amp; Standard CostIDs'!$C$5:$C$177,A1243),"&lt;from TechID&gt;")</f>
        <v>Base case cost for mix of 60% Incandescent and 40% CFL lamps for CFL TechID: CFLscw-A(30w)</v>
      </c>
      <c r="F1243" s="103" t="s">
        <v>860</v>
      </c>
      <c r="G1243" s="103" t="s">
        <v>151</v>
      </c>
      <c r="H1243" s="103" t="s">
        <v>861</v>
      </c>
      <c r="I1243" s="103" t="s">
        <v>862</v>
      </c>
      <c r="J1243" s="103" t="s">
        <v>863</v>
      </c>
      <c r="K1243" s="103" t="s">
        <v>864</v>
      </c>
      <c r="L1243" s="103" t="s">
        <v>153</v>
      </c>
      <c r="M1243" s="103" t="s">
        <v>865</v>
      </c>
      <c r="N1243" s="103" t="s">
        <v>866</v>
      </c>
      <c r="O1243" s="103" t="str">
        <f t="shared" si="66"/>
        <v/>
      </c>
      <c r="P1243" s="103" t="s">
        <v>153</v>
      </c>
      <c r="Q1243" s="103" t="s">
        <v>153</v>
      </c>
      <c r="R1243" s="103" t="s">
        <v>153</v>
      </c>
      <c r="S1243" s="103" t="str">
        <f>INDEX('Measure &amp; Standard CostIDs'!$AK$8:$AK$12,B1243)</f>
        <v>Three-pack</v>
      </c>
      <c r="T1243" s="103" t="s">
        <v>867</v>
      </c>
      <c r="U1243" s="103"/>
      <c r="V1243" s="103"/>
      <c r="W1243" s="103">
        <f>ROUND(IF(LEFT(D1243,3)="Std",VLOOKUP(D1243,'Measure &amp; Standard CostIDs'!$S$5:$X$177,1+B1243,FALSE),VLOOKUP(D1243,'Measure &amp; Standard CostIDs'!$C$5:$H$177,1+B1243,FALSE)),2)</f>
        <v>3.15</v>
      </c>
      <c r="X1243" s="103"/>
      <c r="Y1243" s="103"/>
      <c r="Z1243" s="103" t="s">
        <v>868</v>
      </c>
      <c r="AA1243" s="103" t="s">
        <v>874</v>
      </c>
      <c r="AB1243" s="103" t="s">
        <v>153</v>
      </c>
      <c r="AC1243" s="103">
        <v>0</v>
      </c>
      <c r="AD1243" s="156">
        <v>42005</v>
      </c>
      <c r="AE1243" s="103"/>
      <c r="AF1243" s="103" t="s">
        <v>870</v>
      </c>
      <c r="AG1243" s="103" t="s">
        <v>871</v>
      </c>
      <c r="AH1243" s="103" t="s">
        <v>976</v>
      </c>
      <c r="AI1243" s="103">
        <v>0</v>
      </c>
      <c r="AJ1243" s="103"/>
      <c r="AK1243" s="103"/>
      <c r="AL1243" s="103"/>
      <c r="AM1243" s="103"/>
      <c r="AN1243" s="103"/>
      <c r="AO1243" s="103" t="str">
        <f t="shared" si="67"/>
        <v>Std_CFLscw-A(30w)_60pInc-r0248Three-pack</v>
      </c>
    </row>
    <row r="1244" spans="1:41">
      <c r="A1244" s="177">
        <f>IFERROR(MATCH(D1244,'Measure &amp; Standard CostIDs'!C$5:C$177,0),MATCH(D1244,'Measure &amp; Standard CostIDs'!S$5:S$177,0))</f>
        <v>88</v>
      </c>
      <c r="B1244" s="177">
        <f t="shared" si="69"/>
        <v>4</v>
      </c>
      <c r="C1244" s="103" t="s">
        <v>153</v>
      </c>
      <c r="D1244" s="103" t="str">
        <f t="shared" si="68"/>
        <v>Std_CFLscw-A(32w)_60pInc-r0248</v>
      </c>
      <c r="E1244" s="103" t="str">
        <f>IF(LEFT(D1244,3)="Std","Base case cost for mix of 60% Incandescent and 40% CFL lamps for CFL TechID: "&amp;INDEX('Measure &amp; Standard CostIDs'!$C$5:$C$177,A1244),"&lt;from TechID&gt;")</f>
        <v>Base case cost for mix of 60% Incandescent and 40% CFL lamps for CFL TechID: CFLscw-A(32w)</v>
      </c>
      <c r="F1244" s="103" t="s">
        <v>860</v>
      </c>
      <c r="G1244" s="103" t="s">
        <v>151</v>
      </c>
      <c r="H1244" s="103" t="s">
        <v>861</v>
      </c>
      <c r="I1244" s="103" t="s">
        <v>862</v>
      </c>
      <c r="J1244" s="103" t="s">
        <v>863</v>
      </c>
      <c r="K1244" s="103" t="s">
        <v>864</v>
      </c>
      <c r="L1244" s="103" t="s">
        <v>153</v>
      </c>
      <c r="M1244" s="103" t="s">
        <v>865</v>
      </c>
      <c r="N1244" s="103" t="s">
        <v>866</v>
      </c>
      <c r="O1244" s="103" t="str">
        <f t="shared" si="66"/>
        <v/>
      </c>
      <c r="P1244" s="103" t="s">
        <v>153</v>
      </c>
      <c r="Q1244" s="103" t="s">
        <v>153</v>
      </c>
      <c r="R1244" s="103" t="s">
        <v>153</v>
      </c>
      <c r="S1244" s="103" t="str">
        <f>INDEX('Measure &amp; Standard CostIDs'!$AK$8:$AK$12,B1244)</f>
        <v>Three-pack</v>
      </c>
      <c r="T1244" s="103" t="s">
        <v>867</v>
      </c>
      <c r="U1244" s="103"/>
      <c r="V1244" s="103"/>
      <c r="W1244" s="103">
        <f>ROUND(IF(LEFT(D1244,3)="Std",VLOOKUP(D1244,'Measure &amp; Standard CostIDs'!$S$5:$X$177,1+B1244,FALSE),VLOOKUP(D1244,'Measure &amp; Standard CostIDs'!$C$5:$H$177,1+B1244,FALSE)),2)</f>
        <v>3.28</v>
      </c>
      <c r="X1244" s="103"/>
      <c r="Y1244" s="103"/>
      <c r="Z1244" s="103" t="s">
        <v>868</v>
      </c>
      <c r="AA1244" s="103" t="s">
        <v>874</v>
      </c>
      <c r="AB1244" s="103" t="s">
        <v>153</v>
      </c>
      <c r="AC1244" s="103">
        <v>0</v>
      </c>
      <c r="AD1244" s="156">
        <v>42005</v>
      </c>
      <c r="AE1244" s="103"/>
      <c r="AF1244" s="103" t="s">
        <v>870</v>
      </c>
      <c r="AG1244" s="103" t="s">
        <v>871</v>
      </c>
      <c r="AH1244" s="103" t="s">
        <v>976</v>
      </c>
      <c r="AI1244" s="103">
        <v>0</v>
      </c>
      <c r="AJ1244" s="103"/>
      <c r="AK1244" s="103"/>
      <c r="AL1244" s="103"/>
      <c r="AM1244" s="103"/>
      <c r="AN1244" s="103"/>
      <c r="AO1244" s="103" t="str">
        <f t="shared" si="67"/>
        <v>Std_CFLscw-A(32w)_60pInc-r0248Three-pack</v>
      </c>
    </row>
    <row r="1245" spans="1:41">
      <c r="A1245" s="177">
        <f>IFERROR(MATCH(D1245,'Measure &amp; Standard CostIDs'!C$5:C$177,0),MATCH(D1245,'Measure &amp; Standard CostIDs'!S$5:S$177,0))</f>
        <v>89</v>
      </c>
      <c r="B1245" s="177">
        <f t="shared" si="69"/>
        <v>4</v>
      </c>
      <c r="C1245" s="103" t="s">
        <v>153</v>
      </c>
      <c r="D1245" s="103" t="str">
        <f t="shared" si="68"/>
        <v>Std_CFLscw-A(40w)_60pInc-r0248</v>
      </c>
      <c r="E1245" s="103" t="str">
        <f>IF(LEFT(D1245,3)="Std","Base case cost for mix of 60% Incandescent and 40% CFL lamps for CFL TechID: "&amp;INDEX('Measure &amp; Standard CostIDs'!$C$5:$C$177,A1245),"&lt;from TechID&gt;")</f>
        <v>Base case cost for mix of 60% Incandescent and 40% CFL lamps for CFL TechID: CFLscw-A(40w)</v>
      </c>
      <c r="F1245" s="103" t="s">
        <v>860</v>
      </c>
      <c r="G1245" s="103" t="s">
        <v>151</v>
      </c>
      <c r="H1245" s="103" t="s">
        <v>861</v>
      </c>
      <c r="I1245" s="103" t="s">
        <v>862</v>
      </c>
      <c r="J1245" s="103" t="s">
        <v>863</v>
      </c>
      <c r="K1245" s="103" t="s">
        <v>864</v>
      </c>
      <c r="L1245" s="103" t="s">
        <v>153</v>
      </c>
      <c r="M1245" s="103" t="s">
        <v>865</v>
      </c>
      <c r="N1245" s="103" t="s">
        <v>866</v>
      </c>
      <c r="O1245" s="103" t="str">
        <f t="shared" si="66"/>
        <v/>
      </c>
      <c r="P1245" s="103" t="s">
        <v>153</v>
      </c>
      <c r="Q1245" s="103" t="s">
        <v>153</v>
      </c>
      <c r="R1245" s="103" t="s">
        <v>153</v>
      </c>
      <c r="S1245" s="103" t="str">
        <f>INDEX('Measure &amp; Standard CostIDs'!$AK$8:$AK$12,B1245)</f>
        <v>Three-pack</v>
      </c>
      <c r="T1245" s="103" t="s">
        <v>867</v>
      </c>
      <c r="U1245" s="103"/>
      <c r="V1245" s="103"/>
      <c r="W1245" s="103">
        <f>ROUND(IF(LEFT(D1245,3)="Std",VLOOKUP(D1245,'Measure &amp; Standard CostIDs'!$S$5:$X$177,1+B1245,FALSE),VLOOKUP(D1245,'Measure &amp; Standard CostIDs'!$C$5:$H$177,1+B1245,FALSE)),2)</f>
        <v>3.8</v>
      </c>
      <c r="X1245" s="103"/>
      <c r="Y1245" s="103"/>
      <c r="Z1245" s="103" t="s">
        <v>868</v>
      </c>
      <c r="AA1245" s="103" t="s">
        <v>874</v>
      </c>
      <c r="AB1245" s="103" t="s">
        <v>153</v>
      </c>
      <c r="AC1245" s="103">
        <v>0</v>
      </c>
      <c r="AD1245" s="156">
        <v>42005</v>
      </c>
      <c r="AE1245" s="103"/>
      <c r="AF1245" s="103" t="s">
        <v>870</v>
      </c>
      <c r="AG1245" s="103" t="s">
        <v>871</v>
      </c>
      <c r="AH1245" s="103" t="s">
        <v>976</v>
      </c>
      <c r="AI1245" s="103">
        <v>0</v>
      </c>
      <c r="AJ1245" s="103"/>
      <c r="AK1245" s="103"/>
      <c r="AL1245" s="103"/>
      <c r="AM1245" s="103"/>
      <c r="AN1245" s="103"/>
      <c r="AO1245" s="103" t="str">
        <f t="shared" si="67"/>
        <v>Std_CFLscw-A(40w)_60pInc-r0248Three-pack</v>
      </c>
    </row>
    <row r="1246" spans="1:41">
      <c r="A1246" s="177">
        <f>IFERROR(MATCH(D1246,'Measure &amp; Standard CostIDs'!C$5:C$177,0),MATCH(D1246,'Measure &amp; Standard CostIDs'!S$5:S$177,0))</f>
        <v>90</v>
      </c>
      <c r="B1246" s="177">
        <f t="shared" si="69"/>
        <v>4</v>
      </c>
      <c r="C1246" s="103" t="s">
        <v>153</v>
      </c>
      <c r="D1246" s="103" t="str">
        <f t="shared" si="68"/>
        <v>Std_CFLscw-A(42w)_60pInc-r0248</v>
      </c>
      <c r="E1246" s="103" t="str">
        <f>IF(LEFT(D1246,3)="Std","Base case cost for mix of 60% Incandescent and 40% CFL lamps for CFL TechID: "&amp;INDEX('Measure &amp; Standard CostIDs'!$C$5:$C$177,A1246),"&lt;from TechID&gt;")</f>
        <v>Base case cost for mix of 60% Incandescent and 40% CFL lamps for CFL TechID: CFLscw-A(42w)</v>
      </c>
      <c r="F1246" s="103" t="s">
        <v>860</v>
      </c>
      <c r="G1246" s="103" t="s">
        <v>151</v>
      </c>
      <c r="H1246" s="103" t="s">
        <v>861</v>
      </c>
      <c r="I1246" s="103" t="s">
        <v>862</v>
      </c>
      <c r="J1246" s="103" t="s">
        <v>863</v>
      </c>
      <c r="K1246" s="103" t="s">
        <v>864</v>
      </c>
      <c r="L1246" s="103" t="s">
        <v>153</v>
      </c>
      <c r="M1246" s="103" t="s">
        <v>865</v>
      </c>
      <c r="N1246" s="103" t="s">
        <v>866</v>
      </c>
      <c r="O1246" s="103" t="str">
        <f t="shared" si="66"/>
        <v/>
      </c>
      <c r="P1246" s="103" t="s">
        <v>153</v>
      </c>
      <c r="Q1246" s="103" t="s">
        <v>153</v>
      </c>
      <c r="R1246" s="103" t="s">
        <v>153</v>
      </c>
      <c r="S1246" s="103" t="str">
        <f>INDEX('Measure &amp; Standard CostIDs'!$AK$8:$AK$12,B1246)</f>
        <v>Three-pack</v>
      </c>
      <c r="T1246" s="103" t="s">
        <v>867</v>
      </c>
      <c r="U1246" s="103"/>
      <c r="V1246" s="103"/>
      <c r="W1246" s="103">
        <f>ROUND(IF(LEFT(D1246,3)="Std",VLOOKUP(D1246,'Measure &amp; Standard CostIDs'!$S$5:$X$177,1+B1246,FALSE),VLOOKUP(D1246,'Measure &amp; Standard CostIDs'!$C$5:$H$177,1+B1246,FALSE)),2)</f>
        <v>3.93</v>
      </c>
      <c r="X1246" s="103"/>
      <c r="Y1246" s="103"/>
      <c r="Z1246" s="103" t="s">
        <v>868</v>
      </c>
      <c r="AA1246" s="103" t="s">
        <v>874</v>
      </c>
      <c r="AB1246" s="103" t="s">
        <v>153</v>
      </c>
      <c r="AC1246" s="103">
        <v>0</v>
      </c>
      <c r="AD1246" s="156">
        <v>42005</v>
      </c>
      <c r="AE1246" s="103"/>
      <c r="AF1246" s="103" t="s">
        <v>870</v>
      </c>
      <c r="AG1246" s="103" t="s">
        <v>871</v>
      </c>
      <c r="AH1246" s="103" t="s">
        <v>976</v>
      </c>
      <c r="AI1246" s="103">
        <v>0</v>
      </c>
      <c r="AJ1246" s="103"/>
      <c r="AK1246" s="103"/>
      <c r="AL1246" s="103"/>
      <c r="AM1246" s="103"/>
      <c r="AN1246" s="103"/>
      <c r="AO1246" s="103" t="str">
        <f t="shared" si="67"/>
        <v>Std_CFLscw-A(42w)_60pInc-r0248Three-pack</v>
      </c>
    </row>
    <row r="1247" spans="1:41">
      <c r="A1247" s="177">
        <f>IFERROR(MATCH(D1247,'Measure &amp; Standard CostIDs'!C$5:C$177,0),MATCH(D1247,'Measure &amp; Standard CostIDs'!S$5:S$177,0))</f>
        <v>93</v>
      </c>
      <c r="B1247" s="177">
        <f t="shared" si="69"/>
        <v>4</v>
      </c>
      <c r="C1247" s="103" t="s">
        <v>153</v>
      </c>
      <c r="D1247" s="103" t="str">
        <f t="shared" si="68"/>
        <v>Std_CFLscw-A(7w)_60pInc-r0248</v>
      </c>
      <c r="E1247" s="103" t="str">
        <f>IF(LEFT(D1247,3)="Std","Base case cost for mix of 60% Incandescent and 40% CFL lamps for CFL TechID: "&amp;INDEX('Measure &amp; Standard CostIDs'!$C$5:$C$177,A1247),"&lt;from TechID&gt;")</f>
        <v>Base case cost for mix of 60% Incandescent and 40% CFL lamps for CFL TechID: CFLscw-A(7w)</v>
      </c>
      <c r="F1247" s="103" t="s">
        <v>860</v>
      </c>
      <c r="G1247" s="103" t="s">
        <v>151</v>
      </c>
      <c r="H1247" s="103" t="s">
        <v>861</v>
      </c>
      <c r="I1247" s="103" t="s">
        <v>862</v>
      </c>
      <c r="J1247" s="103" t="s">
        <v>863</v>
      </c>
      <c r="K1247" s="103" t="s">
        <v>864</v>
      </c>
      <c r="L1247" s="103" t="s">
        <v>153</v>
      </c>
      <c r="M1247" s="103" t="s">
        <v>865</v>
      </c>
      <c r="N1247" s="103" t="s">
        <v>866</v>
      </c>
      <c r="O1247" s="103" t="str">
        <f t="shared" si="66"/>
        <v/>
      </c>
      <c r="P1247" s="103" t="s">
        <v>153</v>
      </c>
      <c r="Q1247" s="103" t="s">
        <v>153</v>
      </c>
      <c r="R1247" s="103" t="s">
        <v>153</v>
      </c>
      <c r="S1247" s="103" t="str">
        <f>INDEX('Measure &amp; Standard CostIDs'!$AK$8:$AK$12,B1247)</f>
        <v>Three-pack</v>
      </c>
      <c r="T1247" s="103" t="s">
        <v>867</v>
      </c>
      <c r="U1247" s="103"/>
      <c r="V1247" s="103"/>
      <c r="W1247" s="103">
        <f>ROUND(IF(LEFT(D1247,3)="Std",VLOOKUP(D1247,'Measure &amp; Standard CostIDs'!$S$5:$X$177,1+B1247,FALSE),VLOOKUP(D1247,'Measure &amp; Standard CostIDs'!$C$5:$H$177,1+B1247,FALSE)),2)</f>
        <v>2.1</v>
      </c>
      <c r="X1247" s="103"/>
      <c r="Y1247" s="103"/>
      <c r="Z1247" s="103" t="s">
        <v>868</v>
      </c>
      <c r="AA1247" s="103" t="s">
        <v>874</v>
      </c>
      <c r="AB1247" s="103" t="s">
        <v>153</v>
      </c>
      <c r="AC1247" s="103">
        <v>0</v>
      </c>
      <c r="AD1247" s="156">
        <v>42005</v>
      </c>
      <c r="AE1247" s="103"/>
      <c r="AF1247" s="103" t="s">
        <v>870</v>
      </c>
      <c r="AG1247" s="103" t="s">
        <v>871</v>
      </c>
      <c r="AH1247" s="103" t="s">
        <v>976</v>
      </c>
      <c r="AI1247" s="103">
        <v>0</v>
      </c>
      <c r="AJ1247" s="103"/>
      <c r="AK1247" s="103"/>
      <c r="AL1247" s="103"/>
      <c r="AM1247" s="103"/>
      <c r="AN1247" s="103"/>
      <c r="AO1247" s="103" t="str">
        <f t="shared" si="67"/>
        <v>Std_CFLscw-A(7w)_60pInc-r0248Three-pack</v>
      </c>
    </row>
    <row r="1248" spans="1:41">
      <c r="A1248" s="177">
        <f>IFERROR(MATCH(D1248,'Measure &amp; Standard CostIDs'!C$5:C$177,0),MATCH(D1248,'Measure &amp; Standard CostIDs'!S$5:S$177,0))</f>
        <v>94</v>
      </c>
      <c r="B1248" s="177">
        <f t="shared" si="69"/>
        <v>4</v>
      </c>
      <c r="C1248" s="103" t="s">
        <v>153</v>
      </c>
      <c r="D1248" s="103" t="str">
        <f t="shared" si="68"/>
        <v>Std_CFLscw-A(8w)_60pInc-r0248</v>
      </c>
      <c r="E1248" s="103" t="str">
        <f>IF(LEFT(D1248,3)="Std","Base case cost for mix of 60% Incandescent and 40% CFL lamps for CFL TechID: "&amp;INDEX('Measure &amp; Standard CostIDs'!$C$5:$C$177,A1248),"&lt;from TechID&gt;")</f>
        <v>Base case cost for mix of 60% Incandescent and 40% CFL lamps for CFL TechID: CFLscw-A(8w)</v>
      </c>
      <c r="F1248" s="103" t="s">
        <v>860</v>
      </c>
      <c r="G1248" s="103" t="s">
        <v>151</v>
      </c>
      <c r="H1248" s="103" t="s">
        <v>861</v>
      </c>
      <c r="I1248" s="103" t="s">
        <v>862</v>
      </c>
      <c r="J1248" s="103" t="s">
        <v>863</v>
      </c>
      <c r="K1248" s="103" t="s">
        <v>864</v>
      </c>
      <c r="L1248" s="103" t="s">
        <v>153</v>
      </c>
      <c r="M1248" s="103" t="s">
        <v>865</v>
      </c>
      <c r="N1248" s="103" t="s">
        <v>866</v>
      </c>
      <c r="O1248" s="103" t="str">
        <f t="shared" si="66"/>
        <v/>
      </c>
      <c r="P1248" s="103" t="s">
        <v>153</v>
      </c>
      <c r="Q1248" s="103" t="s">
        <v>153</v>
      </c>
      <c r="R1248" s="103" t="s">
        <v>153</v>
      </c>
      <c r="S1248" s="103" t="str">
        <f>INDEX('Measure &amp; Standard CostIDs'!$AK$8:$AK$12,B1248)</f>
        <v>Three-pack</v>
      </c>
      <c r="T1248" s="103" t="s">
        <v>867</v>
      </c>
      <c r="U1248" s="103"/>
      <c r="V1248" s="103"/>
      <c r="W1248" s="103">
        <f>ROUND(IF(LEFT(D1248,3)="Std",VLOOKUP(D1248,'Measure &amp; Standard CostIDs'!$S$5:$X$177,1+B1248,FALSE),VLOOKUP(D1248,'Measure &amp; Standard CostIDs'!$C$5:$H$177,1+B1248,FALSE)),2)</f>
        <v>2.13</v>
      </c>
      <c r="X1248" s="103"/>
      <c r="Y1248" s="103"/>
      <c r="Z1248" s="103" t="s">
        <v>868</v>
      </c>
      <c r="AA1248" s="103" t="s">
        <v>874</v>
      </c>
      <c r="AB1248" s="103" t="s">
        <v>153</v>
      </c>
      <c r="AC1248" s="103">
        <v>0</v>
      </c>
      <c r="AD1248" s="156">
        <v>42005</v>
      </c>
      <c r="AE1248" s="103"/>
      <c r="AF1248" s="103" t="s">
        <v>870</v>
      </c>
      <c r="AG1248" s="103" t="s">
        <v>871</v>
      </c>
      <c r="AH1248" s="103" t="s">
        <v>976</v>
      </c>
      <c r="AI1248" s="103">
        <v>0</v>
      </c>
      <c r="AJ1248" s="103"/>
      <c r="AK1248" s="103"/>
      <c r="AL1248" s="103"/>
      <c r="AM1248" s="103"/>
      <c r="AN1248" s="103"/>
      <c r="AO1248" s="103" t="str">
        <f t="shared" si="67"/>
        <v>Std_CFLscw-A(8w)_60pInc-r0248Three-pack</v>
      </c>
    </row>
    <row r="1249" spans="1:41">
      <c r="A1249" s="177">
        <f>IFERROR(MATCH(D1249,'Measure &amp; Standard CostIDs'!C$5:C$177,0),MATCH(D1249,'Measure &amp; Standard CostIDs'!S$5:S$177,0))</f>
        <v>95</v>
      </c>
      <c r="B1249" s="177">
        <f t="shared" si="69"/>
        <v>4</v>
      </c>
      <c r="C1249" s="103" t="s">
        <v>153</v>
      </c>
      <c r="D1249" s="103" t="str">
        <f t="shared" si="68"/>
        <v>Std_CFLscw-A(9w)_60pInc-r0248</v>
      </c>
      <c r="E1249" s="103" t="str">
        <f>IF(LEFT(D1249,3)="Std","Base case cost for mix of 60% Incandescent and 40% CFL lamps for CFL TechID: "&amp;INDEX('Measure &amp; Standard CostIDs'!$C$5:$C$177,A1249),"&lt;from TechID&gt;")</f>
        <v>Base case cost for mix of 60% Incandescent and 40% CFL lamps for CFL TechID: CFLscw-A(9w)</v>
      </c>
      <c r="F1249" s="103" t="s">
        <v>860</v>
      </c>
      <c r="G1249" s="103" t="s">
        <v>151</v>
      </c>
      <c r="H1249" s="103" t="s">
        <v>861</v>
      </c>
      <c r="I1249" s="103" t="s">
        <v>862</v>
      </c>
      <c r="J1249" s="103" t="s">
        <v>863</v>
      </c>
      <c r="K1249" s="103" t="s">
        <v>864</v>
      </c>
      <c r="L1249" s="103" t="s">
        <v>153</v>
      </c>
      <c r="M1249" s="103" t="s">
        <v>865</v>
      </c>
      <c r="N1249" s="103" t="s">
        <v>866</v>
      </c>
      <c r="O1249" s="103" t="str">
        <f t="shared" si="66"/>
        <v/>
      </c>
      <c r="P1249" s="103" t="s">
        <v>153</v>
      </c>
      <c r="Q1249" s="103" t="s">
        <v>153</v>
      </c>
      <c r="R1249" s="103" t="s">
        <v>153</v>
      </c>
      <c r="S1249" s="103" t="str">
        <f>INDEX('Measure &amp; Standard CostIDs'!$AK$8:$AK$12,B1249)</f>
        <v>Three-pack</v>
      </c>
      <c r="T1249" s="103" t="s">
        <v>867</v>
      </c>
      <c r="U1249" s="103"/>
      <c r="V1249" s="103"/>
      <c r="W1249" s="103">
        <f>ROUND(IF(LEFT(D1249,3)="Std",VLOOKUP(D1249,'Measure &amp; Standard CostIDs'!$S$5:$X$177,1+B1249,FALSE),VLOOKUP(D1249,'Measure &amp; Standard CostIDs'!$C$5:$H$177,1+B1249,FALSE)),2)</f>
        <v>2.16</v>
      </c>
      <c r="X1249" s="103"/>
      <c r="Y1249" s="103"/>
      <c r="Z1249" s="103" t="s">
        <v>868</v>
      </c>
      <c r="AA1249" s="103" t="s">
        <v>874</v>
      </c>
      <c r="AB1249" s="103" t="s">
        <v>153</v>
      </c>
      <c r="AC1249" s="103">
        <v>0</v>
      </c>
      <c r="AD1249" s="156">
        <v>42005</v>
      </c>
      <c r="AE1249" s="103"/>
      <c r="AF1249" s="103" t="s">
        <v>870</v>
      </c>
      <c r="AG1249" s="103" t="s">
        <v>871</v>
      </c>
      <c r="AH1249" s="103" t="s">
        <v>976</v>
      </c>
      <c r="AI1249" s="103">
        <v>0</v>
      </c>
      <c r="AJ1249" s="103"/>
      <c r="AK1249" s="103"/>
      <c r="AL1249" s="103"/>
      <c r="AM1249" s="103"/>
      <c r="AN1249" s="103"/>
      <c r="AO1249" s="103" t="str">
        <f t="shared" si="67"/>
        <v>Std_CFLscw-A(9w)_60pInc-r0248Three-pack</v>
      </c>
    </row>
    <row r="1250" spans="1:41">
      <c r="A1250" s="177">
        <f>IFERROR(MATCH(D1250,'Measure &amp; Standard CostIDs'!C$5:C$177,0),MATCH(D1250,'Measure &amp; Standard CostIDs'!S$5:S$177,0))</f>
        <v>96</v>
      </c>
      <c r="B1250" s="177">
        <f t="shared" si="69"/>
        <v>4</v>
      </c>
      <c r="C1250" s="103" t="s">
        <v>153</v>
      </c>
      <c r="D1250" s="103" t="str">
        <f t="shared" si="68"/>
        <v>Std_CFLscw-Candle(10w)_60pInc-r0248</v>
      </c>
      <c r="E1250" s="103" t="str">
        <f>IF(LEFT(D1250,3)="Std","Base case cost for mix of 60% Incandescent and 40% CFL lamps for CFL TechID: "&amp;INDEX('Measure &amp; Standard CostIDs'!$C$5:$C$177,A1250),"&lt;from TechID&gt;")</f>
        <v>Base case cost for mix of 60% Incandescent and 40% CFL lamps for CFL TechID: CFLscw-Candle(10w)</v>
      </c>
      <c r="F1250" s="103" t="s">
        <v>860</v>
      </c>
      <c r="G1250" s="103" t="s">
        <v>151</v>
      </c>
      <c r="H1250" s="103" t="s">
        <v>861</v>
      </c>
      <c r="I1250" s="103" t="s">
        <v>862</v>
      </c>
      <c r="J1250" s="103" t="s">
        <v>863</v>
      </c>
      <c r="K1250" s="103" t="s">
        <v>864</v>
      </c>
      <c r="L1250" s="103" t="s">
        <v>153</v>
      </c>
      <c r="M1250" s="103" t="s">
        <v>865</v>
      </c>
      <c r="N1250" s="103" t="s">
        <v>866</v>
      </c>
      <c r="O1250" s="103" t="str">
        <f t="shared" si="66"/>
        <v/>
      </c>
      <c r="P1250" s="103" t="s">
        <v>153</v>
      </c>
      <c r="Q1250" s="103" t="s">
        <v>153</v>
      </c>
      <c r="R1250" s="103" t="s">
        <v>153</v>
      </c>
      <c r="S1250" s="103" t="str">
        <f>INDEX('Measure &amp; Standard CostIDs'!$AK$8:$AK$12,B1250)</f>
        <v>Three-pack</v>
      </c>
      <c r="T1250" s="103" t="s">
        <v>867</v>
      </c>
      <c r="U1250" s="103"/>
      <c r="V1250" s="103"/>
      <c r="W1250" s="103">
        <f>ROUND(IF(LEFT(D1250,3)="Std",VLOOKUP(D1250,'Measure &amp; Standard CostIDs'!$S$5:$X$177,1+B1250,FALSE),VLOOKUP(D1250,'Measure &amp; Standard CostIDs'!$C$5:$H$177,1+B1250,FALSE)),2)</f>
        <v>3.57</v>
      </c>
      <c r="X1250" s="103"/>
      <c r="Y1250" s="103"/>
      <c r="Z1250" s="103" t="s">
        <v>868</v>
      </c>
      <c r="AA1250" s="103" t="s">
        <v>874</v>
      </c>
      <c r="AB1250" s="103" t="s">
        <v>153</v>
      </c>
      <c r="AC1250" s="103">
        <v>0</v>
      </c>
      <c r="AD1250" s="156">
        <v>42005</v>
      </c>
      <c r="AE1250" s="103"/>
      <c r="AF1250" s="103" t="s">
        <v>870</v>
      </c>
      <c r="AG1250" s="103" t="s">
        <v>871</v>
      </c>
      <c r="AH1250" s="103" t="s">
        <v>976</v>
      </c>
      <c r="AI1250" s="103">
        <v>0</v>
      </c>
      <c r="AJ1250" s="103"/>
      <c r="AK1250" s="103"/>
      <c r="AL1250" s="103"/>
      <c r="AM1250" s="103"/>
      <c r="AN1250" s="103"/>
      <c r="AO1250" s="103" t="str">
        <f t="shared" si="67"/>
        <v>Std_CFLscw-Candle(10w)_60pInc-r0248Three-pack</v>
      </c>
    </row>
    <row r="1251" spans="1:41">
      <c r="A1251" s="177">
        <f>IFERROR(MATCH(D1251,'Measure &amp; Standard CostIDs'!C$5:C$177,0),MATCH(D1251,'Measure &amp; Standard CostIDs'!S$5:S$177,0))</f>
        <v>97</v>
      </c>
      <c r="B1251" s="177">
        <f t="shared" si="69"/>
        <v>4</v>
      </c>
      <c r="C1251" s="103" t="s">
        <v>153</v>
      </c>
      <c r="D1251" s="103" t="str">
        <f t="shared" si="68"/>
        <v>Std_CFLscw-Candle(11w)_60pInc-r0248</v>
      </c>
      <c r="E1251" s="103" t="str">
        <f>IF(LEFT(D1251,3)="Std","Base case cost for mix of 60% Incandescent and 40% CFL lamps for CFL TechID: "&amp;INDEX('Measure &amp; Standard CostIDs'!$C$5:$C$177,A1251),"&lt;from TechID&gt;")</f>
        <v>Base case cost for mix of 60% Incandescent and 40% CFL lamps for CFL TechID: CFLscw-Candle(11w)</v>
      </c>
      <c r="F1251" s="103" t="s">
        <v>860</v>
      </c>
      <c r="G1251" s="103" t="s">
        <v>151</v>
      </c>
      <c r="H1251" s="103" t="s">
        <v>861</v>
      </c>
      <c r="I1251" s="103" t="s">
        <v>862</v>
      </c>
      <c r="J1251" s="103" t="s">
        <v>863</v>
      </c>
      <c r="K1251" s="103" t="s">
        <v>864</v>
      </c>
      <c r="L1251" s="103" t="s">
        <v>153</v>
      </c>
      <c r="M1251" s="103" t="s">
        <v>865</v>
      </c>
      <c r="N1251" s="103" t="s">
        <v>866</v>
      </c>
      <c r="O1251" s="103" t="str">
        <f t="shared" si="66"/>
        <v/>
      </c>
      <c r="P1251" s="103" t="s">
        <v>153</v>
      </c>
      <c r="Q1251" s="103" t="s">
        <v>153</v>
      </c>
      <c r="R1251" s="103" t="s">
        <v>153</v>
      </c>
      <c r="S1251" s="103" t="str">
        <f>INDEX('Measure &amp; Standard CostIDs'!$AK$8:$AK$12,B1251)</f>
        <v>Three-pack</v>
      </c>
      <c r="T1251" s="103" t="s">
        <v>867</v>
      </c>
      <c r="U1251" s="103"/>
      <c r="V1251" s="103"/>
      <c r="W1251" s="103">
        <f>ROUND(IF(LEFT(D1251,3)="Std",VLOOKUP(D1251,'Measure &amp; Standard CostIDs'!$S$5:$X$177,1+B1251,FALSE),VLOOKUP(D1251,'Measure &amp; Standard CostIDs'!$C$5:$H$177,1+B1251,FALSE)),2)</f>
        <v>3.65</v>
      </c>
      <c r="X1251" s="103"/>
      <c r="Y1251" s="103"/>
      <c r="Z1251" s="103" t="s">
        <v>868</v>
      </c>
      <c r="AA1251" s="103" t="s">
        <v>874</v>
      </c>
      <c r="AB1251" s="103" t="s">
        <v>153</v>
      </c>
      <c r="AC1251" s="103">
        <v>0</v>
      </c>
      <c r="AD1251" s="156">
        <v>42005</v>
      </c>
      <c r="AE1251" s="103"/>
      <c r="AF1251" s="103" t="s">
        <v>870</v>
      </c>
      <c r="AG1251" s="103" t="s">
        <v>871</v>
      </c>
      <c r="AH1251" s="103" t="s">
        <v>976</v>
      </c>
      <c r="AI1251" s="103">
        <v>0</v>
      </c>
      <c r="AJ1251" s="103"/>
      <c r="AK1251" s="103"/>
      <c r="AL1251" s="103"/>
      <c r="AM1251" s="103"/>
      <c r="AN1251" s="103"/>
      <c r="AO1251" s="103" t="str">
        <f t="shared" si="67"/>
        <v>Std_CFLscw-Candle(11w)_60pInc-r0248Three-pack</v>
      </c>
    </row>
    <row r="1252" spans="1:41">
      <c r="A1252" s="177">
        <f>IFERROR(MATCH(D1252,'Measure &amp; Standard CostIDs'!C$5:C$177,0),MATCH(D1252,'Measure &amp; Standard CostIDs'!S$5:S$177,0))</f>
        <v>98</v>
      </c>
      <c r="B1252" s="177">
        <f t="shared" si="69"/>
        <v>4</v>
      </c>
      <c r="C1252" s="103" t="s">
        <v>153</v>
      </c>
      <c r="D1252" s="103" t="str">
        <f t="shared" si="68"/>
        <v>Std_CFLscw-Candle(12w)_60pInc-r0248</v>
      </c>
      <c r="E1252" s="103" t="str">
        <f>IF(LEFT(D1252,3)="Std","Base case cost for mix of 60% Incandescent and 40% CFL lamps for CFL TechID: "&amp;INDEX('Measure &amp; Standard CostIDs'!$C$5:$C$177,A1252),"&lt;from TechID&gt;")</f>
        <v>Base case cost for mix of 60% Incandescent and 40% CFL lamps for CFL TechID: CFLscw-Candle(12w)</v>
      </c>
      <c r="F1252" s="103" t="s">
        <v>860</v>
      </c>
      <c r="G1252" s="103" t="s">
        <v>151</v>
      </c>
      <c r="H1252" s="103" t="s">
        <v>861</v>
      </c>
      <c r="I1252" s="103" t="s">
        <v>862</v>
      </c>
      <c r="J1252" s="103" t="s">
        <v>863</v>
      </c>
      <c r="K1252" s="103" t="s">
        <v>864</v>
      </c>
      <c r="L1252" s="103" t="s">
        <v>153</v>
      </c>
      <c r="M1252" s="103" t="s">
        <v>865</v>
      </c>
      <c r="N1252" s="103" t="s">
        <v>866</v>
      </c>
      <c r="O1252" s="103" t="str">
        <f t="shared" si="66"/>
        <v/>
      </c>
      <c r="P1252" s="103" t="s">
        <v>153</v>
      </c>
      <c r="Q1252" s="103" t="s">
        <v>153</v>
      </c>
      <c r="R1252" s="103" t="s">
        <v>153</v>
      </c>
      <c r="S1252" s="103" t="str">
        <f>INDEX('Measure &amp; Standard CostIDs'!$AK$8:$AK$12,B1252)</f>
        <v>Three-pack</v>
      </c>
      <c r="T1252" s="103" t="s">
        <v>867</v>
      </c>
      <c r="U1252" s="103"/>
      <c r="V1252" s="103"/>
      <c r="W1252" s="103">
        <f>ROUND(IF(LEFT(D1252,3)="Std",VLOOKUP(D1252,'Measure &amp; Standard CostIDs'!$S$5:$X$177,1+B1252,FALSE),VLOOKUP(D1252,'Measure &amp; Standard CostIDs'!$C$5:$H$177,1+B1252,FALSE)),2)</f>
        <v>3.73</v>
      </c>
      <c r="X1252" s="103"/>
      <c r="Y1252" s="103"/>
      <c r="Z1252" s="103" t="s">
        <v>868</v>
      </c>
      <c r="AA1252" s="103" t="s">
        <v>874</v>
      </c>
      <c r="AB1252" s="103" t="s">
        <v>153</v>
      </c>
      <c r="AC1252" s="103">
        <v>0</v>
      </c>
      <c r="AD1252" s="156">
        <v>42005</v>
      </c>
      <c r="AE1252" s="103"/>
      <c r="AF1252" s="103" t="s">
        <v>870</v>
      </c>
      <c r="AG1252" s="103" t="s">
        <v>871</v>
      </c>
      <c r="AH1252" s="103" t="s">
        <v>976</v>
      </c>
      <c r="AI1252" s="103">
        <v>0</v>
      </c>
      <c r="AJ1252" s="103"/>
      <c r="AK1252" s="103"/>
      <c r="AL1252" s="103"/>
      <c r="AM1252" s="103"/>
      <c r="AN1252" s="103"/>
      <c r="AO1252" s="103" t="str">
        <f t="shared" si="67"/>
        <v>Std_CFLscw-Candle(12w)_60pInc-r0248Three-pack</v>
      </c>
    </row>
    <row r="1253" spans="1:41">
      <c r="A1253" s="177">
        <f>IFERROR(MATCH(D1253,'Measure &amp; Standard CostIDs'!C$5:C$177,0),MATCH(D1253,'Measure &amp; Standard CostIDs'!S$5:S$177,0))</f>
        <v>99</v>
      </c>
      <c r="B1253" s="177">
        <f t="shared" si="69"/>
        <v>4</v>
      </c>
      <c r="C1253" s="103" t="s">
        <v>153</v>
      </c>
      <c r="D1253" s="103" t="str">
        <f t="shared" si="68"/>
        <v>Std_CFLscw-Candle(13w)_60pInc-r0248</v>
      </c>
      <c r="E1253" s="103" t="str">
        <f>IF(LEFT(D1253,3)="Std","Base case cost for mix of 60% Incandescent and 40% CFL lamps for CFL TechID: "&amp;INDEX('Measure &amp; Standard CostIDs'!$C$5:$C$177,A1253),"&lt;from TechID&gt;")</f>
        <v>Base case cost for mix of 60% Incandescent and 40% CFL lamps for CFL TechID: CFLscw-Candle(13w)</v>
      </c>
      <c r="F1253" s="103" t="s">
        <v>860</v>
      </c>
      <c r="G1253" s="103" t="s">
        <v>151</v>
      </c>
      <c r="H1253" s="103" t="s">
        <v>861</v>
      </c>
      <c r="I1253" s="103" t="s">
        <v>862</v>
      </c>
      <c r="J1253" s="103" t="s">
        <v>863</v>
      </c>
      <c r="K1253" s="103" t="s">
        <v>864</v>
      </c>
      <c r="L1253" s="103" t="s">
        <v>153</v>
      </c>
      <c r="M1253" s="103" t="s">
        <v>865</v>
      </c>
      <c r="N1253" s="103" t="s">
        <v>866</v>
      </c>
      <c r="O1253" s="103" t="str">
        <f t="shared" si="66"/>
        <v/>
      </c>
      <c r="P1253" s="103" t="s">
        <v>153</v>
      </c>
      <c r="Q1253" s="103" t="s">
        <v>153</v>
      </c>
      <c r="R1253" s="103" t="s">
        <v>153</v>
      </c>
      <c r="S1253" s="103" t="str">
        <f>INDEX('Measure &amp; Standard CostIDs'!$AK$8:$AK$12,B1253)</f>
        <v>Three-pack</v>
      </c>
      <c r="T1253" s="103" t="s">
        <v>867</v>
      </c>
      <c r="U1253" s="103"/>
      <c r="V1253" s="103"/>
      <c r="W1253" s="103">
        <f>ROUND(IF(LEFT(D1253,3)="Std",VLOOKUP(D1253,'Measure &amp; Standard CostIDs'!$S$5:$X$177,1+B1253,FALSE),VLOOKUP(D1253,'Measure &amp; Standard CostIDs'!$C$5:$H$177,1+B1253,FALSE)),2)</f>
        <v>3.81</v>
      </c>
      <c r="X1253" s="103"/>
      <c r="Y1253" s="103"/>
      <c r="Z1253" s="103" t="s">
        <v>868</v>
      </c>
      <c r="AA1253" s="103" t="s">
        <v>874</v>
      </c>
      <c r="AB1253" s="103" t="s">
        <v>153</v>
      </c>
      <c r="AC1253" s="103">
        <v>0</v>
      </c>
      <c r="AD1253" s="156">
        <v>42005</v>
      </c>
      <c r="AE1253" s="103"/>
      <c r="AF1253" s="103" t="s">
        <v>870</v>
      </c>
      <c r="AG1253" s="103" t="s">
        <v>871</v>
      </c>
      <c r="AH1253" s="103" t="s">
        <v>976</v>
      </c>
      <c r="AI1253" s="103">
        <v>0</v>
      </c>
      <c r="AJ1253" s="103"/>
      <c r="AK1253" s="103"/>
      <c r="AL1253" s="103"/>
      <c r="AM1253" s="103"/>
      <c r="AN1253" s="103"/>
      <c r="AO1253" s="103" t="str">
        <f t="shared" si="67"/>
        <v>Std_CFLscw-Candle(13w)_60pInc-r0248Three-pack</v>
      </c>
    </row>
    <row r="1254" spans="1:41">
      <c r="A1254" s="177">
        <f>IFERROR(MATCH(D1254,'Measure &amp; Standard CostIDs'!C$5:C$177,0),MATCH(D1254,'Measure &amp; Standard CostIDs'!S$5:S$177,0))</f>
        <v>100</v>
      </c>
      <c r="B1254" s="177">
        <f t="shared" si="69"/>
        <v>4</v>
      </c>
      <c r="C1254" s="103" t="s">
        <v>153</v>
      </c>
      <c r="D1254" s="103" t="str">
        <f t="shared" si="68"/>
        <v>Std_CFLscw-Candle(14w)_60pInc-r0248</v>
      </c>
      <c r="E1254" s="103" t="str">
        <f>IF(LEFT(D1254,3)="Std","Base case cost for mix of 60% Incandescent and 40% CFL lamps for CFL TechID: "&amp;INDEX('Measure &amp; Standard CostIDs'!$C$5:$C$177,A1254),"&lt;from TechID&gt;")</f>
        <v>Base case cost for mix of 60% Incandescent and 40% CFL lamps for CFL TechID: CFLscw-Candle(14w)</v>
      </c>
      <c r="F1254" s="103" t="s">
        <v>860</v>
      </c>
      <c r="G1254" s="103" t="s">
        <v>151</v>
      </c>
      <c r="H1254" s="103" t="s">
        <v>861</v>
      </c>
      <c r="I1254" s="103" t="s">
        <v>862</v>
      </c>
      <c r="J1254" s="103" t="s">
        <v>863</v>
      </c>
      <c r="K1254" s="103" t="s">
        <v>864</v>
      </c>
      <c r="L1254" s="103" t="s">
        <v>153</v>
      </c>
      <c r="M1254" s="103" t="s">
        <v>865</v>
      </c>
      <c r="N1254" s="103" t="s">
        <v>866</v>
      </c>
      <c r="O1254" s="103" t="str">
        <f t="shared" si="66"/>
        <v/>
      </c>
      <c r="P1254" s="103" t="s">
        <v>153</v>
      </c>
      <c r="Q1254" s="103" t="s">
        <v>153</v>
      </c>
      <c r="R1254" s="103" t="s">
        <v>153</v>
      </c>
      <c r="S1254" s="103" t="str">
        <f>INDEX('Measure &amp; Standard CostIDs'!$AK$8:$AK$12,B1254)</f>
        <v>Three-pack</v>
      </c>
      <c r="T1254" s="103" t="s">
        <v>867</v>
      </c>
      <c r="U1254" s="103"/>
      <c r="V1254" s="103"/>
      <c r="W1254" s="103">
        <f>ROUND(IF(LEFT(D1254,3)="Std",VLOOKUP(D1254,'Measure &amp; Standard CostIDs'!$S$5:$X$177,1+B1254,FALSE),VLOOKUP(D1254,'Measure &amp; Standard CostIDs'!$C$5:$H$177,1+B1254,FALSE)),2)</f>
        <v>3.9</v>
      </c>
      <c r="X1254" s="103"/>
      <c r="Y1254" s="103"/>
      <c r="Z1254" s="103" t="s">
        <v>868</v>
      </c>
      <c r="AA1254" s="103" t="s">
        <v>874</v>
      </c>
      <c r="AB1254" s="103" t="s">
        <v>153</v>
      </c>
      <c r="AC1254" s="103">
        <v>0</v>
      </c>
      <c r="AD1254" s="156">
        <v>42005</v>
      </c>
      <c r="AE1254" s="103"/>
      <c r="AF1254" s="103" t="s">
        <v>870</v>
      </c>
      <c r="AG1254" s="103" t="s">
        <v>871</v>
      </c>
      <c r="AH1254" s="103" t="s">
        <v>976</v>
      </c>
      <c r="AI1254" s="103">
        <v>0</v>
      </c>
      <c r="AJ1254" s="103"/>
      <c r="AK1254" s="103"/>
      <c r="AL1254" s="103"/>
      <c r="AM1254" s="103"/>
      <c r="AN1254" s="103"/>
      <c r="AO1254" s="103" t="str">
        <f t="shared" si="67"/>
        <v>Std_CFLscw-Candle(14w)_60pInc-r0248Three-pack</v>
      </c>
    </row>
    <row r="1255" spans="1:41">
      <c r="A1255" s="177">
        <f>IFERROR(MATCH(D1255,'Measure &amp; Standard CostIDs'!C$5:C$177,0),MATCH(D1255,'Measure &amp; Standard CostIDs'!S$5:S$177,0))</f>
        <v>101</v>
      </c>
      <c r="B1255" s="177">
        <f t="shared" si="69"/>
        <v>4</v>
      </c>
      <c r="C1255" s="103" t="s">
        <v>153</v>
      </c>
      <c r="D1255" s="103" t="str">
        <f t="shared" si="68"/>
        <v>Std_CFLscw-Candle(15w)_60pInc-r0248</v>
      </c>
      <c r="E1255" s="103" t="str">
        <f>IF(LEFT(D1255,3)="Std","Base case cost for mix of 60% Incandescent and 40% CFL lamps for CFL TechID: "&amp;INDEX('Measure &amp; Standard CostIDs'!$C$5:$C$177,A1255),"&lt;from TechID&gt;")</f>
        <v>Base case cost for mix of 60% Incandescent and 40% CFL lamps for CFL TechID: CFLscw-Candle(15w)</v>
      </c>
      <c r="F1255" s="103" t="s">
        <v>860</v>
      </c>
      <c r="G1255" s="103" t="s">
        <v>151</v>
      </c>
      <c r="H1255" s="103" t="s">
        <v>861</v>
      </c>
      <c r="I1255" s="103" t="s">
        <v>862</v>
      </c>
      <c r="J1255" s="103" t="s">
        <v>863</v>
      </c>
      <c r="K1255" s="103" t="s">
        <v>864</v>
      </c>
      <c r="L1255" s="103" t="s">
        <v>153</v>
      </c>
      <c r="M1255" s="103" t="s">
        <v>865</v>
      </c>
      <c r="N1255" s="103" t="s">
        <v>866</v>
      </c>
      <c r="O1255" s="103" t="str">
        <f t="shared" si="66"/>
        <v/>
      </c>
      <c r="P1255" s="103" t="s">
        <v>153</v>
      </c>
      <c r="Q1255" s="103" t="s">
        <v>153</v>
      </c>
      <c r="R1255" s="103" t="s">
        <v>153</v>
      </c>
      <c r="S1255" s="103" t="str">
        <f>INDEX('Measure &amp; Standard CostIDs'!$AK$8:$AK$12,B1255)</f>
        <v>Three-pack</v>
      </c>
      <c r="T1255" s="103" t="s">
        <v>867</v>
      </c>
      <c r="U1255" s="103"/>
      <c r="V1255" s="103"/>
      <c r="W1255" s="103">
        <f>ROUND(IF(LEFT(D1255,3)="Std",VLOOKUP(D1255,'Measure &amp; Standard CostIDs'!$S$5:$X$177,1+B1255,FALSE),VLOOKUP(D1255,'Measure &amp; Standard CostIDs'!$C$5:$H$177,1+B1255,FALSE)),2)</f>
        <v>3.98</v>
      </c>
      <c r="X1255" s="103"/>
      <c r="Y1255" s="103"/>
      <c r="Z1255" s="103" t="s">
        <v>868</v>
      </c>
      <c r="AA1255" s="103" t="s">
        <v>874</v>
      </c>
      <c r="AB1255" s="103" t="s">
        <v>153</v>
      </c>
      <c r="AC1255" s="103">
        <v>0</v>
      </c>
      <c r="AD1255" s="156">
        <v>42005</v>
      </c>
      <c r="AE1255" s="103"/>
      <c r="AF1255" s="103" t="s">
        <v>870</v>
      </c>
      <c r="AG1255" s="103" t="s">
        <v>871</v>
      </c>
      <c r="AH1255" s="103" t="s">
        <v>976</v>
      </c>
      <c r="AI1255" s="103">
        <v>0</v>
      </c>
      <c r="AJ1255" s="103"/>
      <c r="AK1255" s="103"/>
      <c r="AL1255" s="103"/>
      <c r="AM1255" s="103"/>
      <c r="AN1255" s="103"/>
      <c r="AO1255" s="103" t="str">
        <f t="shared" si="67"/>
        <v>Std_CFLscw-Candle(15w)_60pInc-r0248Three-pack</v>
      </c>
    </row>
    <row r="1256" spans="1:41">
      <c r="A1256" s="177">
        <f>IFERROR(MATCH(D1256,'Measure &amp; Standard CostIDs'!C$5:C$177,0),MATCH(D1256,'Measure &amp; Standard CostIDs'!S$5:S$177,0))</f>
        <v>102</v>
      </c>
      <c r="B1256" s="177">
        <f t="shared" si="69"/>
        <v>4</v>
      </c>
      <c r="C1256" s="103" t="s">
        <v>153</v>
      </c>
      <c r="D1256" s="103" t="str">
        <f t="shared" si="68"/>
        <v>Std_CFLscw-Candle(7w)_60pInc-r0248</v>
      </c>
      <c r="E1256" s="103" t="str">
        <f>IF(LEFT(D1256,3)="Std","Base case cost for mix of 60% Incandescent and 40% CFL lamps for CFL TechID: "&amp;INDEX('Measure &amp; Standard CostIDs'!$C$5:$C$177,A1256),"&lt;from TechID&gt;")</f>
        <v>Base case cost for mix of 60% Incandescent and 40% CFL lamps for CFL TechID: CFLscw-Candle(7w)</v>
      </c>
      <c r="F1256" s="103" t="s">
        <v>860</v>
      </c>
      <c r="G1256" s="103" t="s">
        <v>151</v>
      </c>
      <c r="H1256" s="103" t="s">
        <v>861</v>
      </c>
      <c r="I1256" s="103" t="s">
        <v>862</v>
      </c>
      <c r="J1256" s="103" t="s">
        <v>863</v>
      </c>
      <c r="K1256" s="103" t="s">
        <v>864</v>
      </c>
      <c r="L1256" s="103" t="s">
        <v>153</v>
      </c>
      <c r="M1256" s="103" t="s">
        <v>865</v>
      </c>
      <c r="N1256" s="103" t="s">
        <v>866</v>
      </c>
      <c r="O1256" s="103" t="str">
        <f t="shared" si="66"/>
        <v/>
      </c>
      <c r="P1256" s="103" t="s">
        <v>153</v>
      </c>
      <c r="Q1256" s="103" t="s">
        <v>153</v>
      </c>
      <c r="R1256" s="103" t="s">
        <v>153</v>
      </c>
      <c r="S1256" s="103" t="str">
        <f>INDEX('Measure &amp; Standard CostIDs'!$AK$8:$AK$12,B1256)</f>
        <v>Three-pack</v>
      </c>
      <c r="T1256" s="103" t="s">
        <v>867</v>
      </c>
      <c r="U1256" s="103"/>
      <c r="V1256" s="103"/>
      <c r="W1256" s="103">
        <f>ROUND(IF(LEFT(D1256,3)="Std",VLOOKUP(D1256,'Measure &amp; Standard CostIDs'!$S$5:$X$177,1+B1256,FALSE),VLOOKUP(D1256,'Measure &amp; Standard CostIDs'!$C$5:$H$177,1+B1256,FALSE)),2)</f>
        <v>3.33</v>
      </c>
      <c r="X1256" s="103"/>
      <c r="Y1256" s="103"/>
      <c r="Z1256" s="103" t="s">
        <v>868</v>
      </c>
      <c r="AA1256" s="103" t="s">
        <v>874</v>
      </c>
      <c r="AB1256" s="103" t="s">
        <v>153</v>
      </c>
      <c r="AC1256" s="103">
        <v>0</v>
      </c>
      <c r="AD1256" s="156">
        <v>42005</v>
      </c>
      <c r="AE1256" s="103"/>
      <c r="AF1256" s="103" t="s">
        <v>870</v>
      </c>
      <c r="AG1256" s="103" t="s">
        <v>871</v>
      </c>
      <c r="AH1256" s="103" t="s">
        <v>976</v>
      </c>
      <c r="AI1256" s="103">
        <v>0</v>
      </c>
      <c r="AJ1256" s="103"/>
      <c r="AK1256" s="103"/>
      <c r="AL1256" s="103"/>
      <c r="AM1256" s="103"/>
      <c r="AN1256" s="103"/>
      <c r="AO1256" s="103" t="str">
        <f t="shared" si="67"/>
        <v>Std_CFLscw-Candle(7w)_60pInc-r0248Three-pack</v>
      </c>
    </row>
    <row r="1257" spans="1:41">
      <c r="A1257" s="177">
        <f>IFERROR(MATCH(D1257,'Measure &amp; Standard CostIDs'!C$5:C$177,0),MATCH(D1257,'Measure &amp; Standard CostIDs'!S$5:S$177,0))</f>
        <v>103</v>
      </c>
      <c r="B1257" s="177">
        <f t="shared" si="69"/>
        <v>4</v>
      </c>
      <c r="C1257" s="103" t="s">
        <v>153</v>
      </c>
      <c r="D1257" s="103" t="str">
        <f t="shared" si="68"/>
        <v>Std_CFLscw-Candle(8w)_60pInc-r0248</v>
      </c>
      <c r="E1257" s="103" t="str">
        <f>IF(LEFT(D1257,3)="Std","Base case cost for mix of 60% Incandescent and 40% CFL lamps for CFL TechID: "&amp;INDEX('Measure &amp; Standard CostIDs'!$C$5:$C$177,A1257),"&lt;from TechID&gt;")</f>
        <v>Base case cost for mix of 60% Incandescent and 40% CFL lamps for CFL TechID: CFLscw-Candle(8w)</v>
      </c>
      <c r="F1257" s="103" t="s">
        <v>860</v>
      </c>
      <c r="G1257" s="103" t="s">
        <v>151</v>
      </c>
      <c r="H1257" s="103" t="s">
        <v>861</v>
      </c>
      <c r="I1257" s="103" t="s">
        <v>862</v>
      </c>
      <c r="J1257" s="103" t="s">
        <v>863</v>
      </c>
      <c r="K1257" s="103" t="s">
        <v>864</v>
      </c>
      <c r="L1257" s="103" t="s">
        <v>153</v>
      </c>
      <c r="M1257" s="103" t="s">
        <v>865</v>
      </c>
      <c r="N1257" s="103" t="s">
        <v>866</v>
      </c>
      <c r="O1257" s="103" t="str">
        <f t="shared" si="66"/>
        <v/>
      </c>
      <c r="P1257" s="103" t="s">
        <v>153</v>
      </c>
      <c r="Q1257" s="103" t="s">
        <v>153</v>
      </c>
      <c r="R1257" s="103" t="s">
        <v>153</v>
      </c>
      <c r="S1257" s="103" t="str">
        <f>INDEX('Measure &amp; Standard CostIDs'!$AK$8:$AK$12,B1257)</f>
        <v>Three-pack</v>
      </c>
      <c r="T1257" s="103" t="s">
        <v>867</v>
      </c>
      <c r="U1257" s="103"/>
      <c r="V1257" s="103"/>
      <c r="W1257" s="103">
        <f>ROUND(IF(LEFT(D1257,3)="Std",VLOOKUP(D1257,'Measure &amp; Standard CostIDs'!$S$5:$X$177,1+B1257,FALSE),VLOOKUP(D1257,'Measure &amp; Standard CostIDs'!$C$5:$H$177,1+B1257,FALSE)),2)</f>
        <v>3.41</v>
      </c>
      <c r="X1257" s="103"/>
      <c r="Y1257" s="103"/>
      <c r="Z1257" s="103" t="s">
        <v>868</v>
      </c>
      <c r="AA1257" s="103" t="s">
        <v>874</v>
      </c>
      <c r="AB1257" s="103" t="s">
        <v>153</v>
      </c>
      <c r="AC1257" s="103">
        <v>0</v>
      </c>
      <c r="AD1257" s="156">
        <v>42005</v>
      </c>
      <c r="AE1257" s="103"/>
      <c r="AF1257" s="103" t="s">
        <v>870</v>
      </c>
      <c r="AG1257" s="103" t="s">
        <v>871</v>
      </c>
      <c r="AH1257" s="103" t="s">
        <v>976</v>
      </c>
      <c r="AI1257" s="103">
        <v>0</v>
      </c>
      <c r="AJ1257" s="103"/>
      <c r="AK1257" s="103"/>
      <c r="AL1257" s="103"/>
      <c r="AM1257" s="103"/>
      <c r="AN1257" s="103"/>
      <c r="AO1257" s="103" t="str">
        <f t="shared" si="67"/>
        <v>Std_CFLscw-Candle(8w)_60pInc-r0248Three-pack</v>
      </c>
    </row>
    <row r="1258" spans="1:41">
      <c r="A1258" s="177">
        <f>IFERROR(MATCH(D1258,'Measure &amp; Standard CostIDs'!C$5:C$177,0),MATCH(D1258,'Measure &amp; Standard CostIDs'!S$5:S$177,0))</f>
        <v>104</v>
      </c>
      <c r="B1258" s="177">
        <f t="shared" si="69"/>
        <v>4</v>
      </c>
      <c r="C1258" s="103" t="s">
        <v>153</v>
      </c>
      <c r="D1258" s="103" t="str">
        <f t="shared" si="68"/>
        <v>Std_CFLscw-Candle(9w)_60pInc-r0248</v>
      </c>
      <c r="E1258" s="103" t="str">
        <f>IF(LEFT(D1258,3)="Std","Base case cost for mix of 60% Incandescent and 40% CFL lamps for CFL TechID: "&amp;INDEX('Measure &amp; Standard CostIDs'!$C$5:$C$177,A1258),"&lt;from TechID&gt;")</f>
        <v>Base case cost for mix of 60% Incandescent and 40% CFL lamps for CFL TechID: CFLscw-Candle(9w)</v>
      </c>
      <c r="F1258" s="103" t="s">
        <v>860</v>
      </c>
      <c r="G1258" s="103" t="s">
        <v>151</v>
      </c>
      <c r="H1258" s="103" t="s">
        <v>861</v>
      </c>
      <c r="I1258" s="103" t="s">
        <v>862</v>
      </c>
      <c r="J1258" s="103" t="s">
        <v>863</v>
      </c>
      <c r="K1258" s="103" t="s">
        <v>864</v>
      </c>
      <c r="L1258" s="103" t="s">
        <v>153</v>
      </c>
      <c r="M1258" s="103" t="s">
        <v>865</v>
      </c>
      <c r="N1258" s="103" t="s">
        <v>866</v>
      </c>
      <c r="O1258" s="103" t="str">
        <f t="shared" si="66"/>
        <v/>
      </c>
      <c r="P1258" s="103" t="s">
        <v>153</v>
      </c>
      <c r="Q1258" s="103" t="s">
        <v>153</v>
      </c>
      <c r="R1258" s="103" t="s">
        <v>153</v>
      </c>
      <c r="S1258" s="103" t="str">
        <f>INDEX('Measure &amp; Standard CostIDs'!$AK$8:$AK$12,B1258)</f>
        <v>Three-pack</v>
      </c>
      <c r="T1258" s="103" t="s">
        <v>867</v>
      </c>
      <c r="U1258" s="103"/>
      <c r="V1258" s="103"/>
      <c r="W1258" s="103">
        <f>ROUND(IF(LEFT(D1258,3)="Std",VLOOKUP(D1258,'Measure &amp; Standard CostIDs'!$S$5:$X$177,1+B1258,FALSE),VLOOKUP(D1258,'Measure &amp; Standard CostIDs'!$C$5:$H$177,1+B1258,FALSE)),2)</f>
        <v>3.49</v>
      </c>
      <c r="X1258" s="103"/>
      <c r="Y1258" s="103"/>
      <c r="Z1258" s="103" t="s">
        <v>868</v>
      </c>
      <c r="AA1258" s="103" t="s">
        <v>874</v>
      </c>
      <c r="AB1258" s="103" t="s">
        <v>153</v>
      </c>
      <c r="AC1258" s="103">
        <v>0</v>
      </c>
      <c r="AD1258" s="156">
        <v>42005</v>
      </c>
      <c r="AE1258" s="103"/>
      <c r="AF1258" s="103" t="s">
        <v>870</v>
      </c>
      <c r="AG1258" s="103" t="s">
        <v>871</v>
      </c>
      <c r="AH1258" s="103" t="s">
        <v>976</v>
      </c>
      <c r="AI1258" s="103">
        <v>0</v>
      </c>
      <c r="AJ1258" s="103"/>
      <c r="AK1258" s="103"/>
      <c r="AL1258" s="103"/>
      <c r="AM1258" s="103"/>
      <c r="AN1258" s="103"/>
      <c r="AO1258" s="103" t="str">
        <f t="shared" si="67"/>
        <v>Std_CFLscw-Candle(9w)_60pInc-r0248Three-pack</v>
      </c>
    </row>
    <row r="1259" spans="1:41">
      <c r="A1259" s="177">
        <f>IFERROR(MATCH(D1259,'Measure &amp; Standard CostIDs'!C$5:C$177,0),MATCH(D1259,'Measure &amp; Standard CostIDs'!S$5:S$177,0))</f>
        <v>105</v>
      </c>
      <c r="B1259" s="177">
        <f t="shared" si="69"/>
        <v>4</v>
      </c>
      <c r="C1259" s="103" t="s">
        <v>153</v>
      </c>
      <c r="D1259" s="103" t="str">
        <f t="shared" si="68"/>
        <v>Std_CFLscw-Dim(10w)_60pInc-r0248</v>
      </c>
      <c r="E1259" s="103" t="str">
        <f>IF(LEFT(D1259,3)="Std","Base case cost for mix of 60% Incandescent and 40% CFL lamps for CFL TechID: "&amp;INDEX('Measure &amp; Standard CostIDs'!$C$5:$C$177,A1259),"&lt;from TechID&gt;")</f>
        <v>Base case cost for mix of 60% Incandescent and 40% CFL lamps for CFL TechID: CFLscw-Dim(10w)</v>
      </c>
      <c r="F1259" s="103" t="s">
        <v>860</v>
      </c>
      <c r="G1259" s="103" t="s">
        <v>151</v>
      </c>
      <c r="H1259" s="103" t="s">
        <v>861</v>
      </c>
      <c r="I1259" s="103" t="s">
        <v>862</v>
      </c>
      <c r="J1259" s="103" t="s">
        <v>863</v>
      </c>
      <c r="K1259" s="103" t="s">
        <v>864</v>
      </c>
      <c r="L1259" s="103" t="s">
        <v>153</v>
      </c>
      <c r="M1259" s="103" t="s">
        <v>865</v>
      </c>
      <c r="N1259" s="103" t="s">
        <v>866</v>
      </c>
      <c r="O1259" s="103" t="str">
        <f t="shared" si="66"/>
        <v/>
      </c>
      <c r="P1259" s="103" t="s">
        <v>153</v>
      </c>
      <c r="Q1259" s="103" t="s">
        <v>153</v>
      </c>
      <c r="R1259" s="103" t="s">
        <v>153</v>
      </c>
      <c r="S1259" s="103" t="str">
        <f>INDEX('Measure &amp; Standard CostIDs'!$AK$8:$AK$12,B1259)</f>
        <v>Three-pack</v>
      </c>
      <c r="T1259" s="103" t="s">
        <v>867</v>
      </c>
      <c r="U1259" s="103"/>
      <c r="V1259" s="103"/>
      <c r="W1259" s="103">
        <f>ROUND(IF(LEFT(D1259,3)="Std",VLOOKUP(D1259,'Measure &amp; Standard CostIDs'!$S$5:$X$177,1+B1259,FALSE),VLOOKUP(D1259,'Measure &amp; Standard CostIDs'!$C$5:$H$177,1+B1259,FALSE)),2)</f>
        <v>3.79</v>
      </c>
      <c r="X1259" s="103"/>
      <c r="Y1259" s="103"/>
      <c r="Z1259" s="103" t="s">
        <v>868</v>
      </c>
      <c r="AA1259" s="103" t="s">
        <v>874</v>
      </c>
      <c r="AB1259" s="103" t="s">
        <v>153</v>
      </c>
      <c r="AC1259" s="103">
        <v>0</v>
      </c>
      <c r="AD1259" s="156">
        <v>42005</v>
      </c>
      <c r="AE1259" s="103"/>
      <c r="AF1259" s="103" t="s">
        <v>870</v>
      </c>
      <c r="AG1259" s="103" t="s">
        <v>871</v>
      </c>
      <c r="AH1259" s="103" t="s">
        <v>976</v>
      </c>
      <c r="AI1259" s="103">
        <v>0</v>
      </c>
      <c r="AJ1259" s="103"/>
      <c r="AK1259" s="103"/>
      <c r="AL1259" s="103"/>
      <c r="AM1259" s="103"/>
      <c r="AN1259" s="103"/>
      <c r="AO1259" s="103" t="str">
        <f t="shared" si="67"/>
        <v>Std_CFLscw-Dim(10w)_60pInc-r0248Three-pack</v>
      </c>
    </row>
    <row r="1260" spans="1:41">
      <c r="A1260" s="177">
        <f>IFERROR(MATCH(D1260,'Measure &amp; Standard CostIDs'!C$5:C$177,0),MATCH(D1260,'Measure &amp; Standard CostIDs'!S$5:S$177,0))</f>
        <v>106</v>
      </c>
      <c r="B1260" s="177">
        <f t="shared" si="69"/>
        <v>4</v>
      </c>
      <c r="C1260" s="103" t="s">
        <v>153</v>
      </c>
      <c r="D1260" s="103" t="str">
        <f t="shared" si="68"/>
        <v>Std_CFLscw-Dim(11w)_60pInc-r0248</v>
      </c>
      <c r="E1260" s="103" t="str">
        <f>IF(LEFT(D1260,3)="Std","Base case cost for mix of 60% Incandescent and 40% CFL lamps for CFL TechID: "&amp;INDEX('Measure &amp; Standard CostIDs'!$C$5:$C$177,A1260),"&lt;from TechID&gt;")</f>
        <v>Base case cost for mix of 60% Incandescent and 40% CFL lamps for CFL TechID: CFLscw-Dim(11w)</v>
      </c>
      <c r="F1260" s="103" t="s">
        <v>860</v>
      </c>
      <c r="G1260" s="103" t="s">
        <v>151</v>
      </c>
      <c r="H1260" s="103" t="s">
        <v>861</v>
      </c>
      <c r="I1260" s="103" t="s">
        <v>862</v>
      </c>
      <c r="J1260" s="103" t="s">
        <v>863</v>
      </c>
      <c r="K1260" s="103" t="s">
        <v>864</v>
      </c>
      <c r="L1260" s="103" t="s">
        <v>153</v>
      </c>
      <c r="M1260" s="103" t="s">
        <v>865</v>
      </c>
      <c r="N1260" s="103" t="s">
        <v>866</v>
      </c>
      <c r="O1260" s="103" t="str">
        <f t="shared" si="66"/>
        <v/>
      </c>
      <c r="P1260" s="103" t="s">
        <v>153</v>
      </c>
      <c r="Q1260" s="103" t="s">
        <v>153</v>
      </c>
      <c r="R1260" s="103" t="s">
        <v>153</v>
      </c>
      <c r="S1260" s="103" t="str">
        <f>INDEX('Measure &amp; Standard CostIDs'!$AK$8:$AK$12,B1260)</f>
        <v>Three-pack</v>
      </c>
      <c r="T1260" s="103" t="s">
        <v>867</v>
      </c>
      <c r="U1260" s="103"/>
      <c r="V1260" s="103"/>
      <c r="W1260" s="103">
        <f>ROUND(IF(LEFT(D1260,3)="Std",VLOOKUP(D1260,'Measure &amp; Standard CostIDs'!$S$5:$X$177,1+B1260,FALSE),VLOOKUP(D1260,'Measure &amp; Standard CostIDs'!$C$5:$H$177,1+B1260,FALSE)),2)</f>
        <v>3.84</v>
      </c>
      <c r="X1260" s="103"/>
      <c r="Y1260" s="103"/>
      <c r="Z1260" s="103" t="s">
        <v>868</v>
      </c>
      <c r="AA1260" s="103" t="s">
        <v>874</v>
      </c>
      <c r="AB1260" s="103" t="s">
        <v>153</v>
      </c>
      <c r="AC1260" s="103">
        <v>0</v>
      </c>
      <c r="AD1260" s="156">
        <v>42005</v>
      </c>
      <c r="AE1260" s="103"/>
      <c r="AF1260" s="103" t="s">
        <v>870</v>
      </c>
      <c r="AG1260" s="103" t="s">
        <v>871</v>
      </c>
      <c r="AH1260" s="103" t="s">
        <v>976</v>
      </c>
      <c r="AI1260" s="103">
        <v>0</v>
      </c>
      <c r="AJ1260" s="103"/>
      <c r="AK1260" s="103"/>
      <c r="AL1260" s="103"/>
      <c r="AM1260" s="103"/>
      <c r="AN1260" s="103"/>
      <c r="AO1260" s="103" t="str">
        <f t="shared" si="67"/>
        <v>Std_CFLscw-Dim(11w)_60pInc-r0248Three-pack</v>
      </c>
    </row>
    <row r="1261" spans="1:41">
      <c r="A1261" s="177">
        <f>IFERROR(MATCH(D1261,'Measure &amp; Standard CostIDs'!C$5:C$177,0),MATCH(D1261,'Measure &amp; Standard CostIDs'!S$5:S$177,0))</f>
        <v>107</v>
      </c>
      <c r="B1261" s="177">
        <f t="shared" si="69"/>
        <v>4</v>
      </c>
      <c r="C1261" s="103" t="s">
        <v>153</v>
      </c>
      <c r="D1261" s="103" t="str">
        <f t="shared" si="68"/>
        <v>Std_CFLscw-Dim(14w)_60pInc-r0248</v>
      </c>
      <c r="E1261" s="103" t="str">
        <f>IF(LEFT(D1261,3)="Std","Base case cost for mix of 60% Incandescent and 40% CFL lamps for CFL TechID: "&amp;INDEX('Measure &amp; Standard CostIDs'!$C$5:$C$177,A1261),"&lt;from TechID&gt;")</f>
        <v>Base case cost for mix of 60% Incandescent and 40% CFL lamps for CFL TechID: CFLscw-Dim(14w)</v>
      </c>
      <c r="F1261" s="103" t="s">
        <v>860</v>
      </c>
      <c r="G1261" s="103" t="s">
        <v>151</v>
      </c>
      <c r="H1261" s="103" t="s">
        <v>861</v>
      </c>
      <c r="I1261" s="103" t="s">
        <v>862</v>
      </c>
      <c r="J1261" s="103" t="s">
        <v>863</v>
      </c>
      <c r="K1261" s="103" t="s">
        <v>864</v>
      </c>
      <c r="L1261" s="103" t="s">
        <v>153</v>
      </c>
      <c r="M1261" s="103" t="s">
        <v>865</v>
      </c>
      <c r="N1261" s="103" t="s">
        <v>866</v>
      </c>
      <c r="O1261" s="103" t="str">
        <f t="shared" si="66"/>
        <v/>
      </c>
      <c r="P1261" s="103" t="s">
        <v>153</v>
      </c>
      <c r="Q1261" s="103" t="s">
        <v>153</v>
      </c>
      <c r="R1261" s="103" t="s">
        <v>153</v>
      </c>
      <c r="S1261" s="103" t="str">
        <f>INDEX('Measure &amp; Standard CostIDs'!$AK$8:$AK$12,B1261)</f>
        <v>Three-pack</v>
      </c>
      <c r="T1261" s="103" t="s">
        <v>867</v>
      </c>
      <c r="U1261" s="103"/>
      <c r="V1261" s="103"/>
      <c r="W1261" s="103">
        <f>ROUND(IF(LEFT(D1261,3)="Std",VLOOKUP(D1261,'Measure &amp; Standard CostIDs'!$S$5:$X$177,1+B1261,FALSE),VLOOKUP(D1261,'Measure &amp; Standard CostIDs'!$C$5:$H$177,1+B1261,FALSE)),2)</f>
        <v>3.98</v>
      </c>
      <c r="X1261" s="103"/>
      <c r="Y1261" s="103"/>
      <c r="Z1261" s="103" t="s">
        <v>868</v>
      </c>
      <c r="AA1261" s="103" t="s">
        <v>874</v>
      </c>
      <c r="AB1261" s="103" t="s">
        <v>153</v>
      </c>
      <c r="AC1261" s="103">
        <v>0</v>
      </c>
      <c r="AD1261" s="156">
        <v>42005</v>
      </c>
      <c r="AE1261" s="103"/>
      <c r="AF1261" s="103" t="s">
        <v>870</v>
      </c>
      <c r="AG1261" s="103" t="s">
        <v>871</v>
      </c>
      <c r="AH1261" s="103" t="s">
        <v>976</v>
      </c>
      <c r="AI1261" s="103">
        <v>0</v>
      </c>
      <c r="AJ1261" s="103"/>
      <c r="AK1261" s="103"/>
      <c r="AL1261" s="103"/>
      <c r="AM1261" s="103"/>
      <c r="AN1261" s="103"/>
      <c r="AO1261" s="103" t="str">
        <f t="shared" si="67"/>
        <v>Std_CFLscw-Dim(14w)_60pInc-r0248Three-pack</v>
      </c>
    </row>
    <row r="1262" spans="1:41">
      <c r="A1262" s="177">
        <f>IFERROR(MATCH(D1262,'Measure &amp; Standard CostIDs'!C$5:C$177,0),MATCH(D1262,'Measure &amp; Standard CostIDs'!S$5:S$177,0))</f>
        <v>108</v>
      </c>
      <c r="B1262" s="177">
        <f t="shared" si="69"/>
        <v>4</v>
      </c>
      <c r="C1262" s="103" t="s">
        <v>153</v>
      </c>
      <c r="D1262" s="103" t="str">
        <f t="shared" si="68"/>
        <v>Std_CFLscw-Dim(15w)_60pInc-r0248</v>
      </c>
      <c r="E1262" s="103" t="str">
        <f>IF(LEFT(D1262,3)="Std","Base case cost for mix of 60% Incandescent and 40% CFL lamps for CFL TechID: "&amp;INDEX('Measure &amp; Standard CostIDs'!$C$5:$C$177,A1262),"&lt;from TechID&gt;")</f>
        <v>Base case cost for mix of 60% Incandescent and 40% CFL lamps for CFL TechID: CFLscw-Dim(15w)</v>
      </c>
      <c r="F1262" s="103" t="s">
        <v>860</v>
      </c>
      <c r="G1262" s="103" t="s">
        <v>151</v>
      </c>
      <c r="H1262" s="103" t="s">
        <v>861</v>
      </c>
      <c r="I1262" s="103" t="s">
        <v>862</v>
      </c>
      <c r="J1262" s="103" t="s">
        <v>863</v>
      </c>
      <c r="K1262" s="103" t="s">
        <v>864</v>
      </c>
      <c r="L1262" s="103" t="s">
        <v>153</v>
      </c>
      <c r="M1262" s="103" t="s">
        <v>865</v>
      </c>
      <c r="N1262" s="103" t="s">
        <v>866</v>
      </c>
      <c r="O1262" s="103" t="str">
        <f t="shared" si="66"/>
        <v/>
      </c>
      <c r="P1262" s="103" t="s">
        <v>153</v>
      </c>
      <c r="Q1262" s="103" t="s">
        <v>153</v>
      </c>
      <c r="R1262" s="103" t="s">
        <v>153</v>
      </c>
      <c r="S1262" s="103" t="str">
        <f>INDEX('Measure &amp; Standard CostIDs'!$AK$8:$AK$12,B1262)</f>
        <v>Three-pack</v>
      </c>
      <c r="T1262" s="103" t="s">
        <v>867</v>
      </c>
      <c r="U1262" s="103"/>
      <c r="V1262" s="103"/>
      <c r="W1262" s="103">
        <f>ROUND(IF(LEFT(D1262,3)="Std",VLOOKUP(D1262,'Measure &amp; Standard CostIDs'!$S$5:$X$177,1+B1262,FALSE),VLOOKUP(D1262,'Measure &amp; Standard CostIDs'!$C$5:$H$177,1+B1262,FALSE)),2)</f>
        <v>4.0199999999999996</v>
      </c>
      <c r="X1262" s="103"/>
      <c r="Y1262" s="103"/>
      <c r="Z1262" s="103" t="s">
        <v>868</v>
      </c>
      <c r="AA1262" s="103" t="s">
        <v>874</v>
      </c>
      <c r="AB1262" s="103" t="s">
        <v>153</v>
      </c>
      <c r="AC1262" s="103">
        <v>0</v>
      </c>
      <c r="AD1262" s="156">
        <v>42005</v>
      </c>
      <c r="AE1262" s="103"/>
      <c r="AF1262" s="103" t="s">
        <v>870</v>
      </c>
      <c r="AG1262" s="103" t="s">
        <v>871</v>
      </c>
      <c r="AH1262" s="103" t="s">
        <v>976</v>
      </c>
      <c r="AI1262" s="103">
        <v>0</v>
      </c>
      <c r="AJ1262" s="103"/>
      <c r="AK1262" s="103"/>
      <c r="AL1262" s="103"/>
      <c r="AM1262" s="103"/>
      <c r="AN1262" s="103"/>
      <c r="AO1262" s="103" t="str">
        <f t="shared" si="67"/>
        <v>Std_CFLscw-Dim(15w)_60pInc-r0248Three-pack</v>
      </c>
    </row>
    <row r="1263" spans="1:41">
      <c r="A1263" s="177">
        <f>IFERROR(MATCH(D1263,'Measure &amp; Standard CostIDs'!C$5:C$177,0),MATCH(D1263,'Measure &amp; Standard CostIDs'!S$5:S$177,0))</f>
        <v>109</v>
      </c>
      <c r="B1263" s="177">
        <f t="shared" si="69"/>
        <v>4</v>
      </c>
      <c r="C1263" s="103" t="s">
        <v>153</v>
      </c>
      <c r="D1263" s="103" t="str">
        <f t="shared" si="68"/>
        <v>Std_CFLscw-Dim(16w)_60pInc-r0248</v>
      </c>
      <c r="E1263" s="103" t="str">
        <f>IF(LEFT(D1263,3)="Std","Base case cost for mix of 60% Incandescent and 40% CFL lamps for CFL TechID: "&amp;INDEX('Measure &amp; Standard CostIDs'!$C$5:$C$177,A1263),"&lt;from TechID&gt;")</f>
        <v>Base case cost for mix of 60% Incandescent and 40% CFL lamps for CFL TechID: CFLscw-Dim(16w)</v>
      </c>
      <c r="F1263" s="103" t="s">
        <v>860</v>
      </c>
      <c r="G1263" s="103" t="s">
        <v>151</v>
      </c>
      <c r="H1263" s="103" t="s">
        <v>861</v>
      </c>
      <c r="I1263" s="103" t="s">
        <v>862</v>
      </c>
      <c r="J1263" s="103" t="s">
        <v>863</v>
      </c>
      <c r="K1263" s="103" t="s">
        <v>864</v>
      </c>
      <c r="L1263" s="103" t="s">
        <v>153</v>
      </c>
      <c r="M1263" s="103" t="s">
        <v>865</v>
      </c>
      <c r="N1263" s="103" t="s">
        <v>866</v>
      </c>
      <c r="O1263" s="103" t="str">
        <f t="shared" si="66"/>
        <v/>
      </c>
      <c r="P1263" s="103" t="s">
        <v>153</v>
      </c>
      <c r="Q1263" s="103" t="s">
        <v>153</v>
      </c>
      <c r="R1263" s="103" t="s">
        <v>153</v>
      </c>
      <c r="S1263" s="103" t="str">
        <f>INDEX('Measure &amp; Standard CostIDs'!$AK$8:$AK$12,B1263)</f>
        <v>Three-pack</v>
      </c>
      <c r="T1263" s="103" t="s">
        <v>867</v>
      </c>
      <c r="U1263" s="103"/>
      <c r="V1263" s="103"/>
      <c r="W1263" s="103">
        <f>ROUND(IF(LEFT(D1263,3)="Std",VLOOKUP(D1263,'Measure &amp; Standard CostIDs'!$S$5:$X$177,1+B1263,FALSE),VLOOKUP(D1263,'Measure &amp; Standard CostIDs'!$C$5:$H$177,1+B1263,FALSE)),2)</f>
        <v>4.07</v>
      </c>
      <c r="X1263" s="103"/>
      <c r="Y1263" s="103"/>
      <c r="Z1263" s="103" t="s">
        <v>868</v>
      </c>
      <c r="AA1263" s="103" t="s">
        <v>874</v>
      </c>
      <c r="AB1263" s="103" t="s">
        <v>153</v>
      </c>
      <c r="AC1263" s="103">
        <v>0</v>
      </c>
      <c r="AD1263" s="156">
        <v>42005</v>
      </c>
      <c r="AE1263" s="103"/>
      <c r="AF1263" s="103" t="s">
        <v>870</v>
      </c>
      <c r="AG1263" s="103" t="s">
        <v>871</v>
      </c>
      <c r="AH1263" s="103" t="s">
        <v>976</v>
      </c>
      <c r="AI1263" s="103">
        <v>0</v>
      </c>
      <c r="AJ1263" s="103"/>
      <c r="AK1263" s="103"/>
      <c r="AL1263" s="103"/>
      <c r="AM1263" s="103"/>
      <c r="AN1263" s="103"/>
      <c r="AO1263" s="103" t="str">
        <f t="shared" si="67"/>
        <v>Std_CFLscw-Dim(16w)_60pInc-r0248Three-pack</v>
      </c>
    </row>
    <row r="1264" spans="1:41">
      <c r="A1264" s="177">
        <f>IFERROR(MATCH(D1264,'Measure &amp; Standard CostIDs'!C$5:C$177,0),MATCH(D1264,'Measure &amp; Standard CostIDs'!S$5:S$177,0))</f>
        <v>110</v>
      </c>
      <c r="B1264" s="177">
        <f t="shared" si="69"/>
        <v>4</v>
      </c>
      <c r="C1264" s="103" t="s">
        <v>153</v>
      </c>
      <c r="D1264" s="103" t="str">
        <f t="shared" si="68"/>
        <v>Std_CFLscw-Dim(18w)_60pInc-r0248</v>
      </c>
      <c r="E1264" s="103" t="str">
        <f>IF(LEFT(D1264,3)="Std","Base case cost for mix of 60% Incandescent and 40% CFL lamps for CFL TechID: "&amp;INDEX('Measure &amp; Standard CostIDs'!$C$5:$C$177,A1264),"&lt;from TechID&gt;")</f>
        <v>Base case cost for mix of 60% Incandescent and 40% CFL lamps for CFL TechID: CFLscw-Dim(18w)</v>
      </c>
      <c r="F1264" s="103" t="s">
        <v>860</v>
      </c>
      <c r="G1264" s="103" t="s">
        <v>151</v>
      </c>
      <c r="H1264" s="103" t="s">
        <v>861</v>
      </c>
      <c r="I1264" s="103" t="s">
        <v>862</v>
      </c>
      <c r="J1264" s="103" t="s">
        <v>863</v>
      </c>
      <c r="K1264" s="103" t="s">
        <v>864</v>
      </c>
      <c r="L1264" s="103" t="s">
        <v>153</v>
      </c>
      <c r="M1264" s="103" t="s">
        <v>865</v>
      </c>
      <c r="N1264" s="103" t="s">
        <v>866</v>
      </c>
      <c r="O1264" s="103" t="str">
        <f t="shared" si="66"/>
        <v/>
      </c>
      <c r="P1264" s="103" t="s">
        <v>153</v>
      </c>
      <c r="Q1264" s="103" t="s">
        <v>153</v>
      </c>
      <c r="R1264" s="103" t="s">
        <v>153</v>
      </c>
      <c r="S1264" s="103" t="str">
        <f>INDEX('Measure &amp; Standard CostIDs'!$AK$8:$AK$12,B1264)</f>
        <v>Three-pack</v>
      </c>
      <c r="T1264" s="103" t="s">
        <v>867</v>
      </c>
      <c r="U1264" s="103"/>
      <c r="V1264" s="103"/>
      <c r="W1264" s="103">
        <f>ROUND(IF(LEFT(D1264,3)="Std",VLOOKUP(D1264,'Measure &amp; Standard CostIDs'!$S$5:$X$177,1+B1264,FALSE),VLOOKUP(D1264,'Measure &amp; Standard CostIDs'!$C$5:$H$177,1+B1264,FALSE)),2)</f>
        <v>4.16</v>
      </c>
      <c r="X1264" s="103"/>
      <c r="Y1264" s="103"/>
      <c r="Z1264" s="103" t="s">
        <v>868</v>
      </c>
      <c r="AA1264" s="103" t="s">
        <v>874</v>
      </c>
      <c r="AB1264" s="103" t="s">
        <v>153</v>
      </c>
      <c r="AC1264" s="103">
        <v>0</v>
      </c>
      <c r="AD1264" s="156">
        <v>42005</v>
      </c>
      <c r="AE1264" s="103"/>
      <c r="AF1264" s="103" t="s">
        <v>870</v>
      </c>
      <c r="AG1264" s="103" t="s">
        <v>871</v>
      </c>
      <c r="AH1264" s="103" t="s">
        <v>976</v>
      </c>
      <c r="AI1264" s="103">
        <v>0</v>
      </c>
      <c r="AJ1264" s="103"/>
      <c r="AK1264" s="103"/>
      <c r="AL1264" s="103"/>
      <c r="AM1264" s="103"/>
      <c r="AN1264" s="103"/>
      <c r="AO1264" s="103" t="str">
        <f t="shared" si="67"/>
        <v>Std_CFLscw-Dim(18w)_60pInc-r0248Three-pack</v>
      </c>
    </row>
    <row r="1265" spans="1:41">
      <c r="A1265" s="177">
        <f>IFERROR(MATCH(D1265,'Measure &amp; Standard CostIDs'!C$5:C$177,0),MATCH(D1265,'Measure &amp; Standard CostIDs'!S$5:S$177,0))</f>
        <v>111</v>
      </c>
      <c r="B1265" s="177">
        <f t="shared" si="69"/>
        <v>4</v>
      </c>
      <c r="C1265" s="103" t="s">
        <v>153</v>
      </c>
      <c r="D1265" s="103" t="str">
        <f t="shared" si="68"/>
        <v>Std_CFLscw-Dim(19w)_60pInc-r0248</v>
      </c>
      <c r="E1265" s="103" t="str">
        <f>IF(LEFT(D1265,3)="Std","Base case cost for mix of 60% Incandescent and 40% CFL lamps for CFL TechID: "&amp;INDEX('Measure &amp; Standard CostIDs'!$C$5:$C$177,A1265),"&lt;from TechID&gt;")</f>
        <v>Base case cost for mix of 60% Incandescent and 40% CFL lamps for CFL TechID: CFLscw-Dim(19w)</v>
      </c>
      <c r="F1265" s="103" t="s">
        <v>860</v>
      </c>
      <c r="G1265" s="103" t="s">
        <v>151</v>
      </c>
      <c r="H1265" s="103" t="s">
        <v>861</v>
      </c>
      <c r="I1265" s="103" t="s">
        <v>862</v>
      </c>
      <c r="J1265" s="103" t="s">
        <v>863</v>
      </c>
      <c r="K1265" s="103" t="s">
        <v>864</v>
      </c>
      <c r="L1265" s="103" t="s">
        <v>153</v>
      </c>
      <c r="M1265" s="103" t="s">
        <v>865</v>
      </c>
      <c r="N1265" s="103" t="s">
        <v>866</v>
      </c>
      <c r="O1265" s="103" t="str">
        <f t="shared" si="66"/>
        <v/>
      </c>
      <c r="P1265" s="103" t="s">
        <v>153</v>
      </c>
      <c r="Q1265" s="103" t="s">
        <v>153</v>
      </c>
      <c r="R1265" s="103" t="s">
        <v>153</v>
      </c>
      <c r="S1265" s="103" t="str">
        <f>INDEX('Measure &amp; Standard CostIDs'!$AK$8:$AK$12,B1265)</f>
        <v>Three-pack</v>
      </c>
      <c r="T1265" s="103" t="s">
        <v>867</v>
      </c>
      <c r="U1265" s="103"/>
      <c r="V1265" s="103"/>
      <c r="W1265" s="103">
        <f>ROUND(IF(LEFT(D1265,3)="Std",VLOOKUP(D1265,'Measure &amp; Standard CostIDs'!$S$5:$X$177,1+B1265,FALSE),VLOOKUP(D1265,'Measure &amp; Standard CostIDs'!$C$5:$H$177,1+B1265,FALSE)),2)</f>
        <v>4.2</v>
      </c>
      <c r="X1265" s="103"/>
      <c r="Y1265" s="103"/>
      <c r="Z1265" s="103" t="s">
        <v>868</v>
      </c>
      <c r="AA1265" s="103" t="s">
        <v>874</v>
      </c>
      <c r="AB1265" s="103" t="s">
        <v>153</v>
      </c>
      <c r="AC1265" s="103">
        <v>0</v>
      </c>
      <c r="AD1265" s="156">
        <v>42005</v>
      </c>
      <c r="AE1265" s="103"/>
      <c r="AF1265" s="103" t="s">
        <v>870</v>
      </c>
      <c r="AG1265" s="103" t="s">
        <v>871</v>
      </c>
      <c r="AH1265" s="103" t="s">
        <v>976</v>
      </c>
      <c r="AI1265" s="103">
        <v>0</v>
      </c>
      <c r="AJ1265" s="103"/>
      <c r="AK1265" s="103"/>
      <c r="AL1265" s="103"/>
      <c r="AM1265" s="103"/>
      <c r="AN1265" s="103"/>
      <c r="AO1265" s="103" t="str">
        <f t="shared" si="67"/>
        <v>Std_CFLscw-Dim(19w)_60pInc-r0248Three-pack</v>
      </c>
    </row>
    <row r="1266" spans="1:41">
      <c r="A1266" s="177">
        <f>IFERROR(MATCH(D1266,'Measure &amp; Standard CostIDs'!C$5:C$177,0),MATCH(D1266,'Measure &amp; Standard CostIDs'!S$5:S$177,0))</f>
        <v>112</v>
      </c>
      <c r="B1266" s="177">
        <f t="shared" si="69"/>
        <v>4</v>
      </c>
      <c r="C1266" s="103" t="s">
        <v>153</v>
      </c>
      <c r="D1266" s="103" t="str">
        <f t="shared" si="68"/>
        <v>Std_CFLscw-Dim(20w)_60pInc-r0248</v>
      </c>
      <c r="E1266" s="103" t="str">
        <f>IF(LEFT(D1266,3)="Std","Base case cost for mix of 60% Incandescent and 40% CFL lamps for CFL TechID: "&amp;INDEX('Measure &amp; Standard CostIDs'!$C$5:$C$177,A1266),"&lt;from TechID&gt;")</f>
        <v>Base case cost for mix of 60% Incandescent and 40% CFL lamps for CFL TechID: CFLscw-Dim(20w)</v>
      </c>
      <c r="F1266" s="103" t="s">
        <v>860</v>
      </c>
      <c r="G1266" s="103" t="s">
        <v>151</v>
      </c>
      <c r="H1266" s="103" t="s">
        <v>861</v>
      </c>
      <c r="I1266" s="103" t="s">
        <v>862</v>
      </c>
      <c r="J1266" s="103" t="s">
        <v>863</v>
      </c>
      <c r="K1266" s="103" t="s">
        <v>864</v>
      </c>
      <c r="L1266" s="103" t="s">
        <v>153</v>
      </c>
      <c r="M1266" s="103" t="s">
        <v>865</v>
      </c>
      <c r="N1266" s="103" t="s">
        <v>866</v>
      </c>
      <c r="O1266" s="103" t="str">
        <f t="shared" si="66"/>
        <v/>
      </c>
      <c r="P1266" s="103" t="s">
        <v>153</v>
      </c>
      <c r="Q1266" s="103" t="s">
        <v>153</v>
      </c>
      <c r="R1266" s="103" t="s">
        <v>153</v>
      </c>
      <c r="S1266" s="103" t="str">
        <f>INDEX('Measure &amp; Standard CostIDs'!$AK$8:$AK$12,B1266)</f>
        <v>Three-pack</v>
      </c>
      <c r="T1266" s="103" t="s">
        <v>867</v>
      </c>
      <c r="U1266" s="103"/>
      <c r="V1266" s="103"/>
      <c r="W1266" s="103">
        <f>ROUND(IF(LEFT(D1266,3)="Std",VLOOKUP(D1266,'Measure &amp; Standard CostIDs'!$S$5:$X$177,1+B1266,FALSE),VLOOKUP(D1266,'Measure &amp; Standard CostIDs'!$C$5:$H$177,1+B1266,FALSE)),2)</f>
        <v>4.25</v>
      </c>
      <c r="X1266" s="103"/>
      <c r="Y1266" s="103"/>
      <c r="Z1266" s="103" t="s">
        <v>868</v>
      </c>
      <c r="AA1266" s="103" t="s">
        <v>874</v>
      </c>
      <c r="AB1266" s="103" t="s">
        <v>153</v>
      </c>
      <c r="AC1266" s="103">
        <v>0</v>
      </c>
      <c r="AD1266" s="156">
        <v>42005</v>
      </c>
      <c r="AE1266" s="103"/>
      <c r="AF1266" s="103" t="s">
        <v>870</v>
      </c>
      <c r="AG1266" s="103" t="s">
        <v>871</v>
      </c>
      <c r="AH1266" s="103" t="s">
        <v>976</v>
      </c>
      <c r="AI1266" s="103">
        <v>0</v>
      </c>
      <c r="AJ1266" s="103"/>
      <c r="AK1266" s="103"/>
      <c r="AL1266" s="103"/>
      <c r="AM1266" s="103"/>
      <c r="AN1266" s="103"/>
      <c r="AO1266" s="103" t="str">
        <f t="shared" si="67"/>
        <v>Std_CFLscw-Dim(20w)_60pInc-r0248Three-pack</v>
      </c>
    </row>
    <row r="1267" spans="1:41">
      <c r="A1267" s="177">
        <f>IFERROR(MATCH(D1267,'Measure &amp; Standard CostIDs'!C$5:C$177,0),MATCH(D1267,'Measure &amp; Standard CostIDs'!S$5:S$177,0))</f>
        <v>113</v>
      </c>
      <c r="B1267" s="177">
        <f t="shared" si="69"/>
        <v>4</v>
      </c>
      <c r="C1267" s="103" t="s">
        <v>153</v>
      </c>
      <c r="D1267" s="103" t="str">
        <f t="shared" si="68"/>
        <v>Std_CFLscw-Dim(23w)_60pInc-r0248</v>
      </c>
      <c r="E1267" s="103" t="str">
        <f>IF(LEFT(D1267,3)="Std","Base case cost for mix of 60% Incandescent and 40% CFL lamps for CFL TechID: "&amp;INDEX('Measure &amp; Standard CostIDs'!$C$5:$C$177,A1267),"&lt;from TechID&gt;")</f>
        <v>Base case cost for mix of 60% Incandescent and 40% CFL lamps for CFL TechID: CFLscw-Dim(23w)</v>
      </c>
      <c r="F1267" s="103" t="s">
        <v>860</v>
      </c>
      <c r="G1267" s="103" t="s">
        <v>151</v>
      </c>
      <c r="H1267" s="103" t="s">
        <v>861</v>
      </c>
      <c r="I1267" s="103" t="s">
        <v>862</v>
      </c>
      <c r="J1267" s="103" t="s">
        <v>863</v>
      </c>
      <c r="K1267" s="103" t="s">
        <v>864</v>
      </c>
      <c r="L1267" s="103" t="s">
        <v>153</v>
      </c>
      <c r="M1267" s="103" t="s">
        <v>865</v>
      </c>
      <c r="N1267" s="103" t="s">
        <v>866</v>
      </c>
      <c r="O1267" s="103" t="str">
        <f t="shared" si="66"/>
        <v/>
      </c>
      <c r="P1267" s="103" t="s">
        <v>153</v>
      </c>
      <c r="Q1267" s="103" t="s">
        <v>153</v>
      </c>
      <c r="R1267" s="103" t="s">
        <v>153</v>
      </c>
      <c r="S1267" s="103" t="str">
        <f>INDEX('Measure &amp; Standard CostIDs'!$AK$8:$AK$12,B1267)</f>
        <v>Three-pack</v>
      </c>
      <c r="T1267" s="103" t="s">
        <v>867</v>
      </c>
      <c r="U1267" s="103"/>
      <c r="V1267" s="103"/>
      <c r="W1267" s="103">
        <f>ROUND(IF(LEFT(D1267,3)="Std",VLOOKUP(D1267,'Measure &amp; Standard CostIDs'!$S$5:$X$177,1+B1267,FALSE),VLOOKUP(D1267,'Measure &amp; Standard CostIDs'!$C$5:$H$177,1+B1267,FALSE)),2)</f>
        <v>4.3600000000000003</v>
      </c>
      <c r="X1267" s="103"/>
      <c r="Y1267" s="103"/>
      <c r="Z1267" s="103" t="s">
        <v>868</v>
      </c>
      <c r="AA1267" s="103" t="s">
        <v>874</v>
      </c>
      <c r="AB1267" s="103" t="s">
        <v>153</v>
      </c>
      <c r="AC1267" s="103">
        <v>0</v>
      </c>
      <c r="AD1267" s="156">
        <v>42005</v>
      </c>
      <c r="AE1267" s="103"/>
      <c r="AF1267" s="103" t="s">
        <v>870</v>
      </c>
      <c r="AG1267" s="103" t="s">
        <v>871</v>
      </c>
      <c r="AH1267" s="103" t="s">
        <v>976</v>
      </c>
      <c r="AI1267" s="103">
        <v>0</v>
      </c>
      <c r="AJ1267" s="103"/>
      <c r="AK1267" s="103"/>
      <c r="AL1267" s="103"/>
      <c r="AM1267" s="103"/>
      <c r="AN1267" s="103"/>
      <c r="AO1267" s="103" t="str">
        <f t="shared" si="67"/>
        <v>Std_CFLscw-Dim(23w)_60pInc-r0248Three-pack</v>
      </c>
    </row>
    <row r="1268" spans="1:41">
      <c r="A1268" s="177">
        <f>IFERROR(MATCH(D1268,'Measure &amp; Standard CostIDs'!C$5:C$177,0),MATCH(D1268,'Measure &amp; Standard CostIDs'!S$5:S$177,0))</f>
        <v>114</v>
      </c>
      <c r="B1268" s="177">
        <f t="shared" si="69"/>
        <v>4</v>
      </c>
      <c r="C1268" s="103" t="s">
        <v>153</v>
      </c>
      <c r="D1268" s="103" t="str">
        <f t="shared" si="68"/>
        <v>Std_CFLscw-Dim(25w)_60pInc-r0248</v>
      </c>
      <c r="E1268" s="103" t="str">
        <f>IF(LEFT(D1268,3)="Std","Base case cost for mix of 60% Incandescent and 40% CFL lamps for CFL TechID: "&amp;INDEX('Measure &amp; Standard CostIDs'!$C$5:$C$177,A1268),"&lt;from TechID&gt;")</f>
        <v>Base case cost for mix of 60% Incandescent and 40% CFL lamps for CFL TechID: CFLscw-Dim(25w)</v>
      </c>
      <c r="F1268" s="103" t="s">
        <v>860</v>
      </c>
      <c r="G1268" s="103" t="s">
        <v>151</v>
      </c>
      <c r="H1268" s="103" t="s">
        <v>861</v>
      </c>
      <c r="I1268" s="103" t="s">
        <v>862</v>
      </c>
      <c r="J1268" s="103" t="s">
        <v>863</v>
      </c>
      <c r="K1268" s="103" t="s">
        <v>864</v>
      </c>
      <c r="L1268" s="103" t="s">
        <v>153</v>
      </c>
      <c r="M1268" s="103" t="s">
        <v>865</v>
      </c>
      <c r="N1268" s="103" t="s">
        <v>866</v>
      </c>
      <c r="O1268" s="103" t="str">
        <f t="shared" si="66"/>
        <v/>
      </c>
      <c r="P1268" s="103" t="s">
        <v>153</v>
      </c>
      <c r="Q1268" s="103" t="s">
        <v>153</v>
      </c>
      <c r="R1268" s="103" t="s">
        <v>153</v>
      </c>
      <c r="S1268" s="103" t="str">
        <f>INDEX('Measure &amp; Standard CostIDs'!$AK$8:$AK$12,B1268)</f>
        <v>Three-pack</v>
      </c>
      <c r="T1268" s="103" t="s">
        <v>867</v>
      </c>
      <c r="U1268" s="103"/>
      <c r="V1268" s="103"/>
      <c r="W1268" s="103">
        <f>ROUND(IF(LEFT(D1268,3)="Std",VLOOKUP(D1268,'Measure &amp; Standard CostIDs'!$S$5:$X$177,1+B1268,FALSE),VLOOKUP(D1268,'Measure &amp; Standard CostIDs'!$C$5:$H$177,1+B1268,FALSE)),2)</f>
        <v>4.42</v>
      </c>
      <c r="X1268" s="103"/>
      <c r="Y1268" s="103"/>
      <c r="Z1268" s="103" t="s">
        <v>868</v>
      </c>
      <c r="AA1268" s="103" t="s">
        <v>874</v>
      </c>
      <c r="AB1268" s="103" t="s">
        <v>153</v>
      </c>
      <c r="AC1268" s="103">
        <v>0</v>
      </c>
      <c r="AD1268" s="156">
        <v>42005</v>
      </c>
      <c r="AE1268" s="103"/>
      <c r="AF1268" s="103" t="s">
        <v>870</v>
      </c>
      <c r="AG1268" s="103" t="s">
        <v>871</v>
      </c>
      <c r="AH1268" s="103" t="s">
        <v>976</v>
      </c>
      <c r="AI1268" s="103">
        <v>0</v>
      </c>
      <c r="AJ1268" s="103"/>
      <c r="AK1268" s="103"/>
      <c r="AL1268" s="103"/>
      <c r="AM1268" s="103"/>
      <c r="AN1268" s="103"/>
      <c r="AO1268" s="103" t="str">
        <f t="shared" si="67"/>
        <v>Std_CFLscw-Dim(25w)_60pInc-r0248Three-pack</v>
      </c>
    </row>
    <row r="1269" spans="1:41">
      <c r="A1269" s="177">
        <f>IFERROR(MATCH(D1269,'Measure &amp; Standard CostIDs'!C$5:C$177,0),MATCH(D1269,'Measure &amp; Standard CostIDs'!S$5:S$177,0))</f>
        <v>115</v>
      </c>
      <c r="B1269" s="177">
        <f t="shared" si="69"/>
        <v>4</v>
      </c>
      <c r="C1269" s="103" t="s">
        <v>153</v>
      </c>
      <c r="D1269" s="103" t="str">
        <f t="shared" si="68"/>
        <v>Std_CFLscw-Dim(26w)_60pInc-r0248</v>
      </c>
      <c r="E1269" s="103" t="str">
        <f>IF(LEFT(D1269,3)="Std","Base case cost for mix of 60% Incandescent and 40% CFL lamps for CFL TechID: "&amp;INDEX('Measure &amp; Standard CostIDs'!$C$5:$C$177,A1269),"&lt;from TechID&gt;")</f>
        <v>Base case cost for mix of 60% Incandescent and 40% CFL lamps for CFL TechID: CFLscw-Dim(26w)</v>
      </c>
      <c r="F1269" s="103" t="s">
        <v>860</v>
      </c>
      <c r="G1269" s="103" t="s">
        <v>151</v>
      </c>
      <c r="H1269" s="103" t="s">
        <v>861</v>
      </c>
      <c r="I1269" s="103" t="s">
        <v>862</v>
      </c>
      <c r="J1269" s="103" t="s">
        <v>863</v>
      </c>
      <c r="K1269" s="103" t="s">
        <v>864</v>
      </c>
      <c r="L1269" s="103" t="s">
        <v>153</v>
      </c>
      <c r="M1269" s="103" t="s">
        <v>865</v>
      </c>
      <c r="N1269" s="103" t="s">
        <v>866</v>
      </c>
      <c r="O1269" s="103" t="str">
        <f t="shared" si="66"/>
        <v/>
      </c>
      <c r="P1269" s="103" t="s">
        <v>153</v>
      </c>
      <c r="Q1269" s="103" t="s">
        <v>153</v>
      </c>
      <c r="R1269" s="103" t="s">
        <v>153</v>
      </c>
      <c r="S1269" s="103" t="str">
        <f>INDEX('Measure &amp; Standard CostIDs'!$AK$8:$AK$12,B1269)</f>
        <v>Three-pack</v>
      </c>
      <c r="T1269" s="103" t="s">
        <v>867</v>
      </c>
      <c r="U1269" s="103"/>
      <c r="V1269" s="103"/>
      <c r="W1269" s="103">
        <f>ROUND(IF(LEFT(D1269,3)="Std",VLOOKUP(D1269,'Measure &amp; Standard CostIDs'!$S$5:$X$177,1+B1269,FALSE),VLOOKUP(D1269,'Measure &amp; Standard CostIDs'!$C$5:$H$177,1+B1269,FALSE)),2)</f>
        <v>4.4800000000000004</v>
      </c>
      <c r="X1269" s="103"/>
      <c r="Y1269" s="103"/>
      <c r="Z1269" s="103" t="s">
        <v>868</v>
      </c>
      <c r="AA1269" s="103" t="s">
        <v>874</v>
      </c>
      <c r="AB1269" s="103" t="s">
        <v>153</v>
      </c>
      <c r="AC1269" s="103">
        <v>0</v>
      </c>
      <c r="AD1269" s="156">
        <v>42005</v>
      </c>
      <c r="AE1269" s="103"/>
      <c r="AF1269" s="103" t="s">
        <v>870</v>
      </c>
      <c r="AG1269" s="103" t="s">
        <v>871</v>
      </c>
      <c r="AH1269" s="103" t="s">
        <v>976</v>
      </c>
      <c r="AI1269" s="103">
        <v>0</v>
      </c>
      <c r="AJ1269" s="103"/>
      <c r="AK1269" s="103"/>
      <c r="AL1269" s="103"/>
      <c r="AM1269" s="103"/>
      <c r="AN1269" s="103"/>
      <c r="AO1269" s="103" t="str">
        <f t="shared" si="67"/>
        <v>Std_CFLscw-Dim(26w)_60pInc-r0248Three-pack</v>
      </c>
    </row>
    <row r="1270" spans="1:41">
      <c r="A1270" s="177">
        <f>IFERROR(MATCH(D1270,'Measure &amp; Standard CostIDs'!C$5:C$177,0),MATCH(D1270,'Measure &amp; Standard CostIDs'!S$5:S$177,0))</f>
        <v>116</v>
      </c>
      <c r="B1270" s="177">
        <f t="shared" si="69"/>
        <v>4</v>
      </c>
      <c r="C1270" s="103" t="s">
        <v>153</v>
      </c>
      <c r="D1270" s="103" t="str">
        <f t="shared" si="68"/>
        <v>Std_CFLscw-Dim(28w)_60pInc-r0248</v>
      </c>
      <c r="E1270" s="103" t="str">
        <f>IF(LEFT(D1270,3)="Std","Base case cost for mix of 60% Incandescent and 40% CFL lamps for CFL TechID: "&amp;INDEX('Measure &amp; Standard CostIDs'!$C$5:$C$177,A1270),"&lt;from TechID&gt;")</f>
        <v>Base case cost for mix of 60% Incandescent and 40% CFL lamps for CFL TechID: CFLscw-Dim(28w)</v>
      </c>
      <c r="F1270" s="103" t="s">
        <v>860</v>
      </c>
      <c r="G1270" s="103" t="s">
        <v>151</v>
      </c>
      <c r="H1270" s="103" t="s">
        <v>861</v>
      </c>
      <c r="I1270" s="103" t="s">
        <v>862</v>
      </c>
      <c r="J1270" s="103" t="s">
        <v>863</v>
      </c>
      <c r="K1270" s="103" t="s">
        <v>864</v>
      </c>
      <c r="L1270" s="103" t="s">
        <v>153</v>
      </c>
      <c r="M1270" s="103" t="s">
        <v>865</v>
      </c>
      <c r="N1270" s="103" t="s">
        <v>866</v>
      </c>
      <c r="O1270" s="103" t="str">
        <f t="shared" si="66"/>
        <v/>
      </c>
      <c r="P1270" s="103" t="s">
        <v>153</v>
      </c>
      <c r="Q1270" s="103" t="s">
        <v>153</v>
      </c>
      <c r="R1270" s="103" t="s">
        <v>153</v>
      </c>
      <c r="S1270" s="103" t="str">
        <f>INDEX('Measure &amp; Standard CostIDs'!$AK$8:$AK$12,B1270)</f>
        <v>Three-pack</v>
      </c>
      <c r="T1270" s="103" t="s">
        <v>867</v>
      </c>
      <c r="U1270" s="103"/>
      <c r="V1270" s="103"/>
      <c r="W1270" s="103">
        <f>ROUND(IF(LEFT(D1270,3)="Std",VLOOKUP(D1270,'Measure &amp; Standard CostIDs'!$S$5:$X$177,1+B1270,FALSE),VLOOKUP(D1270,'Measure &amp; Standard CostIDs'!$C$5:$H$177,1+B1270,FALSE)),2)</f>
        <v>4.6100000000000003</v>
      </c>
      <c r="X1270" s="103"/>
      <c r="Y1270" s="103"/>
      <c r="Z1270" s="103" t="s">
        <v>868</v>
      </c>
      <c r="AA1270" s="103" t="s">
        <v>874</v>
      </c>
      <c r="AB1270" s="103" t="s">
        <v>153</v>
      </c>
      <c r="AC1270" s="103">
        <v>0</v>
      </c>
      <c r="AD1270" s="156">
        <v>42005</v>
      </c>
      <c r="AE1270" s="103"/>
      <c r="AF1270" s="103" t="s">
        <v>870</v>
      </c>
      <c r="AG1270" s="103" t="s">
        <v>871</v>
      </c>
      <c r="AH1270" s="103" t="s">
        <v>976</v>
      </c>
      <c r="AI1270" s="103">
        <v>0</v>
      </c>
      <c r="AJ1270" s="103"/>
      <c r="AK1270" s="103"/>
      <c r="AL1270" s="103"/>
      <c r="AM1270" s="103"/>
      <c r="AN1270" s="103"/>
      <c r="AO1270" s="103" t="str">
        <f t="shared" si="67"/>
        <v>Std_CFLscw-Dim(28w)_60pInc-r0248Three-pack</v>
      </c>
    </row>
    <row r="1271" spans="1:41">
      <c r="A1271" s="177">
        <f>IFERROR(MATCH(D1271,'Measure &amp; Standard CostIDs'!C$5:C$177,0),MATCH(D1271,'Measure &amp; Standard CostIDs'!S$5:S$177,0))</f>
        <v>117</v>
      </c>
      <c r="B1271" s="177">
        <f t="shared" si="69"/>
        <v>4</v>
      </c>
      <c r="C1271" s="103" t="s">
        <v>153</v>
      </c>
      <c r="D1271" s="103" t="str">
        <f t="shared" si="68"/>
        <v>Std_CFLscw-Dim(30w)_60pInc-r0248</v>
      </c>
      <c r="E1271" s="103" t="str">
        <f>IF(LEFT(D1271,3)="Std","Base case cost for mix of 60% Incandescent and 40% CFL lamps for CFL TechID: "&amp;INDEX('Measure &amp; Standard CostIDs'!$C$5:$C$177,A1271),"&lt;from TechID&gt;")</f>
        <v>Base case cost for mix of 60% Incandescent and 40% CFL lamps for CFL TechID: CFLscw-Dim(30w)</v>
      </c>
      <c r="F1271" s="103" t="s">
        <v>860</v>
      </c>
      <c r="G1271" s="103" t="s">
        <v>151</v>
      </c>
      <c r="H1271" s="103" t="s">
        <v>861</v>
      </c>
      <c r="I1271" s="103" t="s">
        <v>862</v>
      </c>
      <c r="J1271" s="103" t="s">
        <v>863</v>
      </c>
      <c r="K1271" s="103" t="s">
        <v>864</v>
      </c>
      <c r="L1271" s="103" t="s">
        <v>153</v>
      </c>
      <c r="M1271" s="103" t="s">
        <v>865</v>
      </c>
      <c r="N1271" s="103" t="s">
        <v>866</v>
      </c>
      <c r="O1271" s="103" t="str">
        <f t="shared" si="66"/>
        <v/>
      </c>
      <c r="P1271" s="103" t="s">
        <v>153</v>
      </c>
      <c r="Q1271" s="103" t="s">
        <v>153</v>
      </c>
      <c r="R1271" s="103" t="s">
        <v>153</v>
      </c>
      <c r="S1271" s="103" t="str">
        <f>INDEX('Measure &amp; Standard CostIDs'!$AK$8:$AK$12,B1271)</f>
        <v>Three-pack</v>
      </c>
      <c r="T1271" s="103" t="s">
        <v>867</v>
      </c>
      <c r="U1271" s="103"/>
      <c r="V1271" s="103"/>
      <c r="W1271" s="103">
        <f>ROUND(IF(LEFT(D1271,3)="Std",VLOOKUP(D1271,'Measure &amp; Standard CostIDs'!$S$5:$X$177,1+B1271,FALSE),VLOOKUP(D1271,'Measure &amp; Standard CostIDs'!$C$5:$H$177,1+B1271,FALSE)),2)</f>
        <v>4.74</v>
      </c>
      <c r="X1271" s="103"/>
      <c r="Y1271" s="103"/>
      <c r="Z1271" s="103" t="s">
        <v>868</v>
      </c>
      <c r="AA1271" s="103" t="s">
        <v>874</v>
      </c>
      <c r="AB1271" s="103" t="s">
        <v>153</v>
      </c>
      <c r="AC1271" s="103">
        <v>0</v>
      </c>
      <c r="AD1271" s="156">
        <v>42005</v>
      </c>
      <c r="AE1271" s="103"/>
      <c r="AF1271" s="103" t="s">
        <v>870</v>
      </c>
      <c r="AG1271" s="103" t="s">
        <v>871</v>
      </c>
      <c r="AH1271" s="103" t="s">
        <v>976</v>
      </c>
      <c r="AI1271" s="103">
        <v>0</v>
      </c>
      <c r="AJ1271" s="103"/>
      <c r="AK1271" s="103"/>
      <c r="AL1271" s="103"/>
      <c r="AM1271" s="103"/>
      <c r="AN1271" s="103"/>
      <c r="AO1271" s="103" t="str">
        <f t="shared" si="67"/>
        <v>Std_CFLscw-Dim(30w)_60pInc-r0248Three-pack</v>
      </c>
    </row>
    <row r="1272" spans="1:41">
      <c r="A1272" s="177">
        <f>IFERROR(MATCH(D1272,'Measure &amp; Standard CostIDs'!C$5:C$177,0),MATCH(D1272,'Measure &amp; Standard CostIDs'!S$5:S$177,0))</f>
        <v>118</v>
      </c>
      <c r="B1272" s="177">
        <f t="shared" si="69"/>
        <v>4</v>
      </c>
      <c r="C1272" s="103" t="s">
        <v>153</v>
      </c>
      <c r="D1272" s="103" t="str">
        <f t="shared" si="68"/>
        <v>Std_CFLscw-Dim(33w)_60pInc-r0248</v>
      </c>
      <c r="E1272" s="103" t="str">
        <f>IF(LEFT(D1272,3)="Std","Base case cost for mix of 60% Incandescent and 40% CFL lamps for CFL TechID: "&amp;INDEX('Measure &amp; Standard CostIDs'!$C$5:$C$177,A1272),"&lt;from TechID&gt;")</f>
        <v>Base case cost for mix of 60% Incandescent and 40% CFL lamps for CFL TechID: CFLscw-Dim(33w)</v>
      </c>
      <c r="F1272" s="103" t="s">
        <v>860</v>
      </c>
      <c r="G1272" s="103" t="s">
        <v>151</v>
      </c>
      <c r="H1272" s="103" t="s">
        <v>861</v>
      </c>
      <c r="I1272" s="103" t="s">
        <v>862</v>
      </c>
      <c r="J1272" s="103" t="s">
        <v>863</v>
      </c>
      <c r="K1272" s="103" t="s">
        <v>864</v>
      </c>
      <c r="L1272" s="103" t="s">
        <v>153</v>
      </c>
      <c r="M1272" s="103" t="s">
        <v>865</v>
      </c>
      <c r="N1272" s="103" t="s">
        <v>866</v>
      </c>
      <c r="O1272" s="103" t="str">
        <f t="shared" si="66"/>
        <v/>
      </c>
      <c r="P1272" s="103" t="s">
        <v>153</v>
      </c>
      <c r="Q1272" s="103" t="s">
        <v>153</v>
      </c>
      <c r="R1272" s="103" t="s">
        <v>153</v>
      </c>
      <c r="S1272" s="103" t="str">
        <f>INDEX('Measure &amp; Standard CostIDs'!$AK$8:$AK$12,B1272)</f>
        <v>Three-pack</v>
      </c>
      <c r="T1272" s="103" t="s">
        <v>867</v>
      </c>
      <c r="U1272" s="103"/>
      <c r="V1272" s="103"/>
      <c r="W1272" s="103">
        <f>ROUND(IF(LEFT(D1272,3)="Std",VLOOKUP(D1272,'Measure &amp; Standard CostIDs'!$S$5:$X$177,1+B1272,FALSE),VLOOKUP(D1272,'Measure &amp; Standard CostIDs'!$C$5:$H$177,1+B1272,FALSE)),2)</f>
        <v>4.93</v>
      </c>
      <c r="X1272" s="103"/>
      <c r="Y1272" s="103"/>
      <c r="Z1272" s="103" t="s">
        <v>868</v>
      </c>
      <c r="AA1272" s="103" t="s">
        <v>874</v>
      </c>
      <c r="AB1272" s="103" t="s">
        <v>153</v>
      </c>
      <c r="AC1272" s="103">
        <v>0</v>
      </c>
      <c r="AD1272" s="156">
        <v>42005</v>
      </c>
      <c r="AE1272" s="103"/>
      <c r="AF1272" s="103" t="s">
        <v>870</v>
      </c>
      <c r="AG1272" s="103" t="s">
        <v>871</v>
      </c>
      <c r="AH1272" s="103" t="s">
        <v>976</v>
      </c>
      <c r="AI1272" s="103">
        <v>0</v>
      </c>
      <c r="AJ1272" s="103"/>
      <c r="AK1272" s="103"/>
      <c r="AL1272" s="103"/>
      <c r="AM1272" s="103"/>
      <c r="AN1272" s="103"/>
      <c r="AO1272" s="103" t="str">
        <f t="shared" si="67"/>
        <v>Std_CFLscw-Dim(33w)_60pInc-r0248Three-pack</v>
      </c>
    </row>
    <row r="1273" spans="1:41">
      <c r="A1273" s="177">
        <f>IFERROR(MATCH(D1273,'Measure &amp; Standard CostIDs'!C$5:C$177,0),MATCH(D1273,'Measure &amp; Standard CostIDs'!S$5:S$177,0))</f>
        <v>119</v>
      </c>
      <c r="B1273" s="177">
        <f t="shared" si="69"/>
        <v>4</v>
      </c>
      <c r="C1273" s="103" t="s">
        <v>153</v>
      </c>
      <c r="D1273" s="103" t="str">
        <f t="shared" si="68"/>
        <v>Std_CFLscw-Dim(35w)_60pInc-r0248</v>
      </c>
      <c r="E1273" s="103" t="str">
        <f>IF(LEFT(D1273,3)="Std","Base case cost for mix of 60% Incandescent and 40% CFL lamps for CFL TechID: "&amp;INDEX('Measure &amp; Standard CostIDs'!$C$5:$C$177,A1273),"&lt;from TechID&gt;")</f>
        <v>Base case cost for mix of 60% Incandescent and 40% CFL lamps for CFL TechID: CFLscw-Dim(35w)</v>
      </c>
      <c r="F1273" s="103" t="s">
        <v>860</v>
      </c>
      <c r="G1273" s="103" t="s">
        <v>151</v>
      </c>
      <c r="H1273" s="103" t="s">
        <v>861</v>
      </c>
      <c r="I1273" s="103" t="s">
        <v>862</v>
      </c>
      <c r="J1273" s="103" t="s">
        <v>863</v>
      </c>
      <c r="K1273" s="103" t="s">
        <v>864</v>
      </c>
      <c r="L1273" s="103" t="s">
        <v>153</v>
      </c>
      <c r="M1273" s="103" t="s">
        <v>865</v>
      </c>
      <c r="N1273" s="103" t="s">
        <v>866</v>
      </c>
      <c r="O1273" s="103" t="str">
        <f t="shared" si="66"/>
        <v/>
      </c>
      <c r="P1273" s="103" t="s">
        <v>153</v>
      </c>
      <c r="Q1273" s="103" t="s">
        <v>153</v>
      </c>
      <c r="R1273" s="103" t="s">
        <v>153</v>
      </c>
      <c r="S1273" s="103" t="str">
        <f>INDEX('Measure &amp; Standard CostIDs'!$AK$8:$AK$12,B1273)</f>
        <v>Three-pack</v>
      </c>
      <c r="T1273" s="103" t="s">
        <v>867</v>
      </c>
      <c r="U1273" s="103"/>
      <c r="V1273" s="103"/>
      <c r="W1273" s="103">
        <f>ROUND(IF(LEFT(D1273,3)="Std",VLOOKUP(D1273,'Measure &amp; Standard CostIDs'!$S$5:$X$177,1+B1273,FALSE),VLOOKUP(D1273,'Measure &amp; Standard CostIDs'!$C$5:$H$177,1+B1273,FALSE)),2)</f>
        <v>5.0599999999999996</v>
      </c>
      <c r="X1273" s="103"/>
      <c r="Y1273" s="103"/>
      <c r="Z1273" s="103" t="s">
        <v>868</v>
      </c>
      <c r="AA1273" s="103" t="s">
        <v>874</v>
      </c>
      <c r="AB1273" s="103" t="s">
        <v>153</v>
      </c>
      <c r="AC1273" s="103">
        <v>0</v>
      </c>
      <c r="AD1273" s="156">
        <v>42005</v>
      </c>
      <c r="AE1273" s="103"/>
      <c r="AF1273" s="103" t="s">
        <v>870</v>
      </c>
      <c r="AG1273" s="103" t="s">
        <v>871</v>
      </c>
      <c r="AH1273" s="103" t="s">
        <v>976</v>
      </c>
      <c r="AI1273" s="103">
        <v>0</v>
      </c>
      <c r="AJ1273" s="103"/>
      <c r="AK1273" s="103"/>
      <c r="AL1273" s="103"/>
      <c r="AM1273" s="103"/>
      <c r="AN1273" s="103"/>
      <c r="AO1273" s="103" t="str">
        <f t="shared" si="67"/>
        <v>Std_CFLscw-Dim(35w)_60pInc-r0248Three-pack</v>
      </c>
    </row>
    <row r="1274" spans="1:41">
      <c r="A1274" s="177">
        <f>IFERROR(MATCH(D1274,'Measure &amp; Standard CostIDs'!C$5:C$177,0),MATCH(D1274,'Measure &amp; Standard CostIDs'!S$5:S$177,0))</f>
        <v>120</v>
      </c>
      <c r="B1274" s="177">
        <f t="shared" si="69"/>
        <v>4</v>
      </c>
      <c r="C1274" s="103" t="s">
        <v>153</v>
      </c>
      <c r="D1274" s="103" t="str">
        <f t="shared" si="68"/>
        <v>Std_CFLscw-Dim(38w)_60pInc-r0248</v>
      </c>
      <c r="E1274" s="103" t="str">
        <f>IF(LEFT(D1274,3)="Std","Base case cost for mix of 60% Incandescent and 40% CFL lamps for CFL TechID: "&amp;INDEX('Measure &amp; Standard CostIDs'!$C$5:$C$177,A1274),"&lt;from TechID&gt;")</f>
        <v>Base case cost for mix of 60% Incandescent and 40% CFL lamps for CFL TechID: CFLscw-Dim(38w)</v>
      </c>
      <c r="F1274" s="103" t="s">
        <v>860</v>
      </c>
      <c r="G1274" s="103" t="s">
        <v>151</v>
      </c>
      <c r="H1274" s="103" t="s">
        <v>861</v>
      </c>
      <c r="I1274" s="103" t="s">
        <v>862</v>
      </c>
      <c r="J1274" s="103" t="s">
        <v>863</v>
      </c>
      <c r="K1274" s="103" t="s">
        <v>864</v>
      </c>
      <c r="L1274" s="103" t="s">
        <v>153</v>
      </c>
      <c r="M1274" s="103" t="s">
        <v>865</v>
      </c>
      <c r="N1274" s="103" t="s">
        <v>866</v>
      </c>
      <c r="O1274" s="103" t="str">
        <f t="shared" si="66"/>
        <v/>
      </c>
      <c r="P1274" s="103" t="s">
        <v>153</v>
      </c>
      <c r="Q1274" s="103" t="s">
        <v>153</v>
      </c>
      <c r="R1274" s="103" t="s">
        <v>153</v>
      </c>
      <c r="S1274" s="103" t="str">
        <f>INDEX('Measure &amp; Standard CostIDs'!$AK$8:$AK$12,B1274)</f>
        <v>Three-pack</v>
      </c>
      <c r="T1274" s="103" t="s">
        <v>867</v>
      </c>
      <c r="U1274" s="103"/>
      <c r="V1274" s="103"/>
      <c r="W1274" s="103">
        <f>ROUND(IF(LEFT(D1274,3)="Std",VLOOKUP(D1274,'Measure &amp; Standard CostIDs'!$S$5:$X$177,1+B1274,FALSE),VLOOKUP(D1274,'Measure &amp; Standard CostIDs'!$C$5:$H$177,1+B1274,FALSE)),2)</f>
        <v>5.26</v>
      </c>
      <c r="X1274" s="103"/>
      <c r="Y1274" s="103"/>
      <c r="Z1274" s="103" t="s">
        <v>868</v>
      </c>
      <c r="AA1274" s="103" t="s">
        <v>874</v>
      </c>
      <c r="AB1274" s="103" t="s">
        <v>153</v>
      </c>
      <c r="AC1274" s="103">
        <v>0</v>
      </c>
      <c r="AD1274" s="156">
        <v>42005</v>
      </c>
      <c r="AE1274" s="103"/>
      <c r="AF1274" s="103" t="s">
        <v>870</v>
      </c>
      <c r="AG1274" s="103" t="s">
        <v>871</v>
      </c>
      <c r="AH1274" s="103" t="s">
        <v>976</v>
      </c>
      <c r="AI1274" s="103">
        <v>0</v>
      </c>
      <c r="AJ1274" s="103"/>
      <c r="AK1274" s="103"/>
      <c r="AL1274" s="103"/>
      <c r="AM1274" s="103"/>
      <c r="AN1274" s="103"/>
      <c r="AO1274" s="103" t="str">
        <f t="shared" si="67"/>
        <v>Std_CFLscw-Dim(38w)_60pInc-r0248Three-pack</v>
      </c>
    </row>
    <row r="1275" spans="1:41">
      <c r="A1275" s="177">
        <f>IFERROR(MATCH(D1275,'Measure &amp; Standard CostIDs'!C$5:C$177,0),MATCH(D1275,'Measure &amp; Standard CostIDs'!S$5:S$177,0))</f>
        <v>121</v>
      </c>
      <c r="B1275" s="177">
        <f t="shared" si="69"/>
        <v>4</v>
      </c>
      <c r="C1275" s="103" t="s">
        <v>153</v>
      </c>
      <c r="D1275" s="103" t="str">
        <f t="shared" si="68"/>
        <v>Std_CFLscw-Dim(40w)_60pInc-r0248</v>
      </c>
      <c r="E1275" s="103" t="str">
        <f>IF(LEFT(D1275,3)="Std","Base case cost for mix of 60% Incandescent and 40% CFL lamps for CFL TechID: "&amp;INDEX('Measure &amp; Standard CostIDs'!$C$5:$C$177,A1275),"&lt;from TechID&gt;")</f>
        <v>Base case cost for mix of 60% Incandescent and 40% CFL lamps for CFL TechID: CFLscw-Dim(40w)</v>
      </c>
      <c r="F1275" s="103" t="s">
        <v>860</v>
      </c>
      <c r="G1275" s="103" t="s">
        <v>151</v>
      </c>
      <c r="H1275" s="103" t="s">
        <v>861</v>
      </c>
      <c r="I1275" s="103" t="s">
        <v>862</v>
      </c>
      <c r="J1275" s="103" t="s">
        <v>863</v>
      </c>
      <c r="K1275" s="103" t="s">
        <v>864</v>
      </c>
      <c r="L1275" s="103" t="s">
        <v>153</v>
      </c>
      <c r="M1275" s="103" t="s">
        <v>865</v>
      </c>
      <c r="N1275" s="103" t="s">
        <v>866</v>
      </c>
      <c r="O1275" s="103" t="str">
        <f t="shared" si="66"/>
        <v/>
      </c>
      <c r="P1275" s="103" t="s">
        <v>153</v>
      </c>
      <c r="Q1275" s="103" t="s">
        <v>153</v>
      </c>
      <c r="R1275" s="103" t="s">
        <v>153</v>
      </c>
      <c r="S1275" s="103" t="str">
        <f>INDEX('Measure &amp; Standard CostIDs'!$AK$8:$AK$12,B1275)</f>
        <v>Three-pack</v>
      </c>
      <c r="T1275" s="103" t="s">
        <v>867</v>
      </c>
      <c r="U1275" s="103"/>
      <c r="V1275" s="103"/>
      <c r="W1275" s="103">
        <f>ROUND(IF(LEFT(D1275,3)="Std",VLOOKUP(D1275,'Measure &amp; Standard CostIDs'!$S$5:$X$177,1+B1275,FALSE),VLOOKUP(D1275,'Measure &amp; Standard CostIDs'!$C$5:$H$177,1+B1275,FALSE)),2)</f>
        <v>5.39</v>
      </c>
      <c r="X1275" s="103"/>
      <c r="Y1275" s="103"/>
      <c r="Z1275" s="103" t="s">
        <v>868</v>
      </c>
      <c r="AA1275" s="103" t="s">
        <v>874</v>
      </c>
      <c r="AB1275" s="103" t="s">
        <v>153</v>
      </c>
      <c r="AC1275" s="103">
        <v>0</v>
      </c>
      <c r="AD1275" s="156">
        <v>42005</v>
      </c>
      <c r="AE1275" s="103"/>
      <c r="AF1275" s="103" t="s">
        <v>870</v>
      </c>
      <c r="AG1275" s="103" t="s">
        <v>871</v>
      </c>
      <c r="AH1275" s="103" t="s">
        <v>976</v>
      </c>
      <c r="AI1275" s="103">
        <v>0</v>
      </c>
      <c r="AJ1275" s="103"/>
      <c r="AK1275" s="103"/>
      <c r="AL1275" s="103"/>
      <c r="AM1275" s="103"/>
      <c r="AN1275" s="103"/>
      <c r="AO1275" s="103" t="str">
        <f t="shared" si="67"/>
        <v>Std_CFLscw-Dim(40w)_60pInc-r0248Three-pack</v>
      </c>
    </row>
    <row r="1276" spans="1:41">
      <c r="A1276" s="177">
        <f>IFERROR(MATCH(D1276,'Measure &amp; Standard CostIDs'!C$5:C$177,0),MATCH(D1276,'Measure &amp; Standard CostIDs'!S$5:S$177,0))</f>
        <v>125</v>
      </c>
      <c r="B1276" s="177">
        <f t="shared" si="69"/>
        <v>4</v>
      </c>
      <c r="C1276" s="103" t="s">
        <v>153</v>
      </c>
      <c r="D1276" s="103" t="str">
        <f t="shared" si="68"/>
        <v>Std_CFLscw-Glb(10w)_60pInc-r0248</v>
      </c>
      <c r="E1276" s="103" t="str">
        <f>IF(LEFT(D1276,3)="Std","Base case cost for mix of 60% Incandescent and 40% CFL lamps for CFL TechID: "&amp;INDEX('Measure &amp; Standard CostIDs'!$C$5:$C$177,A1276),"&lt;from TechID&gt;")</f>
        <v>Base case cost for mix of 60% Incandescent and 40% CFL lamps for CFL TechID: CFLscw-Glb(10w)</v>
      </c>
      <c r="F1276" s="103" t="s">
        <v>860</v>
      </c>
      <c r="G1276" s="103" t="s">
        <v>151</v>
      </c>
      <c r="H1276" s="103" t="s">
        <v>861</v>
      </c>
      <c r="I1276" s="103" t="s">
        <v>862</v>
      </c>
      <c r="J1276" s="103" t="s">
        <v>863</v>
      </c>
      <c r="K1276" s="103" t="s">
        <v>864</v>
      </c>
      <c r="L1276" s="103" t="s">
        <v>153</v>
      </c>
      <c r="M1276" s="103" t="s">
        <v>865</v>
      </c>
      <c r="N1276" s="103" t="s">
        <v>866</v>
      </c>
      <c r="O1276" s="103" t="str">
        <f t="shared" si="66"/>
        <v/>
      </c>
      <c r="P1276" s="103" t="s">
        <v>153</v>
      </c>
      <c r="Q1276" s="103" t="s">
        <v>153</v>
      </c>
      <c r="R1276" s="103" t="s">
        <v>153</v>
      </c>
      <c r="S1276" s="103" t="str">
        <f>INDEX('Measure &amp; Standard CostIDs'!$AK$8:$AK$12,B1276)</f>
        <v>Three-pack</v>
      </c>
      <c r="T1276" s="103" t="s">
        <v>867</v>
      </c>
      <c r="U1276" s="103"/>
      <c r="V1276" s="103"/>
      <c r="W1276" s="103">
        <f>ROUND(IF(LEFT(D1276,3)="Std",VLOOKUP(D1276,'Measure &amp; Standard CostIDs'!$S$5:$X$177,1+B1276,FALSE),VLOOKUP(D1276,'Measure &amp; Standard CostIDs'!$C$5:$H$177,1+B1276,FALSE)),2)</f>
        <v>3.27</v>
      </c>
      <c r="X1276" s="103"/>
      <c r="Y1276" s="103"/>
      <c r="Z1276" s="103" t="s">
        <v>868</v>
      </c>
      <c r="AA1276" s="103" t="s">
        <v>874</v>
      </c>
      <c r="AB1276" s="103" t="s">
        <v>153</v>
      </c>
      <c r="AC1276" s="103">
        <v>0</v>
      </c>
      <c r="AD1276" s="156">
        <v>42005</v>
      </c>
      <c r="AE1276" s="103"/>
      <c r="AF1276" s="103" t="s">
        <v>870</v>
      </c>
      <c r="AG1276" s="103" t="s">
        <v>871</v>
      </c>
      <c r="AH1276" s="103" t="s">
        <v>976</v>
      </c>
      <c r="AI1276" s="103">
        <v>0</v>
      </c>
      <c r="AJ1276" s="103"/>
      <c r="AK1276" s="103"/>
      <c r="AL1276" s="103"/>
      <c r="AM1276" s="103"/>
      <c r="AN1276" s="103"/>
      <c r="AO1276" s="103" t="str">
        <f t="shared" si="67"/>
        <v>Std_CFLscw-Glb(10w)_60pInc-r0248Three-pack</v>
      </c>
    </row>
    <row r="1277" spans="1:41">
      <c r="A1277" s="177">
        <f>IFERROR(MATCH(D1277,'Measure &amp; Standard CostIDs'!C$5:C$177,0),MATCH(D1277,'Measure &amp; Standard CostIDs'!S$5:S$177,0))</f>
        <v>126</v>
      </c>
      <c r="B1277" s="177">
        <f t="shared" si="69"/>
        <v>4</v>
      </c>
      <c r="C1277" s="103" t="s">
        <v>153</v>
      </c>
      <c r="D1277" s="103" t="str">
        <f t="shared" si="68"/>
        <v>Std_CFLscw-Glb(11w)_60pInc-r0248</v>
      </c>
      <c r="E1277" s="103" t="str">
        <f>IF(LEFT(D1277,3)="Std","Base case cost for mix of 60% Incandescent and 40% CFL lamps for CFL TechID: "&amp;INDEX('Measure &amp; Standard CostIDs'!$C$5:$C$177,A1277),"&lt;from TechID&gt;")</f>
        <v>Base case cost for mix of 60% Incandescent and 40% CFL lamps for CFL TechID: CFLscw-Glb(11w)</v>
      </c>
      <c r="F1277" s="103" t="s">
        <v>860</v>
      </c>
      <c r="G1277" s="103" t="s">
        <v>151</v>
      </c>
      <c r="H1277" s="103" t="s">
        <v>861</v>
      </c>
      <c r="I1277" s="103" t="s">
        <v>862</v>
      </c>
      <c r="J1277" s="103" t="s">
        <v>863</v>
      </c>
      <c r="K1277" s="103" t="s">
        <v>864</v>
      </c>
      <c r="L1277" s="103" t="s">
        <v>153</v>
      </c>
      <c r="M1277" s="103" t="s">
        <v>865</v>
      </c>
      <c r="N1277" s="103" t="s">
        <v>866</v>
      </c>
      <c r="O1277" s="103" t="str">
        <f t="shared" si="66"/>
        <v/>
      </c>
      <c r="P1277" s="103" t="s">
        <v>153</v>
      </c>
      <c r="Q1277" s="103" t="s">
        <v>153</v>
      </c>
      <c r="R1277" s="103" t="s">
        <v>153</v>
      </c>
      <c r="S1277" s="103" t="str">
        <f>INDEX('Measure &amp; Standard CostIDs'!$AK$8:$AK$12,B1277)</f>
        <v>Three-pack</v>
      </c>
      <c r="T1277" s="103" t="s">
        <v>867</v>
      </c>
      <c r="U1277" s="103"/>
      <c r="V1277" s="103"/>
      <c r="W1277" s="103">
        <f>ROUND(IF(LEFT(D1277,3)="Std",VLOOKUP(D1277,'Measure &amp; Standard CostIDs'!$S$5:$X$177,1+B1277,FALSE),VLOOKUP(D1277,'Measure &amp; Standard CostIDs'!$C$5:$H$177,1+B1277,FALSE)),2)</f>
        <v>3.27</v>
      </c>
      <c r="X1277" s="103"/>
      <c r="Y1277" s="103"/>
      <c r="Z1277" s="103" t="s">
        <v>868</v>
      </c>
      <c r="AA1277" s="103" t="s">
        <v>874</v>
      </c>
      <c r="AB1277" s="103" t="s">
        <v>153</v>
      </c>
      <c r="AC1277" s="103">
        <v>0</v>
      </c>
      <c r="AD1277" s="156">
        <v>42005</v>
      </c>
      <c r="AE1277" s="103"/>
      <c r="AF1277" s="103" t="s">
        <v>870</v>
      </c>
      <c r="AG1277" s="103" t="s">
        <v>871</v>
      </c>
      <c r="AH1277" s="103" t="s">
        <v>976</v>
      </c>
      <c r="AI1277" s="103">
        <v>0</v>
      </c>
      <c r="AJ1277" s="103"/>
      <c r="AK1277" s="103"/>
      <c r="AL1277" s="103"/>
      <c r="AM1277" s="103"/>
      <c r="AN1277" s="103"/>
      <c r="AO1277" s="103" t="str">
        <f t="shared" si="67"/>
        <v>Std_CFLscw-Glb(11w)_60pInc-r0248Three-pack</v>
      </c>
    </row>
    <row r="1278" spans="1:41">
      <c r="A1278" s="177">
        <f>IFERROR(MATCH(D1278,'Measure &amp; Standard CostIDs'!C$5:C$177,0),MATCH(D1278,'Measure &amp; Standard CostIDs'!S$5:S$177,0))</f>
        <v>127</v>
      </c>
      <c r="B1278" s="177">
        <f t="shared" si="69"/>
        <v>4</v>
      </c>
      <c r="C1278" s="103" t="s">
        <v>153</v>
      </c>
      <c r="D1278" s="103" t="str">
        <f t="shared" si="68"/>
        <v>Std_CFLscw-Glb(12w)_60pInc-r0248</v>
      </c>
      <c r="E1278" s="103" t="str">
        <f>IF(LEFT(D1278,3)="Std","Base case cost for mix of 60% Incandescent and 40% CFL lamps for CFL TechID: "&amp;INDEX('Measure &amp; Standard CostIDs'!$C$5:$C$177,A1278),"&lt;from TechID&gt;")</f>
        <v>Base case cost for mix of 60% Incandescent and 40% CFL lamps for CFL TechID: CFLscw-Glb(12w)</v>
      </c>
      <c r="F1278" s="103" t="s">
        <v>860</v>
      </c>
      <c r="G1278" s="103" t="s">
        <v>151</v>
      </c>
      <c r="H1278" s="103" t="s">
        <v>861</v>
      </c>
      <c r="I1278" s="103" t="s">
        <v>862</v>
      </c>
      <c r="J1278" s="103" t="s">
        <v>863</v>
      </c>
      <c r="K1278" s="103" t="s">
        <v>864</v>
      </c>
      <c r="L1278" s="103" t="s">
        <v>153</v>
      </c>
      <c r="M1278" s="103" t="s">
        <v>865</v>
      </c>
      <c r="N1278" s="103" t="s">
        <v>866</v>
      </c>
      <c r="O1278" s="103" t="str">
        <f t="shared" si="66"/>
        <v/>
      </c>
      <c r="P1278" s="103" t="s">
        <v>153</v>
      </c>
      <c r="Q1278" s="103" t="s">
        <v>153</v>
      </c>
      <c r="R1278" s="103" t="s">
        <v>153</v>
      </c>
      <c r="S1278" s="103" t="str">
        <f>INDEX('Measure &amp; Standard CostIDs'!$AK$8:$AK$12,B1278)</f>
        <v>Three-pack</v>
      </c>
      <c r="T1278" s="103" t="s">
        <v>867</v>
      </c>
      <c r="U1278" s="103"/>
      <c r="V1278" s="103"/>
      <c r="W1278" s="103">
        <f>ROUND(IF(LEFT(D1278,3)="Std",VLOOKUP(D1278,'Measure &amp; Standard CostIDs'!$S$5:$X$177,1+B1278,FALSE),VLOOKUP(D1278,'Measure &amp; Standard CostIDs'!$C$5:$H$177,1+B1278,FALSE)),2)</f>
        <v>3.29</v>
      </c>
      <c r="X1278" s="103"/>
      <c r="Y1278" s="103"/>
      <c r="Z1278" s="103" t="s">
        <v>868</v>
      </c>
      <c r="AA1278" s="103" t="s">
        <v>874</v>
      </c>
      <c r="AB1278" s="103" t="s">
        <v>153</v>
      </c>
      <c r="AC1278" s="103">
        <v>0</v>
      </c>
      <c r="AD1278" s="156">
        <v>42005</v>
      </c>
      <c r="AE1278" s="103"/>
      <c r="AF1278" s="103" t="s">
        <v>870</v>
      </c>
      <c r="AG1278" s="103" t="s">
        <v>871</v>
      </c>
      <c r="AH1278" s="103" t="s">
        <v>976</v>
      </c>
      <c r="AI1278" s="103">
        <v>0</v>
      </c>
      <c r="AJ1278" s="103"/>
      <c r="AK1278" s="103"/>
      <c r="AL1278" s="103"/>
      <c r="AM1278" s="103"/>
      <c r="AN1278" s="103"/>
      <c r="AO1278" s="103" t="str">
        <f t="shared" si="67"/>
        <v>Std_CFLscw-Glb(12w)_60pInc-r0248Three-pack</v>
      </c>
    </row>
    <row r="1279" spans="1:41">
      <c r="A1279" s="177">
        <f>IFERROR(MATCH(D1279,'Measure &amp; Standard CostIDs'!C$5:C$177,0),MATCH(D1279,'Measure &amp; Standard CostIDs'!S$5:S$177,0))</f>
        <v>128</v>
      </c>
      <c r="B1279" s="177">
        <f t="shared" si="69"/>
        <v>4</v>
      </c>
      <c r="C1279" s="103" t="s">
        <v>153</v>
      </c>
      <c r="D1279" s="103" t="str">
        <f t="shared" si="68"/>
        <v>Std_CFLscw-Glb(13w)_60pInc-r0248</v>
      </c>
      <c r="E1279" s="103" t="str">
        <f>IF(LEFT(D1279,3)="Std","Base case cost for mix of 60% Incandescent and 40% CFL lamps for CFL TechID: "&amp;INDEX('Measure &amp; Standard CostIDs'!$C$5:$C$177,A1279),"&lt;from TechID&gt;")</f>
        <v>Base case cost for mix of 60% Incandescent and 40% CFL lamps for CFL TechID: CFLscw-Glb(13w)</v>
      </c>
      <c r="F1279" s="103" t="s">
        <v>860</v>
      </c>
      <c r="G1279" s="103" t="s">
        <v>151</v>
      </c>
      <c r="H1279" s="103" t="s">
        <v>861</v>
      </c>
      <c r="I1279" s="103" t="s">
        <v>862</v>
      </c>
      <c r="J1279" s="103" t="s">
        <v>863</v>
      </c>
      <c r="K1279" s="103" t="s">
        <v>864</v>
      </c>
      <c r="L1279" s="103" t="s">
        <v>153</v>
      </c>
      <c r="M1279" s="103" t="s">
        <v>865</v>
      </c>
      <c r="N1279" s="103" t="s">
        <v>866</v>
      </c>
      <c r="O1279" s="103" t="str">
        <f t="shared" si="66"/>
        <v/>
      </c>
      <c r="P1279" s="103" t="s">
        <v>153</v>
      </c>
      <c r="Q1279" s="103" t="s">
        <v>153</v>
      </c>
      <c r="R1279" s="103" t="s">
        <v>153</v>
      </c>
      <c r="S1279" s="103" t="str">
        <f>INDEX('Measure &amp; Standard CostIDs'!$AK$8:$AK$12,B1279)</f>
        <v>Three-pack</v>
      </c>
      <c r="T1279" s="103" t="s">
        <v>867</v>
      </c>
      <c r="U1279" s="103"/>
      <c r="V1279" s="103"/>
      <c r="W1279" s="103">
        <f>ROUND(IF(LEFT(D1279,3)="Std",VLOOKUP(D1279,'Measure &amp; Standard CostIDs'!$S$5:$X$177,1+B1279,FALSE),VLOOKUP(D1279,'Measure &amp; Standard CostIDs'!$C$5:$H$177,1+B1279,FALSE)),2)</f>
        <v>3.29</v>
      </c>
      <c r="X1279" s="103"/>
      <c r="Y1279" s="103"/>
      <c r="Z1279" s="103" t="s">
        <v>868</v>
      </c>
      <c r="AA1279" s="103" t="s">
        <v>874</v>
      </c>
      <c r="AB1279" s="103" t="s">
        <v>153</v>
      </c>
      <c r="AC1279" s="103">
        <v>0</v>
      </c>
      <c r="AD1279" s="156">
        <v>42005</v>
      </c>
      <c r="AE1279" s="103"/>
      <c r="AF1279" s="103" t="s">
        <v>870</v>
      </c>
      <c r="AG1279" s="103" t="s">
        <v>871</v>
      </c>
      <c r="AH1279" s="103" t="s">
        <v>976</v>
      </c>
      <c r="AI1279" s="103">
        <v>0</v>
      </c>
      <c r="AJ1279" s="103"/>
      <c r="AK1279" s="103"/>
      <c r="AL1279" s="103"/>
      <c r="AM1279" s="103"/>
      <c r="AN1279" s="103"/>
      <c r="AO1279" s="103" t="str">
        <f t="shared" si="67"/>
        <v>Std_CFLscw-Glb(13w)_60pInc-r0248Three-pack</v>
      </c>
    </row>
    <row r="1280" spans="1:41">
      <c r="A1280" s="177">
        <f>IFERROR(MATCH(D1280,'Measure &amp; Standard CostIDs'!C$5:C$177,0),MATCH(D1280,'Measure &amp; Standard CostIDs'!S$5:S$177,0))</f>
        <v>129</v>
      </c>
      <c r="B1280" s="177">
        <f t="shared" si="69"/>
        <v>4</v>
      </c>
      <c r="C1280" s="103" t="s">
        <v>153</v>
      </c>
      <c r="D1280" s="103" t="str">
        <f t="shared" si="68"/>
        <v>Std_CFLscw-Glb(14w)_60pInc-r0248</v>
      </c>
      <c r="E1280" s="103" t="str">
        <f>IF(LEFT(D1280,3)="Std","Base case cost for mix of 60% Incandescent and 40% CFL lamps for CFL TechID: "&amp;INDEX('Measure &amp; Standard CostIDs'!$C$5:$C$177,A1280),"&lt;from TechID&gt;")</f>
        <v>Base case cost for mix of 60% Incandescent and 40% CFL lamps for CFL TechID: CFLscw-Glb(14w)</v>
      </c>
      <c r="F1280" s="103" t="s">
        <v>860</v>
      </c>
      <c r="G1280" s="103" t="s">
        <v>151</v>
      </c>
      <c r="H1280" s="103" t="s">
        <v>861</v>
      </c>
      <c r="I1280" s="103" t="s">
        <v>862</v>
      </c>
      <c r="J1280" s="103" t="s">
        <v>863</v>
      </c>
      <c r="K1280" s="103" t="s">
        <v>864</v>
      </c>
      <c r="L1280" s="103" t="s">
        <v>153</v>
      </c>
      <c r="M1280" s="103" t="s">
        <v>865</v>
      </c>
      <c r="N1280" s="103" t="s">
        <v>866</v>
      </c>
      <c r="O1280" s="103" t="str">
        <f t="shared" si="66"/>
        <v/>
      </c>
      <c r="P1280" s="103" t="s">
        <v>153</v>
      </c>
      <c r="Q1280" s="103" t="s">
        <v>153</v>
      </c>
      <c r="R1280" s="103" t="s">
        <v>153</v>
      </c>
      <c r="S1280" s="103" t="str">
        <f>INDEX('Measure &amp; Standard CostIDs'!$AK$8:$AK$12,B1280)</f>
        <v>Three-pack</v>
      </c>
      <c r="T1280" s="103" t="s">
        <v>867</v>
      </c>
      <c r="U1280" s="103"/>
      <c r="V1280" s="103"/>
      <c r="W1280" s="103">
        <f>ROUND(IF(LEFT(D1280,3)="Std",VLOOKUP(D1280,'Measure &amp; Standard CostIDs'!$S$5:$X$177,1+B1280,FALSE),VLOOKUP(D1280,'Measure &amp; Standard CostIDs'!$C$5:$H$177,1+B1280,FALSE)),2)</f>
        <v>3.3</v>
      </c>
      <c r="X1280" s="103"/>
      <c r="Y1280" s="103"/>
      <c r="Z1280" s="103" t="s">
        <v>868</v>
      </c>
      <c r="AA1280" s="103" t="s">
        <v>874</v>
      </c>
      <c r="AB1280" s="103" t="s">
        <v>153</v>
      </c>
      <c r="AC1280" s="103">
        <v>0</v>
      </c>
      <c r="AD1280" s="156">
        <v>42005</v>
      </c>
      <c r="AE1280" s="103"/>
      <c r="AF1280" s="103" t="s">
        <v>870</v>
      </c>
      <c r="AG1280" s="103" t="s">
        <v>871</v>
      </c>
      <c r="AH1280" s="103" t="s">
        <v>976</v>
      </c>
      <c r="AI1280" s="103">
        <v>0</v>
      </c>
      <c r="AJ1280" s="103"/>
      <c r="AK1280" s="103"/>
      <c r="AL1280" s="103"/>
      <c r="AM1280" s="103"/>
      <c r="AN1280" s="103"/>
      <c r="AO1280" s="103" t="str">
        <f t="shared" si="67"/>
        <v>Std_CFLscw-Glb(14w)_60pInc-r0248Three-pack</v>
      </c>
    </row>
    <row r="1281" spans="1:41">
      <c r="A1281" s="177">
        <f>IFERROR(MATCH(D1281,'Measure &amp; Standard CostIDs'!C$5:C$177,0),MATCH(D1281,'Measure &amp; Standard CostIDs'!S$5:S$177,0))</f>
        <v>130</v>
      </c>
      <c r="B1281" s="177">
        <f t="shared" si="69"/>
        <v>4</v>
      </c>
      <c r="C1281" s="103" t="s">
        <v>153</v>
      </c>
      <c r="D1281" s="103" t="str">
        <f t="shared" si="68"/>
        <v>Std_CFLscw-Glb(15w)_60pInc-r0248</v>
      </c>
      <c r="E1281" s="103" t="str">
        <f>IF(LEFT(D1281,3)="Std","Base case cost for mix of 60% Incandescent and 40% CFL lamps for CFL TechID: "&amp;INDEX('Measure &amp; Standard CostIDs'!$C$5:$C$177,A1281),"&lt;from TechID&gt;")</f>
        <v>Base case cost for mix of 60% Incandescent and 40% CFL lamps for CFL TechID: CFLscw-Glb(15w)</v>
      </c>
      <c r="F1281" s="103" t="s">
        <v>860</v>
      </c>
      <c r="G1281" s="103" t="s">
        <v>151</v>
      </c>
      <c r="H1281" s="103" t="s">
        <v>861</v>
      </c>
      <c r="I1281" s="103" t="s">
        <v>862</v>
      </c>
      <c r="J1281" s="103" t="s">
        <v>863</v>
      </c>
      <c r="K1281" s="103" t="s">
        <v>864</v>
      </c>
      <c r="L1281" s="103" t="s">
        <v>153</v>
      </c>
      <c r="M1281" s="103" t="s">
        <v>865</v>
      </c>
      <c r="N1281" s="103" t="s">
        <v>866</v>
      </c>
      <c r="O1281" s="103" t="str">
        <f t="shared" si="66"/>
        <v/>
      </c>
      <c r="P1281" s="103" t="s">
        <v>153</v>
      </c>
      <c r="Q1281" s="103" t="s">
        <v>153</v>
      </c>
      <c r="R1281" s="103" t="s">
        <v>153</v>
      </c>
      <c r="S1281" s="103" t="str">
        <f>INDEX('Measure &amp; Standard CostIDs'!$AK$8:$AK$12,B1281)</f>
        <v>Three-pack</v>
      </c>
      <c r="T1281" s="103" t="s">
        <v>867</v>
      </c>
      <c r="U1281" s="103"/>
      <c r="V1281" s="103"/>
      <c r="W1281" s="103">
        <f>ROUND(IF(LEFT(D1281,3)="Std",VLOOKUP(D1281,'Measure &amp; Standard CostIDs'!$S$5:$X$177,1+B1281,FALSE),VLOOKUP(D1281,'Measure &amp; Standard CostIDs'!$C$5:$H$177,1+B1281,FALSE)),2)</f>
        <v>3.31</v>
      </c>
      <c r="X1281" s="103"/>
      <c r="Y1281" s="103"/>
      <c r="Z1281" s="103" t="s">
        <v>868</v>
      </c>
      <c r="AA1281" s="103" t="s">
        <v>874</v>
      </c>
      <c r="AB1281" s="103" t="s">
        <v>153</v>
      </c>
      <c r="AC1281" s="103">
        <v>0</v>
      </c>
      <c r="AD1281" s="156">
        <v>42005</v>
      </c>
      <c r="AE1281" s="103"/>
      <c r="AF1281" s="103" t="s">
        <v>870</v>
      </c>
      <c r="AG1281" s="103" t="s">
        <v>871</v>
      </c>
      <c r="AH1281" s="103" t="s">
        <v>976</v>
      </c>
      <c r="AI1281" s="103">
        <v>0</v>
      </c>
      <c r="AJ1281" s="103"/>
      <c r="AK1281" s="103"/>
      <c r="AL1281" s="103"/>
      <c r="AM1281" s="103"/>
      <c r="AN1281" s="103"/>
      <c r="AO1281" s="103" t="str">
        <f t="shared" si="67"/>
        <v>Std_CFLscw-Glb(15w)_60pInc-r0248Three-pack</v>
      </c>
    </row>
    <row r="1282" spans="1:41">
      <c r="A1282" s="177">
        <f>IFERROR(MATCH(D1282,'Measure &amp; Standard CostIDs'!C$5:C$177,0),MATCH(D1282,'Measure &amp; Standard CostIDs'!S$5:S$177,0))</f>
        <v>131</v>
      </c>
      <c r="B1282" s="177">
        <f t="shared" si="69"/>
        <v>4</v>
      </c>
      <c r="C1282" s="103" t="s">
        <v>153</v>
      </c>
      <c r="D1282" s="103" t="str">
        <f t="shared" si="68"/>
        <v>Std_CFLscw-Glb(16w)_60pInc-r0248</v>
      </c>
      <c r="E1282" s="103" t="str">
        <f>IF(LEFT(D1282,3)="Std","Base case cost for mix of 60% Incandescent and 40% CFL lamps for CFL TechID: "&amp;INDEX('Measure &amp; Standard CostIDs'!$C$5:$C$177,A1282),"&lt;from TechID&gt;")</f>
        <v>Base case cost for mix of 60% Incandescent and 40% CFL lamps for CFL TechID: CFLscw-Glb(16w)</v>
      </c>
      <c r="F1282" s="103" t="s">
        <v>860</v>
      </c>
      <c r="G1282" s="103" t="s">
        <v>151</v>
      </c>
      <c r="H1282" s="103" t="s">
        <v>861</v>
      </c>
      <c r="I1282" s="103" t="s">
        <v>862</v>
      </c>
      <c r="J1282" s="103" t="s">
        <v>863</v>
      </c>
      <c r="K1282" s="103" t="s">
        <v>864</v>
      </c>
      <c r="L1282" s="103" t="s">
        <v>153</v>
      </c>
      <c r="M1282" s="103" t="s">
        <v>865</v>
      </c>
      <c r="N1282" s="103" t="s">
        <v>866</v>
      </c>
      <c r="O1282" s="103" t="str">
        <f t="shared" si="66"/>
        <v/>
      </c>
      <c r="P1282" s="103" t="s">
        <v>153</v>
      </c>
      <c r="Q1282" s="103" t="s">
        <v>153</v>
      </c>
      <c r="R1282" s="103" t="s">
        <v>153</v>
      </c>
      <c r="S1282" s="103" t="str">
        <f>INDEX('Measure &amp; Standard CostIDs'!$AK$8:$AK$12,B1282)</f>
        <v>Three-pack</v>
      </c>
      <c r="T1282" s="103" t="s">
        <v>867</v>
      </c>
      <c r="U1282" s="103"/>
      <c r="V1282" s="103"/>
      <c r="W1282" s="103">
        <f>ROUND(IF(LEFT(D1282,3)="Std",VLOOKUP(D1282,'Measure &amp; Standard CostIDs'!$S$5:$X$177,1+B1282,FALSE),VLOOKUP(D1282,'Measure &amp; Standard CostIDs'!$C$5:$H$177,1+B1282,FALSE)),2)</f>
        <v>3.32</v>
      </c>
      <c r="X1282" s="103"/>
      <c r="Y1282" s="103"/>
      <c r="Z1282" s="103" t="s">
        <v>868</v>
      </c>
      <c r="AA1282" s="103" t="s">
        <v>874</v>
      </c>
      <c r="AB1282" s="103" t="s">
        <v>153</v>
      </c>
      <c r="AC1282" s="103">
        <v>0</v>
      </c>
      <c r="AD1282" s="156">
        <v>42005</v>
      </c>
      <c r="AE1282" s="103"/>
      <c r="AF1282" s="103" t="s">
        <v>870</v>
      </c>
      <c r="AG1282" s="103" t="s">
        <v>871</v>
      </c>
      <c r="AH1282" s="103" t="s">
        <v>976</v>
      </c>
      <c r="AI1282" s="103">
        <v>0</v>
      </c>
      <c r="AJ1282" s="103"/>
      <c r="AK1282" s="103"/>
      <c r="AL1282" s="103"/>
      <c r="AM1282" s="103"/>
      <c r="AN1282" s="103"/>
      <c r="AO1282" s="103" t="str">
        <f t="shared" si="67"/>
        <v>Std_CFLscw-Glb(16w)_60pInc-r0248Three-pack</v>
      </c>
    </row>
    <row r="1283" spans="1:41">
      <c r="A1283" s="177">
        <f>IFERROR(MATCH(D1283,'Measure &amp; Standard CostIDs'!C$5:C$177,0),MATCH(D1283,'Measure &amp; Standard CostIDs'!S$5:S$177,0))</f>
        <v>132</v>
      </c>
      <c r="B1283" s="177">
        <f t="shared" si="69"/>
        <v>4</v>
      </c>
      <c r="C1283" s="103" t="s">
        <v>153</v>
      </c>
      <c r="D1283" s="103" t="str">
        <f t="shared" si="68"/>
        <v>Std_CFLscw-Glb(18w)_60pInc-r0248</v>
      </c>
      <c r="E1283" s="103" t="str">
        <f>IF(LEFT(D1283,3)="Std","Base case cost for mix of 60% Incandescent and 40% CFL lamps for CFL TechID: "&amp;INDEX('Measure &amp; Standard CostIDs'!$C$5:$C$177,A1283),"&lt;from TechID&gt;")</f>
        <v>Base case cost for mix of 60% Incandescent and 40% CFL lamps for CFL TechID: CFLscw-Glb(18w)</v>
      </c>
      <c r="F1283" s="103" t="s">
        <v>860</v>
      </c>
      <c r="G1283" s="103" t="s">
        <v>151</v>
      </c>
      <c r="H1283" s="103" t="s">
        <v>861</v>
      </c>
      <c r="I1283" s="103" t="s">
        <v>862</v>
      </c>
      <c r="J1283" s="103" t="s">
        <v>863</v>
      </c>
      <c r="K1283" s="103" t="s">
        <v>864</v>
      </c>
      <c r="L1283" s="103" t="s">
        <v>153</v>
      </c>
      <c r="M1283" s="103" t="s">
        <v>865</v>
      </c>
      <c r="N1283" s="103" t="s">
        <v>866</v>
      </c>
      <c r="O1283" s="103" t="str">
        <f t="shared" si="66"/>
        <v/>
      </c>
      <c r="P1283" s="103" t="s">
        <v>153</v>
      </c>
      <c r="Q1283" s="103" t="s">
        <v>153</v>
      </c>
      <c r="R1283" s="103" t="s">
        <v>153</v>
      </c>
      <c r="S1283" s="103" t="str">
        <f>INDEX('Measure &amp; Standard CostIDs'!$AK$8:$AK$12,B1283)</f>
        <v>Three-pack</v>
      </c>
      <c r="T1283" s="103" t="s">
        <v>867</v>
      </c>
      <c r="U1283" s="103"/>
      <c r="V1283" s="103"/>
      <c r="W1283" s="103">
        <f>ROUND(IF(LEFT(D1283,3)="Std",VLOOKUP(D1283,'Measure &amp; Standard CostIDs'!$S$5:$X$177,1+B1283,FALSE),VLOOKUP(D1283,'Measure &amp; Standard CostIDs'!$C$5:$H$177,1+B1283,FALSE)),2)</f>
        <v>3.33</v>
      </c>
      <c r="X1283" s="103"/>
      <c r="Y1283" s="103"/>
      <c r="Z1283" s="103" t="s">
        <v>868</v>
      </c>
      <c r="AA1283" s="103" t="s">
        <v>874</v>
      </c>
      <c r="AB1283" s="103" t="s">
        <v>153</v>
      </c>
      <c r="AC1283" s="103">
        <v>0</v>
      </c>
      <c r="AD1283" s="156">
        <v>42005</v>
      </c>
      <c r="AE1283" s="103"/>
      <c r="AF1283" s="103" t="s">
        <v>870</v>
      </c>
      <c r="AG1283" s="103" t="s">
        <v>871</v>
      </c>
      <c r="AH1283" s="103" t="s">
        <v>976</v>
      </c>
      <c r="AI1283" s="103">
        <v>0</v>
      </c>
      <c r="AJ1283" s="103"/>
      <c r="AK1283" s="103"/>
      <c r="AL1283" s="103"/>
      <c r="AM1283" s="103"/>
      <c r="AN1283" s="103"/>
      <c r="AO1283" s="103" t="str">
        <f t="shared" si="67"/>
        <v>Std_CFLscw-Glb(18w)_60pInc-r0248Three-pack</v>
      </c>
    </row>
    <row r="1284" spans="1:41">
      <c r="A1284" s="177">
        <f>IFERROR(MATCH(D1284,'Measure &amp; Standard CostIDs'!C$5:C$177,0),MATCH(D1284,'Measure &amp; Standard CostIDs'!S$5:S$177,0))</f>
        <v>133</v>
      </c>
      <c r="B1284" s="177">
        <f t="shared" si="69"/>
        <v>4</v>
      </c>
      <c r="C1284" s="103" t="s">
        <v>153</v>
      </c>
      <c r="D1284" s="103" t="str">
        <f t="shared" si="68"/>
        <v>Std_CFLscw-Glb(19w)_60pInc-r0248</v>
      </c>
      <c r="E1284" s="103" t="str">
        <f>IF(LEFT(D1284,3)="Std","Base case cost for mix of 60% Incandescent and 40% CFL lamps for CFL TechID: "&amp;INDEX('Measure &amp; Standard CostIDs'!$C$5:$C$177,A1284),"&lt;from TechID&gt;")</f>
        <v>Base case cost for mix of 60% Incandescent and 40% CFL lamps for CFL TechID: CFLscw-Glb(19w)</v>
      </c>
      <c r="F1284" s="103" t="s">
        <v>860</v>
      </c>
      <c r="G1284" s="103" t="s">
        <v>151</v>
      </c>
      <c r="H1284" s="103" t="s">
        <v>861</v>
      </c>
      <c r="I1284" s="103" t="s">
        <v>862</v>
      </c>
      <c r="J1284" s="103" t="s">
        <v>863</v>
      </c>
      <c r="K1284" s="103" t="s">
        <v>864</v>
      </c>
      <c r="L1284" s="103" t="s">
        <v>153</v>
      </c>
      <c r="M1284" s="103" t="s">
        <v>865</v>
      </c>
      <c r="N1284" s="103" t="s">
        <v>866</v>
      </c>
      <c r="O1284" s="103" t="str">
        <f t="shared" si="66"/>
        <v/>
      </c>
      <c r="P1284" s="103" t="s">
        <v>153</v>
      </c>
      <c r="Q1284" s="103" t="s">
        <v>153</v>
      </c>
      <c r="R1284" s="103" t="s">
        <v>153</v>
      </c>
      <c r="S1284" s="103" t="str">
        <f>INDEX('Measure &amp; Standard CostIDs'!$AK$8:$AK$12,B1284)</f>
        <v>Three-pack</v>
      </c>
      <c r="T1284" s="103" t="s">
        <v>867</v>
      </c>
      <c r="U1284" s="103"/>
      <c r="V1284" s="103"/>
      <c r="W1284" s="103">
        <f>ROUND(IF(LEFT(D1284,3)="Std",VLOOKUP(D1284,'Measure &amp; Standard CostIDs'!$S$5:$X$177,1+B1284,FALSE),VLOOKUP(D1284,'Measure &amp; Standard CostIDs'!$C$5:$H$177,1+B1284,FALSE)),2)</f>
        <v>3.35</v>
      </c>
      <c r="X1284" s="103"/>
      <c r="Y1284" s="103"/>
      <c r="Z1284" s="103" t="s">
        <v>868</v>
      </c>
      <c r="AA1284" s="103" t="s">
        <v>874</v>
      </c>
      <c r="AB1284" s="103" t="s">
        <v>153</v>
      </c>
      <c r="AC1284" s="103">
        <v>0</v>
      </c>
      <c r="AD1284" s="156">
        <v>42005</v>
      </c>
      <c r="AE1284" s="103"/>
      <c r="AF1284" s="103" t="s">
        <v>870</v>
      </c>
      <c r="AG1284" s="103" t="s">
        <v>871</v>
      </c>
      <c r="AH1284" s="103" t="s">
        <v>976</v>
      </c>
      <c r="AI1284" s="103">
        <v>0</v>
      </c>
      <c r="AJ1284" s="103"/>
      <c r="AK1284" s="103"/>
      <c r="AL1284" s="103"/>
      <c r="AM1284" s="103"/>
      <c r="AN1284" s="103"/>
      <c r="AO1284" s="103" t="str">
        <f t="shared" si="67"/>
        <v>Std_CFLscw-Glb(19w)_60pInc-r0248Three-pack</v>
      </c>
    </row>
    <row r="1285" spans="1:41">
      <c r="A1285" s="177">
        <f>IFERROR(MATCH(D1285,'Measure &amp; Standard CostIDs'!C$5:C$177,0),MATCH(D1285,'Measure &amp; Standard CostIDs'!S$5:S$177,0))</f>
        <v>134</v>
      </c>
      <c r="B1285" s="177">
        <f t="shared" si="69"/>
        <v>4</v>
      </c>
      <c r="C1285" s="103" t="s">
        <v>153</v>
      </c>
      <c r="D1285" s="103" t="str">
        <f t="shared" si="68"/>
        <v>Std_CFLscw-Glb(20w)_60pInc-r0248</v>
      </c>
      <c r="E1285" s="103" t="str">
        <f>IF(LEFT(D1285,3)="Std","Base case cost for mix of 60% Incandescent and 40% CFL lamps for CFL TechID: "&amp;INDEX('Measure &amp; Standard CostIDs'!$C$5:$C$177,A1285),"&lt;from TechID&gt;")</f>
        <v>Base case cost for mix of 60% Incandescent and 40% CFL lamps for CFL TechID: CFLscw-Glb(20w)</v>
      </c>
      <c r="F1285" s="103" t="s">
        <v>860</v>
      </c>
      <c r="G1285" s="103" t="s">
        <v>151</v>
      </c>
      <c r="H1285" s="103" t="s">
        <v>861</v>
      </c>
      <c r="I1285" s="103" t="s">
        <v>862</v>
      </c>
      <c r="J1285" s="103" t="s">
        <v>863</v>
      </c>
      <c r="K1285" s="103" t="s">
        <v>864</v>
      </c>
      <c r="L1285" s="103" t="s">
        <v>153</v>
      </c>
      <c r="M1285" s="103" t="s">
        <v>865</v>
      </c>
      <c r="N1285" s="103" t="s">
        <v>866</v>
      </c>
      <c r="O1285" s="103" t="str">
        <f t="shared" si="66"/>
        <v/>
      </c>
      <c r="P1285" s="103" t="s">
        <v>153</v>
      </c>
      <c r="Q1285" s="103" t="s">
        <v>153</v>
      </c>
      <c r="R1285" s="103" t="s">
        <v>153</v>
      </c>
      <c r="S1285" s="103" t="str">
        <f>INDEX('Measure &amp; Standard CostIDs'!$AK$8:$AK$12,B1285)</f>
        <v>Three-pack</v>
      </c>
      <c r="T1285" s="103" t="s">
        <v>867</v>
      </c>
      <c r="U1285" s="103"/>
      <c r="V1285" s="103"/>
      <c r="W1285" s="103">
        <f>ROUND(IF(LEFT(D1285,3)="Std",VLOOKUP(D1285,'Measure &amp; Standard CostIDs'!$S$5:$X$177,1+B1285,FALSE),VLOOKUP(D1285,'Measure &amp; Standard CostIDs'!$C$5:$H$177,1+B1285,FALSE)),2)</f>
        <v>3.35</v>
      </c>
      <c r="X1285" s="103"/>
      <c r="Y1285" s="103"/>
      <c r="Z1285" s="103" t="s">
        <v>868</v>
      </c>
      <c r="AA1285" s="103" t="s">
        <v>874</v>
      </c>
      <c r="AB1285" s="103" t="s">
        <v>153</v>
      </c>
      <c r="AC1285" s="103">
        <v>0</v>
      </c>
      <c r="AD1285" s="156">
        <v>42005</v>
      </c>
      <c r="AE1285" s="103"/>
      <c r="AF1285" s="103" t="s">
        <v>870</v>
      </c>
      <c r="AG1285" s="103" t="s">
        <v>871</v>
      </c>
      <c r="AH1285" s="103" t="s">
        <v>976</v>
      </c>
      <c r="AI1285" s="103">
        <v>0</v>
      </c>
      <c r="AJ1285" s="103"/>
      <c r="AK1285" s="103"/>
      <c r="AL1285" s="103"/>
      <c r="AM1285" s="103"/>
      <c r="AN1285" s="103"/>
      <c r="AO1285" s="103" t="str">
        <f t="shared" si="67"/>
        <v>Std_CFLscw-Glb(20w)_60pInc-r0248Three-pack</v>
      </c>
    </row>
    <row r="1286" spans="1:41">
      <c r="A1286" s="177">
        <f>IFERROR(MATCH(D1286,'Measure &amp; Standard CostIDs'!C$5:C$177,0),MATCH(D1286,'Measure &amp; Standard CostIDs'!S$5:S$177,0))</f>
        <v>135</v>
      </c>
      <c r="B1286" s="177">
        <f t="shared" si="69"/>
        <v>4</v>
      </c>
      <c r="C1286" s="103" t="s">
        <v>153</v>
      </c>
      <c r="D1286" s="103" t="str">
        <f t="shared" si="68"/>
        <v>Std_CFLscw-Glb(22w)_60pInc-r0248</v>
      </c>
      <c r="E1286" s="103" t="str">
        <f>IF(LEFT(D1286,3)="Std","Base case cost for mix of 60% Incandescent and 40% CFL lamps for CFL TechID: "&amp;INDEX('Measure &amp; Standard CostIDs'!$C$5:$C$177,A1286),"&lt;from TechID&gt;")</f>
        <v>Base case cost for mix of 60% Incandescent and 40% CFL lamps for CFL TechID: CFLscw-Glb(22w)</v>
      </c>
      <c r="F1286" s="103" t="s">
        <v>860</v>
      </c>
      <c r="G1286" s="103" t="s">
        <v>151</v>
      </c>
      <c r="H1286" s="103" t="s">
        <v>861</v>
      </c>
      <c r="I1286" s="103" t="s">
        <v>862</v>
      </c>
      <c r="J1286" s="103" t="s">
        <v>863</v>
      </c>
      <c r="K1286" s="103" t="s">
        <v>864</v>
      </c>
      <c r="L1286" s="103" t="s">
        <v>153</v>
      </c>
      <c r="M1286" s="103" t="s">
        <v>865</v>
      </c>
      <c r="N1286" s="103" t="s">
        <v>866</v>
      </c>
      <c r="O1286" s="103" t="str">
        <f t="shared" ref="O1286:O1324" si="70">IF(LEFT(D1286,3)="Std","",D1286)</f>
        <v/>
      </c>
      <c r="P1286" s="103" t="s">
        <v>153</v>
      </c>
      <c r="Q1286" s="103" t="s">
        <v>153</v>
      </c>
      <c r="R1286" s="103" t="s">
        <v>153</v>
      </c>
      <c r="S1286" s="103" t="str">
        <f>INDEX('Measure &amp; Standard CostIDs'!$AK$8:$AK$12,B1286)</f>
        <v>Three-pack</v>
      </c>
      <c r="T1286" s="103" t="s">
        <v>867</v>
      </c>
      <c r="U1286" s="103"/>
      <c r="V1286" s="103"/>
      <c r="W1286" s="103">
        <f>ROUND(IF(LEFT(D1286,3)="Std",VLOOKUP(D1286,'Measure &amp; Standard CostIDs'!$S$5:$X$177,1+B1286,FALSE),VLOOKUP(D1286,'Measure &amp; Standard CostIDs'!$C$5:$H$177,1+B1286,FALSE)),2)</f>
        <v>3.37</v>
      </c>
      <c r="X1286" s="103"/>
      <c r="Y1286" s="103"/>
      <c r="Z1286" s="103" t="s">
        <v>868</v>
      </c>
      <c r="AA1286" s="103" t="s">
        <v>874</v>
      </c>
      <c r="AB1286" s="103" t="s">
        <v>153</v>
      </c>
      <c r="AC1286" s="103">
        <v>0</v>
      </c>
      <c r="AD1286" s="156">
        <v>42005</v>
      </c>
      <c r="AE1286" s="103"/>
      <c r="AF1286" s="103" t="s">
        <v>870</v>
      </c>
      <c r="AG1286" s="103" t="s">
        <v>871</v>
      </c>
      <c r="AH1286" s="103" t="s">
        <v>976</v>
      </c>
      <c r="AI1286" s="103">
        <v>0</v>
      </c>
      <c r="AJ1286" s="103"/>
      <c r="AK1286" s="103"/>
      <c r="AL1286" s="103"/>
      <c r="AM1286" s="103"/>
      <c r="AN1286" s="103"/>
      <c r="AO1286" s="103" t="str">
        <f t="shared" ref="AO1286:AO1324" si="71">D1286&amp;S1286</f>
        <v>Std_CFLscw-Glb(22w)_60pInc-r0248Three-pack</v>
      </c>
    </row>
    <row r="1287" spans="1:41">
      <c r="A1287" s="177">
        <f>IFERROR(MATCH(D1287,'Measure &amp; Standard CostIDs'!C$5:C$177,0),MATCH(D1287,'Measure &amp; Standard CostIDs'!S$5:S$177,0))</f>
        <v>136</v>
      </c>
      <c r="B1287" s="177">
        <f t="shared" si="69"/>
        <v>4</v>
      </c>
      <c r="C1287" s="103" t="s">
        <v>153</v>
      </c>
      <c r="D1287" s="103" t="str">
        <f t="shared" si="68"/>
        <v>Std_CFLscw-Glb(23w)_60pInc-r0248</v>
      </c>
      <c r="E1287" s="103" t="str">
        <f>IF(LEFT(D1287,3)="Std","Base case cost for mix of 60% Incandescent and 40% CFL lamps for CFL TechID: "&amp;INDEX('Measure &amp; Standard CostIDs'!$C$5:$C$177,A1287),"&lt;from TechID&gt;")</f>
        <v>Base case cost for mix of 60% Incandescent and 40% CFL lamps for CFL TechID: CFLscw-Glb(23w)</v>
      </c>
      <c r="F1287" s="103" t="s">
        <v>860</v>
      </c>
      <c r="G1287" s="103" t="s">
        <v>151</v>
      </c>
      <c r="H1287" s="103" t="s">
        <v>861</v>
      </c>
      <c r="I1287" s="103" t="s">
        <v>862</v>
      </c>
      <c r="J1287" s="103" t="s">
        <v>863</v>
      </c>
      <c r="K1287" s="103" t="s">
        <v>864</v>
      </c>
      <c r="L1287" s="103" t="s">
        <v>153</v>
      </c>
      <c r="M1287" s="103" t="s">
        <v>865</v>
      </c>
      <c r="N1287" s="103" t="s">
        <v>866</v>
      </c>
      <c r="O1287" s="103" t="str">
        <f t="shared" si="70"/>
        <v/>
      </c>
      <c r="P1287" s="103" t="s">
        <v>153</v>
      </c>
      <c r="Q1287" s="103" t="s">
        <v>153</v>
      </c>
      <c r="R1287" s="103" t="s">
        <v>153</v>
      </c>
      <c r="S1287" s="103" t="str">
        <f>INDEX('Measure &amp; Standard CostIDs'!$AK$8:$AK$12,B1287)</f>
        <v>Three-pack</v>
      </c>
      <c r="T1287" s="103" t="s">
        <v>867</v>
      </c>
      <c r="U1287" s="103"/>
      <c r="V1287" s="103"/>
      <c r="W1287" s="103">
        <f>ROUND(IF(LEFT(D1287,3)="Std",VLOOKUP(D1287,'Measure &amp; Standard CostIDs'!$S$5:$X$177,1+B1287,FALSE),VLOOKUP(D1287,'Measure &amp; Standard CostIDs'!$C$5:$H$177,1+B1287,FALSE)),2)</f>
        <v>3.38</v>
      </c>
      <c r="X1287" s="103"/>
      <c r="Y1287" s="103"/>
      <c r="Z1287" s="103" t="s">
        <v>868</v>
      </c>
      <c r="AA1287" s="103" t="s">
        <v>874</v>
      </c>
      <c r="AB1287" s="103" t="s">
        <v>153</v>
      </c>
      <c r="AC1287" s="103">
        <v>0</v>
      </c>
      <c r="AD1287" s="156">
        <v>42005</v>
      </c>
      <c r="AE1287" s="103"/>
      <c r="AF1287" s="103" t="s">
        <v>870</v>
      </c>
      <c r="AG1287" s="103" t="s">
        <v>871</v>
      </c>
      <c r="AH1287" s="103" t="s">
        <v>976</v>
      </c>
      <c r="AI1287" s="103">
        <v>0</v>
      </c>
      <c r="AJ1287" s="103"/>
      <c r="AK1287" s="103"/>
      <c r="AL1287" s="103"/>
      <c r="AM1287" s="103"/>
      <c r="AN1287" s="103"/>
      <c r="AO1287" s="103" t="str">
        <f t="shared" si="71"/>
        <v>Std_CFLscw-Glb(23w)_60pInc-r0248Three-pack</v>
      </c>
    </row>
    <row r="1288" spans="1:41">
      <c r="A1288" s="177">
        <f>IFERROR(MATCH(D1288,'Measure &amp; Standard CostIDs'!C$5:C$177,0),MATCH(D1288,'Measure &amp; Standard CostIDs'!S$5:S$177,0))</f>
        <v>137</v>
      </c>
      <c r="B1288" s="177">
        <f t="shared" si="69"/>
        <v>4</v>
      </c>
      <c r="C1288" s="103" t="s">
        <v>153</v>
      </c>
      <c r="D1288" s="103" t="str">
        <f t="shared" si="68"/>
        <v>Std_CFLscw-Glb(9w)_60pInc-r0248</v>
      </c>
      <c r="E1288" s="103" t="str">
        <f>IF(LEFT(D1288,3)="Std","Base case cost for mix of 60% Incandescent and 40% CFL lamps for CFL TechID: "&amp;INDEX('Measure &amp; Standard CostIDs'!$C$5:$C$177,A1288),"&lt;from TechID&gt;")</f>
        <v>Base case cost for mix of 60% Incandescent and 40% CFL lamps for CFL TechID: CFLscw-Glb(9w)</v>
      </c>
      <c r="F1288" s="103" t="s">
        <v>860</v>
      </c>
      <c r="G1288" s="103" t="s">
        <v>151</v>
      </c>
      <c r="H1288" s="103" t="s">
        <v>861</v>
      </c>
      <c r="I1288" s="103" t="s">
        <v>862</v>
      </c>
      <c r="J1288" s="103" t="s">
        <v>863</v>
      </c>
      <c r="K1288" s="103" t="s">
        <v>864</v>
      </c>
      <c r="L1288" s="103" t="s">
        <v>153</v>
      </c>
      <c r="M1288" s="103" t="s">
        <v>865</v>
      </c>
      <c r="N1288" s="103" t="s">
        <v>866</v>
      </c>
      <c r="O1288" s="103" t="str">
        <f t="shared" si="70"/>
        <v/>
      </c>
      <c r="P1288" s="103" t="s">
        <v>153</v>
      </c>
      <c r="Q1288" s="103" t="s">
        <v>153</v>
      </c>
      <c r="R1288" s="103" t="s">
        <v>153</v>
      </c>
      <c r="S1288" s="103" t="str">
        <f>INDEX('Measure &amp; Standard CostIDs'!$AK$8:$AK$12,B1288)</f>
        <v>Three-pack</v>
      </c>
      <c r="T1288" s="103" t="s">
        <v>867</v>
      </c>
      <c r="U1288" s="103"/>
      <c r="V1288" s="103"/>
      <c r="W1288" s="103">
        <f>ROUND(IF(LEFT(D1288,3)="Std",VLOOKUP(D1288,'Measure &amp; Standard CostIDs'!$S$5:$X$177,1+B1288,FALSE),VLOOKUP(D1288,'Measure &amp; Standard CostIDs'!$C$5:$H$177,1+B1288,FALSE)),2)</f>
        <v>2.4900000000000002</v>
      </c>
      <c r="X1288" s="103"/>
      <c r="Y1288" s="103"/>
      <c r="Z1288" s="103" t="s">
        <v>868</v>
      </c>
      <c r="AA1288" s="103" t="s">
        <v>874</v>
      </c>
      <c r="AB1288" s="103" t="s">
        <v>153</v>
      </c>
      <c r="AC1288" s="103">
        <v>0</v>
      </c>
      <c r="AD1288" s="156">
        <v>42005</v>
      </c>
      <c r="AE1288" s="103"/>
      <c r="AF1288" s="103" t="s">
        <v>870</v>
      </c>
      <c r="AG1288" s="103" t="s">
        <v>871</v>
      </c>
      <c r="AH1288" s="103" t="s">
        <v>976</v>
      </c>
      <c r="AI1288" s="103">
        <v>0</v>
      </c>
      <c r="AJ1288" s="103"/>
      <c r="AK1288" s="103"/>
      <c r="AL1288" s="103"/>
      <c r="AM1288" s="103"/>
      <c r="AN1288" s="103"/>
      <c r="AO1288" s="103" t="str">
        <f t="shared" si="71"/>
        <v>Std_CFLscw-Glb(9w)_60pInc-r0248Three-pack</v>
      </c>
    </row>
    <row r="1289" spans="1:41">
      <c r="A1289" s="177">
        <f>IFERROR(MATCH(D1289,'Measure &amp; Standard CostIDs'!C$5:C$177,0),MATCH(D1289,'Measure &amp; Standard CostIDs'!S$5:S$177,0))</f>
        <v>138</v>
      </c>
      <c r="B1289" s="177">
        <f t="shared" si="69"/>
        <v>4</v>
      </c>
      <c r="C1289" s="103" t="s">
        <v>153</v>
      </c>
      <c r="D1289" s="103" t="str">
        <f t="shared" si="68"/>
        <v>Std_CFLscw-PAR38(23w)_60pInc-r0286</v>
      </c>
      <c r="E1289" s="103" t="str">
        <f>IF(LEFT(D1289,3)="Std","Base case cost for mix of 60% Incandescent and 40% CFL lamps for CFL TechID: "&amp;INDEX('Measure &amp; Standard CostIDs'!$C$5:$C$177,A1289),"&lt;from TechID&gt;")</f>
        <v>Base case cost for mix of 60% Incandescent and 40% CFL lamps for CFL TechID: CFLscw-PAR38(23w)</v>
      </c>
      <c r="F1289" s="103" t="s">
        <v>860</v>
      </c>
      <c r="G1289" s="103" t="s">
        <v>151</v>
      </c>
      <c r="H1289" s="103" t="s">
        <v>861</v>
      </c>
      <c r="I1289" s="103" t="s">
        <v>862</v>
      </c>
      <c r="J1289" s="103" t="s">
        <v>863</v>
      </c>
      <c r="K1289" s="103" t="s">
        <v>864</v>
      </c>
      <c r="L1289" s="103" t="s">
        <v>153</v>
      </c>
      <c r="M1289" s="103" t="s">
        <v>865</v>
      </c>
      <c r="N1289" s="103" t="s">
        <v>866</v>
      </c>
      <c r="O1289" s="103" t="str">
        <f t="shared" si="70"/>
        <v/>
      </c>
      <c r="P1289" s="103" t="s">
        <v>153</v>
      </c>
      <c r="Q1289" s="103" t="s">
        <v>153</v>
      </c>
      <c r="R1289" s="103" t="s">
        <v>153</v>
      </c>
      <c r="S1289" s="103" t="str">
        <f>INDEX('Measure &amp; Standard CostIDs'!$AK$8:$AK$12,B1289)</f>
        <v>Three-pack</v>
      </c>
      <c r="T1289" s="103" t="s">
        <v>867</v>
      </c>
      <c r="U1289" s="103"/>
      <c r="V1289" s="103"/>
      <c r="W1289" s="103">
        <f>ROUND(IF(LEFT(D1289,3)="Std",VLOOKUP(D1289,'Measure &amp; Standard CostIDs'!$S$5:$X$177,1+B1289,FALSE),VLOOKUP(D1289,'Measure &amp; Standard CostIDs'!$C$5:$H$177,1+B1289,FALSE)),2)</f>
        <v>4.7300000000000004</v>
      </c>
      <c r="X1289" s="103"/>
      <c r="Y1289" s="103"/>
      <c r="Z1289" s="103" t="s">
        <v>868</v>
      </c>
      <c r="AA1289" s="103" t="s">
        <v>874</v>
      </c>
      <c r="AB1289" s="103" t="s">
        <v>153</v>
      </c>
      <c r="AC1289" s="103">
        <v>0</v>
      </c>
      <c r="AD1289" s="156">
        <v>42005</v>
      </c>
      <c r="AE1289" s="103"/>
      <c r="AF1289" s="103" t="s">
        <v>870</v>
      </c>
      <c r="AG1289" s="103" t="s">
        <v>871</v>
      </c>
      <c r="AH1289" s="103" t="s">
        <v>976</v>
      </c>
      <c r="AI1289" s="103">
        <v>0</v>
      </c>
      <c r="AJ1289" s="103"/>
      <c r="AK1289" s="103"/>
      <c r="AL1289" s="103"/>
      <c r="AM1289" s="103"/>
      <c r="AN1289" s="103"/>
      <c r="AO1289" s="103" t="str">
        <f t="shared" si="71"/>
        <v>Std_CFLscw-PAR38(23w)_60pInc-r0286Three-pack</v>
      </c>
    </row>
    <row r="1290" spans="1:41">
      <c r="A1290" s="177">
        <f>IFERROR(MATCH(D1290,'Measure &amp; Standard CostIDs'!C$5:C$177,0),MATCH(D1290,'Measure &amp; Standard CostIDs'!S$5:S$177,0))</f>
        <v>139</v>
      </c>
      <c r="B1290" s="177">
        <f t="shared" si="69"/>
        <v>4</v>
      </c>
      <c r="C1290" s="103" t="s">
        <v>153</v>
      </c>
      <c r="D1290" s="103" t="str">
        <f t="shared" si="68"/>
        <v>Std_CFLscw-Refl(10w)_60pInc-r0286</v>
      </c>
      <c r="E1290" s="103" t="str">
        <f>IF(LEFT(D1290,3)="Std","Base case cost for mix of 60% Incandescent and 40% CFL lamps for CFL TechID: "&amp;INDEX('Measure &amp; Standard CostIDs'!$C$5:$C$177,A1290),"&lt;from TechID&gt;")</f>
        <v>Base case cost for mix of 60% Incandescent and 40% CFL lamps for CFL TechID: CFLscw-Refl(10w)</v>
      </c>
      <c r="F1290" s="103" t="s">
        <v>860</v>
      </c>
      <c r="G1290" s="103" t="s">
        <v>151</v>
      </c>
      <c r="H1290" s="103" t="s">
        <v>861</v>
      </c>
      <c r="I1290" s="103" t="s">
        <v>862</v>
      </c>
      <c r="J1290" s="103" t="s">
        <v>863</v>
      </c>
      <c r="K1290" s="103" t="s">
        <v>864</v>
      </c>
      <c r="L1290" s="103" t="s">
        <v>153</v>
      </c>
      <c r="M1290" s="103" t="s">
        <v>865</v>
      </c>
      <c r="N1290" s="103" t="s">
        <v>866</v>
      </c>
      <c r="O1290" s="103" t="str">
        <f t="shared" si="70"/>
        <v/>
      </c>
      <c r="P1290" s="103" t="s">
        <v>153</v>
      </c>
      <c r="Q1290" s="103" t="s">
        <v>153</v>
      </c>
      <c r="R1290" s="103" t="s">
        <v>153</v>
      </c>
      <c r="S1290" s="103" t="str">
        <f>INDEX('Measure &amp; Standard CostIDs'!$AK$8:$AK$12,B1290)</f>
        <v>Three-pack</v>
      </c>
      <c r="T1290" s="103" t="s">
        <v>867</v>
      </c>
      <c r="U1290" s="103"/>
      <c r="V1290" s="103"/>
      <c r="W1290" s="103">
        <f>ROUND(IF(LEFT(D1290,3)="Std",VLOOKUP(D1290,'Measure &amp; Standard CostIDs'!$S$5:$X$177,1+B1290,FALSE),VLOOKUP(D1290,'Measure &amp; Standard CostIDs'!$C$5:$H$177,1+B1290,FALSE)),2)</f>
        <v>3.63</v>
      </c>
      <c r="X1290" s="103"/>
      <c r="Y1290" s="103"/>
      <c r="Z1290" s="103" t="s">
        <v>868</v>
      </c>
      <c r="AA1290" s="103" t="s">
        <v>874</v>
      </c>
      <c r="AB1290" s="103" t="s">
        <v>153</v>
      </c>
      <c r="AC1290" s="103">
        <v>0</v>
      </c>
      <c r="AD1290" s="156">
        <v>42005</v>
      </c>
      <c r="AE1290" s="103"/>
      <c r="AF1290" s="103" t="s">
        <v>870</v>
      </c>
      <c r="AG1290" s="103" t="s">
        <v>871</v>
      </c>
      <c r="AH1290" s="103" t="s">
        <v>976</v>
      </c>
      <c r="AI1290" s="103">
        <v>0</v>
      </c>
      <c r="AJ1290" s="103"/>
      <c r="AK1290" s="103"/>
      <c r="AL1290" s="103"/>
      <c r="AM1290" s="103"/>
      <c r="AN1290" s="103"/>
      <c r="AO1290" s="103" t="str">
        <f t="shared" si="71"/>
        <v>Std_CFLscw-Refl(10w)_60pInc-r0286Three-pack</v>
      </c>
    </row>
    <row r="1291" spans="1:41">
      <c r="A1291" s="177">
        <f>IFERROR(MATCH(D1291,'Measure &amp; Standard CostIDs'!C$5:C$177,0),MATCH(D1291,'Measure &amp; Standard CostIDs'!S$5:S$177,0))</f>
        <v>140</v>
      </c>
      <c r="B1291" s="177">
        <f t="shared" si="69"/>
        <v>4</v>
      </c>
      <c r="C1291" s="103" t="s">
        <v>153</v>
      </c>
      <c r="D1291" s="103" t="str">
        <f t="shared" si="68"/>
        <v>Std_CFLscw-Refl(11w)_60pInc-r0286</v>
      </c>
      <c r="E1291" s="103" t="str">
        <f>IF(LEFT(D1291,3)="Std","Base case cost for mix of 60% Incandescent and 40% CFL lamps for CFL TechID: "&amp;INDEX('Measure &amp; Standard CostIDs'!$C$5:$C$177,A1291),"&lt;from TechID&gt;")</f>
        <v>Base case cost for mix of 60% Incandescent and 40% CFL lamps for CFL TechID: CFLscw-Refl(11w)</v>
      </c>
      <c r="F1291" s="103" t="s">
        <v>860</v>
      </c>
      <c r="G1291" s="103" t="s">
        <v>151</v>
      </c>
      <c r="H1291" s="103" t="s">
        <v>861</v>
      </c>
      <c r="I1291" s="103" t="s">
        <v>862</v>
      </c>
      <c r="J1291" s="103" t="s">
        <v>863</v>
      </c>
      <c r="K1291" s="103" t="s">
        <v>864</v>
      </c>
      <c r="L1291" s="103" t="s">
        <v>153</v>
      </c>
      <c r="M1291" s="103" t="s">
        <v>865</v>
      </c>
      <c r="N1291" s="103" t="s">
        <v>866</v>
      </c>
      <c r="O1291" s="103" t="str">
        <f t="shared" si="70"/>
        <v/>
      </c>
      <c r="P1291" s="103" t="s">
        <v>153</v>
      </c>
      <c r="Q1291" s="103" t="s">
        <v>153</v>
      </c>
      <c r="R1291" s="103" t="s">
        <v>153</v>
      </c>
      <c r="S1291" s="103" t="str">
        <f>INDEX('Measure &amp; Standard CostIDs'!$AK$8:$AK$12,B1291)</f>
        <v>Three-pack</v>
      </c>
      <c r="T1291" s="103" t="s">
        <v>867</v>
      </c>
      <c r="U1291" s="103"/>
      <c r="V1291" s="103"/>
      <c r="W1291" s="103">
        <f>ROUND(IF(LEFT(D1291,3)="Std",VLOOKUP(D1291,'Measure &amp; Standard CostIDs'!$S$5:$X$177,1+B1291,FALSE),VLOOKUP(D1291,'Measure &amp; Standard CostIDs'!$C$5:$H$177,1+B1291,FALSE)),2)</f>
        <v>3.71</v>
      </c>
      <c r="X1291" s="103"/>
      <c r="Y1291" s="103"/>
      <c r="Z1291" s="103" t="s">
        <v>868</v>
      </c>
      <c r="AA1291" s="103" t="s">
        <v>874</v>
      </c>
      <c r="AB1291" s="103" t="s">
        <v>153</v>
      </c>
      <c r="AC1291" s="103">
        <v>0</v>
      </c>
      <c r="AD1291" s="156">
        <v>42005</v>
      </c>
      <c r="AE1291" s="103"/>
      <c r="AF1291" s="103" t="s">
        <v>870</v>
      </c>
      <c r="AG1291" s="103" t="s">
        <v>871</v>
      </c>
      <c r="AH1291" s="103" t="s">
        <v>976</v>
      </c>
      <c r="AI1291" s="103">
        <v>0</v>
      </c>
      <c r="AJ1291" s="103"/>
      <c r="AK1291" s="103"/>
      <c r="AL1291" s="103"/>
      <c r="AM1291" s="103"/>
      <c r="AN1291" s="103"/>
      <c r="AO1291" s="103" t="str">
        <f t="shared" si="71"/>
        <v>Std_CFLscw-Refl(11w)_60pInc-r0286Three-pack</v>
      </c>
    </row>
    <row r="1292" spans="1:41">
      <c r="A1292" s="177">
        <f>IFERROR(MATCH(D1292,'Measure &amp; Standard CostIDs'!C$5:C$177,0),MATCH(D1292,'Measure &amp; Standard CostIDs'!S$5:S$177,0))</f>
        <v>141</v>
      </c>
      <c r="B1292" s="177">
        <f t="shared" si="69"/>
        <v>4</v>
      </c>
      <c r="C1292" s="103" t="s">
        <v>153</v>
      </c>
      <c r="D1292" s="103" t="str">
        <f t="shared" si="68"/>
        <v>Std_CFLscw-Refl(12w)_60pInc-r0286</v>
      </c>
      <c r="E1292" s="103" t="str">
        <f>IF(LEFT(D1292,3)="Std","Base case cost for mix of 60% Incandescent and 40% CFL lamps for CFL TechID: "&amp;INDEX('Measure &amp; Standard CostIDs'!$C$5:$C$177,A1292),"&lt;from TechID&gt;")</f>
        <v>Base case cost for mix of 60% Incandescent and 40% CFL lamps for CFL TechID: CFLscw-Refl(12w)</v>
      </c>
      <c r="F1292" s="103" t="s">
        <v>860</v>
      </c>
      <c r="G1292" s="103" t="s">
        <v>151</v>
      </c>
      <c r="H1292" s="103" t="s">
        <v>861</v>
      </c>
      <c r="I1292" s="103" t="s">
        <v>862</v>
      </c>
      <c r="J1292" s="103" t="s">
        <v>863</v>
      </c>
      <c r="K1292" s="103" t="s">
        <v>864</v>
      </c>
      <c r="L1292" s="103" t="s">
        <v>153</v>
      </c>
      <c r="M1292" s="103" t="s">
        <v>865</v>
      </c>
      <c r="N1292" s="103" t="s">
        <v>866</v>
      </c>
      <c r="O1292" s="103" t="str">
        <f t="shared" si="70"/>
        <v/>
      </c>
      <c r="P1292" s="103" t="s">
        <v>153</v>
      </c>
      <c r="Q1292" s="103" t="s">
        <v>153</v>
      </c>
      <c r="R1292" s="103" t="s">
        <v>153</v>
      </c>
      <c r="S1292" s="103" t="str">
        <f>INDEX('Measure &amp; Standard CostIDs'!$AK$8:$AK$12,B1292)</f>
        <v>Three-pack</v>
      </c>
      <c r="T1292" s="103" t="s">
        <v>867</v>
      </c>
      <c r="U1292" s="103"/>
      <c r="V1292" s="103"/>
      <c r="W1292" s="103">
        <f>ROUND(IF(LEFT(D1292,3)="Std",VLOOKUP(D1292,'Measure &amp; Standard CostIDs'!$S$5:$X$177,1+B1292,FALSE),VLOOKUP(D1292,'Measure &amp; Standard CostIDs'!$C$5:$H$177,1+B1292,FALSE)),2)</f>
        <v>3.8</v>
      </c>
      <c r="X1292" s="103"/>
      <c r="Y1292" s="103"/>
      <c r="Z1292" s="103" t="s">
        <v>868</v>
      </c>
      <c r="AA1292" s="103" t="s">
        <v>874</v>
      </c>
      <c r="AB1292" s="103" t="s">
        <v>153</v>
      </c>
      <c r="AC1292" s="103">
        <v>0</v>
      </c>
      <c r="AD1292" s="156">
        <v>42005</v>
      </c>
      <c r="AE1292" s="103"/>
      <c r="AF1292" s="103" t="s">
        <v>870</v>
      </c>
      <c r="AG1292" s="103" t="s">
        <v>871</v>
      </c>
      <c r="AH1292" s="103" t="s">
        <v>976</v>
      </c>
      <c r="AI1292" s="103">
        <v>0</v>
      </c>
      <c r="AJ1292" s="103"/>
      <c r="AK1292" s="103"/>
      <c r="AL1292" s="103"/>
      <c r="AM1292" s="103"/>
      <c r="AN1292" s="103"/>
      <c r="AO1292" s="103" t="str">
        <f t="shared" si="71"/>
        <v>Std_CFLscw-Refl(12w)_60pInc-r0286Three-pack</v>
      </c>
    </row>
    <row r="1293" spans="1:41">
      <c r="A1293" s="177">
        <f>IFERROR(MATCH(D1293,'Measure &amp; Standard CostIDs'!C$5:C$177,0),MATCH(D1293,'Measure &amp; Standard CostIDs'!S$5:S$177,0))</f>
        <v>142</v>
      </c>
      <c r="B1293" s="177">
        <f t="shared" si="69"/>
        <v>4</v>
      </c>
      <c r="C1293" s="103" t="s">
        <v>153</v>
      </c>
      <c r="D1293" s="103" t="str">
        <f t="shared" si="68"/>
        <v>Std_CFLscw-Refl(13w)_60pInc-r0286</v>
      </c>
      <c r="E1293" s="103" t="str">
        <f>IF(LEFT(D1293,3)="Std","Base case cost for mix of 60% Incandescent and 40% CFL lamps for CFL TechID: "&amp;INDEX('Measure &amp; Standard CostIDs'!$C$5:$C$177,A1293),"&lt;from TechID&gt;")</f>
        <v>Base case cost for mix of 60% Incandescent and 40% CFL lamps for CFL TechID: CFLscw-Refl(13w)</v>
      </c>
      <c r="F1293" s="103" t="s">
        <v>860</v>
      </c>
      <c r="G1293" s="103" t="s">
        <v>151</v>
      </c>
      <c r="H1293" s="103" t="s">
        <v>861</v>
      </c>
      <c r="I1293" s="103" t="s">
        <v>862</v>
      </c>
      <c r="J1293" s="103" t="s">
        <v>863</v>
      </c>
      <c r="K1293" s="103" t="s">
        <v>864</v>
      </c>
      <c r="L1293" s="103" t="s">
        <v>153</v>
      </c>
      <c r="M1293" s="103" t="s">
        <v>865</v>
      </c>
      <c r="N1293" s="103" t="s">
        <v>866</v>
      </c>
      <c r="O1293" s="103" t="str">
        <f t="shared" si="70"/>
        <v/>
      </c>
      <c r="P1293" s="103" t="s">
        <v>153</v>
      </c>
      <c r="Q1293" s="103" t="s">
        <v>153</v>
      </c>
      <c r="R1293" s="103" t="s">
        <v>153</v>
      </c>
      <c r="S1293" s="103" t="str">
        <f>INDEX('Measure &amp; Standard CostIDs'!$AK$8:$AK$12,B1293)</f>
        <v>Three-pack</v>
      </c>
      <c r="T1293" s="103" t="s">
        <v>867</v>
      </c>
      <c r="U1293" s="103"/>
      <c r="V1293" s="103"/>
      <c r="W1293" s="103">
        <f>ROUND(IF(LEFT(D1293,3)="Std",VLOOKUP(D1293,'Measure &amp; Standard CostIDs'!$S$5:$X$177,1+B1293,FALSE),VLOOKUP(D1293,'Measure &amp; Standard CostIDs'!$C$5:$H$177,1+B1293,FALSE)),2)</f>
        <v>3.88</v>
      </c>
      <c r="X1293" s="103"/>
      <c r="Y1293" s="103"/>
      <c r="Z1293" s="103" t="s">
        <v>868</v>
      </c>
      <c r="AA1293" s="103" t="s">
        <v>874</v>
      </c>
      <c r="AB1293" s="103" t="s">
        <v>153</v>
      </c>
      <c r="AC1293" s="103">
        <v>0</v>
      </c>
      <c r="AD1293" s="156">
        <v>42005</v>
      </c>
      <c r="AE1293" s="103"/>
      <c r="AF1293" s="103" t="s">
        <v>870</v>
      </c>
      <c r="AG1293" s="103" t="s">
        <v>871</v>
      </c>
      <c r="AH1293" s="103" t="s">
        <v>976</v>
      </c>
      <c r="AI1293" s="103">
        <v>0</v>
      </c>
      <c r="AJ1293" s="103"/>
      <c r="AK1293" s="103"/>
      <c r="AL1293" s="103"/>
      <c r="AM1293" s="103"/>
      <c r="AN1293" s="103"/>
      <c r="AO1293" s="103" t="str">
        <f t="shared" si="71"/>
        <v>Std_CFLscw-Refl(13w)_60pInc-r0286Three-pack</v>
      </c>
    </row>
    <row r="1294" spans="1:41">
      <c r="A1294" s="177">
        <f>IFERROR(MATCH(D1294,'Measure &amp; Standard CostIDs'!C$5:C$177,0),MATCH(D1294,'Measure &amp; Standard CostIDs'!S$5:S$177,0))</f>
        <v>143</v>
      </c>
      <c r="B1294" s="177">
        <f t="shared" si="69"/>
        <v>4</v>
      </c>
      <c r="C1294" s="103" t="s">
        <v>153</v>
      </c>
      <c r="D1294" s="103" t="str">
        <f t="shared" si="68"/>
        <v>Std_CFLscw-Refl(14w)_60pInc-r0286</v>
      </c>
      <c r="E1294" s="103" t="str">
        <f>IF(LEFT(D1294,3)="Std","Base case cost for mix of 60% Incandescent and 40% CFL lamps for CFL TechID: "&amp;INDEX('Measure &amp; Standard CostIDs'!$C$5:$C$177,A1294),"&lt;from TechID&gt;")</f>
        <v>Base case cost for mix of 60% Incandescent and 40% CFL lamps for CFL TechID: CFLscw-Refl(14w)</v>
      </c>
      <c r="F1294" s="103" t="s">
        <v>860</v>
      </c>
      <c r="G1294" s="103" t="s">
        <v>151</v>
      </c>
      <c r="H1294" s="103" t="s">
        <v>861</v>
      </c>
      <c r="I1294" s="103" t="s">
        <v>862</v>
      </c>
      <c r="J1294" s="103" t="s">
        <v>863</v>
      </c>
      <c r="K1294" s="103" t="s">
        <v>864</v>
      </c>
      <c r="L1294" s="103" t="s">
        <v>153</v>
      </c>
      <c r="M1294" s="103" t="s">
        <v>865</v>
      </c>
      <c r="N1294" s="103" t="s">
        <v>866</v>
      </c>
      <c r="O1294" s="103" t="str">
        <f t="shared" si="70"/>
        <v/>
      </c>
      <c r="P1294" s="103" t="s">
        <v>153</v>
      </c>
      <c r="Q1294" s="103" t="s">
        <v>153</v>
      </c>
      <c r="R1294" s="103" t="s">
        <v>153</v>
      </c>
      <c r="S1294" s="103" t="str">
        <f>INDEX('Measure &amp; Standard CostIDs'!$AK$8:$AK$12,B1294)</f>
        <v>Three-pack</v>
      </c>
      <c r="T1294" s="103" t="s">
        <v>867</v>
      </c>
      <c r="U1294" s="103"/>
      <c r="V1294" s="103"/>
      <c r="W1294" s="103">
        <f>ROUND(IF(LEFT(D1294,3)="Std",VLOOKUP(D1294,'Measure &amp; Standard CostIDs'!$S$5:$X$177,1+B1294,FALSE),VLOOKUP(D1294,'Measure &amp; Standard CostIDs'!$C$5:$H$177,1+B1294,FALSE)),2)</f>
        <v>3.97</v>
      </c>
      <c r="X1294" s="103"/>
      <c r="Y1294" s="103"/>
      <c r="Z1294" s="103" t="s">
        <v>868</v>
      </c>
      <c r="AA1294" s="103" t="s">
        <v>874</v>
      </c>
      <c r="AB1294" s="103" t="s">
        <v>153</v>
      </c>
      <c r="AC1294" s="103">
        <v>0</v>
      </c>
      <c r="AD1294" s="156">
        <v>42005</v>
      </c>
      <c r="AE1294" s="103"/>
      <c r="AF1294" s="103" t="s">
        <v>870</v>
      </c>
      <c r="AG1294" s="103" t="s">
        <v>871</v>
      </c>
      <c r="AH1294" s="103" t="s">
        <v>976</v>
      </c>
      <c r="AI1294" s="103">
        <v>0</v>
      </c>
      <c r="AJ1294" s="103"/>
      <c r="AK1294" s="103"/>
      <c r="AL1294" s="103"/>
      <c r="AM1294" s="103"/>
      <c r="AN1294" s="103"/>
      <c r="AO1294" s="103" t="str">
        <f t="shared" si="71"/>
        <v>Std_CFLscw-Refl(14w)_60pInc-r0286Three-pack</v>
      </c>
    </row>
    <row r="1295" spans="1:41">
      <c r="A1295" s="177">
        <f>IFERROR(MATCH(D1295,'Measure &amp; Standard CostIDs'!C$5:C$177,0),MATCH(D1295,'Measure &amp; Standard CostIDs'!S$5:S$177,0))</f>
        <v>144</v>
      </c>
      <c r="B1295" s="177">
        <f t="shared" si="69"/>
        <v>4</v>
      </c>
      <c r="C1295" s="103" t="s">
        <v>153</v>
      </c>
      <c r="D1295" s="103" t="str">
        <f t="shared" si="68"/>
        <v>Std_CFLscw-Refl(16w)_60pInc-r0286</v>
      </c>
      <c r="E1295" s="103" t="str">
        <f>IF(LEFT(D1295,3)="Std","Base case cost for mix of 60% Incandescent and 40% CFL lamps for CFL TechID: "&amp;INDEX('Measure &amp; Standard CostIDs'!$C$5:$C$177,A1295),"&lt;from TechID&gt;")</f>
        <v>Base case cost for mix of 60% Incandescent and 40% CFL lamps for CFL TechID: CFLscw-Refl(16w)</v>
      </c>
      <c r="F1295" s="103" t="s">
        <v>860</v>
      </c>
      <c r="G1295" s="103" t="s">
        <v>151</v>
      </c>
      <c r="H1295" s="103" t="s">
        <v>861</v>
      </c>
      <c r="I1295" s="103" t="s">
        <v>862</v>
      </c>
      <c r="J1295" s="103" t="s">
        <v>863</v>
      </c>
      <c r="K1295" s="103" t="s">
        <v>864</v>
      </c>
      <c r="L1295" s="103" t="s">
        <v>153</v>
      </c>
      <c r="M1295" s="103" t="s">
        <v>865</v>
      </c>
      <c r="N1295" s="103" t="s">
        <v>866</v>
      </c>
      <c r="O1295" s="103" t="str">
        <f t="shared" si="70"/>
        <v/>
      </c>
      <c r="P1295" s="103" t="s">
        <v>153</v>
      </c>
      <c r="Q1295" s="103" t="s">
        <v>153</v>
      </c>
      <c r="R1295" s="103" t="s">
        <v>153</v>
      </c>
      <c r="S1295" s="103" t="str">
        <f>INDEX('Measure &amp; Standard CostIDs'!$AK$8:$AK$12,B1295)</f>
        <v>Three-pack</v>
      </c>
      <c r="T1295" s="103" t="s">
        <v>867</v>
      </c>
      <c r="U1295" s="103"/>
      <c r="V1295" s="103"/>
      <c r="W1295" s="103">
        <f>ROUND(IF(LEFT(D1295,3)="Std",VLOOKUP(D1295,'Measure &amp; Standard CostIDs'!$S$5:$X$177,1+B1295,FALSE),VLOOKUP(D1295,'Measure &amp; Standard CostIDs'!$C$5:$H$177,1+B1295,FALSE)),2)</f>
        <v>4.13</v>
      </c>
      <c r="X1295" s="103"/>
      <c r="Y1295" s="103"/>
      <c r="Z1295" s="103" t="s">
        <v>868</v>
      </c>
      <c r="AA1295" s="103" t="s">
        <v>874</v>
      </c>
      <c r="AB1295" s="103" t="s">
        <v>153</v>
      </c>
      <c r="AC1295" s="103">
        <v>0</v>
      </c>
      <c r="AD1295" s="156">
        <v>42005</v>
      </c>
      <c r="AE1295" s="103"/>
      <c r="AF1295" s="103" t="s">
        <v>870</v>
      </c>
      <c r="AG1295" s="103" t="s">
        <v>871</v>
      </c>
      <c r="AH1295" s="103" t="s">
        <v>976</v>
      </c>
      <c r="AI1295" s="103">
        <v>0</v>
      </c>
      <c r="AJ1295" s="103"/>
      <c r="AK1295" s="103"/>
      <c r="AL1295" s="103"/>
      <c r="AM1295" s="103"/>
      <c r="AN1295" s="103"/>
      <c r="AO1295" s="103" t="str">
        <f t="shared" si="71"/>
        <v>Std_CFLscw-Refl(16w)_60pInc-r0286Three-pack</v>
      </c>
    </row>
    <row r="1296" spans="1:41">
      <c r="A1296" s="177">
        <f>IFERROR(MATCH(D1296,'Measure &amp; Standard CostIDs'!C$5:C$177,0),MATCH(D1296,'Measure &amp; Standard CostIDs'!S$5:S$177,0))</f>
        <v>145</v>
      </c>
      <c r="B1296" s="177">
        <f t="shared" si="69"/>
        <v>4</v>
      </c>
      <c r="C1296" s="103" t="s">
        <v>153</v>
      </c>
      <c r="D1296" s="103" t="str">
        <f t="shared" ref="D1296:D1359" si="72">+D966</f>
        <v>Std_CFLscw-Refl(17w)_60pInc-r0286</v>
      </c>
      <c r="E1296" s="103" t="str">
        <f>IF(LEFT(D1296,3)="Std","Base case cost for mix of 60% Incandescent and 40% CFL lamps for CFL TechID: "&amp;INDEX('Measure &amp; Standard CostIDs'!$C$5:$C$177,A1296),"&lt;from TechID&gt;")</f>
        <v>Base case cost for mix of 60% Incandescent and 40% CFL lamps for CFL TechID: CFLscw-Refl(17w)</v>
      </c>
      <c r="F1296" s="103" t="s">
        <v>860</v>
      </c>
      <c r="G1296" s="103" t="s">
        <v>151</v>
      </c>
      <c r="H1296" s="103" t="s">
        <v>861</v>
      </c>
      <c r="I1296" s="103" t="s">
        <v>862</v>
      </c>
      <c r="J1296" s="103" t="s">
        <v>863</v>
      </c>
      <c r="K1296" s="103" t="s">
        <v>864</v>
      </c>
      <c r="L1296" s="103" t="s">
        <v>153</v>
      </c>
      <c r="M1296" s="103" t="s">
        <v>865</v>
      </c>
      <c r="N1296" s="103" t="s">
        <v>866</v>
      </c>
      <c r="O1296" s="103" t="str">
        <f t="shared" si="70"/>
        <v/>
      </c>
      <c r="P1296" s="103" t="s">
        <v>153</v>
      </c>
      <c r="Q1296" s="103" t="s">
        <v>153</v>
      </c>
      <c r="R1296" s="103" t="s">
        <v>153</v>
      </c>
      <c r="S1296" s="103" t="str">
        <f>INDEX('Measure &amp; Standard CostIDs'!$AK$8:$AK$12,B1296)</f>
        <v>Three-pack</v>
      </c>
      <c r="T1296" s="103" t="s">
        <v>867</v>
      </c>
      <c r="U1296" s="103"/>
      <c r="V1296" s="103"/>
      <c r="W1296" s="103">
        <f>ROUND(IF(LEFT(D1296,3)="Std",VLOOKUP(D1296,'Measure &amp; Standard CostIDs'!$S$5:$X$177,1+B1296,FALSE),VLOOKUP(D1296,'Measure &amp; Standard CostIDs'!$C$5:$H$177,1+B1296,FALSE)),2)</f>
        <v>4.22</v>
      </c>
      <c r="X1296" s="103"/>
      <c r="Y1296" s="103"/>
      <c r="Z1296" s="103" t="s">
        <v>868</v>
      </c>
      <c r="AA1296" s="103" t="s">
        <v>874</v>
      </c>
      <c r="AB1296" s="103" t="s">
        <v>153</v>
      </c>
      <c r="AC1296" s="103">
        <v>0</v>
      </c>
      <c r="AD1296" s="156">
        <v>42005</v>
      </c>
      <c r="AE1296" s="103"/>
      <c r="AF1296" s="103" t="s">
        <v>870</v>
      </c>
      <c r="AG1296" s="103" t="s">
        <v>871</v>
      </c>
      <c r="AH1296" s="103" t="s">
        <v>976</v>
      </c>
      <c r="AI1296" s="103">
        <v>0</v>
      </c>
      <c r="AJ1296" s="103"/>
      <c r="AK1296" s="103"/>
      <c r="AL1296" s="103"/>
      <c r="AM1296" s="103"/>
      <c r="AN1296" s="103"/>
      <c r="AO1296" s="103" t="str">
        <f t="shared" si="71"/>
        <v>Std_CFLscw-Refl(17w)_60pInc-r0286Three-pack</v>
      </c>
    </row>
    <row r="1297" spans="1:41">
      <c r="A1297" s="177">
        <f>IFERROR(MATCH(D1297,'Measure &amp; Standard CostIDs'!C$5:C$177,0),MATCH(D1297,'Measure &amp; Standard CostIDs'!S$5:S$177,0))</f>
        <v>146</v>
      </c>
      <c r="B1297" s="177">
        <f t="shared" ref="B1297:B1360" si="73">+B967+1</f>
        <v>4</v>
      </c>
      <c r="C1297" s="103" t="s">
        <v>153</v>
      </c>
      <c r="D1297" s="103" t="str">
        <f t="shared" si="72"/>
        <v>Std_CFLscw-Refl(18w)_60pInc-r0286</v>
      </c>
      <c r="E1297" s="103" t="str">
        <f>IF(LEFT(D1297,3)="Std","Base case cost for mix of 60% Incandescent and 40% CFL lamps for CFL TechID: "&amp;INDEX('Measure &amp; Standard CostIDs'!$C$5:$C$177,A1297),"&lt;from TechID&gt;")</f>
        <v>Base case cost for mix of 60% Incandescent and 40% CFL lamps for CFL TechID: CFLscw-Refl(18w)</v>
      </c>
      <c r="F1297" s="103" t="s">
        <v>860</v>
      </c>
      <c r="G1297" s="103" t="s">
        <v>151</v>
      </c>
      <c r="H1297" s="103" t="s">
        <v>861</v>
      </c>
      <c r="I1297" s="103" t="s">
        <v>862</v>
      </c>
      <c r="J1297" s="103" t="s">
        <v>863</v>
      </c>
      <c r="K1297" s="103" t="s">
        <v>864</v>
      </c>
      <c r="L1297" s="103" t="s">
        <v>153</v>
      </c>
      <c r="M1297" s="103" t="s">
        <v>865</v>
      </c>
      <c r="N1297" s="103" t="s">
        <v>866</v>
      </c>
      <c r="O1297" s="103" t="str">
        <f t="shared" si="70"/>
        <v/>
      </c>
      <c r="P1297" s="103" t="s">
        <v>153</v>
      </c>
      <c r="Q1297" s="103" t="s">
        <v>153</v>
      </c>
      <c r="R1297" s="103" t="s">
        <v>153</v>
      </c>
      <c r="S1297" s="103" t="str">
        <f>INDEX('Measure &amp; Standard CostIDs'!$AK$8:$AK$12,B1297)</f>
        <v>Three-pack</v>
      </c>
      <c r="T1297" s="103" t="s">
        <v>867</v>
      </c>
      <c r="U1297" s="103"/>
      <c r="V1297" s="103"/>
      <c r="W1297" s="103">
        <f>ROUND(IF(LEFT(D1297,3)="Std",VLOOKUP(D1297,'Measure &amp; Standard CostIDs'!$S$5:$X$177,1+B1297,FALSE),VLOOKUP(D1297,'Measure &amp; Standard CostIDs'!$C$5:$H$177,1+B1297,FALSE)),2)</f>
        <v>4.3099999999999996</v>
      </c>
      <c r="X1297" s="103"/>
      <c r="Y1297" s="103"/>
      <c r="Z1297" s="103" t="s">
        <v>868</v>
      </c>
      <c r="AA1297" s="103" t="s">
        <v>874</v>
      </c>
      <c r="AB1297" s="103" t="s">
        <v>153</v>
      </c>
      <c r="AC1297" s="103">
        <v>0</v>
      </c>
      <c r="AD1297" s="156">
        <v>42005</v>
      </c>
      <c r="AE1297" s="103"/>
      <c r="AF1297" s="103" t="s">
        <v>870</v>
      </c>
      <c r="AG1297" s="103" t="s">
        <v>871</v>
      </c>
      <c r="AH1297" s="103" t="s">
        <v>976</v>
      </c>
      <c r="AI1297" s="103">
        <v>0</v>
      </c>
      <c r="AJ1297" s="103"/>
      <c r="AK1297" s="103"/>
      <c r="AL1297" s="103"/>
      <c r="AM1297" s="103"/>
      <c r="AN1297" s="103"/>
      <c r="AO1297" s="103" t="str">
        <f t="shared" si="71"/>
        <v>Std_CFLscw-Refl(18w)_60pInc-r0286Three-pack</v>
      </c>
    </row>
    <row r="1298" spans="1:41">
      <c r="A1298" s="177">
        <f>IFERROR(MATCH(D1298,'Measure &amp; Standard CostIDs'!C$5:C$177,0),MATCH(D1298,'Measure &amp; Standard CostIDs'!S$5:S$177,0))</f>
        <v>147</v>
      </c>
      <c r="B1298" s="177">
        <f t="shared" si="73"/>
        <v>4</v>
      </c>
      <c r="C1298" s="103" t="s">
        <v>153</v>
      </c>
      <c r="D1298" s="103" t="str">
        <f t="shared" si="72"/>
        <v>Std_CFLscw-Refl(19w)_60pInc-r0286</v>
      </c>
      <c r="E1298" s="103" t="str">
        <f>IF(LEFT(D1298,3)="Std","Base case cost for mix of 60% Incandescent and 40% CFL lamps for CFL TechID: "&amp;INDEX('Measure &amp; Standard CostIDs'!$C$5:$C$177,A1298),"&lt;from TechID&gt;")</f>
        <v>Base case cost for mix of 60% Incandescent and 40% CFL lamps for CFL TechID: CFLscw-Refl(19w)</v>
      </c>
      <c r="F1298" s="103" t="s">
        <v>860</v>
      </c>
      <c r="G1298" s="103" t="s">
        <v>151</v>
      </c>
      <c r="H1298" s="103" t="s">
        <v>861</v>
      </c>
      <c r="I1298" s="103" t="s">
        <v>862</v>
      </c>
      <c r="J1298" s="103" t="s">
        <v>863</v>
      </c>
      <c r="K1298" s="103" t="s">
        <v>864</v>
      </c>
      <c r="L1298" s="103" t="s">
        <v>153</v>
      </c>
      <c r="M1298" s="103" t="s">
        <v>865</v>
      </c>
      <c r="N1298" s="103" t="s">
        <v>866</v>
      </c>
      <c r="O1298" s="103" t="str">
        <f t="shared" si="70"/>
        <v/>
      </c>
      <c r="P1298" s="103" t="s">
        <v>153</v>
      </c>
      <c r="Q1298" s="103" t="s">
        <v>153</v>
      </c>
      <c r="R1298" s="103" t="s">
        <v>153</v>
      </c>
      <c r="S1298" s="103" t="str">
        <f>INDEX('Measure &amp; Standard CostIDs'!$AK$8:$AK$12,B1298)</f>
        <v>Three-pack</v>
      </c>
      <c r="T1298" s="103" t="s">
        <v>867</v>
      </c>
      <c r="U1298" s="103"/>
      <c r="V1298" s="103"/>
      <c r="W1298" s="103">
        <f>ROUND(IF(LEFT(D1298,3)="Std",VLOOKUP(D1298,'Measure &amp; Standard CostIDs'!$S$5:$X$177,1+B1298,FALSE),VLOOKUP(D1298,'Measure &amp; Standard CostIDs'!$C$5:$H$177,1+B1298,FALSE)),2)</f>
        <v>4.3899999999999997</v>
      </c>
      <c r="X1298" s="103"/>
      <c r="Y1298" s="103"/>
      <c r="Z1298" s="103" t="s">
        <v>868</v>
      </c>
      <c r="AA1298" s="103" t="s">
        <v>874</v>
      </c>
      <c r="AB1298" s="103" t="s">
        <v>153</v>
      </c>
      <c r="AC1298" s="103">
        <v>0</v>
      </c>
      <c r="AD1298" s="156">
        <v>42005</v>
      </c>
      <c r="AE1298" s="103"/>
      <c r="AF1298" s="103" t="s">
        <v>870</v>
      </c>
      <c r="AG1298" s="103" t="s">
        <v>871</v>
      </c>
      <c r="AH1298" s="103" t="s">
        <v>976</v>
      </c>
      <c r="AI1298" s="103">
        <v>0</v>
      </c>
      <c r="AJ1298" s="103"/>
      <c r="AK1298" s="103"/>
      <c r="AL1298" s="103"/>
      <c r="AM1298" s="103"/>
      <c r="AN1298" s="103"/>
      <c r="AO1298" s="103" t="str">
        <f t="shared" si="71"/>
        <v>Std_CFLscw-Refl(19w)_60pInc-r0286Three-pack</v>
      </c>
    </row>
    <row r="1299" spans="1:41">
      <c r="A1299" s="177">
        <f>IFERROR(MATCH(D1299,'Measure &amp; Standard CostIDs'!C$5:C$177,0),MATCH(D1299,'Measure &amp; Standard CostIDs'!S$5:S$177,0))</f>
        <v>148</v>
      </c>
      <c r="B1299" s="177">
        <f t="shared" si="73"/>
        <v>4</v>
      </c>
      <c r="C1299" s="103" t="s">
        <v>153</v>
      </c>
      <c r="D1299" s="103" t="str">
        <f t="shared" si="72"/>
        <v>Std_CFLscw-Refl(20w)_60pInc-r0286</v>
      </c>
      <c r="E1299" s="103" t="str">
        <f>IF(LEFT(D1299,3)="Std","Base case cost for mix of 60% Incandescent and 40% CFL lamps for CFL TechID: "&amp;INDEX('Measure &amp; Standard CostIDs'!$C$5:$C$177,A1299),"&lt;from TechID&gt;")</f>
        <v>Base case cost for mix of 60% Incandescent and 40% CFL lamps for CFL TechID: CFLscw-Refl(20w)</v>
      </c>
      <c r="F1299" s="103" t="s">
        <v>860</v>
      </c>
      <c r="G1299" s="103" t="s">
        <v>151</v>
      </c>
      <c r="H1299" s="103" t="s">
        <v>861</v>
      </c>
      <c r="I1299" s="103" t="s">
        <v>862</v>
      </c>
      <c r="J1299" s="103" t="s">
        <v>863</v>
      </c>
      <c r="K1299" s="103" t="s">
        <v>864</v>
      </c>
      <c r="L1299" s="103" t="s">
        <v>153</v>
      </c>
      <c r="M1299" s="103" t="s">
        <v>865</v>
      </c>
      <c r="N1299" s="103" t="s">
        <v>866</v>
      </c>
      <c r="O1299" s="103" t="str">
        <f t="shared" si="70"/>
        <v/>
      </c>
      <c r="P1299" s="103" t="s">
        <v>153</v>
      </c>
      <c r="Q1299" s="103" t="s">
        <v>153</v>
      </c>
      <c r="R1299" s="103" t="s">
        <v>153</v>
      </c>
      <c r="S1299" s="103" t="str">
        <f>INDEX('Measure &amp; Standard CostIDs'!$AK$8:$AK$12,B1299)</f>
        <v>Three-pack</v>
      </c>
      <c r="T1299" s="103" t="s">
        <v>867</v>
      </c>
      <c r="U1299" s="103"/>
      <c r="V1299" s="103"/>
      <c r="W1299" s="103">
        <f>ROUND(IF(LEFT(D1299,3)="Std",VLOOKUP(D1299,'Measure &amp; Standard CostIDs'!$S$5:$X$177,1+B1299,FALSE),VLOOKUP(D1299,'Measure &amp; Standard CostIDs'!$C$5:$H$177,1+B1299,FALSE)),2)</f>
        <v>4.4800000000000004</v>
      </c>
      <c r="X1299" s="103"/>
      <c r="Y1299" s="103"/>
      <c r="Z1299" s="103" t="s">
        <v>868</v>
      </c>
      <c r="AA1299" s="103" t="s">
        <v>874</v>
      </c>
      <c r="AB1299" s="103" t="s">
        <v>153</v>
      </c>
      <c r="AC1299" s="103">
        <v>0</v>
      </c>
      <c r="AD1299" s="156">
        <v>42005</v>
      </c>
      <c r="AE1299" s="103"/>
      <c r="AF1299" s="103" t="s">
        <v>870</v>
      </c>
      <c r="AG1299" s="103" t="s">
        <v>871</v>
      </c>
      <c r="AH1299" s="103" t="s">
        <v>976</v>
      </c>
      <c r="AI1299" s="103">
        <v>0</v>
      </c>
      <c r="AJ1299" s="103"/>
      <c r="AK1299" s="103"/>
      <c r="AL1299" s="103"/>
      <c r="AM1299" s="103"/>
      <c r="AN1299" s="103"/>
      <c r="AO1299" s="103" t="str">
        <f t="shared" si="71"/>
        <v>Std_CFLscw-Refl(20w)_60pInc-r0286Three-pack</v>
      </c>
    </row>
    <row r="1300" spans="1:41">
      <c r="A1300" s="177">
        <f>IFERROR(MATCH(D1300,'Measure &amp; Standard CostIDs'!C$5:C$177,0),MATCH(D1300,'Measure &amp; Standard CostIDs'!S$5:S$177,0))</f>
        <v>149</v>
      </c>
      <c r="B1300" s="177">
        <f t="shared" si="73"/>
        <v>4</v>
      </c>
      <c r="C1300" s="103" t="s">
        <v>153</v>
      </c>
      <c r="D1300" s="103" t="str">
        <f t="shared" si="72"/>
        <v>Std_CFLscw-Refl(21w)_60pInc-r0286</v>
      </c>
      <c r="E1300" s="103" t="str">
        <f>IF(LEFT(D1300,3)="Std","Base case cost for mix of 60% Incandescent and 40% CFL lamps for CFL TechID: "&amp;INDEX('Measure &amp; Standard CostIDs'!$C$5:$C$177,A1300),"&lt;from TechID&gt;")</f>
        <v>Base case cost for mix of 60% Incandescent and 40% CFL lamps for CFL TechID: CFLscw-Refl(21w)</v>
      </c>
      <c r="F1300" s="103" t="s">
        <v>860</v>
      </c>
      <c r="G1300" s="103" t="s">
        <v>151</v>
      </c>
      <c r="H1300" s="103" t="s">
        <v>861</v>
      </c>
      <c r="I1300" s="103" t="s">
        <v>862</v>
      </c>
      <c r="J1300" s="103" t="s">
        <v>863</v>
      </c>
      <c r="K1300" s="103" t="s">
        <v>864</v>
      </c>
      <c r="L1300" s="103" t="s">
        <v>153</v>
      </c>
      <c r="M1300" s="103" t="s">
        <v>865</v>
      </c>
      <c r="N1300" s="103" t="s">
        <v>866</v>
      </c>
      <c r="O1300" s="103" t="str">
        <f t="shared" si="70"/>
        <v/>
      </c>
      <c r="P1300" s="103" t="s">
        <v>153</v>
      </c>
      <c r="Q1300" s="103" t="s">
        <v>153</v>
      </c>
      <c r="R1300" s="103" t="s">
        <v>153</v>
      </c>
      <c r="S1300" s="103" t="str">
        <f>INDEX('Measure &amp; Standard CostIDs'!$AK$8:$AK$12,B1300)</f>
        <v>Three-pack</v>
      </c>
      <c r="T1300" s="103" t="s">
        <v>867</v>
      </c>
      <c r="U1300" s="103"/>
      <c r="V1300" s="103"/>
      <c r="W1300" s="103">
        <f>ROUND(IF(LEFT(D1300,3)="Std",VLOOKUP(D1300,'Measure &amp; Standard CostIDs'!$S$5:$X$177,1+B1300,FALSE),VLOOKUP(D1300,'Measure &amp; Standard CostIDs'!$C$5:$H$177,1+B1300,FALSE)),2)</f>
        <v>4.5599999999999996</v>
      </c>
      <c r="X1300" s="103"/>
      <c r="Y1300" s="103"/>
      <c r="Z1300" s="103" t="s">
        <v>868</v>
      </c>
      <c r="AA1300" s="103" t="s">
        <v>874</v>
      </c>
      <c r="AB1300" s="103" t="s">
        <v>153</v>
      </c>
      <c r="AC1300" s="103">
        <v>0</v>
      </c>
      <c r="AD1300" s="156">
        <v>42005</v>
      </c>
      <c r="AE1300" s="103"/>
      <c r="AF1300" s="103" t="s">
        <v>870</v>
      </c>
      <c r="AG1300" s="103" t="s">
        <v>871</v>
      </c>
      <c r="AH1300" s="103" t="s">
        <v>976</v>
      </c>
      <c r="AI1300" s="103">
        <v>0</v>
      </c>
      <c r="AJ1300" s="103"/>
      <c r="AK1300" s="103"/>
      <c r="AL1300" s="103"/>
      <c r="AM1300" s="103"/>
      <c r="AN1300" s="103"/>
      <c r="AO1300" s="103" t="str">
        <f t="shared" si="71"/>
        <v>Std_CFLscw-Refl(21w)_60pInc-r0286Three-pack</v>
      </c>
    </row>
    <row r="1301" spans="1:41">
      <c r="A1301" s="177">
        <f>IFERROR(MATCH(D1301,'Measure &amp; Standard CostIDs'!C$5:C$177,0),MATCH(D1301,'Measure &amp; Standard CostIDs'!S$5:S$177,0))</f>
        <v>150</v>
      </c>
      <c r="B1301" s="177">
        <f t="shared" si="73"/>
        <v>4</v>
      </c>
      <c r="C1301" s="103" t="s">
        <v>153</v>
      </c>
      <c r="D1301" s="103" t="str">
        <f t="shared" si="72"/>
        <v>Std_CFLscw-Refl(22w)_60pInc-r0286</v>
      </c>
      <c r="E1301" s="103" t="str">
        <f>IF(LEFT(D1301,3)="Std","Base case cost for mix of 60% Incandescent and 40% CFL lamps for CFL TechID: "&amp;INDEX('Measure &amp; Standard CostIDs'!$C$5:$C$177,A1301),"&lt;from TechID&gt;")</f>
        <v>Base case cost for mix of 60% Incandescent and 40% CFL lamps for CFL TechID: CFLscw-Refl(22w)</v>
      </c>
      <c r="F1301" s="103" t="s">
        <v>860</v>
      </c>
      <c r="G1301" s="103" t="s">
        <v>151</v>
      </c>
      <c r="H1301" s="103" t="s">
        <v>861</v>
      </c>
      <c r="I1301" s="103" t="s">
        <v>862</v>
      </c>
      <c r="J1301" s="103" t="s">
        <v>863</v>
      </c>
      <c r="K1301" s="103" t="s">
        <v>864</v>
      </c>
      <c r="L1301" s="103" t="s">
        <v>153</v>
      </c>
      <c r="M1301" s="103" t="s">
        <v>865</v>
      </c>
      <c r="N1301" s="103" t="s">
        <v>866</v>
      </c>
      <c r="O1301" s="103" t="str">
        <f t="shared" si="70"/>
        <v/>
      </c>
      <c r="P1301" s="103" t="s">
        <v>153</v>
      </c>
      <c r="Q1301" s="103" t="s">
        <v>153</v>
      </c>
      <c r="R1301" s="103" t="s">
        <v>153</v>
      </c>
      <c r="S1301" s="103" t="str">
        <f>INDEX('Measure &amp; Standard CostIDs'!$AK$8:$AK$12,B1301)</f>
        <v>Three-pack</v>
      </c>
      <c r="T1301" s="103" t="s">
        <v>867</v>
      </c>
      <c r="U1301" s="103"/>
      <c r="V1301" s="103"/>
      <c r="W1301" s="103">
        <f>ROUND(IF(LEFT(D1301,3)="Std",VLOOKUP(D1301,'Measure &amp; Standard CostIDs'!$S$5:$X$177,1+B1301,FALSE),VLOOKUP(D1301,'Measure &amp; Standard CostIDs'!$C$5:$H$177,1+B1301,FALSE)),2)</f>
        <v>4.6399999999999997</v>
      </c>
      <c r="X1301" s="103"/>
      <c r="Y1301" s="103"/>
      <c r="Z1301" s="103" t="s">
        <v>868</v>
      </c>
      <c r="AA1301" s="103" t="s">
        <v>874</v>
      </c>
      <c r="AB1301" s="103" t="s">
        <v>153</v>
      </c>
      <c r="AC1301" s="103">
        <v>0</v>
      </c>
      <c r="AD1301" s="156">
        <v>42005</v>
      </c>
      <c r="AE1301" s="103"/>
      <c r="AF1301" s="103" t="s">
        <v>870</v>
      </c>
      <c r="AG1301" s="103" t="s">
        <v>871</v>
      </c>
      <c r="AH1301" s="103" t="s">
        <v>976</v>
      </c>
      <c r="AI1301" s="103">
        <v>0</v>
      </c>
      <c r="AJ1301" s="103"/>
      <c r="AK1301" s="103"/>
      <c r="AL1301" s="103"/>
      <c r="AM1301" s="103"/>
      <c r="AN1301" s="103"/>
      <c r="AO1301" s="103" t="str">
        <f t="shared" si="71"/>
        <v>Std_CFLscw-Refl(22w)_60pInc-r0286Three-pack</v>
      </c>
    </row>
    <row r="1302" spans="1:41">
      <c r="A1302" s="177">
        <f>IFERROR(MATCH(D1302,'Measure &amp; Standard CostIDs'!C$5:C$177,0),MATCH(D1302,'Measure &amp; Standard CostIDs'!S$5:S$177,0))</f>
        <v>151</v>
      </c>
      <c r="B1302" s="177">
        <f t="shared" si="73"/>
        <v>4</v>
      </c>
      <c r="C1302" s="103" t="s">
        <v>153</v>
      </c>
      <c r="D1302" s="103" t="str">
        <f t="shared" si="72"/>
        <v>Std_CFLscw-Refl(24w)_60pInc-r0286</v>
      </c>
      <c r="E1302" s="103" t="str">
        <f>IF(LEFT(D1302,3)="Std","Base case cost for mix of 60% Incandescent and 40% CFL lamps for CFL TechID: "&amp;INDEX('Measure &amp; Standard CostIDs'!$C$5:$C$177,A1302),"&lt;from TechID&gt;")</f>
        <v>Base case cost for mix of 60% Incandescent and 40% CFL lamps for CFL TechID: CFLscw-Refl(24w)</v>
      </c>
      <c r="F1302" s="103" t="s">
        <v>860</v>
      </c>
      <c r="G1302" s="103" t="s">
        <v>151</v>
      </c>
      <c r="H1302" s="103" t="s">
        <v>861</v>
      </c>
      <c r="I1302" s="103" t="s">
        <v>862</v>
      </c>
      <c r="J1302" s="103" t="s">
        <v>863</v>
      </c>
      <c r="K1302" s="103" t="s">
        <v>864</v>
      </c>
      <c r="L1302" s="103" t="s">
        <v>153</v>
      </c>
      <c r="M1302" s="103" t="s">
        <v>865</v>
      </c>
      <c r="N1302" s="103" t="s">
        <v>866</v>
      </c>
      <c r="O1302" s="103" t="str">
        <f t="shared" si="70"/>
        <v/>
      </c>
      <c r="P1302" s="103" t="s">
        <v>153</v>
      </c>
      <c r="Q1302" s="103" t="s">
        <v>153</v>
      </c>
      <c r="R1302" s="103" t="s">
        <v>153</v>
      </c>
      <c r="S1302" s="103" t="str">
        <f>INDEX('Measure &amp; Standard CostIDs'!$AK$8:$AK$12,B1302)</f>
        <v>Three-pack</v>
      </c>
      <c r="T1302" s="103" t="s">
        <v>867</v>
      </c>
      <c r="U1302" s="103"/>
      <c r="V1302" s="103"/>
      <c r="W1302" s="103">
        <f>ROUND(IF(LEFT(D1302,3)="Std",VLOOKUP(D1302,'Measure &amp; Standard CostIDs'!$S$5:$X$177,1+B1302,FALSE),VLOOKUP(D1302,'Measure &amp; Standard CostIDs'!$C$5:$H$177,1+B1302,FALSE)),2)</f>
        <v>4.8099999999999996</v>
      </c>
      <c r="X1302" s="103"/>
      <c r="Y1302" s="103"/>
      <c r="Z1302" s="103" t="s">
        <v>868</v>
      </c>
      <c r="AA1302" s="103" t="s">
        <v>874</v>
      </c>
      <c r="AB1302" s="103" t="s">
        <v>153</v>
      </c>
      <c r="AC1302" s="103">
        <v>0</v>
      </c>
      <c r="AD1302" s="156">
        <v>42005</v>
      </c>
      <c r="AE1302" s="103"/>
      <c r="AF1302" s="103" t="s">
        <v>870</v>
      </c>
      <c r="AG1302" s="103" t="s">
        <v>871</v>
      </c>
      <c r="AH1302" s="103" t="s">
        <v>976</v>
      </c>
      <c r="AI1302" s="103">
        <v>0</v>
      </c>
      <c r="AJ1302" s="103"/>
      <c r="AK1302" s="103"/>
      <c r="AL1302" s="103"/>
      <c r="AM1302" s="103"/>
      <c r="AN1302" s="103"/>
      <c r="AO1302" s="103" t="str">
        <f t="shared" si="71"/>
        <v>Std_CFLscw-Refl(24w)_60pInc-r0286Three-pack</v>
      </c>
    </row>
    <row r="1303" spans="1:41">
      <c r="A1303" s="177">
        <f>IFERROR(MATCH(D1303,'Measure &amp; Standard CostIDs'!C$5:C$177,0),MATCH(D1303,'Measure &amp; Standard CostIDs'!S$5:S$177,0))</f>
        <v>152</v>
      </c>
      <c r="B1303" s="177">
        <f t="shared" si="73"/>
        <v>4</v>
      </c>
      <c r="C1303" s="103" t="s">
        <v>153</v>
      </c>
      <c r="D1303" s="103" t="str">
        <f t="shared" si="72"/>
        <v>Std_CFLscw-Refl(25w)_60pInc-r0286</v>
      </c>
      <c r="E1303" s="103" t="str">
        <f>IF(LEFT(D1303,3)="Std","Base case cost for mix of 60% Incandescent and 40% CFL lamps for CFL TechID: "&amp;INDEX('Measure &amp; Standard CostIDs'!$C$5:$C$177,A1303),"&lt;from TechID&gt;")</f>
        <v>Base case cost for mix of 60% Incandescent and 40% CFL lamps for CFL TechID: CFLscw-Refl(25w)</v>
      </c>
      <c r="F1303" s="103" t="s">
        <v>860</v>
      </c>
      <c r="G1303" s="103" t="s">
        <v>151</v>
      </c>
      <c r="H1303" s="103" t="s">
        <v>861</v>
      </c>
      <c r="I1303" s="103" t="s">
        <v>862</v>
      </c>
      <c r="J1303" s="103" t="s">
        <v>863</v>
      </c>
      <c r="K1303" s="103" t="s">
        <v>864</v>
      </c>
      <c r="L1303" s="103" t="s">
        <v>153</v>
      </c>
      <c r="M1303" s="103" t="s">
        <v>865</v>
      </c>
      <c r="N1303" s="103" t="s">
        <v>866</v>
      </c>
      <c r="O1303" s="103" t="str">
        <f t="shared" si="70"/>
        <v/>
      </c>
      <c r="P1303" s="103" t="s">
        <v>153</v>
      </c>
      <c r="Q1303" s="103" t="s">
        <v>153</v>
      </c>
      <c r="R1303" s="103" t="s">
        <v>153</v>
      </c>
      <c r="S1303" s="103" t="str">
        <f>INDEX('Measure &amp; Standard CostIDs'!$AK$8:$AK$12,B1303)</f>
        <v>Three-pack</v>
      </c>
      <c r="T1303" s="103" t="s">
        <v>867</v>
      </c>
      <c r="U1303" s="103"/>
      <c r="V1303" s="103"/>
      <c r="W1303" s="103">
        <f>ROUND(IF(LEFT(D1303,3)="Std",VLOOKUP(D1303,'Measure &amp; Standard CostIDs'!$S$5:$X$177,1+B1303,FALSE),VLOOKUP(D1303,'Measure &amp; Standard CostIDs'!$C$5:$H$177,1+B1303,FALSE)),2)</f>
        <v>4.9000000000000004</v>
      </c>
      <c r="X1303" s="103"/>
      <c r="Y1303" s="103"/>
      <c r="Z1303" s="103" t="s">
        <v>868</v>
      </c>
      <c r="AA1303" s="103" t="s">
        <v>874</v>
      </c>
      <c r="AB1303" s="103" t="s">
        <v>153</v>
      </c>
      <c r="AC1303" s="103">
        <v>0</v>
      </c>
      <c r="AD1303" s="156">
        <v>42005</v>
      </c>
      <c r="AE1303" s="103"/>
      <c r="AF1303" s="103" t="s">
        <v>870</v>
      </c>
      <c r="AG1303" s="103" t="s">
        <v>871</v>
      </c>
      <c r="AH1303" s="103" t="s">
        <v>976</v>
      </c>
      <c r="AI1303" s="103">
        <v>0</v>
      </c>
      <c r="AJ1303" s="103"/>
      <c r="AK1303" s="103"/>
      <c r="AL1303" s="103"/>
      <c r="AM1303" s="103"/>
      <c r="AN1303" s="103"/>
      <c r="AO1303" s="103" t="str">
        <f t="shared" si="71"/>
        <v>Std_CFLscw-Refl(25w)_60pInc-r0286Three-pack</v>
      </c>
    </row>
    <row r="1304" spans="1:41">
      <c r="A1304" s="177">
        <f>IFERROR(MATCH(D1304,'Measure &amp; Standard CostIDs'!C$5:C$177,0),MATCH(D1304,'Measure &amp; Standard CostIDs'!S$5:S$177,0))</f>
        <v>153</v>
      </c>
      <c r="B1304" s="177">
        <f t="shared" si="73"/>
        <v>4</v>
      </c>
      <c r="C1304" s="103" t="s">
        <v>153</v>
      </c>
      <c r="D1304" s="103" t="str">
        <f t="shared" si="72"/>
        <v>Std_CFLscw-Refl(26w)_60pInc-r0286</v>
      </c>
      <c r="E1304" s="103" t="str">
        <f>IF(LEFT(D1304,3)="Std","Base case cost for mix of 60% Incandescent and 40% CFL lamps for CFL TechID: "&amp;INDEX('Measure &amp; Standard CostIDs'!$C$5:$C$177,A1304),"&lt;from TechID&gt;")</f>
        <v>Base case cost for mix of 60% Incandescent and 40% CFL lamps for CFL TechID: CFLscw-Refl(26w)</v>
      </c>
      <c r="F1304" s="103" t="s">
        <v>860</v>
      </c>
      <c r="G1304" s="103" t="s">
        <v>151</v>
      </c>
      <c r="H1304" s="103" t="s">
        <v>861</v>
      </c>
      <c r="I1304" s="103" t="s">
        <v>862</v>
      </c>
      <c r="J1304" s="103" t="s">
        <v>863</v>
      </c>
      <c r="K1304" s="103" t="s">
        <v>864</v>
      </c>
      <c r="L1304" s="103" t="s">
        <v>153</v>
      </c>
      <c r="M1304" s="103" t="s">
        <v>865</v>
      </c>
      <c r="N1304" s="103" t="s">
        <v>866</v>
      </c>
      <c r="O1304" s="103" t="str">
        <f t="shared" si="70"/>
        <v/>
      </c>
      <c r="P1304" s="103" t="s">
        <v>153</v>
      </c>
      <c r="Q1304" s="103" t="s">
        <v>153</v>
      </c>
      <c r="R1304" s="103" t="s">
        <v>153</v>
      </c>
      <c r="S1304" s="103" t="str">
        <f>INDEX('Measure &amp; Standard CostIDs'!$AK$8:$AK$12,B1304)</f>
        <v>Three-pack</v>
      </c>
      <c r="T1304" s="103" t="s">
        <v>867</v>
      </c>
      <c r="U1304" s="103"/>
      <c r="V1304" s="103"/>
      <c r="W1304" s="103">
        <f>ROUND(IF(LEFT(D1304,3)="Std",VLOOKUP(D1304,'Measure &amp; Standard CostIDs'!$S$5:$X$177,1+B1304,FALSE),VLOOKUP(D1304,'Measure &amp; Standard CostIDs'!$C$5:$H$177,1+B1304,FALSE)),2)</f>
        <v>4.9800000000000004</v>
      </c>
      <c r="X1304" s="103"/>
      <c r="Y1304" s="103"/>
      <c r="Z1304" s="103" t="s">
        <v>868</v>
      </c>
      <c r="AA1304" s="103" t="s">
        <v>874</v>
      </c>
      <c r="AB1304" s="103" t="s">
        <v>153</v>
      </c>
      <c r="AC1304" s="103">
        <v>0</v>
      </c>
      <c r="AD1304" s="156">
        <v>42005</v>
      </c>
      <c r="AE1304" s="103"/>
      <c r="AF1304" s="103" t="s">
        <v>870</v>
      </c>
      <c r="AG1304" s="103" t="s">
        <v>871</v>
      </c>
      <c r="AH1304" s="103" t="s">
        <v>976</v>
      </c>
      <c r="AI1304" s="103">
        <v>0</v>
      </c>
      <c r="AJ1304" s="103"/>
      <c r="AK1304" s="103"/>
      <c r="AL1304" s="103"/>
      <c r="AM1304" s="103"/>
      <c r="AN1304" s="103"/>
      <c r="AO1304" s="103" t="str">
        <f t="shared" si="71"/>
        <v>Std_CFLscw-Refl(26w)_60pInc-r0286Three-pack</v>
      </c>
    </row>
    <row r="1305" spans="1:41">
      <c r="A1305" s="177">
        <f>IFERROR(MATCH(D1305,'Measure &amp; Standard CostIDs'!C$5:C$177,0),MATCH(D1305,'Measure &amp; Standard CostIDs'!S$5:S$177,0))</f>
        <v>154</v>
      </c>
      <c r="B1305" s="177">
        <f t="shared" si="73"/>
        <v>4</v>
      </c>
      <c r="C1305" s="103" t="s">
        <v>153</v>
      </c>
      <c r="D1305" s="103" t="str">
        <f t="shared" si="72"/>
        <v>Std_CFLscw-Refl(5w)_60pInc-r0286</v>
      </c>
      <c r="E1305" s="103" t="str">
        <f>IF(LEFT(D1305,3)="Std","Base case cost for mix of 60% Incandescent and 40% CFL lamps for CFL TechID: "&amp;INDEX('Measure &amp; Standard CostIDs'!$C$5:$C$177,A1305),"&lt;from TechID&gt;")</f>
        <v>Base case cost for mix of 60% Incandescent and 40% CFL lamps for CFL TechID: CFLscw-Refl(5w)</v>
      </c>
      <c r="F1305" s="103" t="s">
        <v>860</v>
      </c>
      <c r="G1305" s="103" t="s">
        <v>151</v>
      </c>
      <c r="H1305" s="103" t="s">
        <v>861</v>
      </c>
      <c r="I1305" s="103" t="s">
        <v>862</v>
      </c>
      <c r="J1305" s="103" t="s">
        <v>863</v>
      </c>
      <c r="K1305" s="103" t="s">
        <v>864</v>
      </c>
      <c r="L1305" s="103" t="s">
        <v>153</v>
      </c>
      <c r="M1305" s="103" t="s">
        <v>865</v>
      </c>
      <c r="N1305" s="103" t="s">
        <v>866</v>
      </c>
      <c r="O1305" s="103" t="str">
        <f t="shared" si="70"/>
        <v/>
      </c>
      <c r="P1305" s="103" t="s">
        <v>153</v>
      </c>
      <c r="Q1305" s="103" t="s">
        <v>153</v>
      </c>
      <c r="R1305" s="103" t="s">
        <v>153</v>
      </c>
      <c r="S1305" s="103" t="str">
        <f>INDEX('Measure &amp; Standard CostIDs'!$AK$8:$AK$12,B1305)</f>
        <v>Three-pack</v>
      </c>
      <c r="T1305" s="103" t="s">
        <v>867</v>
      </c>
      <c r="U1305" s="103"/>
      <c r="V1305" s="103"/>
      <c r="W1305" s="103">
        <f>ROUND(IF(LEFT(D1305,3)="Std",VLOOKUP(D1305,'Measure &amp; Standard CostIDs'!$S$5:$X$177,1+B1305,FALSE),VLOOKUP(D1305,'Measure &amp; Standard CostIDs'!$C$5:$H$177,1+B1305,FALSE)),2)</f>
        <v>3.21</v>
      </c>
      <c r="X1305" s="103"/>
      <c r="Y1305" s="103"/>
      <c r="Z1305" s="103" t="s">
        <v>868</v>
      </c>
      <c r="AA1305" s="103" t="s">
        <v>874</v>
      </c>
      <c r="AB1305" s="103" t="s">
        <v>153</v>
      </c>
      <c r="AC1305" s="103">
        <v>0</v>
      </c>
      <c r="AD1305" s="156">
        <v>42005</v>
      </c>
      <c r="AE1305" s="103"/>
      <c r="AF1305" s="103" t="s">
        <v>870</v>
      </c>
      <c r="AG1305" s="103" t="s">
        <v>871</v>
      </c>
      <c r="AH1305" s="103" t="s">
        <v>976</v>
      </c>
      <c r="AI1305" s="103">
        <v>0</v>
      </c>
      <c r="AJ1305" s="103"/>
      <c r="AK1305" s="103"/>
      <c r="AL1305" s="103"/>
      <c r="AM1305" s="103"/>
      <c r="AN1305" s="103"/>
      <c r="AO1305" s="103" t="str">
        <f t="shared" si="71"/>
        <v>Std_CFLscw-Refl(5w)_60pInc-r0286Three-pack</v>
      </c>
    </row>
    <row r="1306" spans="1:41">
      <c r="A1306" s="177">
        <f>IFERROR(MATCH(D1306,'Measure &amp; Standard CostIDs'!C$5:C$177,0),MATCH(D1306,'Measure &amp; Standard CostIDs'!S$5:S$177,0))</f>
        <v>155</v>
      </c>
      <c r="B1306" s="177">
        <f t="shared" si="73"/>
        <v>4</v>
      </c>
      <c r="C1306" s="103" t="s">
        <v>153</v>
      </c>
      <c r="D1306" s="103" t="str">
        <f t="shared" si="72"/>
        <v>Std_CFLscw-Refl(6w)_60pInc-r0286</v>
      </c>
      <c r="E1306" s="103" t="str">
        <f>IF(LEFT(D1306,3)="Std","Base case cost for mix of 60% Incandescent and 40% CFL lamps for CFL TechID: "&amp;INDEX('Measure &amp; Standard CostIDs'!$C$5:$C$177,A1306),"&lt;from TechID&gt;")</f>
        <v>Base case cost for mix of 60% Incandescent and 40% CFL lamps for CFL TechID: CFLscw-Refl(6w)</v>
      </c>
      <c r="F1306" s="103" t="s">
        <v>860</v>
      </c>
      <c r="G1306" s="103" t="s">
        <v>151</v>
      </c>
      <c r="H1306" s="103" t="s">
        <v>861</v>
      </c>
      <c r="I1306" s="103" t="s">
        <v>862</v>
      </c>
      <c r="J1306" s="103" t="s">
        <v>863</v>
      </c>
      <c r="K1306" s="103" t="s">
        <v>864</v>
      </c>
      <c r="L1306" s="103" t="s">
        <v>153</v>
      </c>
      <c r="M1306" s="103" t="s">
        <v>865</v>
      </c>
      <c r="N1306" s="103" t="s">
        <v>866</v>
      </c>
      <c r="O1306" s="103" t="str">
        <f t="shared" si="70"/>
        <v/>
      </c>
      <c r="P1306" s="103" t="s">
        <v>153</v>
      </c>
      <c r="Q1306" s="103" t="s">
        <v>153</v>
      </c>
      <c r="R1306" s="103" t="s">
        <v>153</v>
      </c>
      <c r="S1306" s="103" t="str">
        <f>INDEX('Measure &amp; Standard CostIDs'!$AK$8:$AK$12,B1306)</f>
        <v>Three-pack</v>
      </c>
      <c r="T1306" s="103" t="s">
        <v>867</v>
      </c>
      <c r="U1306" s="103"/>
      <c r="V1306" s="103"/>
      <c r="W1306" s="103">
        <f>ROUND(IF(LEFT(D1306,3)="Std",VLOOKUP(D1306,'Measure &amp; Standard CostIDs'!$S$5:$X$177,1+B1306,FALSE),VLOOKUP(D1306,'Measure &amp; Standard CostIDs'!$C$5:$H$177,1+B1306,FALSE)),2)</f>
        <v>3.3</v>
      </c>
      <c r="X1306" s="103"/>
      <c r="Y1306" s="103"/>
      <c r="Z1306" s="103" t="s">
        <v>868</v>
      </c>
      <c r="AA1306" s="103" t="s">
        <v>874</v>
      </c>
      <c r="AB1306" s="103" t="s">
        <v>153</v>
      </c>
      <c r="AC1306" s="103">
        <v>0</v>
      </c>
      <c r="AD1306" s="156">
        <v>42005</v>
      </c>
      <c r="AE1306" s="103"/>
      <c r="AF1306" s="103" t="s">
        <v>870</v>
      </c>
      <c r="AG1306" s="103" t="s">
        <v>871</v>
      </c>
      <c r="AH1306" s="103" t="s">
        <v>976</v>
      </c>
      <c r="AI1306" s="103">
        <v>0</v>
      </c>
      <c r="AJ1306" s="103"/>
      <c r="AK1306" s="103"/>
      <c r="AL1306" s="103"/>
      <c r="AM1306" s="103"/>
      <c r="AN1306" s="103"/>
      <c r="AO1306" s="103" t="str">
        <f t="shared" si="71"/>
        <v>Std_CFLscw-Refl(6w)_60pInc-r0286Three-pack</v>
      </c>
    </row>
    <row r="1307" spans="1:41">
      <c r="A1307" s="177">
        <f>IFERROR(MATCH(D1307,'Measure &amp; Standard CostIDs'!C$5:C$177,0),MATCH(D1307,'Measure &amp; Standard CostIDs'!S$5:S$177,0))</f>
        <v>156</v>
      </c>
      <c r="B1307" s="177">
        <f t="shared" si="73"/>
        <v>4</v>
      </c>
      <c r="C1307" s="103" t="s">
        <v>153</v>
      </c>
      <c r="D1307" s="103" t="str">
        <f t="shared" si="72"/>
        <v>Std_CFLscw-Refl(7w)_60pInc-r0286</v>
      </c>
      <c r="E1307" s="103" t="str">
        <f>IF(LEFT(D1307,3)="Std","Base case cost for mix of 60% Incandescent and 40% CFL lamps for CFL TechID: "&amp;INDEX('Measure &amp; Standard CostIDs'!$C$5:$C$177,A1307),"&lt;from TechID&gt;")</f>
        <v>Base case cost for mix of 60% Incandescent and 40% CFL lamps for CFL TechID: CFLscw-Refl(7w)</v>
      </c>
      <c r="F1307" s="103" t="s">
        <v>860</v>
      </c>
      <c r="G1307" s="103" t="s">
        <v>151</v>
      </c>
      <c r="H1307" s="103" t="s">
        <v>861</v>
      </c>
      <c r="I1307" s="103" t="s">
        <v>862</v>
      </c>
      <c r="J1307" s="103" t="s">
        <v>863</v>
      </c>
      <c r="K1307" s="103" t="s">
        <v>864</v>
      </c>
      <c r="L1307" s="103" t="s">
        <v>153</v>
      </c>
      <c r="M1307" s="103" t="s">
        <v>865</v>
      </c>
      <c r="N1307" s="103" t="s">
        <v>866</v>
      </c>
      <c r="O1307" s="103" t="str">
        <f t="shared" si="70"/>
        <v/>
      </c>
      <c r="P1307" s="103" t="s">
        <v>153</v>
      </c>
      <c r="Q1307" s="103" t="s">
        <v>153</v>
      </c>
      <c r="R1307" s="103" t="s">
        <v>153</v>
      </c>
      <c r="S1307" s="103" t="str">
        <f>INDEX('Measure &amp; Standard CostIDs'!$AK$8:$AK$12,B1307)</f>
        <v>Three-pack</v>
      </c>
      <c r="T1307" s="103" t="s">
        <v>867</v>
      </c>
      <c r="U1307" s="103"/>
      <c r="V1307" s="103"/>
      <c r="W1307" s="103">
        <f>ROUND(IF(LEFT(D1307,3)="Std",VLOOKUP(D1307,'Measure &amp; Standard CostIDs'!$S$5:$X$177,1+B1307,FALSE),VLOOKUP(D1307,'Measure &amp; Standard CostIDs'!$C$5:$H$177,1+B1307,FALSE)),2)</f>
        <v>3.38</v>
      </c>
      <c r="X1307" s="103"/>
      <c r="Y1307" s="103"/>
      <c r="Z1307" s="103" t="s">
        <v>868</v>
      </c>
      <c r="AA1307" s="103" t="s">
        <v>874</v>
      </c>
      <c r="AB1307" s="103" t="s">
        <v>153</v>
      </c>
      <c r="AC1307" s="103">
        <v>0</v>
      </c>
      <c r="AD1307" s="156">
        <v>42005</v>
      </c>
      <c r="AE1307" s="103"/>
      <c r="AF1307" s="103" t="s">
        <v>870</v>
      </c>
      <c r="AG1307" s="103" t="s">
        <v>871</v>
      </c>
      <c r="AH1307" s="103" t="s">
        <v>976</v>
      </c>
      <c r="AI1307" s="103">
        <v>0</v>
      </c>
      <c r="AJ1307" s="103"/>
      <c r="AK1307" s="103"/>
      <c r="AL1307" s="103"/>
      <c r="AM1307" s="103"/>
      <c r="AN1307" s="103"/>
      <c r="AO1307" s="103" t="str">
        <f t="shared" si="71"/>
        <v>Std_CFLscw-Refl(7w)_60pInc-r0286Three-pack</v>
      </c>
    </row>
    <row r="1308" spans="1:41">
      <c r="A1308" s="177">
        <f>IFERROR(MATCH(D1308,'Measure &amp; Standard CostIDs'!C$5:C$177,0),MATCH(D1308,'Measure &amp; Standard CostIDs'!S$5:S$177,0))</f>
        <v>157</v>
      </c>
      <c r="B1308" s="177">
        <f t="shared" si="73"/>
        <v>4</v>
      </c>
      <c r="C1308" s="103" t="s">
        <v>153</v>
      </c>
      <c r="D1308" s="103" t="str">
        <f t="shared" si="72"/>
        <v>Std_CFLscw-Refl(8w)_60pInc-r0286</v>
      </c>
      <c r="E1308" s="103" t="str">
        <f>IF(LEFT(D1308,3)="Std","Base case cost for mix of 60% Incandescent and 40% CFL lamps for CFL TechID: "&amp;INDEX('Measure &amp; Standard CostIDs'!$C$5:$C$177,A1308),"&lt;from TechID&gt;")</f>
        <v>Base case cost for mix of 60% Incandescent and 40% CFL lamps for CFL TechID: CFLscw-Refl(8w)</v>
      </c>
      <c r="F1308" s="103" t="s">
        <v>860</v>
      </c>
      <c r="G1308" s="103" t="s">
        <v>151</v>
      </c>
      <c r="H1308" s="103" t="s">
        <v>861</v>
      </c>
      <c r="I1308" s="103" t="s">
        <v>862</v>
      </c>
      <c r="J1308" s="103" t="s">
        <v>863</v>
      </c>
      <c r="K1308" s="103" t="s">
        <v>864</v>
      </c>
      <c r="L1308" s="103" t="s">
        <v>153</v>
      </c>
      <c r="M1308" s="103" t="s">
        <v>865</v>
      </c>
      <c r="N1308" s="103" t="s">
        <v>866</v>
      </c>
      <c r="O1308" s="103" t="str">
        <f t="shared" si="70"/>
        <v/>
      </c>
      <c r="P1308" s="103" t="s">
        <v>153</v>
      </c>
      <c r="Q1308" s="103" t="s">
        <v>153</v>
      </c>
      <c r="R1308" s="103" t="s">
        <v>153</v>
      </c>
      <c r="S1308" s="103" t="str">
        <f>INDEX('Measure &amp; Standard CostIDs'!$AK$8:$AK$12,B1308)</f>
        <v>Three-pack</v>
      </c>
      <c r="T1308" s="103" t="s">
        <v>867</v>
      </c>
      <c r="U1308" s="103"/>
      <c r="V1308" s="103"/>
      <c r="W1308" s="103">
        <f>ROUND(IF(LEFT(D1308,3)="Std",VLOOKUP(D1308,'Measure &amp; Standard CostIDs'!$S$5:$X$177,1+B1308,FALSE),VLOOKUP(D1308,'Measure &amp; Standard CostIDs'!$C$5:$H$177,1+B1308,FALSE)),2)</f>
        <v>3.46</v>
      </c>
      <c r="X1308" s="103"/>
      <c r="Y1308" s="103"/>
      <c r="Z1308" s="103" t="s">
        <v>868</v>
      </c>
      <c r="AA1308" s="103" t="s">
        <v>874</v>
      </c>
      <c r="AB1308" s="103" t="s">
        <v>153</v>
      </c>
      <c r="AC1308" s="103">
        <v>0</v>
      </c>
      <c r="AD1308" s="156">
        <v>42005</v>
      </c>
      <c r="AE1308" s="103"/>
      <c r="AF1308" s="103" t="s">
        <v>870</v>
      </c>
      <c r="AG1308" s="103" t="s">
        <v>871</v>
      </c>
      <c r="AH1308" s="103" t="s">
        <v>976</v>
      </c>
      <c r="AI1308" s="103">
        <v>0</v>
      </c>
      <c r="AJ1308" s="103"/>
      <c r="AK1308" s="103"/>
      <c r="AL1308" s="103"/>
      <c r="AM1308" s="103"/>
      <c r="AN1308" s="103"/>
      <c r="AO1308" s="103" t="str">
        <f t="shared" si="71"/>
        <v>Std_CFLscw-Refl(8w)_60pInc-r0286Three-pack</v>
      </c>
    </row>
    <row r="1309" spans="1:41">
      <c r="A1309" s="177">
        <f>IFERROR(MATCH(D1309,'Measure &amp; Standard CostIDs'!C$5:C$177,0),MATCH(D1309,'Measure &amp; Standard CostIDs'!S$5:S$177,0))</f>
        <v>158</v>
      </c>
      <c r="B1309" s="177">
        <f t="shared" si="73"/>
        <v>4</v>
      </c>
      <c r="C1309" s="103" t="s">
        <v>153</v>
      </c>
      <c r="D1309" s="103" t="str">
        <f t="shared" si="72"/>
        <v>Std_CFLscw-Refl(9w)_60pInc-r0286</v>
      </c>
      <c r="E1309" s="103" t="str">
        <f>IF(LEFT(D1309,3)="Std","Base case cost for mix of 60% Incandescent and 40% CFL lamps for CFL TechID: "&amp;INDEX('Measure &amp; Standard CostIDs'!$C$5:$C$177,A1309),"&lt;from TechID&gt;")</f>
        <v>Base case cost for mix of 60% Incandescent and 40% CFL lamps for CFL TechID: CFLscw-Refl(9w)</v>
      </c>
      <c r="F1309" s="103" t="s">
        <v>860</v>
      </c>
      <c r="G1309" s="103" t="s">
        <v>151</v>
      </c>
      <c r="H1309" s="103" t="s">
        <v>861</v>
      </c>
      <c r="I1309" s="103" t="s">
        <v>862</v>
      </c>
      <c r="J1309" s="103" t="s">
        <v>863</v>
      </c>
      <c r="K1309" s="103" t="s">
        <v>864</v>
      </c>
      <c r="L1309" s="103" t="s">
        <v>153</v>
      </c>
      <c r="M1309" s="103" t="s">
        <v>865</v>
      </c>
      <c r="N1309" s="103" t="s">
        <v>866</v>
      </c>
      <c r="O1309" s="103" t="str">
        <f t="shared" si="70"/>
        <v/>
      </c>
      <c r="P1309" s="103" t="s">
        <v>153</v>
      </c>
      <c r="Q1309" s="103" t="s">
        <v>153</v>
      </c>
      <c r="R1309" s="103" t="s">
        <v>153</v>
      </c>
      <c r="S1309" s="103" t="str">
        <f>INDEX('Measure &amp; Standard CostIDs'!$AK$8:$AK$12,B1309)</f>
        <v>Three-pack</v>
      </c>
      <c r="T1309" s="103" t="s">
        <v>867</v>
      </c>
      <c r="U1309" s="103"/>
      <c r="V1309" s="103"/>
      <c r="W1309" s="103">
        <f>ROUND(IF(LEFT(D1309,3)="Std",VLOOKUP(D1309,'Measure &amp; Standard CostIDs'!$S$5:$X$177,1+B1309,FALSE),VLOOKUP(D1309,'Measure &amp; Standard CostIDs'!$C$5:$H$177,1+B1309,FALSE)),2)</f>
        <v>3.55</v>
      </c>
      <c r="X1309" s="103"/>
      <c r="Y1309" s="103"/>
      <c r="Z1309" s="103" t="s">
        <v>868</v>
      </c>
      <c r="AA1309" s="103" t="s">
        <v>874</v>
      </c>
      <c r="AB1309" s="103" t="s">
        <v>153</v>
      </c>
      <c r="AC1309" s="103">
        <v>0</v>
      </c>
      <c r="AD1309" s="156">
        <v>42005</v>
      </c>
      <c r="AE1309" s="103"/>
      <c r="AF1309" s="103" t="s">
        <v>870</v>
      </c>
      <c r="AG1309" s="103" t="s">
        <v>871</v>
      </c>
      <c r="AH1309" s="103" t="s">
        <v>976</v>
      </c>
      <c r="AI1309" s="103">
        <v>0</v>
      </c>
      <c r="AJ1309" s="103"/>
      <c r="AK1309" s="103"/>
      <c r="AL1309" s="103"/>
      <c r="AM1309" s="103"/>
      <c r="AN1309" s="103"/>
      <c r="AO1309" s="103" t="str">
        <f t="shared" si="71"/>
        <v>Std_CFLscw-Refl(9w)_60pInc-r0286Three-pack</v>
      </c>
    </row>
    <row r="1310" spans="1:41">
      <c r="A1310" s="177">
        <f>IFERROR(MATCH(D1310,'Measure &amp; Standard CostIDs'!C$5:C$177,0),MATCH(D1310,'Measure &amp; Standard CostIDs'!S$5:S$177,0))</f>
        <v>159</v>
      </c>
      <c r="B1310" s="177">
        <f t="shared" si="73"/>
        <v>4</v>
      </c>
      <c r="C1310" s="103" t="s">
        <v>153</v>
      </c>
      <c r="D1310" s="103" t="str">
        <f t="shared" si="72"/>
        <v>Std_CFLscw-Refl-1(15w)_60pInc-r0286</v>
      </c>
      <c r="E1310" s="103" t="str">
        <f>IF(LEFT(D1310,3)="Std","Base case cost for mix of 60% Incandescent and 40% CFL lamps for CFL TechID: "&amp;INDEX('Measure &amp; Standard CostIDs'!$C$5:$C$177,A1310),"&lt;from TechID&gt;")</f>
        <v>Base case cost for mix of 60% Incandescent and 40% CFL lamps for CFL TechID: CFLscw-Refl-1(15w)</v>
      </c>
      <c r="F1310" s="103" t="s">
        <v>860</v>
      </c>
      <c r="G1310" s="103" t="s">
        <v>151</v>
      </c>
      <c r="H1310" s="103" t="s">
        <v>861</v>
      </c>
      <c r="I1310" s="103" t="s">
        <v>862</v>
      </c>
      <c r="J1310" s="103" t="s">
        <v>863</v>
      </c>
      <c r="K1310" s="103" t="s">
        <v>864</v>
      </c>
      <c r="L1310" s="103" t="s">
        <v>153</v>
      </c>
      <c r="M1310" s="103" t="s">
        <v>865</v>
      </c>
      <c r="N1310" s="103" t="s">
        <v>866</v>
      </c>
      <c r="O1310" s="103" t="str">
        <f t="shared" si="70"/>
        <v/>
      </c>
      <c r="P1310" s="103" t="s">
        <v>153</v>
      </c>
      <c r="Q1310" s="103" t="s">
        <v>153</v>
      </c>
      <c r="R1310" s="103" t="s">
        <v>153</v>
      </c>
      <c r="S1310" s="103" t="str">
        <f>INDEX('Measure &amp; Standard CostIDs'!$AK$8:$AK$12,B1310)</f>
        <v>Three-pack</v>
      </c>
      <c r="T1310" s="103" t="s">
        <v>867</v>
      </c>
      <c r="U1310" s="103"/>
      <c r="V1310" s="103"/>
      <c r="W1310" s="103">
        <f>ROUND(IF(LEFT(D1310,3)="Std",VLOOKUP(D1310,'Measure &amp; Standard CostIDs'!$S$5:$X$177,1+B1310,FALSE),VLOOKUP(D1310,'Measure &amp; Standard CostIDs'!$C$5:$H$177,1+B1310,FALSE)),2)</f>
        <v>4.05</v>
      </c>
      <c r="X1310" s="103"/>
      <c r="Y1310" s="103"/>
      <c r="Z1310" s="103" t="s">
        <v>868</v>
      </c>
      <c r="AA1310" s="103" t="s">
        <v>874</v>
      </c>
      <c r="AB1310" s="103" t="s">
        <v>153</v>
      </c>
      <c r="AC1310" s="103">
        <v>0</v>
      </c>
      <c r="AD1310" s="156">
        <v>42005</v>
      </c>
      <c r="AE1310" s="103"/>
      <c r="AF1310" s="103" t="s">
        <v>870</v>
      </c>
      <c r="AG1310" s="103" t="s">
        <v>871</v>
      </c>
      <c r="AH1310" s="103" t="s">
        <v>976</v>
      </c>
      <c r="AI1310" s="103">
        <v>0</v>
      </c>
      <c r="AJ1310" s="103"/>
      <c r="AK1310" s="103"/>
      <c r="AL1310" s="103"/>
      <c r="AM1310" s="103"/>
      <c r="AN1310" s="103"/>
      <c r="AO1310" s="103" t="str">
        <f t="shared" si="71"/>
        <v>Std_CFLscw-Refl-1(15w)_60pInc-r0286Three-pack</v>
      </c>
    </row>
    <row r="1311" spans="1:41">
      <c r="A1311" s="177">
        <f>IFERROR(MATCH(D1311,'Measure &amp; Standard CostIDs'!C$5:C$177,0),MATCH(D1311,'Measure &amp; Standard CostIDs'!S$5:S$177,0))</f>
        <v>160</v>
      </c>
      <c r="B1311" s="177">
        <f t="shared" si="73"/>
        <v>4</v>
      </c>
      <c r="C1311" s="103" t="s">
        <v>153</v>
      </c>
      <c r="D1311" s="103" t="str">
        <f t="shared" si="72"/>
        <v>Std_CFLscw-Refl-1(23w)_60pInc-r0286</v>
      </c>
      <c r="E1311" s="103" t="str">
        <f>IF(LEFT(D1311,3)="Std","Base case cost for mix of 60% Incandescent and 40% CFL lamps for CFL TechID: "&amp;INDEX('Measure &amp; Standard CostIDs'!$C$5:$C$177,A1311),"&lt;from TechID&gt;")</f>
        <v>Base case cost for mix of 60% Incandescent and 40% CFL lamps for CFL TechID: CFLscw-Refl-1(23w)</v>
      </c>
      <c r="F1311" s="103" t="s">
        <v>860</v>
      </c>
      <c r="G1311" s="103" t="s">
        <v>151</v>
      </c>
      <c r="H1311" s="103" t="s">
        <v>861</v>
      </c>
      <c r="I1311" s="103" t="s">
        <v>862</v>
      </c>
      <c r="J1311" s="103" t="s">
        <v>863</v>
      </c>
      <c r="K1311" s="103" t="s">
        <v>864</v>
      </c>
      <c r="L1311" s="103" t="s">
        <v>153</v>
      </c>
      <c r="M1311" s="103" t="s">
        <v>865</v>
      </c>
      <c r="N1311" s="103" t="s">
        <v>866</v>
      </c>
      <c r="O1311" s="103" t="str">
        <f t="shared" si="70"/>
        <v/>
      </c>
      <c r="P1311" s="103" t="s">
        <v>153</v>
      </c>
      <c r="Q1311" s="103" t="s">
        <v>153</v>
      </c>
      <c r="R1311" s="103" t="s">
        <v>153</v>
      </c>
      <c r="S1311" s="103" t="str">
        <f>INDEX('Measure &amp; Standard CostIDs'!$AK$8:$AK$12,B1311)</f>
        <v>Three-pack</v>
      </c>
      <c r="T1311" s="103" t="s">
        <v>867</v>
      </c>
      <c r="U1311" s="103"/>
      <c r="V1311" s="103"/>
      <c r="W1311" s="103">
        <f>ROUND(IF(LEFT(D1311,3)="Std",VLOOKUP(D1311,'Measure &amp; Standard CostIDs'!$S$5:$X$177,1+B1311,FALSE),VLOOKUP(D1311,'Measure &amp; Standard CostIDs'!$C$5:$H$177,1+B1311,FALSE)),2)</f>
        <v>4.7300000000000004</v>
      </c>
      <c r="X1311" s="103"/>
      <c r="Y1311" s="103"/>
      <c r="Z1311" s="103" t="s">
        <v>868</v>
      </c>
      <c r="AA1311" s="103" t="s">
        <v>874</v>
      </c>
      <c r="AB1311" s="103" t="s">
        <v>153</v>
      </c>
      <c r="AC1311" s="103">
        <v>0</v>
      </c>
      <c r="AD1311" s="156">
        <v>42005</v>
      </c>
      <c r="AE1311" s="103"/>
      <c r="AF1311" s="103" t="s">
        <v>870</v>
      </c>
      <c r="AG1311" s="103" t="s">
        <v>871</v>
      </c>
      <c r="AH1311" s="103" t="s">
        <v>976</v>
      </c>
      <c r="AI1311" s="103">
        <v>0</v>
      </c>
      <c r="AJ1311" s="103"/>
      <c r="AK1311" s="103"/>
      <c r="AL1311" s="103"/>
      <c r="AM1311" s="103"/>
      <c r="AN1311" s="103"/>
      <c r="AO1311" s="103" t="str">
        <f t="shared" si="71"/>
        <v>Std_CFLscw-Refl-1(23w)_60pInc-r0286Three-pack</v>
      </c>
    </row>
    <row r="1312" spans="1:41">
      <c r="A1312" s="177">
        <f>IFERROR(MATCH(D1312,'Measure &amp; Standard CostIDs'!C$5:C$177,0),MATCH(D1312,'Measure &amp; Standard CostIDs'!S$5:S$177,0))</f>
        <v>161</v>
      </c>
      <c r="B1312" s="177">
        <f t="shared" si="73"/>
        <v>4</v>
      </c>
      <c r="C1312" s="103" t="s">
        <v>153</v>
      </c>
      <c r="D1312" s="103" t="str">
        <f t="shared" si="72"/>
        <v>Std_CFLscw-Refl-2(15w)_60pInc-r0286</v>
      </c>
      <c r="E1312" s="103" t="str">
        <f>IF(LEFT(D1312,3)="Std","Base case cost for mix of 60% Incandescent and 40% CFL lamps for CFL TechID: "&amp;INDEX('Measure &amp; Standard CostIDs'!$C$5:$C$177,A1312),"&lt;from TechID&gt;")</f>
        <v>Base case cost for mix of 60% Incandescent and 40% CFL lamps for CFL TechID: CFLscw-Refl-2(15w)</v>
      </c>
      <c r="F1312" s="103" t="s">
        <v>860</v>
      </c>
      <c r="G1312" s="103" t="s">
        <v>151</v>
      </c>
      <c r="H1312" s="103" t="s">
        <v>861</v>
      </c>
      <c r="I1312" s="103" t="s">
        <v>862</v>
      </c>
      <c r="J1312" s="103" t="s">
        <v>863</v>
      </c>
      <c r="K1312" s="103" t="s">
        <v>864</v>
      </c>
      <c r="L1312" s="103" t="s">
        <v>153</v>
      </c>
      <c r="M1312" s="103" t="s">
        <v>865</v>
      </c>
      <c r="N1312" s="103" t="s">
        <v>866</v>
      </c>
      <c r="O1312" s="103" t="str">
        <f t="shared" si="70"/>
        <v/>
      </c>
      <c r="P1312" s="103" t="s">
        <v>153</v>
      </c>
      <c r="Q1312" s="103" t="s">
        <v>153</v>
      </c>
      <c r="R1312" s="103" t="s">
        <v>153</v>
      </c>
      <c r="S1312" s="103" t="str">
        <f>INDEX('Measure &amp; Standard CostIDs'!$AK$8:$AK$12,B1312)</f>
        <v>Three-pack</v>
      </c>
      <c r="T1312" s="103" t="s">
        <v>867</v>
      </c>
      <c r="U1312" s="103"/>
      <c r="V1312" s="103"/>
      <c r="W1312" s="103">
        <f>ROUND(IF(LEFT(D1312,3)="Std",VLOOKUP(D1312,'Measure &amp; Standard CostIDs'!$S$5:$X$177,1+B1312,FALSE),VLOOKUP(D1312,'Measure &amp; Standard CostIDs'!$C$5:$H$177,1+B1312,FALSE)),2)</f>
        <v>4.05</v>
      </c>
      <c r="X1312" s="103"/>
      <c r="Y1312" s="103"/>
      <c r="Z1312" s="103" t="s">
        <v>868</v>
      </c>
      <c r="AA1312" s="103" t="s">
        <v>874</v>
      </c>
      <c r="AB1312" s="103" t="s">
        <v>153</v>
      </c>
      <c r="AC1312" s="103">
        <v>0</v>
      </c>
      <c r="AD1312" s="156">
        <v>42005</v>
      </c>
      <c r="AE1312" s="103"/>
      <c r="AF1312" s="103" t="s">
        <v>870</v>
      </c>
      <c r="AG1312" s="103" t="s">
        <v>871</v>
      </c>
      <c r="AH1312" s="103" t="s">
        <v>976</v>
      </c>
      <c r="AI1312" s="103">
        <v>0</v>
      </c>
      <c r="AJ1312" s="103"/>
      <c r="AK1312" s="103"/>
      <c r="AL1312" s="103"/>
      <c r="AM1312" s="103"/>
      <c r="AN1312" s="103"/>
      <c r="AO1312" s="103" t="str">
        <f t="shared" si="71"/>
        <v>Std_CFLscw-Refl-2(15w)_60pInc-r0286Three-pack</v>
      </c>
    </row>
    <row r="1313" spans="1:41">
      <c r="A1313" s="177">
        <f>IFERROR(MATCH(D1313,'Measure &amp; Standard CostIDs'!C$5:C$177,0),MATCH(D1313,'Measure &amp; Standard CostIDs'!S$5:S$177,0))</f>
        <v>162</v>
      </c>
      <c r="B1313" s="177">
        <f t="shared" si="73"/>
        <v>4</v>
      </c>
      <c r="C1313" s="103" t="s">
        <v>153</v>
      </c>
      <c r="D1313" s="103" t="str">
        <f t="shared" si="72"/>
        <v>Std_CFLscw-Refl-2(23w)_60pInc-r0286</v>
      </c>
      <c r="E1313" s="103" t="str">
        <f>IF(LEFT(D1313,3)="Std","Base case cost for mix of 60% Incandescent and 40% CFL lamps for CFL TechID: "&amp;INDEX('Measure &amp; Standard CostIDs'!$C$5:$C$177,A1313),"&lt;from TechID&gt;")</f>
        <v>Base case cost for mix of 60% Incandescent and 40% CFL lamps for CFL TechID: CFLscw-Refl-2(23w)</v>
      </c>
      <c r="F1313" s="103" t="s">
        <v>860</v>
      </c>
      <c r="G1313" s="103" t="s">
        <v>151</v>
      </c>
      <c r="H1313" s="103" t="s">
        <v>861</v>
      </c>
      <c r="I1313" s="103" t="s">
        <v>862</v>
      </c>
      <c r="J1313" s="103" t="s">
        <v>863</v>
      </c>
      <c r="K1313" s="103" t="s">
        <v>864</v>
      </c>
      <c r="L1313" s="103" t="s">
        <v>153</v>
      </c>
      <c r="M1313" s="103" t="s">
        <v>865</v>
      </c>
      <c r="N1313" s="103" t="s">
        <v>866</v>
      </c>
      <c r="O1313" s="103" t="str">
        <f t="shared" si="70"/>
        <v/>
      </c>
      <c r="P1313" s="103" t="s">
        <v>153</v>
      </c>
      <c r="Q1313" s="103" t="s">
        <v>153</v>
      </c>
      <c r="R1313" s="103" t="s">
        <v>153</v>
      </c>
      <c r="S1313" s="103" t="str">
        <f>INDEX('Measure &amp; Standard CostIDs'!$AK$8:$AK$12,B1313)</f>
        <v>Three-pack</v>
      </c>
      <c r="T1313" s="103" t="s">
        <v>867</v>
      </c>
      <c r="U1313" s="103"/>
      <c r="V1313" s="103"/>
      <c r="W1313" s="103">
        <f>ROUND(IF(LEFT(D1313,3)="Std",VLOOKUP(D1313,'Measure &amp; Standard CostIDs'!$S$5:$X$177,1+B1313,FALSE),VLOOKUP(D1313,'Measure &amp; Standard CostIDs'!$C$5:$H$177,1+B1313,FALSE)),2)</f>
        <v>4.7300000000000004</v>
      </c>
      <c r="X1313" s="103"/>
      <c r="Y1313" s="103"/>
      <c r="Z1313" s="103" t="s">
        <v>868</v>
      </c>
      <c r="AA1313" s="103" t="s">
        <v>874</v>
      </c>
      <c r="AB1313" s="103" t="s">
        <v>153</v>
      </c>
      <c r="AC1313" s="103">
        <v>0</v>
      </c>
      <c r="AD1313" s="156">
        <v>42005</v>
      </c>
      <c r="AE1313" s="103"/>
      <c r="AF1313" s="103" t="s">
        <v>870</v>
      </c>
      <c r="AG1313" s="103" t="s">
        <v>871</v>
      </c>
      <c r="AH1313" s="103" t="s">
        <v>976</v>
      </c>
      <c r="AI1313" s="103">
        <v>0</v>
      </c>
      <c r="AJ1313" s="103"/>
      <c r="AK1313" s="103"/>
      <c r="AL1313" s="103"/>
      <c r="AM1313" s="103"/>
      <c r="AN1313" s="103"/>
      <c r="AO1313" s="103" t="str">
        <f t="shared" si="71"/>
        <v>Std_CFLscw-Refl-2(23w)_60pInc-r0286Three-pack</v>
      </c>
    </row>
    <row r="1314" spans="1:41">
      <c r="A1314" s="177">
        <f>IFERROR(MATCH(D1314,'Measure &amp; Standard CostIDs'!C$5:C$177,0),MATCH(D1314,'Measure &amp; Standard CostIDs'!S$5:S$177,0))</f>
        <v>163</v>
      </c>
      <c r="B1314" s="177">
        <f t="shared" si="73"/>
        <v>4</v>
      </c>
      <c r="C1314" s="103" t="s">
        <v>153</v>
      </c>
      <c r="D1314" s="103" t="str">
        <f t="shared" si="72"/>
        <v>Std_CFLscw-Refl-Dim(15w)_60pInc-r0286</v>
      </c>
      <c r="E1314" s="103" t="str">
        <f>IF(LEFT(D1314,3)="Std","Base case cost for mix of 60% Incandescent and 40% CFL lamps for CFL TechID: "&amp;INDEX('Measure &amp; Standard CostIDs'!$C$5:$C$177,A1314),"&lt;from TechID&gt;")</f>
        <v>Base case cost for mix of 60% Incandescent and 40% CFL lamps for CFL TechID: CFLscw-Refl-Dim(15w)</v>
      </c>
      <c r="F1314" s="103" t="s">
        <v>860</v>
      </c>
      <c r="G1314" s="103" t="s">
        <v>151</v>
      </c>
      <c r="H1314" s="103" t="s">
        <v>861</v>
      </c>
      <c r="I1314" s="103" t="s">
        <v>862</v>
      </c>
      <c r="J1314" s="103" t="s">
        <v>863</v>
      </c>
      <c r="K1314" s="103" t="s">
        <v>864</v>
      </c>
      <c r="L1314" s="103" t="s">
        <v>153</v>
      </c>
      <c r="M1314" s="103" t="s">
        <v>865</v>
      </c>
      <c r="N1314" s="103" t="s">
        <v>866</v>
      </c>
      <c r="O1314" s="103" t="str">
        <f t="shared" si="70"/>
        <v/>
      </c>
      <c r="P1314" s="103" t="s">
        <v>153</v>
      </c>
      <c r="Q1314" s="103" t="s">
        <v>153</v>
      </c>
      <c r="R1314" s="103" t="s">
        <v>153</v>
      </c>
      <c r="S1314" s="103" t="str">
        <f>INDEX('Measure &amp; Standard CostIDs'!$AK$8:$AK$12,B1314)</f>
        <v>Three-pack</v>
      </c>
      <c r="T1314" s="103" t="s">
        <v>867</v>
      </c>
      <c r="U1314" s="103"/>
      <c r="V1314" s="103"/>
      <c r="W1314" s="103">
        <f>ROUND(IF(LEFT(D1314,3)="Std",VLOOKUP(D1314,'Measure &amp; Standard CostIDs'!$S$5:$X$177,1+B1314,FALSE),VLOOKUP(D1314,'Measure &amp; Standard CostIDs'!$C$5:$H$177,1+B1314,FALSE)),2)</f>
        <v>5.67</v>
      </c>
      <c r="X1314" s="103"/>
      <c r="Y1314" s="103"/>
      <c r="Z1314" s="103" t="s">
        <v>868</v>
      </c>
      <c r="AA1314" s="103" t="s">
        <v>874</v>
      </c>
      <c r="AB1314" s="103" t="s">
        <v>153</v>
      </c>
      <c r="AC1314" s="103">
        <v>0</v>
      </c>
      <c r="AD1314" s="156">
        <v>42005</v>
      </c>
      <c r="AE1314" s="103"/>
      <c r="AF1314" s="103" t="s">
        <v>870</v>
      </c>
      <c r="AG1314" s="103" t="s">
        <v>871</v>
      </c>
      <c r="AH1314" s="103" t="s">
        <v>976</v>
      </c>
      <c r="AI1314" s="103">
        <v>0</v>
      </c>
      <c r="AJ1314" s="103"/>
      <c r="AK1314" s="103"/>
      <c r="AL1314" s="103"/>
      <c r="AM1314" s="103"/>
      <c r="AN1314" s="103"/>
      <c r="AO1314" s="103" t="str">
        <f t="shared" si="71"/>
        <v>Std_CFLscw-Refl-Dim(15w)_60pInc-r0286Three-pack</v>
      </c>
    </row>
    <row r="1315" spans="1:41">
      <c r="A1315" s="177">
        <f>IFERROR(MATCH(D1315,'Measure &amp; Standard CostIDs'!C$5:C$177,0),MATCH(D1315,'Measure &amp; Standard CostIDs'!S$5:S$177,0))</f>
        <v>164</v>
      </c>
      <c r="B1315" s="177">
        <f t="shared" si="73"/>
        <v>4</v>
      </c>
      <c r="C1315" s="103" t="s">
        <v>153</v>
      </c>
      <c r="D1315" s="103" t="str">
        <f t="shared" si="72"/>
        <v>Std_CFLscw-Refl-Dim(16w)_60pInc-r0286</v>
      </c>
      <c r="E1315" s="103" t="str">
        <f>IF(LEFT(D1315,3)="Std","Base case cost for mix of 60% Incandescent and 40% CFL lamps for CFL TechID: "&amp;INDEX('Measure &amp; Standard CostIDs'!$C$5:$C$177,A1315),"&lt;from TechID&gt;")</f>
        <v>Base case cost for mix of 60% Incandescent and 40% CFL lamps for CFL TechID: CFLscw-Refl-Dim(16w)</v>
      </c>
      <c r="F1315" s="103" t="s">
        <v>860</v>
      </c>
      <c r="G1315" s="103" t="s">
        <v>151</v>
      </c>
      <c r="H1315" s="103" t="s">
        <v>861</v>
      </c>
      <c r="I1315" s="103" t="s">
        <v>862</v>
      </c>
      <c r="J1315" s="103" t="s">
        <v>863</v>
      </c>
      <c r="K1315" s="103" t="s">
        <v>864</v>
      </c>
      <c r="L1315" s="103" t="s">
        <v>153</v>
      </c>
      <c r="M1315" s="103" t="s">
        <v>865</v>
      </c>
      <c r="N1315" s="103" t="s">
        <v>866</v>
      </c>
      <c r="O1315" s="103" t="str">
        <f t="shared" si="70"/>
        <v/>
      </c>
      <c r="P1315" s="103" t="s">
        <v>153</v>
      </c>
      <c r="Q1315" s="103" t="s">
        <v>153</v>
      </c>
      <c r="R1315" s="103" t="s">
        <v>153</v>
      </c>
      <c r="S1315" s="103" t="str">
        <f>INDEX('Measure &amp; Standard CostIDs'!$AK$8:$AK$12,B1315)</f>
        <v>Three-pack</v>
      </c>
      <c r="T1315" s="103" t="s">
        <v>867</v>
      </c>
      <c r="U1315" s="103"/>
      <c r="V1315" s="103"/>
      <c r="W1315" s="103">
        <f>ROUND(IF(LEFT(D1315,3)="Std",VLOOKUP(D1315,'Measure &amp; Standard CostIDs'!$S$5:$X$177,1+B1315,FALSE),VLOOKUP(D1315,'Measure &amp; Standard CostIDs'!$C$5:$H$177,1+B1315,FALSE)),2)</f>
        <v>5.75</v>
      </c>
      <c r="X1315" s="103"/>
      <c r="Y1315" s="103"/>
      <c r="Z1315" s="103" t="s">
        <v>868</v>
      </c>
      <c r="AA1315" s="103" t="s">
        <v>874</v>
      </c>
      <c r="AB1315" s="103" t="s">
        <v>153</v>
      </c>
      <c r="AC1315" s="103">
        <v>0</v>
      </c>
      <c r="AD1315" s="156">
        <v>42005</v>
      </c>
      <c r="AE1315" s="103"/>
      <c r="AF1315" s="103" t="s">
        <v>870</v>
      </c>
      <c r="AG1315" s="103" t="s">
        <v>871</v>
      </c>
      <c r="AH1315" s="103" t="s">
        <v>976</v>
      </c>
      <c r="AI1315" s="103">
        <v>0</v>
      </c>
      <c r="AJ1315" s="103"/>
      <c r="AK1315" s="103"/>
      <c r="AL1315" s="103"/>
      <c r="AM1315" s="103"/>
      <c r="AN1315" s="103"/>
      <c r="AO1315" s="103" t="str">
        <f t="shared" si="71"/>
        <v>Std_CFLscw-Refl-Dim(16w)_60pInc-r0286Three-pack</v>
      </c>
    </row>
    <row r="1316" spans="1:41">
      <c r="A1316" s="177">
        <f>IFERROR(MATCH(D1316,'Measure &amp; Standard CostIDs'!C$5:C$177,0),MATCH(D1316,'Measure &amp; Standard CostIDs'!S$5:S$177,0))</f>
        <v>165</v>
      </c>
      <c r="B1316" s="177">
        <f t="shared" si="73"/>
        <v>4</v>
      </c>
      <c r="C1316" s="103" t="s">
        <v>153</v>
      </c>
      <c r="D1316" s="103" t="str">
        <f t="shared" si="72"/>
        <v>Std_CFLscw-Refl-Dim(20w)_60pInc-r0286</v>
      </c>
      <c r="E1316" s="103" t="str">
        <f>IF(LEFT(D1316,3)="Std","Base case cost for mix of 60% Incandescent and 40% CFL lamps for CFL TechID: "&amp;INDEX('Measure &amp; Standard CostIDs'!$C$5:$C$177,A1316),"&lt;from TechID&gt;")</f>
        <v>Base case cost for mix of 60% Incandescent and 40% CFL lamps for CFL TechID: CFLscw-Refl-Dim(20w)</v>
      </c>
      <c r="F1316" s="103" t="s">
        <v>860</v>
      </c>
      <c r="G1316" s="103" t="s">
        <v>151</v>
      </c>
      <c r="H1316" s="103" t="s">
        <v>861</v>
      </c>
      <c r="I1316" s="103" t="s">
        <v>862</v>
      </c>
      <c r="J1316" s="103" t="s">
        <v>863</v>
      </c>
      <c r="K1316" s="103" t="s">
        <v>864</v>
      </c>
      <c r="L1316" s="103" t="s">
        <v>153</v>
      </c>
      <c r="M1316" s="103" t="s">
        <v>865</v>
      </c>
      <c r="N1316" s="103" t="s">
        <v>866</v>
      </c>
      <c r="O1316" s="103" t="str">
        <f t="shared" si="70"/>
        <v/>
      </c>
      <c r="P1316" s="103" t="s">
        <v>153</v>
      </c>
      <c r="Q1316" s="103" t="s">
        <v>153</v>
      </c>
      <c r="R1316" s="103" t="s">
        <v>153</v>
      </c>
      <c r="S1316" s="103" t="str">
        <f>INDEX('Measure &amp; Standard CostIDs'!$AK$8:$AK$12,B1316)</f>
        <v>Three-pack</v>
      </c>
      <c r="T1316" s="103" t="s">
        <v>867</v>
      </c>
      <c r="U1316" s="103"/>
      <c r="V1316" s="103"/>
      <c r="W1316" s="103">
        <f>ROUND(IF(LEFT(D1316,3)="Std",VLOOKUP(D1316,'Measure &amp; Standard CostIDs'!$S$5:$X$177,1+B1316,FALSE),VLOOKUP(D1316,'Measure &amp; Standard CostIDs'!$C$5:$H$177,1+B1316,FALSE)),2)</f>
        <v>6.09</v>
      </c>
      <c r="X1316" s="103"/>
      <c r="Y1316" s="103"/>
      <c r="Z1316" s="103" t="s">
        <v>868</v>
      </c>
      <c r="AA1316" s="103" t="s">
        <v>874</v>
      </c>
      <c r="AB1316" s="103" t="s">
        <v>153</v>
      </c>
      <c r="AC1316" s="103">
        <v>0</v>
      </c>
      <c r="AD1316" s="156">
        <v>42005</v>
      </c>
      <c r="AE1316" s="103"/>
      <c r="AF1316" s="103" t="s">
        <v>870</v>
      </c>
      <c r="AG1316" s="103" t="s">
        <v>871</v>
      </c>
      <c r="AH1316" s="103" t="s">
        <v>976</v>
      </c>
      <c r="AI1316" s="103">
        <v>0</v>
      </c>
      <c r="AJ1316" s="103"/>
      <c r="AK1316" s="103"/>
      <c r="AL1316" s="103"/>
      <c r="AM1316" s="103"/>
      <c r="AN1316" s="103"/>
      <c r="AO1316" s="103" t="str">
        <f t="shared" si="71"/>
        <v>Std_CFLscw-Refl-Dim(20w)_60pInc-r0286Three-pack</v>
      </c>
    </row>
    <row r="1317" spans="1:41">
      <c r="A1317" s="177">
        <f>IFERROR(MATCH(D1317,'Measure &amp; Standard CostIDs'!C$5:C$177,0),MATCH(D1317,'Measure &amp; Standard CostIDs'!S$5:S$177,0))</f>
        <v>166</v>
      </c>
      <c r="B1317" s="177">
        <f t="shared" si="73"/>
        <v>4</v>
      </c>
      <c r="C1317" s="103" t="s">
        <v>153</v>
      </c>
      <c r="D1317" s="103" t="str">
        <f t="shared" si="72"/>
        <v>Std_CFLscw-Refl-Dim(26w)_60pInc-r0286</v>
      </c>
      <c r="E1317" s="103" t="str">
        <f>IF(LEFT(D1317,3)="Std","Base case cost for mix of 60% Incandescent and 40% CFL lamps for CFL TechID: "&amp;INDEX('Measure &amp; Standard CostIDs'!$C$5:$C$177,A1317),"&lt;from TechID&gt;")</f>
        <v>Base case cost for mix of 60% Incandescent and 40% CFL lamps for CFL TechID: CFLscw-Refl-Dim(26w)</v>
      </c>
      <c r="F1317" s="103" t="s">
        <v>860</v>
      </c>
      <c r="G1317" s="103" t="s">
        <v>151</v>
      </c>
      <c r="H1317" s="103" t="s">
        <v>861</v>
      </c>
      <c r="I1317" s="103" t="s">
        <v>862</v>
      </c>
      <c r="J1317" s="103" t="s">
        <v>863</v>
      </c>
      <c r="K1317" s="103" t="s">
        <v>864</v>
      </c>
      <c r="L1317" s="103" t="s">
        <v>153</v>
      </c>
      <c r="M1317" s="103" t="s">
        <v>865</v>
      </c>
      <c r="N1317" s="103" t="s">
        <v>866</v>
      </c>
      <c r="O1317" s="103" t="str">
        <f t="shared" si="70"/>
        <v/>
      </c>
      <c r="P1317" s="103" t="s">
        <v>153</v>
      </c>
      <c r="Q1317" s="103" t="s">
        <v>153</v>
      </c>
      <c r="R1317" s="103" t="s">
        <v>153</v>
      </c>
      <c r="S1317" s="103" t="str">
        <f>INDEX('Measure &amp; Standard CostIDs'!$AK$8:$AK$12,B1317)</f>
        <v>Three-pack</v>
      </c>
      <c r="T1317" s="103" t="s">
        <v>867</v>
      </c>
      <c r="U1317" s="103"/>
      <c r="V1317" s="103"/>
      <c r="W1317" s="103">
        <f>ROUND(IF(LEFT(D1317,3)="Std",VLOOKUP(D1317,'Measure &amp; Standard CostIDs'!$S$5:$X$177,1+B1317,FALSE),VLOOKUP(D1317,'Measure &amp; Standard CostIDs'!$C$5:$H$177,1+B1317,FALSE)),2)</f>
        <v>6.6</v>
      </c>
      <c r="X1317" s="103"/>
      <c r="Y1317" s="103"/>
      <c r="Z1317" s="103" t="s">
        <v>868</v>
      </c>
      <c r="AA1317" s="103" t="s">
        <v>874</v>
      </c>
      <c r="AB1317" s="103" t="s">
        <v>153</v>
      </c>
      <c r="AC1317" s="103">
        <v>0</v>
      </c>
      <c r="AD1317" s="156">
        <v>42005</v>
      </c>
      <c r="AE1317" s="103"/>
      <c r="AF1317" s="103" t="s">
        <v>870</v>
      </c>
      <c r="AG1317" s="103" t="s">
        <v>871</v>
      </c>
      <c r="AH1317" s="103" t="s">
        <v>976</v>
      </c>
      <c r="AI1317" s="103">
        <v>0</v>
      </c>
      <c r="AJ1317" s="103"/>
      <c r="AK1317" s="103"/>
      <c r="AL1317" s="103"/>
      <c r="AM1317" s="103"/>
      <c r="AN1317" s="103"/>
      <c r="AO1317" s="103" t="str">
        <f t="shared" si="71"/>
        <v>Std_CFLscw-Refl-Dim(26w)_60pInc-r0286Three-pack</v>
      </c>
    </row>
    <row r="1318" spans="1:41">
      <c r="A1318" s="177">
        <f>IFERROR(MATCH(D1318,'Measure &amp; Standard CostIDs'!C$5:C$177,0),MATCH(D1318,'Measure &amp; Standard CostIDs'!S$5:S$177,0))</f>
        <v>167</v>
      </c>
      <c r="B1318" s="177">
        <f t="shared" si="73"/>
        <v>4</v>
      </c>
      <c r="C1318" s="103" t="s">
        <v>153</v>
      </c>
      <c r="D1318" s="103" t="str">
        <f t="shared" si="72"/>
        <v>Std_CFLscw-Refl-Ext(13w)_60pInc-r0286</v>
      </c>
      <c r="E1318" s="103" t="str">
        <f>IF(LEFT(D1318,3)="Std","Base case cost for mix of 60% Incandescent and 40% CFL lamps for CFL TechID: "&amp;INDEX('Measure &amp; Standard CostIDs'!$C$5:$C$177,A1318),"&lt;from TechID&gt;")</f>
        <v>Base case cost for mix of 60% Incandescent and 40% CFL lamps for CFL TechID: CFLscw-Refl-Ext(13w)</v>
      </c>
      <c r="F1318" s="103" t="s">
        <v>860</v>
      </c>
      <c r="G1318" s="103" t="s">
        <v>151</v>
      </c>
      <c r="H1318" s="103" t="s">
        <v>861</v>
      </c>
      <c r="I1318" s="103" t="s">
        <v>862</v>
      </c>
      <c r="J1318" s="103" t="s">
        <v>863</v>
      </c>
      <c r="K1318" s="103" t="s">
        <v>864</v>
      </c>
      <c r="L1318" s="103" t="s">
        <v>153</v>
      </c>
      <c r="M1318" s="103" t="s">
        <v>865</v>
      </c>
      <c r="N1318" s="103" t="s">
        <v>866</v>
      </c>
      <c r="O1318" s="103" t="str">
        <f t="shared" si="70"/>
        <v/>
      </c>
      <c r="P1318" s="103" t="s">
        <v>153</v>
      </c>
      <c r="Q1318" s="103" t="s">
        <v>153</v>
      </c>
      <c r="R1318" s="103" t="s">
        <v>153</v>
      </c>
      <c r="S1318" s="103" t="str">
        <f>INDEX('Measure &amp; Standard CostIDs'!$AK$8:$AK$12,B1318)</f>
        <v>Three-pack</v>
      </c>
      <c r="T1318" s="103" t="s">
        <v>867</v>
      </c>
      <c r="U1318" s="103"/>
      <c r="V1318" s="103"/>
      <c r="W1318" s="103">
        <f>ROUND(IF(LEFT(D1318,3)="Std",VLOOKUP(D1318,'Measure &amp; Standard CostIDs'!$S$5:$X$177,1+B1318,FALSE),VLOOKUP(D1318,'Measure &amp; Standard CostIDs'!$C$5:$H$177,1+B1318,FALSE)),2)</f>
        <v>3.88</v>
      </c>
      <c r="X1318" s="103"/>
      <c r="Y1318" s="103"/>
      <c r="Z1318" s="103" t="s">
        <v>868</v>
      </c>
      <c r="AA1318" s="103" t="s">
        <v>874</v>
      </c>
      <c r="AB1318" s="103" t="s">
        <v>153</v>
      </c>
      <c r="AC1318" s="103">
        <v>0</v>
      </c>
      <c r="AD1318" s="156">
        <v>42005</v>
      </c>
      <c r="AE1318" s="103"/>
      <c r="AF1318" s="103" t="s">
        <v>870</v>
      </c>
      <c r="AG1318" s="103" t="s">
        <v>871</v>
      </c>
      <c r="AH1318" s="103" t="s">
        <v>976</v>
      </c>
      <c r="AI1318" s="103">
        <v>0</v>
      </c>
      <c r="AJ1318" s="103"/>
      <c r="AK1318" s="103"/>
      <c r="AL1318" s="103"/>
      <c r="AM1318" s="103"/>
      <c r="AN1318" s="103"/>
      <c r="AO1318" s="103" t="str">
        <f t="shared" si="71"/>
        <v>Std_CFLscw-Refl-Ext(13w)_60pInc-r0286Three-pack</v>
      </c>
    </row>
    <row r="1319" spans="1:41">
      <c r="A1319" s="177">
        <f>IFERROR(MATCH(D1319,'Measure &amp; Standard CostIDs'!C$5:C$177,0),MATCH(D1319,'Measure &amp; Standard CostIDs'!S$5:S$177,0))</f>
        <v>168</v>
      </c>
      <c r="B1319" s="177">
        <f t="shared" si="73"/>
        <v>4</v>
      </c>
      <c r="C1319" s="103" t="s">
        <v>153</v>
      </c>
      <c r="D1319" s="103" t="str">
        <f t="shared" si="72"/>
        <v>Std_CFLscw-Refl-Ext(14w)_60pInc-r0286</v>
      </c>
      <c r="E1319" s="103" t="str">
        <f>IF(LEFT(D1319,3)="Std","Base case cost for mix of 60% Incandescent and 40% CFL lamps for CFL TechID: "&amp;INDEX('Measure &amp; Standard CostIDs'!$C$5:$C$177,A1319),"&lt;from TechID&gt;")</f>
        <v>Base case cost for mix of 60% Incandescent and 40% CFL lamps for CFL TechID: CFLscw-Refl-Ext(14w)</v>
      </c>
      <c r="F1319" s="103" t="s">
        <v>860</v>
      </c>
      <c r="G1319" s="103" t="s">
        <v>151</v>
      </c>
      <c r="H1319" s="103" t="s">
        <v>861</v>
      </c>
      <c r="I1319" s="103" t="s">
        <v>862</v>
      </c>
      <c r="J1319" s="103" t="s">
        <v>863</v>
      </c>
      <c r="K1319" s="103" t="s">
        <v>864</v>
      </c>
      <c r="L1319" s="103" t="s">
        <v>153</v>
      </c>
      <c r="M1319" s="103" t="s">
        <v>865</v>
      </c>
      <c r="N1319" s="103" t="s">
        <v>866</v>
      </c>
      <c r="O1319" s="103" t="str">
        <f t="shared" si="70"/>
        <v/>
      </c>
      <c r="P1319" s="103" t="s">
        <v>153</v>
      </c>
      <c r="Q1319" s="103" t="s">
        <v>153</v>
      </c>
      <c r="R1319" s="103" t="s">
        <v>153</v>
      </c>
      <c r="S1319" s="103" t="str">
        <f>INDEX('Measure &amp; Standard CostIDs'!$AK$8:$AK$12,B1319)</f>
        <v>Three-pack</v>
      </c>
      <c r="T1319" s="103" t="s">
        <v>867</v>
      </c>
      <c r="U1319" s="103"/>
      <c r="V1319" s="103"/>
      <c r="W1319" s="103">
        <f>ROUND(IF(LEFT(D1319,3)="Std",VLOOKUP(D1319,'Measure &amp; Standard CostIDs'!$S$5:$X$177,1+B1319,FALSE),VLOOKUP(D1319,'Measure &amp; Standard CostIDs'!$C$5:$H$177,1+B1319,FALSE)),2)</f>
        <v>3.97</v>
      </c>
      <c r="X1319" s="103"/>
      <c r="Y1319" s="103"/>
      <c r="Z1319" s="103" t="s">
        <v>868</v>
      </c>
      <c r="AA1319" s="103" t="s">
        <v>874</v>
      </c>
      <c r="AB1319" s="103" t="s">
        <v>153</v>
      </c>
      <c r="AC1319" s="103">
        <v>0</v>
      </c>
      <c r="AD1319" s="156">
        <v>42005</v>
      </c>
      <c r="AE1319" s="103"/>
      <c r="AF1319" s="103" t="s">
        <v>870</v>
      </c>
      <c r="AG1319" s="103" t="s">
        <v>871</v>
      </c>
      <c r="AH1319" s="103" t="s">
        <v>976</v>
      </c>
      <c r="AI1319" s="103">
        <v>0</v>
      </c>
      <c r="AJ1319" s="103"/>
      <c r="AK1319" s="103"/>
      <c r="AL1319" s="103"/>
      <c r="AM1319" s="103"/>
      <c r="AN1319" s="103"/>
      <c r="AO1319" s="103" t="str">
        <f t="shared" si="71"/>
        <v>Std_CFLscw-Refl-Ext(14w)_60pInc-r0286Three-pack</v>
      </c>
    </row>
    <row r="1320" spans="1:41">
      <c r="A1320" s="177">
        <f>IFERROR(MATCH(D1320,'Measure &amp; Standard CostIDs'!C$5:C$177,0),MATCH(D1320,'Measure &amp; Standard CostIDs'!S$5:S$177,0))</f>
        <v>169</v>
      </c>
      <c r="B1320" s="177">
        <f t="shared" si="73"/>
        <v>4</v>
      </c>
      <c r="C1320" s="103" t="s">
        <v>153</v>
      </c>
      <c r="D1320" s="103" t="str">
        <f t="shared" si="72"/>
        <v>Std_CFLscw-Refl-Ext(15w)_60pInc-r0286</v>
      </c>
      <c r="E1320" s="103" t="str">
        <f>IF(LEFT(D1320,3)="Std","Base case cost for mix of 60% Incandescent and 40% CFL lamps for CFL TechID: "&amp;INDEX('Measure &amp; Standard CostIDs'!$C$5:$C$177,A1320),"&lt;from TechID&gt;")</f>
        <v>Base case cost for mix of 60% Incandescent and 40% CFL lamps for CFL TechID: CFLscw-Refl-Ext(15w)</v>
      </c>
      <c r="F1320" s="103" t="s">
        <v>860</v>
      </c>
      <c r="G1320" s="103" t="s">
        <v>151</v>
      </c>
      <c r="H1320" s="103" t="s">
        <v>861</v>
      </c>
      <c r="I1320" s="103" t="s">
        <v>862</v>
      </c>
      <c r="J1320" s="103" t="s">
        <v>863</v>
      </c>
      <c r="K1320" s="103" t="s">
        <v>864</v>
      </c>
      <c r="L1320" s="103" t="s">
        <v>153</v>
      </c>
      <c r="M1320" s="103" t="s">
        <v>865</v>
      </c>
      <c r="N1320" s="103" t="s">
        <v>866</v>
      </c>
      <c r="O1320" s="103" t="str">
        <f t="shared" si="70"/>
        <v/>
      </c>
      <c r="P1320" s="103" t="s">
        <v>153</v>
      </c>
      <c r="Q1320" s="103" t="s">
        <v>153</v>
      </c>
      <c r="R1320" s="103" t="s">
        <v>153</v>
      </c>
      <c r="S1320" s="103" t="str">
        <f>INDEX('Measure &amp; Standard CostIDs'!$AK$8:$AK$12,B1320)</f>
        <v>Three-pack</v>
      </c>
      <c r="T1320" s="103" t="s">
        <v>867</v>
      </c>
      <c r="U1320" s="103"/>
      <c r="V1320" s="103"/>
      <c r="W1320" s="103">
        <f>ROUND(IF(LEFT(D1320,3)="Std",VLOOKUP(D1320,'Measure &amp; Standard CostIDs'!$S$5:$X$177,1+B1320,FALSE),VLOOKUP(D1320,'Measure &amp; Standard CostIDs'!$C$5:$H$177,1+B1320,FALSE)),2)</f>
        <v>4.05</v>
      </c>
      <c r="X1320" s="103"/>
      <c r="Y1320" s="103"/>
      <c r="Z1320" s="103" t="s">
        <v>868</v>
      </c>
      <c r="AA1320" s="103" t="s">
        <v>874</v>
      </c>
      <c r="AB1320" s="103" t="s">
        <v>153</v>
      </c>
      <c r="AC1320" s="103">
        <v>0</v>
      </c>
      <c r="AD1320" s="156">
        <v>42005</v>
      </c>
      <c r="AE1320" s="103"/>
      <c r="AF1320" s="103" t="s">
        <v>870</v>
      </c>
      <c r="AG1320" s="103" t="s">
        <v>871</v>
      </c>
      <c r="AH1320" s="103" t="s">
        <v>976</v>
      </c>
      <c r="AI1320" s="103">
        <v>0</v>
      </c>
      <c r="AJ1320" s="103"/>
      <c r="AK1320" s="103"/>
      <c r="AL1320" s="103"/>
      <c r="AM1320" s="103"/>
      <c r="AN1320" s="103"/>
      <c r="AO1320" s="103" t="str">
        <f t="shared" si="71"/>
        <v>Std_CFLscw-Refl-Ext(15w)_60pInc-r0286Three-pack</v>
      </c>
    </row>
    <row r="1321" spans="1:41">
      <c r="A1321" s="177">
        <f>IFERROR(MATCH(D1321,'Measure &amp; Standard CostIDs'!C$5:C$177,0),MATCH(D1321,'Measure &amp; Standard CostIDs'!S$5:S$177,0))</f>
        <v>170</v>
      </c>
      <c r="B1321" s="177">
        <f t="shared" si="73"/>
        <v>4</v>
      </c>
      <c r="C1321" s="103" t="s">
        <v>153</v>
      </c>
      <c r="D1321" s="103" t="str">
        <f t="shared" si="72"/>
        <v>Std_CFLscw-Refl-Ext(16w)_60pInc-r0286</v>
      </c>
      <c r="E1321" s="103" t="str">
        <f>IF(LEFT(D1321,3)="Std","Base case cost for mix of 60% Incandescent and 40% CFL lamps for CFL TechID: "&amp;INDEX('Measure &amp; Standard CostIDs'!$C$5:$C$177,A1321),"&lt;from TechID&gt;")</f>
        <v>Base case cost for mix of 60% Incandescent and 40% CFL lamps for CFL TechID: CFLscw-Refl-Ext(16w)</v>
      </c>
      <c r="F1321" s="103" t="s">
        <v>860</v>
      </c>
      <c r="G1321" s="103" t="s">
        <v>151</v>
      </c>
      <c r="H1321" s="103" t="s">
        <v>861</v>
      </c>
      <c r="I1321" s="103" t="s">
        <v>862</v>
      </c>
      <c r="J1321" s="103" t="s">
        <v>863</v>
      </c>
      <c r="K1321" s="103" t="s">
        <v>864</v>
      </c>
      <c r="L1321" s="103" t="s">
        <v>153</v>
      </c>
      <c r="M1321" s="103" t="s">
        <v>865</v>
      </c>
      <c r="N1321" s="103" t="s">
        <v>866</v>
      </c>
      <c r="O1321" s="103" t="str">
        <f t="shared" si="70"/>
        <v/>
      </c>
      <c r="P1321" s="103" t="s">
        <v>153</v>
      </c>
      <c r="Q1321" s="103" t="s">
        <v>153</v>
      </c>
      <c r="R1321" s="103" t="s">
        <v>153</v>
      </c>
      <c r="S1321" s="103" t="str">
        <f>INDEX('Measure &amp; Standard CostIDs'!$AK$8:$AK$12,B1321)</f>
        <v>Three-pack</v>
      </c>
      <c r="T1321" s="103" t="s">
        <v>867</v>
      </c>
      <c r="U1321" s="103"/>
      <c r="V1321" s="103"/>
      <c r="W1321" s="103">
        <f>ROUND(IF(LEFT(D1321,3)="Std",VLOOKUP(D1321,'Measure &amp; Standard CostIDs'!$S$5:$X$177,1+B1321,FALSE),VLOOKUP(D1321,'Measure &amp; Standard CostIDs'!$C$5:$H$177,1+B1321,FALSE)),2)</f>
        <v>4.13</v>
      </c>
      <c r="X1321" s="103"/>
      <c r="Y1321" s="103"/>
      <c r="Z1321" s="103" t="s">
        <v>868</v>
      </c>
      <c r="AA1321" s="103" t="s">
        <v>874</v>
      </c>
      <c r="AB1321" s="103" t="s">
        <v>153</v>
      </c>
      <c r="AC1321" s="103">
        <v>0</v>
      </c>
      <c r="AD1321" s="156">
        <v>42005</v>
      </c>
      <c r="AE1321" s="103"/>
      <c r="AF1321" s="103" t="s">
        <v>870</v>
      </c>
      <c r="AG1321" s="103" t="s">
        <v>871</v>
      </c>
      <c r="AH1321" s="103" t="s">
        <v>976</v>
      </c>
      <c r="AI1321" s="103">
        <v>0</v>
      </c>
      <c r="AJ1321" s="103"/>
      <c r="AK1321" s="103"/>
      <c r="AL1321" s="103"/>
      <c r="AM1321" s="103"/>
      <c r="AN1321" s="103"/>
      <c r="AO1321" s="103" t="str">
        <f t="shared" si="71"/>
        <v>Std_CFLscw-Refl-Ext(16w)_60pInc-r0286Three-pack</v>
      </c>
    </row>
    <row r="1322" spans="1:41">
      <c r="A1322" s="177">
        <f>IFERROR(MATCH(D1322,'Measure &amp; Standard CostIDs'!C$5:C$177,0),MATCH(D1322,'Measure &amp; Standard CostIDs'!S$5:S$177,0))</f>
        <v>171</v>
      </c>
      <c r="B1322" s="177">
        <f t="shared" si="73"/>
        <v>4</v>
      </c>
      <c r="C1322" s="103" t="s">
        <v>153</v>
      </c>
      <c r="D1322" s="103" t="str">
        <f t="shared" si="72"/>
        <v>Std_CFLscw-Refl-Ext(18w)_60pInc-r0286</v>
      </c>
      <c r="E1322" s="103" t="str">
        <f>IF(LEFT(D1322,3)="Std","Base case cost for mix of 60% Incandescent and 40% CFL lamps for CFL TechID: "&amp;INDEX('Measure &amp; Standard CostIDs'!$C$5:$C$177,A1322),"&lt;from TechID&gt;")</f>
        <v>Base case cost for mix of 60% Incandescent and 40% CFL lamps for CFL TechID: CFLscw-Refl-Ext(18w)</v>
      </c>
      <c r="F1322" s="103" t="s">
        <v>860</v>
      </c>
      <c r="G1322" s="103" t="s">
        <v>151</v>
      </c>
      <c r="H1322" s="103" t="s">
        <v>861</v>
      </c>
      <c r="I1322" s="103" t="s">
        <v>862</v>
      </c>
      <c r="J1322" s="103" t="s">
        <v>863</v>
      </c>
      <c r="K1322" s="103" t="s">
        <v>864</v>
      </c>
      <c r="L1322" s="103" t="s">
        <v>153</v>
      </c>
      <c r="M1322" s="103" t="s">
        <v>865</v>
      </c>
      <c r="N1322" s="103" t="s">
        <v>866</v>
      </c>
      <c r="O1322" s="103" t="str">
        <f t="shared" si="70"/>
        <v/>
      </c>
      <c r="P1322" s="103" t="s">
        <v>153</v>
      </c>
      <c r="Q1322" s="103" t="s">
        <v>153</v>
      </c>
      <c r="R1322" s="103" t="s">
        <v>153</v>
      </c>
      <c r="S1322" s="103" t="str">
        <f>INDEX('Measure &amp; Standard CostIDs'!$AK$8:$AK$12,B1322)</f>
        <v>Three-pack</v>
      </c>
      <c r="T1322" s="103" t="s">
        <v>867</v>
      </c>
      <c r="U1322" s="103"/>
      <c r="V1322" s="103"/>
      <c r="W1322" s="103">
        <f>ROUND(IF(LEFT(D1322,3)="Std",VLOOKUP(D1322,'Measure &amp; Standard CostIDs'!$S$5:$X$177,1+B1322,FALSE),VLOOKUP(D1322,'Measure &amp; Standard CostIDs'!$C$5:$H$177,1+B1322,FALSE)),2)</f>
        <v>4.3099999999999996</v>
      </c>
      <c r="X1322" s="103"/>
      <c r="Y1322" s="103"/>
      <c r="Z1322" s="103" t="s">
        <v>868</v>
      </c>
      <c r="AA1322" s="103" t="s">
        <v>874</v>
      </c>
      <c r="AB1322" s="103" t="s">
        <v>153</v>
      </c>
      <c r="AC1322" s="103">
        <v>0</v>
      </c>
      <c r="AD1322" s="156">
        <v>42005</v>
      </c>
      <c r="AE1322" s="103"/>
      <c r="AF1322" s="103" t="s">
        <v>870</v>
      </c>
      <c r="AG1322" s="103" t="s">
        <v>871</v>
      </c>
      <c r="AH1322" s="103" t="s">
        <v>976</v>
      </c>
      <c r="AI1322" s="103">
        <v>0</v>
      </c>
      <c r="AJ1322" s="103"/>
      <c r="AK1322" s="103"/>
      <c r="AL1322" s="103"/>
      <c r="AM1322" s="103"/>
      <c r="AN1322" s="103"/>
      <c r="AO1322" s="103" t="str">
        <f t="shared" si="71"/>
        <v>Std_CFLscw-Refl-Ext(18w)_60pInc-r0286Three-pack</v>
      </c>
    </row>
    <row r="1323" spans="1:41">
      <c r="A1323" s="177">
        <f>IFERROR(MATCH(D1323,'Measure &amp; Standard CostIDs'!C$5:C$177,0),MATCH(D1323,'Measure &amp; Standard CostIDs'!S$5:S$177,0))</f>
        <v>172</v>
      </c>
      <c r="B1323" s="177">
        <f t="shared" si="73"/>
        <v>4</v>
      </c>
      <c r="C1323" s="103" t="s">
        <v>153</v>
      </c>
      <c r="D1323" s="103" t="str">
        <f t="shared" si="72"/>
        <v>Std_CFLscw-Refl-Ext(20w)_60pInc-r0286</v>
      </c>
      <c r="E1323" s="103" t="str">
        <f>IF(LEFT(D1323,3)="Std","Base case cost for mix of 60% Incandescent and 40% CFL lamps for CFL TechID: "&amp;INDEX('Measure &amp; Standard CostIDs'!$C$5:$C$177,A1323),"&lt;from TechID&gt;")</f>
        <v>Base case cost for mix of 60% Incandescent and 40% CFL lamps for CFL TechID: CFLscw-Refl-Ext(20w)</v>
      </c>
      <c r="F1323" s="103" t="s">
        <v>860</v>
      </c>
      <c r="G1323" s="103" t="s">
        <v>151</v>
      </c>
      <c r="H1323" s="103" t="s">
        <v>861</v>
      </c>
      <c r="I1323" s="103" t="s">
        <v>862</v>
      </c>
      <c r="J1323" s="103" t="s">
        <v>863</v>
      </c>
      <c r="K1323" s="103" t="s">
        <v>864</v>
      </c>
      <c r="L1323" s="103" t="s">
        <v>153</v>
      </c>
      <c r="M1323" s="103" t="s">
        <v>865</v>
      </c>
      <c r="N1323" s="103" t="s">
        <v>866</v>
      </c>
      <c r="O1323" s="103" t="str">
        <f t="shared" si="70"/>
        <v/>
      </c>
      <c r="P1323" s="103" t="s">
        <v>153</v>
      </c>
      <c r="Q1323" s="103" t="s">
        <v>153</v>
      </c>
      <c r="R1323" s="103" t="s">
        <v>153</v>
      </c>
      <c r="S1323" s="103" t="str">
        <f>INDEX('Measure &amp; Standard CostIDs'!$AK$8:$AK$12,B1323)</f>
        <v>Three-pack</v>
      </c>
      <c r="T1323" s="103" t="s">
        <v>867</v>
      </c>
      <c r="U1323" s="103"/>
      <c r="V1323" s="103"/>
      <c r="W1323" s="103">
        <f>ROUND(IF(LEFT(D1323,3)="Std",VLOOKUP(D1323,'Measure &amp; Standard CostIDs'!$S$5:$X$177,1+B1323,FALSE),VLOOKUP(D1323,'Measure &amp; Standard CostIDs'!$C$5:$H$177,1+B1323,FALSE)),2)</f>
        <v>4.4800000000000004</v>
      </c>
      <c r="X1323" s="103"/>
      <c r="Y1323" s="103"/>
      <c r="Z1323" s="103" t="s">
        <v>868</v>
      </c>
      <c r="AA1323" s="103" t="s">
        <v>874</v>
      </c>
      <c r="AB1323" s="103" t="s">
        <v>153</v>
      </c>
      <c r="AC1323" s="103">
        <v>0</v>
      </c>
      <c r="AD1323" s="156">
        <v>42005</v>
      </c>
      <c r="AE1323" s="103"/>
      <c r="AF1323" s="103" t="s">
        <v>870</v>
      </c>
      <c r="AG1323" s="103" t="s">
        <v>871</v>
      </c>
      <c r="AH1323" s="103" t="s">
        <v>976</v>
      </c>
      <c r="AI1323" s="103">
        <v>0</v>
      </c>
      <c r="AJ1323" s="103"/>
      <c r="AK1323" s="103"/>
      <c r="AL1323" s="103"/>
      <c r="AM1323" s="103"/>
      <c r="AN1323" s="103"/>
      <c r="AO1323" s="103" t="str">
        <f t="shared" si="71"/>
        <v>Std_CFLscw-Refl-Ext(20w)_60pInc-r0286Three-pack</v>
      </c>
    </row>
    <row r="1324" spans="1:41">
      <c r="A1324" s="177">
        <f>IFERROR(MATCH(D1324,'Measure &amp; Standard CostIDs'!C$5:C$177,0),MATCH(D1324,'Measure &amp; Standard CostIDs'!S$5:S$177,0))</f>
        <v>173</v>
      </c>
      <c r="B1324" s="177">
        <f t="shared" si="73"/>
        <v>4</v>
      </c>
      <c r="C1324" s="103" t="s">
        <v>153</v>
      </c>
      <c r="D1324" s="103" t="str">
        <f t="shared" si="72"/>
        <v>Std_CFLscw-Refl-Ext(23w)_60pInc-r0286</v>
      </c>
      <c r="E1324" s="103" t="str">
        <f>IF(LEFT(D1324,3)="Std","Base case cost for mix of 60% Incandescent and 40% CFL lamps for CFL TechID: "&amp;INDEX('Measure &amp; Standard CostIDs'!$C$5:$C$177,A1324),"&lt;from TechID&gt;")</f>
        <v>Base case cost for mix of 60% Incandescent and 40% CFL lamps for CFL TechID: CFLscw-Refl-Ext(23w)</v>
      </c>
      <c r="F1324" s="103" t="s">
        <v>860</v>
      </c>
      <c r="G1324" s="103" t="s">
        <v>151</v>
      </c>
      <c r="H1324" s="103" t="s">
        <v>861</v>
      </c>
      <c r="I1324" s="103" t="s">
        <v>862</v>
      </c>
      <c r="J1324" s="103" t="s">
        <v>863</v>
      </c>
      <c r="K1324" s="103" t="s">
        <v>864</v>
      </c>
      <c r="L1324" s="103" t="s">
        <v>153</v>
      </c>
      <c r="M1324" s="103" t="s">
        <v>865</v>
      </c>
      <c r="N1324" s="103" t="s">
        <v>866</v>
      </c>
      <c r="O1324" s="103" t="str">
        <f t="shared" si="70"/>
        <v/>
      </c>
      <c r="P1324" s="103" t="s">
        <v>153</v>
      </c>
      <c r="Q1324" s="103" t="s">
        <v>153</v>
      </c>
      <c r="R1324" s="103" t="s">
        <v>153</v>
      </c>
      <c r="S1324" s="103" t="str">
        <f>INDEX('Measure &amp; Standard CostIDs'!$AK$8:$AK$12,B1324)</f>
        <v>Three-pack</v>
      </c>
      <c r="T1324" s="103" t="s">
        <v>867</v>
      </c>
      <c r="U1324" s="103"/>
      <c r="V1324" s="103"/>
      <c r="W1324" s="103">
        <f>ROUND(IF(LEFT(D1324,3)="Std",VLOOKUP(D1324,'Measure &amp; Standard CostIDs'!$S$5:$X$177,1+B1324,FALSE),VLOOKUP(D1324,'Measure &amp; Standard CostIDs'!$C$5:$H$177,1+B1324,FALSE)),2)</f>
        <v>4.7300000000000004</v>
      </c>
      <c r="X1324" s="103"/>
      <c r="Y1324" s="103"/>
      <c r="Z1324" s="103" t="s">
        <v>868</v>
      </c>
      <c r="AA1324" s="103" t="s">
        <v>874</v>
      </c>
      <c r="AB1324" s="103" t="s">
        <v>153</v>
      </c>
      <c r="AC1324" s="103">
        <v>0</v>
      </c>
      <c r="AD1324" s="156">
        <v>42005</v>
      </c>
      <c r="AE1324" s="103"/>
      <c r="AF1324" s="103" t="s">
        <v>870</v>
      </c>
      <c r="AG1324" s="103" t="s">
        <v>871</v>
      </c>
      <c r="AH1324" s="103" t="s">
        <v>976</v>
      </c>
      <c r="AI1324" s="103">
        <v>0</v>
      </c>
      <c r="AJ1324" s="103"/>
      <c r="AK1324" s="103"/>
      <c r="AL1324" s="103"/>
      <c r="AM1324" s="103"/>
      <c r="AN1324" s="103"/>
      <c r="AO1324" s="103" t="str">
        <f t="shared" si="71"/>
        <v>Std_CFLscw-Refl-Ext(23w)_60pInc-r0286Three-pack</v>
      </c>
    </row>
    <row r="1325" spans="1:41">
      <c r="A1325" s="177">
        <f>IFERROR(MATCH(D1325,'Measure &amp; Standard CostIDs'!C$5:C$177,0),MATCH(D1325,'Measure &amp; Standard CostIDs'!S$5:S$177,0))</f>
        <v>1</v>
      </c>
      <c r="B1325" s="177">
        <f t="shared" si="73"/>
        <v>5</v>
      </c>
      <c r="C1325" s="103" t="s">
        <v>153</v>
      </c>
      <c r="D1325" s="103" t="str">
        <f t="shared" si="72"/>
        <v>CFLscw(10w)</v>
      </c>
      <c r="E1325" s="103" t="str">
        <f>IF(LEFT(D1325,3)="Std","Base case cost for mix of 60% Incandescent and 40% CFL lamps for CFL TechID: "&amp;INDEX('Measure &amp; Standard CostIDs'!$C$5:$C$177,A1325),"&lt;from TechID&gt;")</f>
        <v>&lt;from TechID&gt;</v>
      </c>
      <c r="F1325" s="103" t="s">
        <v>860</v>
      </c>
      <c r="G1325" s="103" t="s">
        <v>151</v>
      </c>
      <c r="H1325" s="103" t="s">
        <v>861</v>
      </c>
      <c r="I1325" s="103" t="s">
        <v>862</v>
      </c>
      <c r="J1325" s="103" t="s">
        <v>863</v>
      </c>
      <c r="K1325" s="103" t="s">
        <v>864</v>
      </c>
      <c r="L1325" s="103" t="s">
        <v>153</v>
      </c>
      <c r="M1325" s="103" t="s">
        <v>865</v>
      </c>
      <c r="N1325" s="103" t="s">
        <v>866</v>
      </c>
      <c r="O1325" s="103" t="str">
        <f t="shared" ref="O1325:O1388" si="74">IF(LEFT(D1325,3)="Std","",D1325)</f>
        <v>CFLscw(10w)</v>
      </c>
      <c r="P1325" s="103" t="s">
        <v>153</v>
      </c>
      <c r="Q1325" s="103" t="s">
        <v>153</v>
      </c>
      <c r="R1325" s="103" t="s">
        <v>153</v>
      </c>
      <c r="S1325" s="103" t="str">
        <f>INDEX('Measure &amp; Standard CostIDs'!$AK$8:$AK$12,B1325)</f>
        <v>Four+pack</v>
      </c>
      <c r="T1325" s="103" t="s">
        <v>867</v>
      </c>
      <c r="U1325" s="103"/>
      <c r="V1325" s="103"/>
      <c r="W1325" s="103">
        <f>ROUND(IF(LEFT(D1325,3)="Std",VLOOKUP(D1325,'Measure &amp; Standard CostIDs'!$S$5:$X$177,1+B1325,FALSE),VLOOKUP(D1325,'Measure &amp; Standard CostIDs'!$C$5:$H$177,1+B1325,FALSE)),2)</f>
        <v>1.71</v>
      </c>
      <c r="X1325" s="103"/>
      <c r="Y1325" s="103"/>
      <c r="Z1325" s="103" t="s">
        <v>868</v>
      </c>
      <c r="AA1325" s="103" t="s">
        <v>874</v>
      </c>
      <c r="AB1325" s="103" t="s">
        <v>153</v>
      </c>
      <c r="AC1325" s="103">
        <v>0</v>
      </c>
      <c r="AD1325" s="156">
        <v>42005</v>
      </c>
      <c r="AE1325" s="103"/>
      <c r="AF1325" s="103" t="s">
        <v>870</v>
      </c>
      <c r="AG1325" s="103" t="s">
        <v>871</v>
      </c>
      <c r="AH1325" s="103" t="s">
        <v>976</v>
      </c>
      <c r="AI1325" s="103">
        <v>0</v>
      </c>
      <c r="AJ1325" s="103"/>
      <c r="AK1325" s="103"/>
      <c r="AL1325" s="103"/>
      <c r="AM1325" s="103"/>
      <c r="AN1325" s="103"/>
      <c r="AO1325" s="103" t="str">
        <f t="shared" ref="AO1325:AO1388" si="75">D1325&amp;S1325</f>
        <v>CFLscw(10w)Four+pack</v>
      </c>
    </row>
    <row r="1326" spans="1:41">
      <c r="A1326" s="177">
        <f>IFERROR(MATCH(D1326,'Measure &amp; Standard CostIDs'!C$5:C$177,0),MATCH(D1326,'Measure &amp; Standard CostIDs'!S$5:S$177,0))</f>
        <v>2</v>
      </c>
      <c r="B1326" s="177">
        <f t="shared" si="73"/>
        <v>5</v>
      </c>
      <c r="C1326" s="103" t="s">
        <v>153</v>
      </c>
      <c r="D1326" s="103" t="str">
        <f t="shared" si="72"/>
        <v>CFLscw(11w)</v>
      </c>
      <c r="E1326" s="103" t="str">
        <f>IF(LEFT(D1326,3)="Std","Base case cost for mix of 60% Incandescent and 40% CFL lamps for CFL TechID: "&amp;INDEX('Measure &amp; Standard CostIDs'!$C$5:$C$177,A1326),"&lt;from TechID&gt;")</f>
        <v>&lt;from TechID&gt;</v>
      </c>
      <c r="F1326" s="103" t="s">
        <v>860</v>
      </c>
      <c r="G1326" s="103" t="s">
        <v>151</v>
      </c>
      <c r="H1326" s="103" t="s">
        <v>861</v>
      </c>
      <c r="I1326" s="103" t="s">
        <v>862</v>
      </c>
      <c r="J1326" s="103" t="s">
        <v>863</v>
      </c>
      <c r="K1326" s="103" t="s">
        <v>864</v>
      </c>
      <c r="L1326" s="103" t="s">
        <v>153</v>
      </c>
      <c r="M1326" s="103" t="s">
        <v>865</v>
      </c>
      <c r="N1326" s="103" t="s">
        <v>866</v>
      </c>
      <c r="O1326" s="103" t="str">
        <f t="shared" si="74"/>
        <v>CFLscw(11w)</v>
      </c>
      <c r="P1326" s="103" t="s">
        <v>153</v>
      </c>
      <c r="Q1326" s="103" t="s">
        <v>153</v>
      </c>
      <c r="R1326" s="103" t="s">
        <v>153</v>
      </c>
      <c r="S1326" s="103" t="str">
        <f>INDEX('Measure &amp; Standard CostIDs'!$AK$8:$AK$12,B1326)</f>
        <v>Four+pack</v>
      </c>
      <c r="T1326" s="103" t="s">
        <v>867</v>
      </c>
      <c r="U1326" s="103"/>
      <c r="V1326" s="103"/>
      <c r="W1326" s="103">
        <f>ROUND(IF(LEFT(D1326,3)="Std",VLOOKUP(D1326,'Measure &amp; Standard CostIDs'!$S$5:$X$177,1+B1326,FALSE),VLOOKUP(D1326,'Measure &amp; Standard CostIDs'!$C$5:$H$177,1+B1326,FALSE)),2)</f>
        <v>1.77</v>
      </c>
      <c r="X1326" s="103"/>
      <c r="Y1326" s="103"/>
      <c r="Z1326" s="103" t="s">
        <v>868</v>
      </c>
      <c r="AA1326" s="103" t="s">
        <v>874</v>
      </c>
      <c r="AB1326" s="103" t="s">
        <v>153</v>
      </c>
      <c r="AC1326" s="103">
        <v>0</v>
      </c>
      <c r="AD1326" s="156">
        <v>42005</v>
      </c>
      <c r="AE1326" s="103"/>
      <c r="AF1326" s="103" t="s">
        <v>870</v>
      </c>
      <c r="AG1326" s="103" t="s">
        <v>871</v>
      </c>
      <c r="AH1326" s="103" t="s">
        <v>976</v>
      </c>
      <c r="AI1326" s="103">
        <v>0</v>
      </c>
      <c r="AJ1326" s="103"/>
      <c r="AK1326" s="103"/>
      <c r="AL1326" s="103"/>
      <c r="AM1326" s="103"/>
      <c r="AN1326" s="103"/>
      <c r="AO1326" s="103" t="str">
        <f t="shared" si="75"/>
        <v>CFLscw(11w)Four+pack</v>
      </c>
    </row>
    <row r="1327" spans="1:41">
      <c r="A1327" s="177">
        <f>IFERROR(MATCH(D1327,'Measure &amp; Standard CostIDs'!C$5:C$177,0),MATCH(D1327,'Measure &amp; Standard CostIDs'!S$5:S$177,0))</f>
        <v>3</v>
      </c>
      <c r="B1327" s="177">
        <f t="shared" si="73"/>
        <v>5</v>
      </c>
      <c r="C1327" s="103" t="s">
        <v>153</v>
      </c>
      <c r="D1327" s="103" t="str">
        <f t="shared" si="72"/>
        <v>CFLscw(120w)</v>
      </c>
      <c r="E1327" s="103" t="str">
        <f>IF(LEFT(D1327,3)="Std","Base case cost for mix of 60% Incandescent and 40% CFL lamps for CFL TechID: "&amp;INDEX('Measure &amp; Standard CostIDs'!$C$5:$C$177,A1327),"&lt;from TechID&gt;")</f>
        <v>&lt;from TechID&gt;</v>
      </c>
      <c r="F1327" s="103" t="s">
        <v>860</v>
      </c>
      <c r="G1327" s="103" t="s">
        <v>151</v>
      </c>
      <c r="H1327" s="103" t="s">
        <v>861</v>
      </c>
      <c r="I1327" s="103" t="s">
        <v>862</v>
      </c>
      <c r="J1327" s="103" t="s">
        <v>863</v>
      </c>
      <c r="K1327" s="103" t="s">
        <v>864</v>
      </c>
      <c r="L1327" s="103" t="s">
        <v>153</v>
      </c>
      <c r="M1327" s="103" t="s">
        <v>865</v>
      </c>
      <c r="N1327" s="103" t="s">
        <v>866</v>
      </c>
      <c r="O1327" s="103" t="str">
        <f t="shared" si="74"/>
        <v>CFLscw(120w)</v>
      </c>
      <c r="P1327" s="103" t="s">
        <v>153</v>
      </c>
      <c r="Q1327" s="103" t="s">
        <v>153</v>
      </c>
      <c r="R1327" s="103" t="s">
        <v>153</v>
      </c>
      <c r="S1327" s="103" t="str">
        <f>INDEX('Measure &amp; Standard CostIDs'!$AK$8:$AK$12,B1327)</f>
        <v>Four+pack</v>
      </c>
      <c r="T1327" s="103" t="s">
        <v>867</v>
      </c>
      <c r="U1327" s="103"/>
      <c r="V1327" s="103"/>
      <c r="W1327" s="103">
        <f>ROUND(IF(LEFT(D1327,3)="Std",VLOOKUP(D1327,'Measure &amp; Standard CostIDs'!$S$5:$X$177,1+B1327,FALSE),VLOOKUP(D1327,'Measure &amp; Standard CostIDs'!$C$5:$H$177,1+B1327,FALSE)),2)</f>
        <v>17.899999999999999</v>
      </c>
      <c r="X1327" s="103"/>
      <c r="Y1327" s="103"/>
      <c r="Z1327" s="103" t="s">
        <v>868</v>
      </c>
      <c r="AA1327" s="103" t="s">
        <v>874</v>
      </c>
      <c r="AB1327" s="103" t="s">
        <v>153</v>
      </c>
      <c r="AC1327" s="103">
        <v>0</v>
      </c>
      <c r="AD1327" s="156">
        <v>42005</v>
      </c>
      <c r="AE1327" s="103"/>
      <c r="AF1327" s="103" t="s">
        <v>870</v>
      </c>
      <c r="AG1327" s="103" t="s">
        <v>871</v>
      </c>
      <c r="AH1327" s="103" t="s">
        <v>976</v>
      </c>
      <c r="AI1327" s="103">
        <v>0</v>
      </c>
      <c r="AJ1327" s="103"/>
      <c r="AK1327" s="103"/>
      <c r="AL1327" s="103"/>
      <c r="AM1327" s="103"/>
      <c r="AN1327" s="103"/>
      <c r="AO1327" s="103" t="str">
        <f t="shared" si="75"/>
        <v>CFLscw(120w)Four+pack</v>
      </c>
    </row>
    <row r="1328" spans="1:41">
      <c r="A1328" s="177">
        <f>IFERROR(MATCH(D1328,'Measure &amp; Standard CostIDs'!C$5:C$177,0),MATCH(D1328,'Measure &amp; Standard CostIDs'!S$5:S$177,0))</f>
        <v>4</v>
      </c>
      <c r="B1328" s="177">
        <f t="shared" si="73"/>
        <v>5</v>
      </c>
      <c r="C1328" s="103" t="s">
        <v>153</v>
      </c>
      <c r="D1328" s="103" t="str">
        <f t="shared" si="72"/>
        <v>CFLscw(12w)</v>
      </c>
      <c r="E1328" s="103" t="str">
        <f>IF(LEFT(D1328,3)="Std","Base case cost for mix of 60% Incandescent and 40% CFL lamps for CFL TechID: "&amp;INDEX('Measure &amp; Standard CostIDs'!$C$5:$C$177,A1328),"&lt;from TechID&gt;")</f>
        <v>&lt;from TechID&gt;</v>
      </c>
      <c r="F1328" s="103" t="s">
        <v>860</v>
      </c>
      <c r="G1328" s="103" t="s">
        <v>151</v>
      </c>
      <c r="H1328" s="103" t="s">
        <v>861</v>
      </c>
      <c r="I1328" s="103" t="s">
        <v>862</v>
      </c>
      <c r="J1328" s="103" t="s">
        <v>863</v>
      </c>
      <c r="K1328" s="103" t="s">
        <v>864</v>
      </c>
      <c r="L1328" s="103" t="s">
        <v>153</v>
      </c>
      <c r="M1328" s="103" t="s">
        <v>865</v>
      </c>
      <c r="N1328" s="103" t="s">
        <v>866</v>
      </c>
      <c r="O1328" s="103" t="str">
        <f t="shared" si="74"/>
        <v>CFLscw(12w)</v>
      </c>
      <c r="P1328" s="103" t="s">
        <v>153</v>
      </c>
      <c r="Q1328" s="103" t="s">
        <v>153</v>
      </c>
      <c r="R1328" s="103" t="s">
        <v>153</v>
      </c>
      <c r="S1328" s="103" t="str">
        <f>INDEX('Measure &amp; Standard CostIDs'!$AK$8:$AK$12,B1328)</f>
        <v>Four+pack</v>
      </c>
      <c r="T1328" s="103" t="s">
        <v>867</v>
      </c>
      <c r="U1328" s="103"/>
      <c r="V1328" s="103"/>
      <c r="W1328" s="103">
        <f>ROUND(IF(LEFT(D1328,3)="Std",VLOOKUP(D1328,'Measure &amp; Standard CostIDs'!$S$5:$X$177,1+B1328,FALSE),VLOOKUP(D1328,'Measure &amp; Standard CostIDs'!$C$5:$H$177,1+B1328,FALSE)),2)</f>
        <v>1.84</v>
      </c>
      <c r="X1328" s="103"/>
      <c r="Y1328" s="103"/>
      <c r="Z1328" s="103" t="s">
        <v>868</v>
      </c>
      <c r="AA1328" s="103" t="s">
        <v>874</v>
      </c>
      <c r="AB1328" s="103" t="s">
        <v>153</v>
      </c>
      <c r="AC1328" s="103">
        <v>0</v>
      </c>
      <c r="AD1328" s="156">
        <v>42005</v>
      </c>
      <c r="AE1328" s="103"/>
      <c r="AF1328" s="103" t="s">
        <v>870</v>
      </c>
      <c r="AG1328" s="103" t="s">
        <v>871</v>
      </c>
      <c r="AH1328" s="103" t="s">
        <v>976</v>
      </c>
      <c r="AI1328" s="103">
        <v>0</v>
      </c>
      <c r="AJ1328" s="103"/>
      <c r="AK1328" s="103"/>
      <c r="AL1328" s="103"/>
      <c r="AM1328" s="103"/>
      <c r="AN1328" s="103"/>
      <c r="AO1328" s="103" t="str">
        <f t="shared" si="75"/>
        <v>CFLscw(12w)Four+pack</v>
      </c>
    </row>
    <row r="1329" spans="1:41">
      <c r="A1329" s="177">
        <f>IFERROR(MATCH(D1329,'Measure &amp; Standard CostIDs'!C$5:C$177,0),MATCH(D1329,'Measure &amp; Standard CostIDs'!S$5:S$177,0))</f>
        <v>5</v>
      </c>
      <c r="B1329" s="177">
        <f t="shared" si="73"/>
        <v>5</v>
      </c>
      <c r="C1329" s="103" t="s">
        <v>153</v>
      </c>
      <c r="D1329" s="103" t="str">
        <f t="shared" si="72"/>
        <v>CFLscw(13w)</v>
      </c>
      <c r="E1329" s="103" t="str">
        <f>IF(LEFT(D1329,3)="Std","Base case cost for mix of 60% Incandescent and 40% CFL lamps for CFL TechID: "&amp;INDEX('Measure &amp; Standard CostIDs'!$C$5:$C$177,A1329),"&lt;from TechID&gt;")</f>
        <v>&lt;from TechID&gt;</v>
      </c>
      <c r="F1329" s="103" t="s">
        <v>860</v>
      </c>
      <c r="G1329" s="103" t="s">
        <v>151</v>
      </c>
      <c r="H1329" s="103" t="s">
        <v>861</v>
      </c>
      <c r="I1329" s="103" t="s">
        <v>862</v>
      </c>
      <c r="J1329" s="103" t="s">
        <v>863</v>
      </c>
      <c r="K1329" s="103" t="s">
        <v>864</v>
      </c>
      <c r="L1329" s="103" t="s">
        <v>153</v>
      </c>
      <c r="M1329" s="103" t="s">
        <v>865</v>
      </c>
      <c r="N1329" s="103" t="s">
        <v>866</v>
      </c>
      <c r="O1329" s="103" t="str">
        <f t="shared" si="74"/>
        <v>CFLscw(13w)</v>
      </c>
      <c r="P1329" s="103" t="s">
        <v>153</v>
      </c>
      <c r="Q1329" s="103" t="s">
        <v>153</v>
      </c>
      <c r="R1329" s="103" t="s">
        <v>153</v>
      </c>
      <c r="S1329" s="103" t="str">
        <f>INDEX('Measure &amp; Standard CostIDs'!$AK$8:$AK$12,B1329)</f>
        <v>Four+pack</v>
      </c>
      <c r="T1329" s="103" t="s">
        <v>867</v>
      </c>
      <c r="U1329" s="103"/>
      <c r="V1329" s="103"/>
      <c r="W1329" s="103">
        <f>ROUND(IF(LEFT(D1329,3)="Std",VLOOKUP(D1329,'Measure &amp; Standard CostIDs'!$S$5:$X$177,1+B1329,FALSE),VLOOKUP(D1329,'Measure &amp; Standard CostIDs'!$C$5:$H$177,1+B1329,FALSE)),2)</f>
        <v>1.91</v>
      </c>
      <c r="X1329" s="103"/>
      <c r="Y1329" s="103"/>
      <c r="Z1329" s="103" t="s">
        <v>868</v>
      </c>
      <c r="AA1329" s="103" t="s">
        <v>874</v>
      </c>
      <c r="AB1329" s="103" t="s">
        <v>153</v>
      </c>
      <c r="AC1329" s="103">
        <v>0</v>
      </c>
      <c r="AD1329" s="156">
        <v>42005</v>
      </c>
      <c r="AE1329" s="103"/>
      <c r="AF1329" s="103" t="s">
        <v>870</v>
      </c>
      <c r="AG1329" s="103" t="s">
        <v>871</v>
      </c>
      <c r="AH1329" s="103" t="s">
        <v>976</v>
      </c>
      <c r="AI1329" s="103">
        <v>0</v>
      </c>
      <c r="AJ1329" s="103"/>
      <c r="AK1329" s="103"/>
      <c r="AL1329" s="103"/>
      <c r="AM1329" s="103"/>
      <c r="AN1329" s="103"/>
      <c r="AO1329" s="103" t="str">
        <f t="shared" si="75"/>
        <v>CFLscw(13w)Four+pack</v>
      </c>
    </row>
    <row r="1330" spans="1:41">
      <c r="A1330" s="177">
        <f>IFERROR(MATCH(D1330,'Measure &amp; Standard CostIDs'!C$5:C$177,0),MATCH(D1330,'Measure &amp; Standard CostIDs'!S$5:S$177,0))</f>
        <v>6</v>
      </c>
      <c r="B1330" s="177">
        <f t="shared" si="73"/>
        <v>5</v>
      </c>
      <c r="C1330" s="103" t="s">
        <v>153</v>
      </c>
      <c r="D1330" s="103" t="str">
        <f t="shared" si="72"/>
        <v>CFLscw(14w)</v>
      </c>
      <c r="E1330" s="103" t="str">
        <f>IF(LEFT(D1330,3)="Std","Base case cost for mix of 60% Incandescent and 40% CFL lamps for CFL TechID: "&amp;INDEX('Measure &amp; Standard CostIDs'!$C$5:$C$177,A1330),"&lt;from TechID&gt;")</f>
        <v>&lt;from TechID&gt;</v>
      </c>
      <c r="F1330" s="103" t="s">
        <v>860</v>
      </c>
      <c r="G1330" s="103" t="s">
        <v>151</v>
      </c>
      <c r="H1330" s="103" t="s">
        <v>861</v>
      </c>
      <c r="I1330" s="103" t="s">
        <v>862</v>
      </c>
      <c r="J1330" s="103" t="s">
        <v>863</v>
      </c>
      <c r="K1330" s="103" t="s">
        <v>864</v>
      </c>
      <c r="L1330" s="103" t="s">
        <v>153</v>
      </c>
      <c r="M1330" s="103" t="s">
        <v>865</v>
      </c>
      <c r="N1330" s="103" t="s">
        <v>866</v>
      </c>
      <c r="O1330" s="103" t="str">
        <f t="shared" si="74"/>
        <v>CFLscw(14w)</v>
      </c>
      <c r="P1330" s="103" t="s">
        <v>153</v>
      </c>
      <c r="Q1330" s="103" t="s">
        <v>153</v>
      </c>
      <c r="R1330" s="103" t="s">
        <v>153</v>
      </c>
      <c r="S1330" s="103" t="str">
        <f>INDEX('Measure &amp; Standard CostIDs'!$AK$8:$AK$12,B1330)</f>
        <v>Four+pack</v>
      </c>
      <c r="T1330" s="103" t="s">
        <v>867</v>
      </c>
      <c r="U1330" s="103"/>
      <c r="V1330" s="103"/>
      <c r="W1330" s="103">
        <f>ROUND(IF(LEFT(D1330,3)="Std",VLOOKUP(D1330,'Measure &amp; Standard CostIDs'!$S$5:$X$177,1+B1330,FALSE),VLOOKUP(D1330,'Measure &amp; Standard CostIDs'!$C$5:$H$177,1+B1330,FALSE)),2)</f>
        <v>1.97</v>
      </c>
      <c r="X1330" s="103"/>
      <c r="Y1330" s="103"/>
      <c r="Z1330" s="103" t="s">
        <v>868</v>
      </c>
      <c r="AA1330" s="103" t="s">
        <v>874</v>
      </c>
      <c r="AB1330" s="103" t="s">
        <v>153</v>
      </c>
      <c r="AC1330" s="103">
        <v>0</v>
      </c>
      <c r="AD1330" s="156">
        <v>42005</v>
      </c>
      <c r="AE1330" s="103"/>
      <c r="AF1330" s="103" t="s">
        <v>870</v>
      </c>
      <c r="AG1330" s="103" t="s">
        <v>871</v>
      </c>
      <c r="AH1330" s="103" t="s">
        <v>976</v>
      </c>
      <c r="AI1330" s="103">
        <v>0</v>
      </c>
      <c r="AJ1330" s="103"/>
      <c r="AK1330" s="103"/>
      <c r="AL1330" s="103"/>
      <c r="AM1330" s="103"/>
      <c r="AN1330" s="103"/>
      <c r="AO1330" s="103" t="str">
        <f t="shared" si="75"/>
        <v>CFLscw(14w)Four+pack</v>
      </c>
    </row>
    <row r="1331" spans="1:41">
      <c r="A1331" s="177">
        <f>IFERROR(MATCH(D1331,'Measure &amp; Standard CostIDs'!C$5:C$177,0),MATCH(D1331,'Measure &amp; Standard CostIDs'!S$5:S$177,0))</f>
        <v>7</v>
      </c>
      <c r="B1331" s="177">
        <f t="shared" si="73"/>
        <v>5</v>
      </c>
      <c r="C1331" s="103" t="s">
        <v>153</v>
      </c>
      <c r="D1331" s="103" t="str">
        <f t="shared" si="72"/>
        <v>CFLscw(15w)</v>
      </c>
      <c r="E1331" s="103" t="str">
        <f>IF(LEFT(D1331,3)="Std","Base case cost for mix of 60% Incandescent and 40% CFL lamps for CFL TechID: "&amp;INDEX('Measure &amp; Standard CostIDs'!$C$5:$C$177,A1331),"&lt;from TechID&gt;")</f>
        <v>&lt;from TechID&gt;</v>
      </c>
      <c r="F1331" s="103" t="s">
        <v>860</v>
      </c>
      <c r="G1331" s="103" t="s">
        <v>151</v>
      </c>
      <c r="H1331" s="103" t="s">
        <v>861</v>
      </c>
      <c r="I1331" s="103" t="s">
        <v>862</v>
      </c>
      <c r="J1331" s="103" t="s">
        <v>863</v>
      </c>
      <c r="K1331" s="103" t="s">
        <v>864</v>
      </c>
      <c r="L1331" s="103" t="s">
        <v>153</v>
      </c>
      <c r="M1331" s="103" t="s">
        <v>865</v>
      </c>
      <c r="N1331" s="103" t="s">
        <v>866</v>
      </c>
      <c r="O1331" s="103" t="str">
        <f t="shared" si="74"/>
        <v>CFLscw(15w)</v>
      </c>
      <c r="P1331" s="103" t="s">
        <v>153</v>
      </c>
      <c r="Q1331" s="103" t="s">
        <v>153</v>
      </c>
      <c r="R1331" s="103" t="s">
        <v>153</v>
      </c>
      <c r="S1331" s="103" t="str">
        <f>INDEX('Measure &amp; Standard CostIDs'!$AK$8:$AK$12,B1331)</f>
        <v>Four+pack</v>
      </c>
      <c r="T1331" s="103" t="s">
        <v>867</v>
      </c>
      <c r="U1331" s="103"/>
      <c r="V1331" s="103"/>
      <c r="W1331" s="103">
        <f>ROUND(IF(LEFT(D1331,3)="Std",VLOOKUP(D1331,'Measure &amp; Standard CostIDs'!$S$5:$X$177,1+B1331,FALSE),VLOOKUP(D1331,'Measure &amp; Standard CostIDs'!$C$5:$H$177,1+B1331,FALSE)),2)</f>
        <v>2.04</v>
      </c>
      <c r="X1331" s="103"/>
      <c r="Y1331" s="103"/>
      <c r="Z1331" s="103" t="s">
        <v>868</v>
      </c>
      <c r="AA1331" s="103" t="s">
        <v>874</v>
      </c>
      <c r="AB1331" s="103" t="s">
        <v>153</v>
      </c>
      <c r="AC1331" s="103">
        <v>0</v>
      </c>
      <c r="AD1331" s="156">
        <v>42005</v>
      </c>
      <c r="AE1331" s="103"/>
      <c r="AF1331" s="103" t="s">
        <v>870</v>
      </c>
      <c r="AG1331" s="103" t="s">
        <v>871</v>
      </c>
      <c r="AH1331" s="103" t="s">
        <v>976</v>
      </c>
      <c r="AI1331" s="103">
        <v>0</v>
      </c>
      <c r="AJ1331" s="103"/>
      <c r="AK1331" s="103"/>
      <c r="AL1331" s="103"/>
      <c r="AM1331" s="103"/>
      <c r="AN1331" s="103"/>
      <c r="AO1331" s="103" t="str">
        <f t="shared" si="75"/>
        <v>CFLscw(15w)Four+pack</v>
      </c>
    </row>
    <row r="1332" spans="1:41">
      <c r="A1332" s="177">
        <f>IFERROR(MATCH(D1332,'Measure &amp; Standard CostIDs'!C$5:C$177,0),MATCH(D1332,'Measure &amp; Standard CostIDs'!S$5:S$177,0))</f>
        <v>8</v>
      </c>
      <c r="B1332" s="177">
        <f t="shared" si="73"/>
        <v>5</v>
      </c>
      <c r="C1332" s="103" t="s">
        <v>153</v>
      </c>
      <c r="D1332" s="103" t="str">
        <f t="shared" si="72"/>
        <v>CFLscw(16w)</v>
      </c>
      <c r="E1332" s="103" t="str">
        <f>IF(LEFT(D1332,3)="Std","Base case cost for mix of 60% Incandescent and 40% CFL lamps for CFL TechID: "&amp;INDEX('Measure &amp; Standard CostIDs'!$C$5:$C$177,A1332),"&lt;from TechID&gt;")</f>
        <v>&lt;from TechID&gt;</v>
      </c>
      <c r="F1332" s="103" t="s">
        <v>860</v>
      </c>
      <c r="G1332" s="103" t="s">
        <v>151</v>
      </c>
      <c r="H1332" s="103" t="s">
        <v>861</v>
      </c>
      <c r="I1332" s="103" t="s">
        <v>862</v>
      </c>
      <c r="J1332" s="103" t="s">
        <v>863</v>
      </c>
      <c r="K1332" s="103" t="s">
        <v>864</v>
      </c>
      <c r="L1332" s="103" t="s">
        <v>153</v>
      </c>
      <c r="M1332" s="103" t="s">
        <v>865</v>
      </c>
      <c r="N1332" s="103" t="s">
        <v>866</v>
      </c>
      <c r="O1332" s="103" t="str">
        <f t="shared" si="74"/>
        <v>CFLscw(16w)</v>
      </c>
      <c r="P1332" s="103" t="s">
        <v>153</v>
      </c>
      <c r="Q1332" s="103" t="s">
        <v>153</v>
      </c>
      <c r="R1332" s="103" t="s">
        <v>153</v>
      </c>
      <c r="S1332" s="103" t="str">
        <f>INDEX('Measure &amp; Standard CostIDs'!$AK$8:$AK$12,B1332)</f>
        <v>Four+pack</v>
      </c>
      <c r="T1332" s="103" t="s">
        <v>867</v>
      </c>
      <c r="U1332" s="103"/>
      <c r="V1332" s="103"/>
      <c r="W1332" s="103">
        <f>ROUND(IF(LEFT(D1332,3)="Std",VLOOKUP(D1332,'Measure &amp; Standard CostIDs'!$S$5:$X$177,1+B1332,FALSE),VLOOKUP(D1332,'Measure &amp; Standard CostIDs'!$C$5:$H$177,1+B1332,FALSE)),2)</f>
        <v>2.11</v>
      </c>
      <c r="X1332" s="103"/>
      <c r="Y1332" s="103"/>
      <c r="Z1332" s="103" t="s">
        <v>868</v>
      </c>
      <c r="AA1332" s="103" t="s">
        <v>874</v>
      </c>
      <c r="AB1332" s="103" t="s">
        <v>153</v>
      </c>
      <c r="AC1332" s="103">
        <v>0</v>
      </c>
      <c r="AD1332" s="156">
        <v>42005</v>
      </c>
      <c r="AE1332" s="103"/>
      <c r="AF1332" s="103" t="s">
        <v>870</v>
      </c>
      <c r="AG1332" s="103" t="s">
        <v>871</v>
      </c>
      <c r="AH1332" s="103" t="s">
        <v>976</v>
      </c>
      <c r="AI1332" s="103">
        <v>0</v>
      </c>
      <c r="AJ1332" s="103"/>
      <c r="AK1332" s="103"/>
      <c r="AL1332" s="103"/>
      <c r="AM1332" s="103"/>
      <c r="AN1332" s="103"/>
      <c r="AO1332" s="103" t="str">
        <f t="shared" si="75"/>
        <v>CFLscw(16w)Four+pack</v>
      </c>
    </row>
    <row r="1333" spans="1:41">
      <c r="A1333" s="177">
        <f>IFERROR(MATCH(D1333,'Measure &amp; Standard CostIDs'!C$5:C$177,0),MATCH(D1333,'Measure &amp; Standard CostIDs'!S$5:S$177,0))</f>
        <v>9</v>
      </c>
      <c r="B1333" s="177">
        <f t="shared" si="73"/>
        <v>5</v>
      </c>
      <c r="C1333" s="103" t="s">
        <v>153</v>
      </c>
      <c r="D1333" s="103" t="str">
        <f t="shared" si="72"/>
        <v>CFLscw(17w)</v>
      </c>
      <c r="E1333" s="103" t="str">
        <f>IF(LEFT(D1333,3)="Std","Base case cost for mix of 60% Incandescent and 40% CFL lamps for CFL TechID: "&amp;INDEX('Measure &amp; Standard CostIDs'!$C$5:$C$177,A1333),"&lt;from TechID&gt;")</f>
        <v>&lt;from TechID&gt;</v>
      </c>
      <c r="F1333" s="103" t="s">
        <v>860</v>
      </c>
      <c r="G1333" s="103" t="s">
        <v>151</v>
      </c>
      <c r="H1333" s="103" t="s">
        <v>861</v>
      </c>
      <c r="I1333" s="103" t="s">
        <v>862</v>
      </c>
      <c r="J1333" s="103" t="s">
        <v>863</v>
      </c>
      <c r="K1333" s="103" t="s">
        <v>864</v>
      </c>
      <c r="L1333" s="103" t="s">
        <v>153</v>
      </c>
      <c r="M1333" s="103" t="s">
        <v>865</v>
      </c>
      <c r="N1333" s="103" t="s">
        <v>866</v>
      </c>
      <c r="O1333" s="103" t="str">
        <f t="shared" si="74"/>
        <v>CFLscw(17w)</v>
      </c>
      <c r="P1333" s="103" t="s">
        <v>153</v>
      </c>
      <c r="Q1333" s="103" t="s">
        <v>153</v>
      </c>
      <c r="R1333" s="103" t="s">
        <v>153</v>
      </c>
      <c r="S1333" s="103" t="str">
        <f>INDEX('Measure &amp; Standard CostIDs'!$AK$8:$AK$12,B1333)</f>
        <v>Four+pack</v>
      </c>
      <c r="T1333" s="103" t="s">
        <v>867</v>
      </c>
      <c r="U1333" s="103"/>
      <c r="V1333" s="103"/>
      <c r="W1333" s="103">
        <f>ROUND(IF(LEFT(D1333,3)="Std",VLOOKUP(D1333,'Measure &amp; Standard CostIDs'!$S$5:$X$177,1+B1333,FALSE),VLOOKUP(D1333,'Measure &amp; Standard CostIDs'!$C$5:$H$177,1+B1333,FALSE)),2)</f>
        <v>2.17</v>
      </c>
      <c r="X1333" s="103"/>
      <c r="Y1333" s="103"/>
      <c r="Z1333" s="103" t="s">
        <v>868</v>
      </c>
      <c r="AA1333" s="103" t="s">
        <v>874</v>
      </c>
      <c r="AB1333" s="103" t="s">
        <v>153</v>
      </c>
      <c r="AC1333" s="103">
        <v>0</v>
      </c>
      <c r="AD1333" s="156">
        <v>42005</v>
      </c>
      <c r="AE1333" s="103"/>
      <c r="AF1333" s="103" t="s">
        <v>870</v>
      </c>
      <c r="AG1333" s="103" t="s">
        <v>871</v>
      </c>
      <c r="AH1333" s="103" t="s">
        <v>976</v>
      </c>
      <c r="AI1333" s="103">
        <v>0</v>
      </c>
      <c r="AJ1333" s="103"/>
      <c r="AK1333" s="103"/>
      <c r="AL1333" s="103"/>
      <c r="AM1333" s="103"/>
      <c r="AN1333" s="103"/>
      <c r="AO1333" s="103" t="str">
        <f t="shared" si="75"/>
        <v>CFLscw(17w)Four+pack</v>
      </c>
    </row>
    <row r="1334" spans="1:41">
      <c r="A1334" s="177">
        <f>IFERROR(MATCH(D1334,'Measure &amp; Standard CostIDs'!C$5:C$177,0),MATCH(D1334,'Measure &amp; Standard CostIDs'!S$5:S$177,0))</f>
        <v>10</v>
      </c>
      <c r="B1334" s="177">
        <f t="shared" si="73"/>
        <v>5</v>
      </c>
      <c r="C1334" s="103" t="s">
        <v>153</v>
      </c>
      <c r="D1334" s="103" t="str">
        <f t="shared" si="72"/>
        <v>CFLscw(18w)</v>
      </c>
      <c r="E1334" s="103" t="str">
        <f>IF(LEFT(D1334,3)="Std","Base case cost for mix of 60% Incandescent and 40% CFL lamps for CFL TechID: "&amp;INDEX('Measure &amp; Standard CostIDs'!$C$5:$C$177,A1334),"&lt;from TechID&gt;")</f>
        <v>&lt;from TechID&gt;</v>
      </c>
      <c r="F1334" s="103" t="s">
        <v>860</v>
      </c>
      <c r="G1334" s="103" t="s">
        <v>151</v>
      </c>
      <c r="H1334" s="103" t="s">
        <v>861</v>
      </c>
      <c r="I1334" s="103" t="s">
        <v>862</v>
      </c>
      <c r="J1334" s="103" t="s">
        <v>863</v>
      </c>
      <c r="K1334" s="103" t="s">
        <v>864</v>
      </c>
      <c r="L1334" s="103" t="s">
        <v>153</v>
      </c>
      <c r="M1334" s="103" t="s">
        <v>865</v>
      </c>
      <c r="N1334" s="103" t="s">
        <v>866</v>
      </c>
      <c r="O1334" s="103" t="str">
        <f t="shared" si="74"/>
        <v>CFLscw(18w)</v>
      </c>
      <c r="P1334" s="103" t="s">
        <v>153</v>
      </c>
      <c r="Q1334" s="103" t="s">
        <v>153</v>
      </c>
      <c r="R1334" s="103" t="s">
        <v>153</v>
      </c>
      <c r="S1334" s="103" t="str">
        <f>INDEX('Measure &amp; Standard CostIDs'!$AK$8:$AK$12,B1334)</f>
        <v>Four+pack</v>
      </c>
      <c r="T1334" s="103" t="s">
        <v>867</v>
      </c>
      <c r="U1334" s="103"/>
      <c r="V1334" s="103"/>
      <c r="W1334" s="103">
        <f>ROUND(IF(LEFT(D1334,3)="Std",VLOOKUP(D1334,'Measure &amp; Standard CostIDs'!$S$5:$X$177,1+B1334,FALSE),VLOOKUP(D1334,'Measure &amp; Standard CostIDs'!$C$5:$H$177,1+B1334,FALSE)),2)</f>
        <v>2.2400000000000002</v>
      </c>
      <c r="X1334" s="103"/>
      <c r="Y1334" s="103"/>
      <c r="Z1334" s="103" t="s">
        <v>868</v>
      </c>
      <c r="AA1334" s="103" t="s">
        <v>874</v>
      </c>
      <c r="AB1334" s="103" t="s">
        <v>153</v>
      </c>
      <c r="AC1334" s="103">
        <v>0</v>
      </c>
      <c r="AD1334" s="156">
        <v>42005</v>
      </c>
      <c r="AE1334" s="103"/>
      <c r="AF1334" s="103" t="s">
        <v>870</v>
      </c>
      <c r="AG1334" s="103" t="s">
        <v>871</v>
      </c>
      <c r="AH1334" s="103" t="s">
        <v>976</v>
      </c>
      <c r="AI1334" s="103">
        <v>0</v>
      </c>
      <c r="AJ1334" s="103"/>
      <c r="AK1334" s="103"/>
      <c r="AL1334" s="103"/>
      <c r="AM1334" s="103"/>
      <c r="AN1334" s="103"/>
      <c r="AO1334" s="103" t="str">
        <f t="shared" si="75"/>
        <v>CFLscw(18w)Four+pack</v>
      </c>
    </row>
    <row r="1335" spans="1:41">
      <c r="A1335" s="177">
        <f>IFERROR(MATCH(D1335,'Measure &amp; Standard CostIDs'!C$5:C$177,0),MATCH(D1335,'Measure &amp; Standard CostIDs'!S$5:S$177,0))</f>
        <v>11</v>
      </c>
      <c r="B1335" s="177">
        <f t="shared" si="73"/>
        <v>5</v>
      </c>
      <c r="C1335" s="103" t="s">
        <v>153</v>
      </c>
      <c r="D1335" s="103" t="str">
        <f t="shared" si="72"/>
        <v>CFLscw(19w)</v>
      </c>
      <c r="E1335" s="103" t="str">
        <f>IF(LEFT(D1335,3)="Std","Base case cost for mix of 60% Incandescent and 40% CFL lamps for CFL TechID: "&amp;INDEX('Measure &amp; Standard CostIDs'!$C$5:$C$177,A1335),"&lt;from TechID&gt;")</f>
        <v>&lt;from TechID&gt;</v>
      </c>
      <c r="F1335" s="103" t="s">
        <v>860</v>
      </c>
      <c r="G1335" s="103" t="s">
        <v>151</v>
      </c>
      <c r="H1335" s="103" t="s">
        <v>861</v>
      </c>
      <c r="I1335" s="103" t="s">
        <v>862</v>
      </c>
      <c r="J1335" s="103" t="s">
        <v>863</v>
      </c>
      <c r="K1335" s="103" t="s">
        <v>864</v>
      </c>
      <c r="L1335" s="103" t="s">
        <v>153</v>
      </c>
      <c r="M1335" s="103" t="s">
        <v>865</v>
      </c>
      <c r="N1335" s="103" t="s">
        <v>866</v>
      </c>
      <c r="O1335" s="103" t="str">
        <f t="shared" si="74"/>
        <v>CFLscw(19w)</v>
      </c>
      <c r="P1335" s="103" t="s">
        <v>153</v>
      </c>
      <c r="Q1335" s="103" t="s">
        <v>153</v>
      </c>
      <c r="R1335" s="103" t="s">
        <v>153</v>
      </c>
      <c r="S1335" s="103" t="str">
        <f>INDEX('Measure &amp; Standard CostIDs'!$AK$8:$AK$12,B1335)</f>
        <v>Four+pack</v>
      </c>
      <c r="T1335" s="103" t="s">
        <v>867</v>
      </c>
      <c r="U1335" s="103"/>
      <c r="V1335" s="103"/>
      <c r="W1335" s="103">
        <f>ROUND(IF(LEFT(D1335,3)="Std",VLOOKUP(D1335,'Measure &amp; Standard CostIDs'!$S$5:$X$177,1+B1335,FALSE),VLOOKUP(D1335,'Measure &amp; Standard CostIDs'!$C$5:$H$177,1+B1335,FALSE)),2)</f>
        <v>2.31</v>
      </c>
      <c r="X1335" s="103"/>
      <c r="Y1335" s="103"/>
      <c r="Z1335" s="103" t="s">
        <v>868</v>
      </c>
      <c r="AA1335" s="103" t="s">
        <v>874</v>
      </c>
      <c r="AB1335" s="103" t="s">
        <v>153</v>
      </c>
      <c r="AC1335" s="103">
        <v>0</v>
      </c>
      <c r="AD1335" s="156">
        <v>42005</v>
      </c>
      <c r="AE1335" s="103"/>
      <c r="AF1335" s="103" t="s">
        <v>870</v>
      </c>
      <c r="AG1335" s="103" t="s">
        <v>871</v>
      </c>
      <c r="AH1335" s="103" t="s">
        <v>976</v>
      </c>
      <c r="AI1335" s="103">
        <v>0</v>
      </c>
      <c r="AJ1335" s="103"/>
      <c r="AK1335" s="103"/>
      <c r="AL1335" s="103"/>
      <c r="AM1335" s="103"/>
      <c r="AN1335" s="103"/>
      <c r="AO1335" s="103" t="str">
        <f t="shared" si="75"/>
        <v>CFLscw(19w)Four+pack</v>
      </c>
    </row>
    <row r="1336" spans="1:41">
      <c r="A1336" s="177">
        <f>IFERROR(MATCH(D1336,'Measure &amp; Standard CostIDs'!C$5:C$177,0),MATCH(D1336,'Measure &amp; Standard CostIDs'!S$5:S$177,0))</f>
        <v>12</v>
      </c>
      <c r="B1336" s="177">
        <f t="shared" si="73"/>
        <v>5</v>
      </c>
      <c r="C1336" s="103" t="s">
        <v>153</v>
      </c>
      <c r="D1336" s="103" t="str">
        <f t="shared" si="72"/>
        <v>CFLscw(20w)</v>
      </c>
      <c r="E1336" s="103" t="str">
        <f>IF(LEFT(D1336,3)="Std","Base case cost for mix of 60% Incandescent and 40% CFL lamps for CFL TechID: "&amp;INDEX('Measure &amp; Standard CostIDs'!$C$5:$C$177,A1336),"&lt;from TechID&gt;")</f>
        <v>&lt;from TechID&gt;</v>
      </c>
      <c r="F1336" s="103" t="s">
        <v>860</v>
      </c>
      <c r="G1336" s="103" t="s">
        <v>151</v>
      </c>
      <c r="H1336" s="103" t="s">
        <v>861</v>
      </c>
      <c r="I1336" s="103" t="s">
        <v>862</v>
      </c>
      <c r="J1336" s="103" t="s">
        <v>863</v>
      </c>
      <c r="K1336" s="103" t="s">
        <v>864</v>
      </c>
      <c r="L1336" s="103" t="s">
        <v>153</v>
      </c>
      <c r="M1336" s="103" t="s">
        <v>865</v>
      </c>
      <c r="N1336" s="103" t="s">
        <v>866</v>
      </c>
      <c r="O1336" s="103" t="str">
        <f t="shared" si="74"/>
        <v>CFLscw(20w)</v>
      </c>
      <c r="P1336" s="103" t="s">
        <v>153</v>
      </c>
      <c r="Q1336" s="103" t="s">
        <v>153</v>
      </c>
      <c r="R1336" s="103" t="s">
        <v>153</v>
      </c>
      <c r="S1336" s="103" t="str">
        <f>INDEX('Measure &amp; Standard CostIDs'!$AK$8:$AK$12,B1336)</f>
        <v>Four+pack</v>
      </c>
      <c r="T1336" s="103" t="s">
        <v>867</v>
      </c>
      <c r="U1336" s="103"/>
      <c r="V1336" s="103"/>
      <c r="W1336" s="103">
        <f>ROUND(IF(LEFT(D1336,3)="Std",VLOOKUP(D1336,'Measure &amp; Standard CostIDs'!$S$5:$X$177,1+B1336,FALSE),VLOOKUP(D1336,'Measure &amp; Standard CostIDs'!$C$5:$H$177,1+B1336,FALSE)),2)</f>
        <v>2.37</v>
      </c>
      <c r="X1336" s="103"/>
      <c r="Y1336" s="103"/>
      <c r="Z1336" s="103" t="s">
        <v>868</v>
      </c>
      <c r="AA1336" s="103" t="s">
        <v>874</v>
      </c>
      <c r="AB1336" s="103" t="s">
        <v>153</v>
      </c>
      <c r="AC1336" s="103">
        <v>0</v>
      </c>
      <c r="AD1336" s="156">
        <v>42005</v>
      </c>
      <c r="AE1336" s="103"/>
      <c r="AF1336" s="103" t="s">
        <v>870</v>
      </c>
      <c r="AG1336" s="103" t="s">
        <v>871</v>
      </c>
      <c r="AH1336" s="103" t="s">
        <v>976</v>
      </c>
      <c r="AI1336" s="103">
        <v>0</v>
      </c>
      <c r="AJ1336" s="103"/>
      <c r="AK1336" s="103"/>
      <c r="AL1336" s="103"/>
      <c r="AM1336" s="103"/>
      <c r="AN1336" s="103"/>
      <c r="AO1336" s="103" t="str">
        <f t="shared" si="75"/>
        <v>CFLscw(20w)Four+pack</v>
      </c>
    </row>
    <row r="1337" spans="1:41">
      <c r="A1337" s="177">
        <f>IFERROR(MATCH(D1337,'Measure &amp; Standard CostIDs'!C$5:C$177,0),MATCH(D1337,'Measure &amp; Standard CostIDs'!S$5:S$177,0))</f>
        <v>13</v>
      </c>
      <c r="B1337" s="177">
        <f t="shared" si="73"/>
        <v>5</v>
      </c>
      <c r="C1337" s="103" t="s">
        <v>153</v>
      </c>
      <c r="D1337" s="103" t="str">
        <f t="shared" si="72"/>
        <v>CFLscw(21w)</v>
      </c>
      <c r="E1337" s="103" t="str">
        <f>IF(LEFT(D1337,3)="Std","Base case cost for mix of 60% Incandescent and 40% CFL lamps for CFL TechID: "&amp;INDEX('Measure &amp; Standard CostIDs'!$C$5:$C$177,A1337),"&lt;from TechID&gt;")</f>
        <v>&lt;from TechID&gt;</v>
      </c>
      <c r="F1337" s="103" t="s">
        <v>860</v>
      </c>
      <c r="G1337" s="103" t="s">
        <v>151</v>
      </c>
      <c r="H1337" s="103" t="s">
        <v>861</v>
      </c>
      <c r="I1337" s="103" t="s">
        <v>862</v>
      </c>
      <c r="J1337" s="103" t="s">
        <v>863</v>
      </c>
      <c r="K1337" s="103" t="s">
        <v>864</v>
      </c>
      <c r="L1337" s="103" t="s">
        <v>153</v>
      </c>
      <c r="M1337" s="103" t="s">
        <v>865</v>
      </c>
      <c r="N1337" s="103" t="s">
        <v>866</v>
      </c>
      <c r="O1337" s="103" t="str">
        <f t="shared" si="74"/>
        <v>CFLscw(21w)</v>
      </c>
      <c r="P1337" s="103" t="s">
        <v>153</v>
      </c>
      <c r="Q1337" s="103" t="s">
        <v>153</v>
      </c>
      <c r="R1337" s="103" t="s">
        <v>153</v>
      </c>
      <c r="S1337" s="103" t="str">
        <f>INDEX('Measure &amp; Standard CostIDs'!$AK$8:$AK$12,B1337)</f>
        <v>Four+pack</v>
      </c>
      <c r="T1337" s="103" t="s">
        <v>867</v>
      </c>
      <c r="U1337" s="103"/>
      <c r="V1337" s="103"/>
      <c r="W1337" s="103">
        <f>ROUND(IF(LEFT(D1337,3)="Std",VLOOKUP(D1337,'Measure &amp; Standard CostIDs'!$S$5:$X$177,1+B1337,FALSE),VLOOKUP(D1337,'Measure &amp; Standard CostIDs'!$C$5:$H$177,1+B1337,FALSE)),2)</f>
        <v>2.44</v>
      </c>
      <c r="X1337" s="103"/>
      <c r="Y1337" s="103"/>
      <c r="Z1337" s="103" t="s">
        <v>868</v>
      </c>
      <c r="AA1337" s="103" t="s">
        <v>874</v>
      </c>
      <c r="AB1337" s="103" t="s">
        <v>153</v>
      </c>
      <c r="AC1337" s="103">
        <v>0</v>
      </c>
      <c r="AD1337" s="156">
        <v>42005</v>
      </c>
      <c r="AE1337" s="103"/>
      <c r="AF1337" s="103" t="s">
        <v>870</v>
      </c>
      <c r="AG1337" s="103" t="s">
        <v>871</v>
      </c>
      <c r="AH1337" s="103" t="s">
        <v>976</v>
      </c>
      <c r="AI1337" s="103">
        <v>0</v>
      </c>
      <c r="AJ1337" s="103"/>
      <c r="AK1337" s="103"/>
      <c r="AL1337" s="103"/>
      <c r="AM1337" s="103"/>
      <c r="AN1337" s="103"/>
      <c r="AO1337" s="103" t="str">
        <f t="shared" si="75"/>
        <v>CFLscw(21w)Four+pack</v>
      </c>
    </row>
    <row r="1338" spans="1:41">
      <c r="A1338" s="177">
        <f>IFERROR(MATCH(D1338,'Measure &amp; Standard CostIDs'!C$5:C$177,0),MATCH(D1338,'Measure &amp; Standard CostIDs'!S$5:S$177,0))</f>
        <v>14</v>
      </c>
      <c r="B1338" s="177">
        <f t="shared" si="73"/>
        <v>5</v>
      </c>
      <c r="C1338" s="103" t="s">
        <v>153</v>
      </c>
      <c r="D1338" s="103" t="str">
        <f t="shared" si="72"/>
        <v>CFLscw(22w)</v>
      </c>
      <c r="E1338" s="103" t="str">
        <f>IF(LEFT(D1338,3)="Std","Base case cost for mix of 60% Incandescent and 40% CFL lamps for CFL TechID: "&amp;INDEX('Measure &amp; Standard CostIDs'!$C$5:$C$177,A1338),"&lt;from TechID&gt;")</f>
        <v>&lt;from TechID&gt;</v>
      </c>
      <c r="F1338" s="103" t="s">
        <v>860</v>
      </c>
      <c r="G1338" s="103" t="s">
        <v>151</v>
      </c>
      <c r="H1338" s="103" t="s">
        <v>861</v>
      </c>
      <c r="I1338" s="103" t="s">
        <v>862</v>
      </c>
      <c r="J1338" s="103" t="s">
        <v>863</v>
      </c>
      <c r="K1338" s="103" t="s">
        <v>864</v>
      </c>
      <c r="L1338" s="103" t="s">
        <v>153</v>
      </c>
      <c r="M1338" s="103" t="s">
        <v>865</v>
      </c>
      <c r="N1338" s="103" t="s">
        <v>866</v>
      </c>
      <c r="O1338" s="103" t="str">
        <f t="shared" si="74"/>
        <v>CFLscw(22w)</v>
      </c>
      <c r="P1338" s="103" t="s">
        <v>153</v>
      </c>
      <c r="Q1338" s="103" t="s">
        <v>153</v>
      </c>
      <c r="R1338" s="103" t="s">
        <v>153</v>
      </c>
      <c r="S1338" s="103" t="str">
        <f>INDEX('Measure &amp; Standard CostIDs'!$AK$8:$AK$12,B1338)</f>
        <v>Four+pack</v>
      </c>
      <c r="T1338" s="103" t="s">
        <v>867</v>
      </c>
      <c r="U1338" s="103"/>
      <c r="V1338" s="103"/>
      <c r="W1338" s="103">
        <f>ROUND(IF(LEFT(D1338,3)="Std",VLOOKUP(D1338,'Measure &amp; Standard CostIDs'!$S$5:$X$177,1+B1338,FALSE),VLOOKUP(D1338,'Measure &amp; Standard CostIDs'!$C$5:$H$177,1+B1338,FALSE)),2)</f>
        <v>2.5</v>
      </c>
      <c r="X1338" s="103"/>
      <c r="Y1338" s="103"/>
      <c r="Z1338" s="103" t="s">
        <v>868</v>
      </c>
      <c r="AA1338" s="103" t="s">
        <v>874</v>
      </c>
      <c r="AB1338" s="103" t="s">
        <v>153</v>
      </c>
      <c r="AC1338" s="103">
        <v>0</v>
      </c>
      <c r="AD1338" s="156">
        <v>42005</v>
      </c>
      <c r="AE1338" s="103"/>
      <c r="AF1338" s="103" t="s">
        <v>870</v>
      </c>
      <c r="AG1338" s="103" t="s">
        <v>871</v>
      </c>
      <c r="AH1338" s="103" t="s">
        <v>976</v>
      </c>
      <c r="AI1338" s="103">
        <v>0</v>
      </c>
      <c r="AJ1338" s="103"/>
      <c r="AK1338" s="103"/>
      <c r="AL1338" s="103"/>
      <c r="AM1338" s="103"/>
      <c r="AN1338" s="103"/>
      <c r="AO1338" s="103" t="str">
        <f t="shared" si="75"/>
        <v>CFLscw(22w)Four+pack</v>
      </c>
    </row>
    <row r="1339" spans="1:41">
      <c r="A1339" s="177">
        <f>IFERROR(MATCH(D1339,'Measure &amp; Standard CostIDs'!C$5:C$177,0),MATCH(D1339,'Measure &amp; Standard CostIDs'!S$5:S$177,0))</f>
        <v>15</v>
      </c>
      <c r="B1339" s="177">
        <f t="shared" si="73"/>
        <v>5</v>
      </c>
      <c r="C1339" s="103" t="s">
        <v>153</v>
      </c>
      <c r="D1339" s="103" t="str">
        <f t="shared" si="72"/>
        <v>CFLscw(23w)</v>
      </c>
      <c r="E1339" s="103" t="str">
        <f>IF(LEFT(D1339,3)="Std","Base case cost for mix of 60% Incandescent and 40% CFL lamps for CFL TechID: "&amp;INDEX('Measure &amp; Standard CostIDs'!$C$5:$C$177,A1339),"&lt;from TechID&gt;")</f>
        <v>&lt;from TechID&gt;</v>
      </c>
      <c r="F1339" s="103" t="s">
        <v>860</v>
      </c>
      <c r="G1339" s="103" t="s">
        <v>151</v>
      </c>
      <c r="H1339" s="103" t="s">
        <v>861</v>
      </c>
      <c r="I1339" s="103" t="s">
        <v>862</v>
      </c>
      <c r="J1339" s="103" t="s">
        <v>863</v>
      </c>
      <c r="K1339" s="103" t="s">
        <v>864</v>
      </c>
      <c r="L1339" s="103" t="s">
        <v>153</v>
      </c>
      <c r="M1339" s="103" t="s">
        <v>865</v>
      </c>
      <c r="N1339" s="103" t="s">
        <v>866</v>
      </c>
      <c r="O1339" s="103" t="str">
        <f t="shared" si="74"/>
        <v>CFLscw(23w)</v>
      </c>
      <c r="P1339" s="103" t="s">
        <v>153</v>
      </c>
      <c r="Q1339" s="103" t="s">
        <v>153</v>
      </c>
      <c r="R1339" s="103" t="s">
        <v>153</v>
      </c>
      <c r="S1339" s="103" t="str">
        <f>INDEX('Measure &amp; Standard CostIDs'!$AK$8:$AK$12,B1339)</f>
        <v>Four+pack</v>
      </c>
      <c r="T1339" s="103" t="s">
        <v>867</v>
      </c>
      <c r="U1339" s="103"/>
      <c r="V1339" s="103"/>
      <c r="W1339" s="103">
        <f>ROUND(IF(LEFT(D1339,3)="Std",VLOOKUP(D1339,'Measure &amp; Standard CostIDs'!$S$5:$X$177,1+B1339,FALSE),VLOOKUP(D1339,'Measure &amp; Standard CostIDs'!$C$5:$H$177,1+B1339,FALSE)),2)</f>
        <v>2.57</v>
      </c>
      <c r="X1339" s="103"/>
      <c r="Y1339" s="103"/>
      <c r="Z1339" s="103" t="s">
        <v>868</v>
      </c>
      <c r="AA1339" s="103" t="s">
        <v>874</v>
      </c>
      <c r="AB1339" s="103" t="s">
        <v>153</v>
      </c>
      <c r="AC1339" s="103">
        <v>0</v>
      </c>
      <c r="AD1339" s="156">
        <v>42005</v>
      </c>
      <c r="AE1339" s="103"/>
      <c r="AF1339" s="103" t="s">
        <v>870</v>
      </c>
      <c r="AG1339" s="103" t="s">
        <v>871</v>
      </c>
      <c r="AH1339" s="103" t="s">
        <v>976</v>
      </c>
      <c r="AI1339" s="103">
        <v>0</v>
      </c>
      <c r="AJ1339" s="103"/>
      <c r="AK1339" s="103"/>
      <c r="AL1339" s="103"/>
      <c r="AM1339" s="103"/>
      <c r="AN1339" s="103"/>
      <c r="AO1339" s="103" t="str">
        <f t="shared" si="75"/>
        <v>CFLscw(23w)Four+pack</v>
      </c>
    </row>
    <row r="1340" spans="1:41">
      <c r="A1340" s="177">
        <f>IFERROR(MATCH(D1340,'Measure &amp; Standard CostIDs'!C$5:C$177,0),MATCH(D1340,'Measure &amp; Standard CostIDs'!S$5:S$177,0))</f>
        <v>16</v>
      </c>
      <c r="B1340" s="177">
        <f t="shared" si="73"/>
        <v>5</v>
      </c>
      <c r="C1340" s="103" t="s">
        <v>153</v>
      </c>
      <c r="D1340" s="103" t="str">
        <f t="shared" si="72"/>
        <v>CFLscw(24w)</v>
      </c>
      <c r="E1340" s="103" t="str">
        <f>IF(LEFT(D1340,3)="Std","Base case cost for mix of 60% Incandescent and 40% CFL lamps for CFL TechID: "&amp;INDEX('Measure &amp; Standard CostIDs'!$C$5:$C$177,A1340),"&lt;from TechID&gt;")</f>
        <v>&lt;from TechID&gt;</v>
      </c>
      <c r="F1340" s="103" t="s">
        <v>860</v>
      </c>
      <c r="G1340" s="103" t="s">
        <v>151</v>
      </c>
      <c r="H1340" s="103" t="s">
        <v>861</v>
      </c>
      <c r="I1340" s="103" t="s">
        <v>862</v>
      </c>
      <c r="J1340" s="103" t="s">
        <v>863</v>
      </c>
      <c r="K1340" s="103" t="s">
        <v>864</v>
      </c>
      <c r="L1340" s="103" t="s">
        <v>153</v>
      </c>
      <c r="M1340" s="103" t="s">
        <v>865</v>
      </c>
      <c r="N1340" s="103" t="s">
        <v>866</v>
      </c>
      <c r="O1340" s="103" t="str">
        <f t="shared" si="74"/>
        <v>CFLscw(24w)</v>
      </c>
      <c r="P1340" s="103" t="s">
        <v>153</v>
      </c>
      <c r="Q1340" s="103" t="s">
        <v>153</v>
      </c>
      <c r="R1340" s="103" t="s">
        <v>153</v>
      </c>
      <c r="S1340" s="103" t="str">
        <f>INDEX('Measure &amp; Standard CostIDs'!$AK$8:$AK$12,B1340)</f>
        <v>Four+pack</v>
      </c>
      <c r="T1340" s="103" t="s">
        <v>867</v>
      </c>
      <c r="U1340" s="103"/>
      <c r="V1340" s="103"/>
      <c r="W1340" s="103">
        <f>ROUND(IF(LEFT(D1340,3)="Std",VLOOKUP(D1340,'Measure &amp; Standard CostIDs'!$S$5:$X$177,1+B1340,FALSE),VLOOKUP(D1340,'Measure &amp; Standard CostIDs'!$C$5:$H$177,1+B1340,FALSE)),2)</f>
        <v>2.64</v>
      </c>
      <c r="X1340" s="103"/>
      <c r="Y1340" s="103"/>
      <c r="Z1340" s="103" t="s">
        <v>868</v>
      </c>
      <c r="AA1340" s="103" t="s">
        <v>874</v>
      </c>
      <c r="AB1340" s="103" t="s">
        <v>153</v>
      </c>
      <c r="AC1340" s="103">
        <v>0</v>
      </c>
      <c r="AD1340" s="156">
        <v>42005</v>
      </c>
      <c r="AE1340" s="103"/>
      <c r="AF1340" s="103" t="s">
        <v>870</v>
      </c>
      <c r="AG1340" s="103" t="s">
        <v>871</v>
      </c>
      <c r="AH1340" s="103" t="s">
        <v>976</v>
      </c>
      <c r="AI1340" s="103">
        <v>0</v>
      </c>
      <c r="AJ1340" s="103"/>
      <c r="AK1340" s="103"/>
      <c r="AL1340" s="103"/>
      <c r="AM1340" s="103"/>
      <c r="AN1340" s="103"/>
      <c r="AO1340" s="103" t="str">
        <f t="shared" si="75"/>
        <v>CFLscw(24w)Four+pack</v>
      </c>
    </row>
    <row r="1341" spans="1:41">
      <c r="A1341" s="177">
        <f>IFERROR(MATCH(D1341,'Measure &amp; Standard CostIDs'!C$5:C$177,0),MATCH(D1341,'Measure &amp; Standard CostIDs'!S$5:S$177,0))</f>
        <v>17</v>
      </c>
      <c r="B1341" s="177">
        <f t="shared" si="73"/>
        <v>5</v>
      </c>
      <c r="C1341" s="103" t="s">
        <v>153</v>
      </c>
      <c r="D1341" s="103" t="str">
        <f t="shared" si="72"/>
        <v>CFLscw(25w)</v>
      </c>
      <c r="E1341" s="103" t="str">
        <f>IF(LEFT(D1341,3)="Std","Base case cost for mix of 60% Incandescent and 40% CFL lamps for CFL TechID: "&amp;INDEX('Measure &amp; Standard CostIDs'!$C$5:$C$177,A1341),"&lt;from TechID&gt;")</f>
        <v>&lt;from TechID&gt;</v>
      </c>
      <c r="F1341" s="103" t="s">
        <v>860</v>
      </c>
      <c r="G1341" s="103" t="s">
        <v>151</v>
      </c>
      <c r="H1341" s="103" t="s">
        <v>861</v>
      </c>
      <c r="I1341" s="103" t="s">
        <v>862</v>
      </c>
      <c r="J1341" s="103" t="s">
        <v>863</v>
      </c>
      <c r="K1341" s="103" t="s">
        <v>864</v>
      </c>
      <c r="L1341" s="103" t="s">
        <v>153</v>
      </c>
      <c r="M1341" s="103" t="s">
        <v>865</v>
      </c>
      <c r="N1341" s="103" t="s">
        <v>866</v>
      </c>
      <c r="O1341" s="103" t="str">
        <f t="shared" si="74"/>
        <v>CFLscw(25w)</v>
      </c>
      <c r="P1341" s="103" t="s">
        <v>153</v>
      </c>
      <c r="Q1341" s="103" t="s">
        <v>153</v>
      </c>
      <c r="R1341" s="103" t="s">
        <v>153</v>
      </c>
      <c r="S1341" s="103" t="str">
        <f>INDEX('Measure &amp; Standard CostIDs'!$AK$8:$AK$12,B1341)</f>
        <v>Four+pack</v>
      </c>
      <c r="T1341" s="103" t="s">
        <v>867</v>
      </c>
      <c r="U1341" s="103"/>
      <c r="V1341" s="103"/>
      <c r="W1341" s="103">
        <f>ROUND(IF(LEFT(D1341,3)="Std",VLOOKUP(D1341,'Measure &amp; Standard CostIDs'!$S$5:$X$177,1+B1341,FALSE),VLOOKUP(D1341,'Measure &amp; Standard CostIDs'!$C$5:$H$177,1+B1341,FALSE)),2)</f>
        <v>2.7</v>
      </c>
      <c r="X1341" s="103"/>
      <c r="Y1341" s="103"/>
      <c r="Z1341" s="103" t="s">
        <v>868</v>
      </c>
      <c r="AA1341" s="103" t="s">
        <v>874</v>
      </c>
      <c r="AB1341" s="103" t="s">
        <v>153</v>
      </c>
      <c r="AC1341" s="103">
        <v>0</v>
      </c>
      <c r="AD1341" s="156">
        <v>42005</v>
      </c>
      <c r="AE1341" s="103"/>
      <c r="AF1341" s="103" t="s">
        <v>870</v>
      </c>
      <c r="AG1341" s="103" t="s">
        <v>871</v>
      </c>
      <c r="AH1341" s="103" t="s">
        <v>976</v>
      </c>
      <c r="AI1341" s="103">
        <v>0</v>
      </c>
      <c r="AJ1341" s="103"/>
      <c r="AK1341" s="103"/>
      <c r="AL1341" s="103"/>
      <c r="AM1341" s="103"/>
      <c r="AN1341" s="103"/>
      <c r="AO1341" s="103" t="str">
        <f t="shared" si="75"/>
        <v>CFLscw(25w)Four+pack</v>
      </c>
    </row>
    <row r="1342" spans="1:41">
      <c r="A1342" s="177">
        <f>IFERROR(MATCH(D1342,'Measure &amp; Standard CostIDs'!C$5:C$177,0),MATCH(D1342,'Measure &amp; Standard CostIDs'!S$5:S$177,0))</f>
        <v>18</v>
      </c>
      <c r="B1342" s="177">
        <f t="shared" si="73"/>
        <v>5</v>
      </c>
      <c r="C1342" s="103" t="s">
        <v>153</v>
      </c>
      <c r="D1342" s="103" t="str">
        <f t="shared" si="72"/>
        <v>CFLscw(26w)</v>
      </c>
      <c r="E1342" s="103" t="str">
        <f>IF(LEFT(D1342,3)="Std","Base case cost for mix of 60% Incandescent and 40% CFL lamps for CFL TechID: "&amp;INDEX('Measure &amp; Standard CostIDs'!$C$5:$C$177,A1342),"&lt;from TechID&gt;")</f>
        <v>&lt;from TechID&gt;</v>
      </c>
      <c r="F1342" s="103" t="s">
        <v>860</v>
      </c>
      <c r="G1342" s="103" t="s">
        <v>151</v>
      </c>
      <c r="H1342" s="103" t="s">
        <v>861</v>
      </c>
      <c r="I1342" s="103" t="s">
        <v>862</v>
      </c>
      <c r="J1342" s="103" t="s">
        <v>863</v>
      </c>
      <c r="K1342" s="103" t="s">
        <v>864</v>
      </c>
      <c r="L1342" s="103" t="s">
        <v>153</v>
      </c>
      <c r="M1342" s="103" t="s">
        <v>865</v>
      </c>
      <c r="N1342" s="103" t="s">
        <v>866</v>
      </c>
      <c r="O1342" s="103" t="str">
        <f t="shared" si="74"/>
        <v>CFLscw(26w)</v>
      </c>
      <c r="P1342" s="103" t="s">
        <v>153</v>
      </c>
      <c r="Q1342" s="103" t="s">
        <v>153</v>
      </c>
      <c r="R1342" s="103" t="s">
        <v>153</v>
      </c>
      <c r="S1342" s="103" t="str">
        <f>INDEX('Measure &amp; Standard CostIDs'!$AK$8:$AK$12,B1342)</f>
        <v>Four+pack</v>
      </c>
      <c r="T1342" s="103" t="s">
        <v>867</v>
      </c>
      <c r="U1342" s="103"/>
      <c r="V1342" s="103"/>
      <c r="W1342" s="103">
        <f>ROUND(IF(LEFT(D1342,3)="Std",VLOOKUP(D1342,'Measure &amp; Standard CostIDs'!$S$5:$X$177,1+B1342,FALSE),VLOOKUP(D1342,'Measure &amp; Standard CostIDs'!$C$5:$H$177,1+B1342,FALSE)),2)</f>
        <v>2.86</v>
      </c>
      <c r="X1342" s="103"/>
      <c r="Y1342" s="103"/>
      <c r="Z1342" s="103" t="s">
        <v>868</v>
      </c>
      <c r="AA1342" s="103" t="s">
        <v>874</v>
      </c>
      <c r="AB1342" s="103" t="s">
        <v>153</v>
      </c>
      <c r="AC1342" s="103">
        <v>0</v>
      </c>
      <c r="AD1342" s="156">
        <v>42005</v>
      </c>
      <c r="AE1342" s="103"/>
      <c r="AF1342" s="103" t="s">
        <v>870</v>
      </c>
      <c r="AG1342" s="103" t="s">
        <v>871</v>
      </c>
      <c r="AH1342" s="103" t="s">
        <v>976</v>
      </c>
      <c r="AI1342" s="103">
        <v>0</v>
      </c>
      <c r="AJ1342" s="103"/>
      <c r="AK1342" s="103"/>
      <c r="AL1342" s="103"/>
      <c r="AM1342" s="103"/>
      <c r="AN1342" s="103"/>
      <c r="AO1342" s="103" t="str">
        <f t="shared" si="75"/>
        <v>CFLscw(26w)Four+pack</v>
      </c>
    </row>
    <row r="1343" spans="1:41">
      <c r="A1343" s="177">
        <f>IFERROR(MATCH(D1343,'Measure &amp; Standard CostIDs'!C$5:C$177,0),MATCH(D1343,'Measure &amp; Standard CostIDs'!S$5:S$177,0))</f>
        <v>19</v>
      </c>
      <c r="B1343" s="177">
        <f t="shared" si="73"/>
        <v>5</v>
      </c>
      <c r="C1343" s="103" t="s">
        <v>153</v>
      </c>
      <c r="D1343" s="103" t="str">
        <f t="shared" si="72"/>
        <v>CFLscw(27w)</v>
      </c>
      <c r="E1343" s="103" t="str">
        <f>IF(LEFT(D1343,3)="Std","Base case cost for mix of 60% Incandescent and 40% CFL lamps for CFL TechID: "&amp;INDEX('Measure &amp; Standard CostIDs'!$C$5:$C$177,A1343),"&lt;from TechID&gt;")</f>
        <v>&lt;from TechID&gt;</v>
      </c>
      <c r="F1343" s="103" t="s">
        <v>860</v>
      </c>
      <c r="G1343" s="103" t="s">
        <v>151</v>
      </c>
      <c r="H1343" s="103" t="s">
        <v>861</v>
      </c>
      <c r="I1343" s="103" t="s">
        <v>862</v>
      </c>
      <c r="J1343" s="103" t="s">
        <v>863</v>
      </c>
      <c r="K1343" s="103" t="s">
        <v>864</v>
      </c>
      <c r="L1343" s="103" t="s">
        <v>153</v>
      </c>
      <c r="M1343" s="103" t="s">
        <v>865</v>
      </c>
      <c r="N1343" s="103" t="s">
        <v>866</v>
      </c>
      <c r="O1343" s="103" t="str">
        <f t="shared" si="74"/>
        <v>CFLscw(27w)</v>
      </c>
      <c r="P1343" s="103" t="s">
        <v>153</v>
      </c>
      <c r="Q1343" s="103" t="s">
        <v>153</v>
      </c>
      <c r="R1343" s="103" t="s">
        <v>153</v>
      </c>
      <c r="S1343" s="103" t="str">
        <f>INDEX('Measure &amp; Standard CostIDs'!$AK$8:$AK$12,B1343)</f>
        <v>Four+pack</v>
      </c>
      <c r="T1343" s="103" t="s">
        <v>867</v>
      </c>
      <c r="U1343" s="103"/>
      <c r="V1343" s="103"/>
      <c r="W1343" s="103">
        <f>ROUND(IF(LEFT(D1343,3)="Std",VLOOKUP(D1343,'Measure &amp; Standard CostIDs'!$S$5:$X$177,1+B1343,FALSE),VLOOKUP(D1343,'Measure &amp; Standard CostIDs'!$C$5:$H$177,1+B1343,FALSE)),2)</f>
        <v>3.02</v>
      </c>
      <c r="X1343" s="103"/>
      <c r="Y1343" s="103"/>
      <c r="Z1343" s="103" t="s">
        <v>868</v>
      </c>
      <c r="AA1343" s="103" t="s">
        <v>874</v>
      </c>
      <c r="AB1343" s="103" t="s">
        <v>153</v>
      </c>
      <c r="AC1343" s="103">
        <v>0</v>
      </c>
      <c r="AD1343" s="156">
        <v>42005</v>
      </c>
      <c r="AE1343" s="103"/>
      <c r="AF1343" s="103" t="s">
        <v>870</v>
      </c>
      <c r="AG1343" s="103" t="s">
        <v>871</v>
      </c>
      <c r="AH1343" s="103" t="s">
        <v>976</v>
      </c>
      <c r="AI1343" s="103">
        <v>0</v>
      </c>
      <c r="AJ1343" s="103"/>
      <c r="AK1343" s="103"/>
      <c r="AL1343" s="103"/>
      <c r="AM1343" s="103"/>
      <c r="AN1343" s="103"/>
      <c r="AO1343" s="103" t="str">
        <f t="shared" si="75"/>
        <v>CFLscw(27w)Four+pack</v>
      </c>
    </row>
    <row r="1344" spans="1:41">
      <c r="A1344" s="177">
        <f>IFERROR(MATCH(D1344,'Measure &amp; Standard CostIDs'!C$5:C$177,0),MATCH(D1344,'Measure &amp; Standard CostIDs'!S$5:S$177,0))</f>
        <v>20</v>
      </c>
      <c r="B1344" s="177">
        <f t="shared" si="73"/>
        <v>5</v>
      </c>
      <c r="C1344" s="103" t="s">
        <v>153</v>
      </c>
      <c r="D1344" s="103" t="str">
        <f t="shared" si="72"/>
        <v>CFLscw(28w)</v>
      </c>
      <c r="E1344" s="103" t="str">
        <f>IF(LEFT(D1344,3)="Std","Base case cost for mix of 60% Incandescent and 40% CFL lamps for CFL TechID: "&amp;INDEX('Measure &amp; Standard CostIDs'!$C$5:$C$177,A1344),"&lt;from TechID&gt;")</f>
        <v>&lt;from TechID&gt;</v>
      </c>
      <c r="F1344" s="103" t="s">
        <v>860</v>
      </c>
      <c r="G1344" s="103" t="s">
        <v>151</v>
      </c>
      <c r="H1344" s="103" t="s">
        <v>861</v>
      </c>
      <c r="I1344" s="103" t="s">
        <v>862</v>
      </c>
      <c r="J1344" s="103" t="s">
        <v>863</v>
      </c>
      <c r="K1344" s="103" t="s">
        <v>864</v>
      </c>
      <c r="L1344" s="103" t="s">
        <v>153</v>
      </c>
      <c r="M1344" s="103" t="s">
        <v>865</v>
      </c>
      <c r="N1344" s="103" t="s">
        <v>866</v>
      </c>
      <c r="O1344" s="103" t="str">
        <f t="shared" si="74"/>
        <v>CFLscw(28w)</v>
      </c>
      <c r="P1344" s="103" t="s">
        <v>153</v>
      </c>
      <c r="Q1344" s="103" t="s">
        <v>153</v>
      </c>
      <c r="R1344" s="103" t="s">
        <v>153</v>
      </c>
      <c r="S1344" s="103" t="str">
        <f>INDEX('Measure &amp; Standard CostIDs'!$AK$8:$AK$12,B1344)</f>
        <v>Four+pack</v>
      </c>
      <c r="T1344" s="103" t="s">
        <v>867</v>
      </c>
      <c r="U1344" s="103"/>
      <c r="V1344" s="103"/>
      <c r="W1344" s="103">
        <f>ROUND(IF(LEFT(D1344,3)="Std",VLOOKUP(D1344,'Measure &amp; Standard CostIDs'!$S$5:$X$177,1+B1344,FALSE),VLOOKUP(D1344,'Measure &amp; Standard CostIDs'!$C$5:$H$177,1+B1344,FALSE)),2)</f>
        <v>3.18</v>
      </c>
      <c r="X1344" s="103"/>
      <c r="Y1344" s="103"/>
      <c r="Z1344" s="103" t="s">
        <v>868</v>
      </c>
      <c r="AA1344" s="103" t="s">
        <v>874</v>
      </c>
      <c r="AB1344" s="103" t="s">
        <v>153</v>
      </c>
      <c r="AC1344" s="103">
        <v>0</v>
      </c>
      <c r="AD1344" s="156">
        <v>42005</v>
      </c>
      <c r="AE1344" s="103"/>
      <c r="AF1344" s="103" t="s">
        <v>870</v>
      </c>
      <c r="AG1344" s="103" t="s">
        <v>871</v>
      </c>
      <c r="AH1344" s="103" t="s">
        <v>976</v>
      </c>
      <c r="AI1344" s="103">
        <v>0</v>
      </c>
      <c r="AJ1344" s="103"/>
      <c r="AK1344" s="103"/>
      <c r="AL1344" s="103"/>
      <c r="AM1344" s="103"/>
      <c r="AN1344" s="103"/>
      <c r="AO1344" s="103" t="str">
        <f t="shared" si="75"/>
        <v>CFLscw(28w)Four+pack</v>
      </c>
    </row>
    <row r="1345" spans="1:41">
      <c r="A1345" s="177">
        <f>IFERROR(MATCH(D1345,'Measure &amp; Standard CostIDs'!C$5:C$177,0),MATCH(D1345,'Measure &amp; Standard CostIDs'!S$5:S$177,0))</f>
        <v>21</v>
      </c>
      <c r="B1345" s="177">
        <f t="shared" si="73"/>
        <v>5</v>
      </c>
      <c r="C1345" s="103" t="s">
        <v>153</v>
      </c>
      <c r="D1345" s="103" t="str">
        <f t="shared" si="72"/>
        <v>CFLscw(29w)</v>
      </c>
      <c r="E1345" s="103" t="str">
        <f>IF(LEFT(D1345,3)="Std","Base case cost for mix of 60% Incandescent and 40% CFL lamps for CFL TechID: "&amp;INDEX('Measure &amp; Standard CostIDs'!$C$5:$C$177,A1345),"&lt;from TechID&gt;")</f>
        <v>&lt;from TechID&gt;</v>
      </c>
      <c r="F1345" s="103" t="s">
        <v>860</v>
      </c>
      <c r="G1345" s="103" t="s">
        <v>151</v>
      </c>
      <c r="H1345" s="103" t="s">
        <v>861</v>
      </c>
      <c r="I1345" s="103" t="s">
        <v>862</v>
      </c>
      <c r="J1345" s="103" t="s">
        <v>863</v>
      </c>
      <c r="K1345" s="103" t="s">
        <v>864</v>
      </c>
      <c r="L1345" s="103" t="s">
        <v>153</v>
      </c>
      <c r="M1345" s="103" t="s">
        <v>865</v>
      </c>
      <c r="N1345" s="103" t="s">
        <v>866</v>
      </c>
      <c r="O1345" s="103" t="str">
        <f t="shared" si="74"/>
        <v>CFLscw(29w)</v>
      </c>
      <c r="P1345" s="103" t="s">
        <v>153</v>
      </c>
      <c r="Q1345" s="103" t="s">
        <v>153</v>
      </c>
      <c r="R1345" s="103" t="s">
        <v>153</v>
      </c>
      <c r="S1345" s="103" t="str">
        <f>INDEX('Measure &amp; Standard CostIDs'!$AK$8:$AK$12,B1345)</f>
        <v>Four+pack</v>
      </c>
      <c r="T1345" s="103" t="s">
        <v>867</v>
      </c>
      <c r="U1345" s="103"/>
      <c r="V1345" s="103"/>
      <c r="W1345" s="103">
        <f>ROUND(IF(LEFT(D1345,3)="Std",VLOOKUP(D1345,'Measure &amp; Standard CostIDs'!$S$5:$X$177,1+B1345,FALSE),VLOOKUP(D1345,'Measure &amp; Standard CostIDs'!$C$5:$H$177,1+B1345,FALSE)),2)</f>
        <v>3.34</v>
      </c>
      <c r="X1345" s="103"/>
      <c r="Y1345" s="103"/>
      <c r="Z1345" s="103" t="s">
        <v>868</v>
      </c>
      <c r="AA1345" s="103" t="s">
        <v>874</v>
      </c>
      <c r="AB1345" s="103" t="s">
        <v>153</v>
      </c>
      <c r="AC1345" s="103">
        <v>0</v>
      </c>
      <c r="AD1345" s="156">
        <v>42005</v>
      </c>
      <c r="AE1345" s="103"/>
      <c r="AF1345" s="103" t="s">
        <v>870</v>
      </c>
      <c r="AG1345" s="103" t="s">
        <v>871</v>
      </c>
      <c r="AH1345" s="103" t="s">
        <v>976</v>
      </c>
      <c r="AI1345" s="103">
        <v>0</v>
      </c>
      <c r="AJ1345" s="103"/>
      <c r="AK1345" s="103"/>
      <c r="AL1345" s="103"/>
      <c r="AM1345" s="103"/>
      <c r="AN1345" s="103"/>
      <c r="AO1345" s="103" t="str">
        <f t="shared" si="75"/>
        <v>CFLscw(29w)Four+pack</v>
      </c>
    </row>
    <row r="1346" spans="1:41">
      <c r="A1346" s="177">
        <f>IFERROR(MATCH(D1346,'Measure &amp; Standard CostIDs'!C$5:C$177,0),MATCH(D1346,'Measure &amp; Standard CostIDs'!S$5:S$177,0))</f>
        <v>22</v>
      </c>
      <c r="B1346" s="177">
        <f t="shared" si="73"/>
        <v>5</v>
      </c>
      <c r="C1346" s="103" t="s">
        <v>153</v>
      </c>
      <c r="D1346" s="103" t="str">
        <f t="shared" si="72"/>
        <v>CFLscw(30w)</v>
      </c>
      <c r="E1346" s="103" t="str">
        <f>IF(LEFT(D1346,3)="Std","Base case cost for mix of 60% Incandescent and 40% CFL lamps for CFL TechID: "&amp;INDEX('Measure &amp; Standard CostIDs'!$C$5:$C$177,A1346),"&lt;from TechID&gt;")</f>
        <v>&lt;from TechID&gt;</v>
      </c>
      <c r="F1346" s="103" t="s">
        <v>860</v>
      </c>
      <c r="G1346" s="103" t="s">
        <v>151</v>
      </c>
      <c r="H1346" s="103" t="s">
        <v>861</v>
      </c>
      <c r="I1346" s="103" t="s">
        <v>862</v>
      </c>
      <c r="J1346" s="103" t="s">
        <v>863</v>
      </c>
      <c r="K1346" s="103" t="s">
        <v>864</v>
      </c>
      <c r="L1346" s="103" t="s">
        <v>153</v>
      </c>
      <c r="M1346" s="103" t="s">
        <v>865</v>
      </c>
      <c r="N1346" s="103" t="s">
        <v>866</v>
      </c>
      <c r="O1346" s="103" t="str">
        <f t="shared" si="74"/>
        <v>CFLscw(30w)</v>
      </c>
      <c r="P1346" s="103" t="s">
        <v>153</v>
      </c>
      <c r="Q1346" s="103" t="s">
        <v>153</v>
      </c>
      <c r="R1346" s="103" t="s">
        <v>153</v>
      </c>
      <c r="S1346" s="103" t="str">
        <f>INDEX('Measure &amp; Standard CostIDs'!$AK$8:$AK$12,B1346)</f>
        <v>Four+pack</v>
      </c>
      <c r="T1346" s="103" t="s">
        <v>867</v>
      </c>
      <c r="U1346" s="103"/>
      <c r="V1346" s="103"/>
      <c r="W1346" s="103">
        <f>ROUND(IF(LEFT(D1346,3)="Std",VLOOKUP(D1346,'Measure &amp; Standard CostIDs'!$S$5:$X$177,1+B1346,FALSE),VLOOKUP(D1346,'Measure &amp; Standard CostIDs'!$C$5:$H$177,1+B1346,FALSE)),2)</f>
        <v>3.5</v>
      </c>
      <c r="X1346" s="103"/>
      <c r="Y1346" s="103"/>
      <c r="Z1346" s="103" t="s">
        <v>868</v>
      </c>
      <c r="AA1346" s="103" t="s">
        <v>874</v>
      </c>
      <c r="AB1346" s="103" t="s">
        <v>153</v>
      </c>
      <c r="AC1346" s="103">
        <v>0</v>
      </c>
      <c r="AD1346" s="156">
        <v>42005</v>
      </c>
      <c r="AE1346" s="103"/>
      <c r="AF1346" s="103" t="s">
        <v>870</v>
      </c>
      <c r="AG1346" s="103" t="s">
        <v>871</v>
      </c>
      <c r="AH1346" s="103" t="s">
        <v>976</v>
      </c>
      <c r="AI1346" s="103">
        <v>0</v>
      </c>
      <c r="AJ1346" s="103"/>
      <c r="AK1346" s="103"/>
      <c r="AL1346" s="103"/>
      <c r="AM1346" s="103"/>
      <c r="AN1346" s="103"/>
      <c r="AO1346" s="103" t="str">
        <f t="shared" si="75"/>
        <v>CFLscw(30w)Four+pack</v>
      </c>
    </row>
    <row r="1347" spans="1:41">
      <c r="A1347" s="177">
        <f>IFERROR(MATCH(D1347,'Measure &amp; Standard CostIDs'!C$5:C$177,0),MATCH(D1347,'Measure &amp; Standard CostIDs'!S$5:S$177,0))</f>
        <v>23</v>
      </c>
      <c r="B1347" s="177">
        <f t="shared" si="73"/>
        <v>5</v>
      </c>
      <c r="C1347" s="103" t="s">
        <v>153</v>
      </c>
      <c r="D1347" s="103" t="str">
        <f t="shared" si="72"/>
        <v>CFLscw(31w)</v>
      </c>
      <c r="E1347" s="103" t="str">
        <f>IF(LEFT(D1347,3)="Std","Base case cost for mix of 60% Incandescent and 40% CFL lamps for CFL TechID: "&amp;INDEX('Measure &amp; Standard CostIDs'!$C$5:$C$177,A1347),"&lt;from TechID&gt;")</f>
        <v>&lt;from TechID&gt;</v>
      </c>
      <c r="F1347" s="103" t="s">
        <v>860</v>
      </c>
      <c r="G1347" s="103" t="s">
        <v>151</v>
      </c>
      <c r="H1347" s="103" t="s">
        <v>861</v>
      </c>
      <c r="I1347" s="103" t="s">
        <v>862</v>
      </c>
      <c r="J1347" s="103" t="s">
        <v>863</v>
      </c>
      <c r="K1347" s="103" t="s">
        <v>864</v>
      </c>
      <c r="L1347" s="103" t="s">
        <v>153</v>
      </c>
      <c r="M1347" s="103" t="s">
        <v>865</v>
      </c>
      <c r="N1347" s="103" t="s">
        <v>866</v>
      </c>
      <c r="O1347" s="103" t="str">
        <f t="shared" si="74"/>
        <v>CFLscw(31w)</v>
      </c>
      <c r="P1347" s="103" t="s">
        <v>153</v>
      </c>
      <c r="Q1347" s="103" t="s">
        <v>153</v>
      </c>
      <c r="R1347" s="103" t="s">
        <v>153</v>
      </c>
      <c r="S1347" s="103" t="str">
        <f>INDEX('Measure &amp; Standard CostIDs'!$AK$8:$AK$12,B1347)</f>
        <v>Four+pack</v>
      </c>
      <c r="T1347" s="103" t="s">
        <v>867</v>
      </c>
      <c r="U1347" s="103"/>
      <c r="V1347" s="103"/>
      <c r="W1347" s="103">
        <f>ROUND(IF(LEFT(D1347,3)="Std",VLOOKUP(D1347,'Measure &amp; Standard CostIDs'!$S$5:$X$177,1+B1347,FALSE),VLOOKUP(D1347,'Measure &amp; Standard CostIDs'!$C$5:$H$177,1+B1347,FALSE)),2)</f>
        <v>3.66</v>
      </c>
      <c r="X1347" s="103"/>
      <c r="Y1347" s="103"/>
      <c r="Z1347" s="103" t="s">
        <v>868</v>
      </c>
      <c r="AA1347" s="103" t="s">
        <v>874</v>
      </c>
      <c r="AB1347" s="103" t="s">
        <v>153</v>
      </c>
      <c r="AC1347" s="103">
        <v>0</v>
      </c>
      <c r="AD1347" s="156">
        <v>42005</v>
      </c>
      <c r="AE1347" s="103"/>
      <c r="AF1347" s="103" t="s">
        <v>870</v>
      </c>
      <c r="AG1347" s="103" t="s">
        <v>871</v>
      </c>
      <c r="AH1347" s="103" t="s">
        <v>976</v>
      </c>
      <c r="AI1347" s="103">
        <v>0</v>
      </c>
      <c r="AJ1347" s="103"/>
      <c r="AK1347" s="103"/>
      <c r="AL1347" s="103"/>
      <c r="AM1347" s="103"/>
      <c r="AN1347" s="103"/>
      <c r="AO1347" s="103" t="str">
        <f t="shared" si="75"/>
        <v>CFLscw(31w)Four+pack</v>
      </c>
    </row>
    <row r="1348" spans="1:41">
      <c r="A1348" s="177">
        <f>IFERROR(MATCH(D1348,'Measure &amp; Standard CostIDs'!C$5:C$177,0),MATCH(D1348,'Measure &amp; Standard CostIDs'!S$5:S$177,0))</f>
        <v>24</v>
      </c>
      <c r="B1348" s="177">
        <f t="shared" si="73"/>
        <v>5</v>
      </c>
      <c r="C1348" s="103" t="s">
        <v>153</v>
      </c>
      <c r="D1348" s="103" t="str">
        <f t="shared" si="72"/>
        <v>CFLscw(32w)</v>
      </c>
      <c r="E1348" s="103" t="str">
        <f>IF(LEFT(D1348,3)="Std","Base case cost for mix of 60% Incandescent and 40% CFL lamps for CFL TechID: "&amp;INDEX('Measure &amp; Standard CostIDs'!$C$5:$C$177,A1348),"&lt;from TechID&gt;")</f>
        <v>&lt;from TechID&gt;</v>
      </c>
      <c r="F1348" s="103" t="s">
        <v>860</v>
      </c>
      <c r="G1348" s="103" t="s">
        <v>151</v>
      </c>
      <c r="H1348" s="103" t="s">
        <v>861</v>
      </c>
      <c r="I1348" s="103" t="s">
        <v>862</v>
      </c>
      <c r="J1348" s="103" t="s">
        <v>863</v>
      </c>
      <c r="K1348" s="103" t="s">
        <v>864</v>
      </c>
      <c r="L1348" s="103" t="s">
        <v>153</v>
      </c>
      <c r="M1348" s="103" t="s">
        <v>865</v>
      </c>
      <c r="N1348" s="103" t="s">
        <v>866</v>
      </c>
      <c r="O1348" s="103" t="str">
        <f t="shared" si="74"/>
        <v>CFLscw(32w)</v>
      </c>
      <c r="P1348" s="103" t="s">
        <v>153</v>
      </c>
      <c r="Q1348" s="103" t="s">
        <v>153</v>
      </c>
      <c r="R1348" s="103" t="s">
        <v>153</v>
      </c>
      <c r="S1348" s="103" t="str">
        <f>INDEX('Measure &amp; Standard CostIDs'!$AK$8:$AK$12,B1348)</f>
        <v>Four+pack</v>
      </c>
      <c r="T1348" s="103" t="s">
        <v>867</v>
      </c>
      <c r="U1348" s="103"/>
      <c r="V1348" s="103"/>
      <c r="W1348" s="103">
        <f>ROUND(IF(LEFT(D1348,3)="Std",VLOOKUP(D1348,'Measure &amp; Standard CostIDs'!$S$5:$X$177,1+B1348,FALSE),VLOOKUP(D1348,'Measure &amp; Standard CostIDs'!$C$5:$H$177,1+B1348,FALSE)),2)</f>
        <v>3.82</v>
      </c>
      <c r="X1348" s="103"/>
      <c r="Y1348" s="103"/>
      <c r="Z1348" s="103" t="s">
        <v>868</v>
      </c>
      <c r="AA1348" s="103" t="s">
        <v>874</v>
      </c>
      <c r="AB1348" s="103" t="s">
        <v>153</v>
      </c>
      <c r="AC1348" s="103">
        <v>0</v>
      </c>
      <c r="AD1348" s="156">
        <v>42005</v>
      </c>
      <c r="AE1348" s="103"/>
      <c r="AF1348" s="103" t="s">
        <v>870</v>
      </c>
      <c r="AG1348" s="103" t="s">
        <v>871</v>
      </c>
      <c r="AH1348" s="103" t="s">
        <v>976</v>
      </c>
      <c r="AI1348" s="103">
        <v>0</v>
      </c>
      <c r="AJ1348" s="103"/>
      <c r="AK1348" s="103"/>
      <c r="AL1348" s="103"/>
      <c r="AM1348" s="103"/>
      <c r="AN1348" s="103"/>
      <c r="AO1348" s="103" t="str">
        <f t="shared" si="75"/>
        <v>CFLscw(32w)Four+pack</v>
      </c>
    </row>
    <row r="1349" spans="1:41">
      <c r="A1349" s="177">
        <f>IFERROR(MATCH(D1349,'Measure &amp; Standard CostIDs'!C$5:C$177,0),MATCH(D1349,'Measure &amp; Standard CostIDs'!S$5:S$177,0))</f>
        <v>25</v>
      </c>
      <c r="B1349" s="177">
        <f t="shared" si="73"/>
        <v>5</v>
      </c>
      <c r="C1349" s="103" t="s">
        <v>153</v>
      </c>
      <c r="D1349" s="103" t="str">
        <f t="shared" si="72"/>
        <v>CFLscw(33w)</v>
      </c>
      <c r="E1349" s="103" t="str">
        <f>IF(LEFT(D1349,3)="Std","Base case cost for mix of 60% Incandescent and 40% CFL lamps for CFL TechID: "&amp;INDEX('Measure &amp; Standard CostIDs'!$C$5:$C$177,A1349),"&lt;from TechID&gt;")</f>
        <v>&lt;from TechID&gt;</v>
      </c>
      <c r="F1349" s="103" t="s">
        <v>860</v>
      </c>
      <c r="G1349" s="103" t="s">
        <v>151</v>
      </c>
      <c r="H1349" s="103" t="s">
        <v>861</v>
      </c>
      <c r="I1349" s="103" t="s">
        <v>862</v>
      </c>
      <c r="J1349" s="103" t="s">
        <v>863</v>
      </c>
      <c r="K1349" s="103" t="s">
        <v>864</v>
      </c>
      <c r="L1349" s="103" t="s">
        <v>153</v>
      </c>
      <c r="M1349" s="103" t="s">
        <v>865</v>
      </c>
      <c r="N1349" s="103" t="s">
        <v>866</v>
      </c>
      <c r="O1349" s="103" t="str">
        <f t="shared" si="74"/>
        <v>CFLscw(33w)</v>
      </c>
      <c r="P1349" s="103" t="s">
        <v>153</v>
      </c>
      <c r="Q1349" s="103" t="s">
        <v>153</v>
      </c>
      <c r="R1349" s="103" t="s">
        <v>153</v>
      </c>
      <c r="S1349" s="103" t="str">
        <f>INDEX('Measure &amp; Standard CostIDs'!$AK$8:$AK$12,B1349)</f>
        <v>Four+pack</v>
      </c>
      <c r="T1349" s="103" t="s">
        <v>867</v>
      </c>
      <c r="U1349" s="103"/>
      <c r="V1349" s="103"/>
      <c r="W1349" s="103">
        <f>ROUND(IF(LEFT(D1349,3)="Std",VLOOKUP(D1349,'Measure &amp; Standard CostIDs'!$S$5:$X$177,1+B1349,FALSE),VLOOKUP(D1349,'Measure &amp; Standard CostIDs'!$C$5:$H$177,1+B1349,FALSE)),2)</f>
        <v>3.98</v>
      </c>
      <c r="X1349" s="103"/>
      <c r="Y1349" s="103"/>
      <c r="Z1349" s="103" t="s">
        <v>868</v>
      </c>
      <c r="AA1349" s="103" t="s">
        <v>874</v>
      </c>
      <c r="AB1349" s="103" t="s">
        <v>153</v>
      </c>
      <c r="AC1349" s="103">
        <v>0</v>
      </c>
      <c r="AD1349" s="156">
        <v>42005</v>
      </c>
      <c r="AE1349" s="103"/>
      <c r="AF1349" s="103" t="s">
        <v>870</v>
      </c>
      <c r="AG1349" s="103" t="s">
        <v>871</v>
      </c>
      <c r="AH1349" s="103" t="s">
        <v>976</v>
      </c>
      <c r="AI1349" s="103">
        <v>0</v>
      </c>
      <c r="AJ1349" s="103"/>
      <c r="AK1349" s="103"/>
      <c r="AL1349" s="103"/>
      <c r="AM1349" s="103"/>
      <c r="AN1349" s="103"/>
      <c r="AO1349" s="103" t="str">
        <f t="shared" si="75"/>
        <v>CFLscw(33w)Four+pack</v>
      </c>
    </row>
    <row r="1350" spans="1:41">
      <c r="A1350" s="177">
        <f>IFERROR(MATCH(D1350,'Measure &amp; Standard CostIDs'!C$5:C$177,0),MATCH(D1350,'Measure &amp; Standard CostIDs'!S$5:S$177,0))</f>
        <v>26</v>
      </c>
      <c r="B1350" s="177">
        <f t="shared" si="73"/>
        <v>5</v>
      </c>
      <c r="C1350" s="103" t="s">
        <v>153</v>
      </c>
      <c r="D1350" s="103" t="str">
        <f t="shared" si="72"/>
        <v>CFLscw(36w)</v>
      </c>
      <c r="E1350" s="103" t="str">
        <f>IF(LEFT(D1350,3)="Std","Base case cost for mix of 60% Incandescent and 40% CFL lamps for CFL TechID: "&amp;INDEX('Measure &amp; Standard CostIDs'!$C$5:$C$177,A1350),"&lt;from TechID&gt;")</f>
        <v>&lt;from TechID&gt;</v>
      </c>
      <c r="F1350" s="103" t="s">
        <v>860</v>
      </c>
      <c r="G1350" s="103" t="s">
        <v>151</v>
      </c>
      <c r="H1350" s="103" t="s">
        <v>861</v>
      </c>
      <c r="I1350" s="103" t="s">
        <v>862</v>
      </c>
      <c r="J1350" s="103" t="s">
        <v>863</v>
      </c>
      <c r="K1350" s="103" t="s">
        <v>864</v>
      </c>
      <c r="L1350" s="103" t="s">
        <v>153</v>
      </c>
      <c r="M1350" s="103" t="s">
        <v>865</v>
      </c>
      <c r="N1350" s="103" t="s">
        <v>866</v>
      </c>
      <c r="O1350" s="103" t="str">
        <f t="shared" si="74"/>
        <v>CFLscw(36w)</v>
      </c>
      <c r="P1350" s="103" t="s">
        <v>153</v>
      </c>
      <c r="Q1350" s="103" t="s">
        <v>153</v>
      </c>
      <c r="R1350" s="103" t="s">
        <v>153</v>
      </c>
      <c r="S1350" s="103" t="str">
        <f>INDEX('Measure &amp; Standard CostIDs'!$AK$8:$AK$12,B1350)</f>
        <v>Four+pack</v>
      </c>
      <c r="T1350" s="103" t="s">
        <v>867</v>
      </c>
      <c r="U1350" s="103"/>
      <c r="V1350" s="103"/>
      <c r="W1350" s="103">
        <f>ROUND(IF(LEFT(D1350,3)="Std",VLOOKUP(D1350,'Measure &amp; Standard CostIDs'!$S$5:$X$177,1+B1350,FALSE),VLOOKUP(D1350,'Measure &amp; Standard CostIDs'!$C$5:$H$177,1+B1350,FALSE)),2)</f>
        <v>4.46</v>
      </c>
      <c r="X1350" s="103"/>
      <c r="Y1350" s="103"/>
      <c r="Z1350" s="103" t="s">
        <v>868</v>
      </c>
      <c r="AA1350" s="103" t="s">
        <v>874</v>
      </c>
      <c r="AB1350" s="103" t="s">
        <v>153</v>
      </c>
      <c r="AC1350" s="103">
        <v>0</v>
      </c>
      <c r="AD1350" s="156">
        <v>42005</v>
      </c>
      <c r="AE1350" s="103"/>
      <c r="AF1350" s="103" t="s">
        <v>870</v>
      </c>
      <c r="AG1350" s="103" t="s">
        <v>871</v>
      </c>
      <c r="AH1350" s="103" t="s">
        <v>976</v>
      </c>
      <c r="AI1350" s="103">
        <v>0</v>
      </c>
      <c r="AJ1350" s="103"/>
      <c r="AK1350" s="103"/>
      <c r="AL1350" s="103"/>
      <c r="AM1350" s="103"/>
      <c r="AN1350" s="103"/>
      <c r="AO1350" s="103" t="str">
        <f t="shared" si="75"/>
        <v>CFLscw(36w)Four+pack</v>
      </c>
    </row>
    <row r="1351" spans="1:41">
      <c r="A1351" s="177">
        <f>IFERROR(MATCH(D1351,'Measure &amp; Standard CostIDs'!C$5:C$177,0),MATCH(D1351,'Measure &amp; Standard CostIDs'!S$5:S$177,0))</f>
        <v>27</v>
      </c>
      <c r="B1351" s="177">
        <f t="shared" si="73"/>
        <v>5</v>
      </c>
      <c r="C1351" s="103" t="s">
        <v>153</v>
      </c>
      <c r="D1351" s="103" t="str">
        <f t="shared" si="72"/>
        <v>CFLscw(38w)</v>
      </c>
      <c r="E1351" s="103" t="str">
        <f>IF(LEFT(D1351,3)="Std","Base case cost for mix of 60% Incandescent and 40% CFL lamps for CFL TechID: "&amp;INDEX('Measure &amp; Standard CostIDs'!$C$5:$C$177,A1351),"&lt;from TechID&gt;")</f>
        <v>&lt;from TechID&gt;</v>
      </c>
      <c r="F1351" s="103" t="s">
        <v>860</v>
      </c>
      <c r="G1351" s="103" t="s">
        <v>151</v>
      </c>
      <c r="H1351" s="103" t="s">
        <v>861</v>
      </c>
      <c r="I1351" s="103" t="s">
        <v>862</v>
      </c>
      <c r="J1351" s="103" t="s">
        <v>863</v>
      </c>
      <c r="K1351" s="103" t="s">
        <v>864</v>
      </c>
      <c r="L1351" s="103" t="s">
        <v>153</v>
      </c>
      <c r="M1351" s="103" t="s">
        <v>865</v>
      </c>
      <c r="N1351" s="103" t="s">
        <v>866</v>
      </c>
      <c r="O1351" s="103" t="str">
        <f t="shared" si="74"/>
        <v>CFLscw(38w)</v>
      </c>
      <c r="P1351" s="103" t="s">
        <v>153</v>
      </c>
      <c r="Q1351" s="103" t="s">
        <v>153</v>
      </c>
      <c r="R1351" s="103" t="s">
        <v>153</v>
      </c>
      <c r="S1351" s="103" t="str">
        <f>INDEX('Measure &amp; Standard CostIDs'!$AK$8:$AK$12,B1351)</f>
        <v>Four+pack</v>
      </c>
      <c r="T1351" s="103" t="s">
        <v>867</v>
      </c>
      <c r="U1351" s="103"/>
      <c r="V1351" s="103"/>
      <c r="W1351" s="103">
        <f>ROUND(IF(LEFT(D1351,3)="Std",VLOOKUP(D1351,'Measure &amp; Standard CostIDs'!$S$5:$X$177,1+B1351,FALSE),VLOOKUP(D1351,'Measure &amp; Standard CostIDs'!$C$5:$H$177,1+B1351,FALSE)),2)</f>
        <v>4.78</v>
      </c>
      <c r="X1351" s="103"/>
      <c r="Y1351" s="103"/>
      <c r="Z1351" s="103" t="s">
        <v>868</v>
      </c>
      <c r="AA1351" s="103" t="s">
        <v>874</v>
      </c>
      <c r="AB1351" s="103" t="s">
        <v>153</v>
      </c>
      <c r="AC1351" s="103">
        <v>0</v>
      </c>
      <c r="AD1351" s="156">
        <v>42005</v>
      </c>
      <c r="AE1351" s="103"/>
      <c r="AF1351" s="103" t="s">
        <v>870</v>
      </c>
      <c r="AG1351" s="103" t="s">
        <v>871</v>
      </c>
      <c r="AH1351" s="103" t="s">
        <v>976</v>
      </c>
      <c r="AI1351" s="103">
        <v>0</v>
      </c>
      <c r="AJ1351" s="103"/>
      <c r="AK1351" s="103"/>
      <c r="AL1351" s="103"/>
      <c r="AM1351" s="103"/>
      <c r="AN1351" s="103"/>
      <c r="AO1351" s="103" t="str">
        <f t="shared" si="75"/>
        <v>CFLscw(38w)Four+pack</v>
      </c>
    </row>
    <row r="1352" spans="1:41">
      <c r="A1352" s="177">
        <f>IFERROR(MATCH(D1352,'Measure &amp; Standard CostIDs'!C$5:C$177,0),MATCH(D1352,'Measure &amp; Standard CostIDs'!S$5:S$177,0))</f>
        <v>28</v>
      </c>
      <c r="B1352" s="177">
        <f t="shared" si="73"/>
        <v>5</v>
      </c>
      <c r="C1352" s="103" t="s">
        <v>153</v>
      </c>
      <c r="D1352" s="103" t="str">
        <f t="shared" si="72"/>
        <v>CFLscw(39w)</v>
      </c>
      <c r="E1352" s="103" t="str">
        <f>IF(LEFT(D1352,3)="Std","Base case cost for mix of 60% Incandescent and 40% CFL lamps for CFL TechID: "&amp;INDEX('Measure &amp; Standard CostIDs'!$C$5:$C$177,A1352),"&lt;from TechID&gt;")</f>
        <v>&lt;from TechID&gt;</v>
      </c>
      <c r="F1352" s="103" t="s">
        <v>860</v>
      </c>
      <c r="G1352" s="103" t="s">
        <v>151</v>
      </c>
      <c r="H1352" s="103" t="s">
        <v>861</v>
      </c>
      <c r="I1352" s="103" t="s">
        <v>862</v>
      </c>
      <c r="J1352" s="103" t="s">
        <v>863</v>
      </c>
      <c r="K1352" s="103" t="s">
        <v>864</v>
      </c>
      <c r="L1352" s="103" t="s">
        <v>153</v>
      </c>
      <c r="M1352" s="103" t="s">
        <v>865</v>
      </c>
      <c r="N1352" s="103" t="s">
        <v>866</v>
      </c>
      <c r="O1352" s="103" t="str">
        <f t="shared" si="74"/>
        <v>CFLscw(39w)</v>
      </c>
      <c r="P1352" s="103" t="s">
        <v>153</v>
      </c>
      <c r="Q1352" s="103" t="s">
        <v>153</v>
      </c>
      <c r="R1352" s="103" t="s">
        <v>153</v>
      </c>
      <c r="S1352" s="103" t="str">
        <f>INDEX('Measure &amp; Standard CostIDs'!$AK$8:$AK$12,B1352)</f>
        <v>Four+pack</v>
      </c>
      <c r="T1352" s="103" t="s">
        <v>867</v>
      </c>
      <c r="U1352" s="103"/>
      <c r="V1352" s="103"/>
      <c r="W1352" s="103">
        <f>ROUND(IF(LEFT(D1352,3)="Std",VLOOKUP(D1352,'Measure &amp; Standard CostIDs'!$S$5:$X$177,1+B1352,FALSE),VLOOKUP(D1352,'Measure &amp; Standard CostIDs'!$C$5:$H$177,1+B1352,FALSE)),2)</f>
        <v>4.9400000000000004</v>
      </c>
      <c r="X1352" s="103"/>
      <c r="Y1352" s="103"/>
      <c r="Z1352" s="103" t="s">
        <v>868</v>
      </c>
      <c r="AA1352" s="103" t="s">
        <v>874</v>
      </c>
      <c r="AB1352" s="103" t="s">
        <v>153</v>
      </c>
      <c r="AC1352" s="103">
        <v>0</v>
      </c>
      <c r="AD1352" s="156">
        <v>42005</v>
      </c>
      <c r="AE1352" s="103"/>
      <c r="AF1352" s="103" t="s">
        <v>870</v>
      </c>
      <c r="AG1352" s="103" t="s">
        <v>871</v>
      </c>
      <c r="AH1352" s="103" t="s">
        <v>976</v>
      </c>
      <c r="AI1352" s="103">
        <v>0</v>
      </c>
      <c r="AJ1352" s="103"/>
      <c r="AK1352" s="103"/>
      <c r="AL1352" s="103"/>
      <c r="AM1352" s="103"/>
      <c r="AN1352" s="103"/>
      <c r="AO1352" s="103" t="str">
        <f t="shared" si="75"/>
        <v>CFLscw(39w)Four+pack</v>
      </c>
    </row>
    <row r="1353" spans="1:41">
      <c r="A1353" s="177">
        <f>IFERROR(MATCH(D1353,'Measure &amp; Standard CostIDs'!C$5:C$177,0),MATCH(D1353,'Measure &amp; Standard CostIDs'!S$5:S$177,0))</f>
        <v>29</v>
      </c>
      <c r="B1353" s="177">
        <f t="shared" si="73"/>
        <v>5</v>
      </c>
      <c r="C1353" s="103" t="s">
        <v>153</v>
      </c>
      <c r="D1353" s="103" t="str">
        <f t="shared" si="72"/>
        <v>CFLscw(3w)</v>
      </c>
      <c r="E1353" s="103" t="str">
        <f>IF(LEFT(D1353,3)="Std","Base case cost for mix of 60% Incandescent and 40% CFL lamps for CFL TechID: "&amp;INDEX('Measure &amp; Standard CostIDs'!$C$5:$C$177,A1353),"&lt;from TechID&gt;")</f>
        <v>&lt;from TechID&gt;</v>
      </c>
      <c r="F1353" s="103" t="s">
        <v>860</v>
      </c>
      <c r="G1353" s="103" t="s">
        <v>151</v>
      </c>
      <c r="H1353" s="103" t="s">
        <v>861</v>
      </c>
      <c r="I1353" s="103" t="s">
        <v>862</v>
      </c>
      <c r="J1353" s="103" t="s">
        <v>863</v>
      </c>
      <c r="K1353" s="103" t="s">
        <v>864</v>
      </c>
      <c r="L1353" s="103" t="s">
        <v>153</v>
      </c>
      <c r="M1353" s="103" t="s">
        <v>865</v>
      </c>
      <c r="N1353" s="103" t="s">
        <v>866</v>
      </c>
      <c r="O1353" s="103" t="str">
        <f t="shared" si="74"/>
        <v>CFLscw(3w)</v>
      </c>
      <c r="P1353" s="103" t="s">
        <v>153</v>
      </c>
      <c r="Q1353" s="103" t="s">
        <v>153</v>
      </c>
      <c r="R1353" s="103" t="s">
        <v>153</v>
      </c>
      <c r="S1353" s="103" t="str">
        <f>INDEX('Measure &amp; Standard CostIDs'!$AK$8:$AK$12,B1353)</f>
        <v>Four+pack</v>
      </c>
      <c r="T1353" s="103" t="s">
        <v>867</v>
      </c>
      <c r="U1353" s="103"/>
      <c r="V1353" s="103"/>
      <c r="W1353" s="103">
        <f>ROUND(IF(LEFT(D1353,3)="Std",VLOOKUP(D1353,'Measure &amp; Standard CostIDs'!$S$5:$X$177,1+B1353,FALSE),VLOOKUP(D1353,'Measure &amp; Standard CostIDs'!$C$5:$H$177,1+B1353,FALSE)),2)</f>
        <v>1.24</v>
      </c>
      <c r="X1353" s="103"/>
      <c r="Y1353" s="103"/>
      <c r="Z1353" s="103" t="s">
        <v>868</v>
      </c>
      <c r="AA1353" s="103" t="s">
        <v>874</v>
      </c>
      <c r="AB1353" s="103" t="s">
        <v>153</v>
      </c>
      <c r="AC1353" s="103">
        <v>0</v>
      </c>
      <c r="AD1353" s="156">
        <v>42005</v>
      </c>
      <c r="AE1353" s="103"/>
      <c r="AF1353" s="103" t="s">
        <v>870</v>
      </c>
      <c r="AG1353" s="103" t="s">
        <v>871</v>
      </c>
      <c r="AH1353" s="103" t="s">
        <v>976</v>
      </c>
      <c r="AI1353" s="103">
        <v>0</v>
      </c>
      <c r="AJ1353" s="103"/>
      <c r="AK1353" s="103"/>
      <c r="AL1353" s="103"/>
      <c r="AM1353" s="103"/>
      <c r="AN1353" s="103"/>
      <c r="AO1353" s="103" t="str">
        <f t="shared" si="75"/>
        <v>CFLscw(3w)Four+pack</v>
      </c>
    </row>
    <row r="1354" spans="1:41">
      <c r="A1354" s="177">
        <f>IFERROR(MATCH(D1354,'Measure &amp; Standard CostIDs'!C$5:C$177,0),MATCH(D1354,'Measure &amp; Standard CostIDs'!S$5:S$177,0))</f>
        <v>30</v>
      </c>
      <c r="B1354" s="177">
        <f t="shared" si="73"/>
        <v>5</v>
      </c>
      <c r="C1354" s="103" t="s">
        <v>153</v>
      </c>
      <c r="D1354" s="103" t="str">
        <f t="shared" si="72"/>
        <v>CFLscw(40w)</v>
      </c>
      <c r="E1354" s="103" t="str">
        <f>IF(LEFT(D1354,3)="Std","Base case cost for mix of 60% Incandescent and 40% CFL lamps for CFL TechID: "&amp;INDEX('Measure &amp; Standard CostIDs'!$C$5:$C$177,A1354),"&lt;from TechID&gt;")</f>
        <v>&lt;from TechID&gt;</v>
      </c>
      <c r="F1354" s="103" t="s">
        <v>860</v>
      </c>
      <c r="G1354" s="103" t="s">
        <v>151</v>
      </c>
      <c r="H1354" s="103" t="s">
        <v>861</v>
      </c>
      <c r="I1354" s="103" t="s">
        <v>862</v>
      </c>
      <c r="J1354" s="103" t="s">
        <v>863</v>
      </c>
      <c r="K1354" s="103" t="s">
        <v>864</v>
      </c>
      <c r="L1354" s="103" t="s">
        <v>153</v>
      </c>
      <c r="M1354" s="103" t="s">
        <v>865</v>
      </c>
      <c r="N1354" s="103" t="s">
        <v>866</v>
      </c>
      <c r="O1354" s="103" t="str">
        <f t="shared" si="74"/>
        <v>CFLscw(40w)</v>
      </c>
      <c r="P1354" s="103" t="s">
        <v>153</v>
      </c>
      <c r="Q1354" s="103" t="s">
        <v>153</v>
      </c>
      <c r="R1354" s="103" t="s">
        <v>153</v>
      </c>
      <c r="S1354" s="103" t="str">
        <f>INDEX('Measure &amp; Standard CostIDs'!$AK$8:$AK$12,B1354)</f>
        <v>Four+pack</v>
      </c>
      <c r="T1354" s="103" t="s">
        <v>867</v>
      </c>
      <c r="U1354" s="103"/>
      <c r="V1354" s="103"/>
      <c r="W1354" s="103">
        <f>ROUND(IF(LEFT(D1354,3)="Std",VLOOKUP(D1354,'Measure &amp; Standard CostIDs'!$S$5:$X$177,1+B1354,FALSE),VLOOKUP(D1354,'Measure &amp; Standard CostIDs'!$C$5:$H$177,1+B1354,FALSE)),2)</f>
        <v>5.0999999999999996</v>
      </c>
      <c r="X1354" s="103"/>
      <c r="Y1354" s="103"/>
      <c r="Z1354" s="103" t="s">
        <v>868</v>
      </c>
      <c r="AA1354" s="103" t="s">
        <v>874</v>
      </c>
      <c r="AB1354" s="103" t="s">
        <v>153</v>
      </c>
      <c r="AC1354" s="103">
        <v>0</v>
      </c>
      <c r="AD1354" s="156">
        <v>42005</v>
      </c>
      <c r="AE1354" s="103"/>
      <c r="AF1354" s="103" t="s">
        <v>870</v>
      </c>
      <c r="AG1354" s="103" t="s">
        <v>871</v>
      </c>
      <c r="AH1354" s="103" t="s">
        <v>976</v>
      </c>
      <c r="AI1354" s="103">
        <v>0</v>
      </c>
      <c r="AJ1354" s="103"/>
      <c r="AK1354" s="103"/>
      <c r="AL1354" s="103"/>
      <c r="AM1354" s="103"/>
      <c r="AN1354" s="103"/>
      <c r="AO1354" s="103" t="str">
        <f t="shared" si="75"/>
        <v>CFLscw(40w)Four+pack</v>
      </c>
    </row>
    <row r="1355" spans="1:41">
      <c r="A1355" s="177">
        <f>IFERROR(MATCH(D1355,'Measure &amp; Standard CostIDs'!C$5:C$177,0),MATCH(D1355,'Measure &amp; Standard CostIDs'!S$5:S$177,0))</f>
        <v>31</v>
      </c>
      <c r="B1355" s="177">
        <f t="shared" si="73"/>
        <v>5</v>
      </c>
      <c r="C1355" s="103" t="s">
        <v>153</v>
      </c>
      <c r="D1355" s="103" t="str">
        <f t="shared" si="72"/>
        <v>CFLscw(42w)</v>
      </c>
      <c r="E1355" s="103" t="str">
        <f>IF(LEFT(D1355,3)="Std","Base case cost for mix of 60% Incandescent and 40% CFL lamps for CFL TechID: "&amp;INDEX('Measure &amp; Standard CostIDs'!$C$5:$C$177,A1355),"&lt;from TechID&gt;")</f>
        <v>&lt;from TechID&gt;</v>
      </c>
      <c r="F1355" s="103" t="s">
        <v>860</v>
      </c>
      <c r="G1355" s="103" t="s">
        <v>151</v>
      </c>
      <c r="H1355" s="103" t="s">
        <v>861</v>
      </c>
      <c r="I1355" s="103" t="s">
        <v>862</v>
      </c>
      <c r="J1355" s="103" t="s">
        <v>863</v>
      </c>
      <c r="K1355" s="103" t="s">
        <v>864</v>
      </c>
      <c r="L1355" s="103" t="s">
        <v>153</v>
      </c>
      <c r="M1355" s="103" t="s">
        <v>865</v>
      </c>
      <c r="N1355" s="103" t="s">
        <v>866</v>
      </c>
      <c r="O1355" s="103" t="str">
        <f t="shared" si="74"/>
        <v>CFLscw(42w)</v>
      </c>
      <c r="P1355" s="103" t="s">
        <v>153</v>
      </c>
      <c r="Q1355" s="103" t="s">
        <v>153</v>
      </c>
      <c r="R1355" s="103" t="s">
        <v>153</v>
      </c>
      <c r="S1355" s="103" t="str">
        <f>INDEX('Measure &amp; Standard CostIDs'!$AK$8:$AK$12,B1355)</f>
        <v>Four+pack</v>
      </c>
      <c r="T1355" s="103" t="s">
        <v>867</v>
      </c>
      <c r="U1355" s="103"/>
      <c r="V1355" s="103"/>
      <c r="W1355" s="103">
        <f>ROUND(IF(LEFT(D1355,3)="Std",VLOOKUP(D1355,'Measure &amp; Standard CostIDs'!$S$5:$X$177,1+B1355,FALSE),VLOOKUP(D1355,'Measure &amp; Standard CostIDs'!$C$5:$H$177,1+B1355,FALSE)),2)</f>
        <v>5.42</v>
      </c>
      <c r="X1355" s="103"/>
      <c r="Y1355" s="103"/>
      <c r="Z1355" s="103" t="s">
        <v>868</v>
      </c>
      <c r="AA1355" s="103" t="s">
        <v>874</v>
      </c>
      <c r="AB1355" s="103" t="s">
        <v>153</v>
      </c>
      <c r="AC1355" s="103">
        <v>0</v>
      </c>
      <c r="AD1355" s="156">
        <v>42005</v>
      </c>
      <c r="AE1355" s="103"/>
      <c r="AF1355" s="103" t="s">
        <v>870</v>
      </c>
      <c r="AG1355" s="103" t="s">
        <v>871</v>
      </c>
      <c r="AH1355" s="103" t="s">
        <v>976</v>
      </c>
      <c r="AI1355" s="103">
        <v>0</v>
      </c>
      <c r="AJ1355" s="103"/>
      <c r="AK1355" s="103"/>
      <c r="AL1355" s="103"/>
      <c r="AM1355" s="103"/>
      <c r="AN1355" s="103"/>
      <c r="AO1355" s="103" t="str">
        <f t="shared" si="75"/>
        <v>CFLscw(42w)Four+pack</v>
      </c>
    </row>
    <row r="1356" spans="1:41">
      <c r="A1356" s="177">
        <f>IFERROR(MATCH(D1356,'Measure &amp; Standard CostIDs'!C$5:C$177,0),MATCH(D1356,'Measure &amp; Standard CostIDs'!S$5:S$177,0))</f>
        <v>32</v>
      </c>
      <c r="B1356" s="177">
        <f t="shared" si="73"/>
        <v>5</v>
      </c>
      <c r="C1356" s="103" t="s">
        <v>153</v>
      </c>
      <c r="D1356" s="103" t="str">
        <f t="shared" si="72"/>
        <v>CFLscw(44w)</v>
      </c>
      <c r="E1356" s="103" t="str">
        <f>IF(LEFT(D1356,3)="Std","Base case cost for mix of 60% Incandescent and 40% CFL lamps for CFL TechID: "&amp;INDEX('Measure &amp; Standard CostIDs'!$C$5:$C$177,A1356),"&lt;from TechID&gt;")</f>
        <v>&lt;from TechID&gt;</v>
      </c>
      <c r="F1356" s="103" t="s">
        <v>860</v>
      </c>
      <c r="G1356" s="103" t="s">
        <v>151</v>
      </c>
      <c r="H1356" s="103" t="s">
        <v>861</v>
      </c>
      <c r="I1356" s="103" t="s">
        <v>862</v>
      </c>
      <c r="J1356" s="103" t="s">
        <v>863</v>
      </c>
      <c r="K1356" s="103" t="s">
        <v>864</v>
      </c>
      <c r="L1356" s="103" t="s">
        <v>153</v>
      </c>
      <c r="M1356" s="103" t="s">
        <v>865</v>
      </c>
      <c r="N1356" s="103" t="s">
        <v>866</v>
      </c>
      <c r="O1356" s="103" t="str">
        <f t="shared" si="74"/>
        <v>CFLscw(44w)</v>
      </c>
      <c r="P1356" s="103" t="s">
        <v>153</v>
      </c>
      <c r="Q1356" s="103" t="s">
        <v>153</v>
      </c>
      <c r="R1356" s="103" t="s">
        <v>153</v>
      </c>
      <c r="S1356" s="103" t="str">
        <f>INDEX('Measure &amp; Standard CostIDs'!$AK$8:$AK$12,B1356)</f>
        <v>Four+pack</v>
      </c>
      <c r="T1356" s="103" t="s">
        <v>867</v>
      </c>
      <c r="U1356" s="103"/>
      <c r="V1356" s="103"/>
      <c r="W1356" s="103">
        <f>ROUND(IF(LEFT(D1356,3)="Std",VLOOKUP(D1356,'Measure &amp; Standard CostIDs'!$S$5:$X$177,1+B1356,FALSE),VLOOKUP(D1356,'Measure &amp; Standard CostIDs'!$C$5:$H$177,1+B1356,FALSE)),2)</f>
        <v>5.74</v>
      </c>
      <c r="X1356" s="103"/>
      <c r="Y1356" s="103"/>
      <c r="Z1356" s="103" t="s">
        <v>868</v>
      </c>
      <c r="AA1356" s="103" t="s">
        <v>874</v>
      </c>
      <c r="AB1356" s="103" t="s">
        <v>153</v>
      </c>
      <c r="AC1356" s="103">
        <v>0</v>
      </c>
      <c r="AD1356" s="156">
        <v>42005</v>
      </c>
      <c r="AE1356" s="103"/>
      <c r="AF1356" s="103" t="s">
        <v>870</v>
      </c>
      <c r="AG1356" s="103" t="s">
        <v>871</v>
      </c>
      <c r="AH1356" s="103" t="s">
        <v>976</v>
      </c>
      <c r="AI1356" s="103">
        <v>0</v>
      </c>
      <c r="AJ1356" s="103"/>
      <c r="AK1356" s="103"/>
      <c r="AL1356" s="103"/>
      <c r="AM1356" s="103"/>
      <c r="AN1356" s="103"/>
      <c r="AO1356" s="103" t="str">
        <f t="shared" si="75"/>
        <v>CFLscw(44w)Four+pack</v>
      </c>
    </row>
    <row r="1357" spans="1:41">
      <c r="A1357" s="177">
        <f>IFERROR(MATCH(D1357,'Measure &amp; Standard CostIDs'!C$5:C$177,0),MATCH(D1357,'Measure &amp; Standard CostIDs'!S$5:S$177,0))</f>
        <v>33</v>
      </c>
      <c r="B1357" s="177">
        <f t="shared" si="73"/>
        <v>5</v>
      </c>
      <c r="C1357" s="103" t="s">
        <v>153</v>
      </c>
      <c r="D1357" s="103" t="str">
        <f t="shared" si="72"/>
        <v>CFLscw(45w)</v>
      </c>
      <c r="E1357" s="103" t="str">
        <f>IF(LEFT(D1357,3)="Std","Base case cost for mix of 60% Incandescent and 40% CFL lamps for CFL TechID: "&amp;INDEX('Measure &amp; Standard CostIDs'!$C$5:$C$177,A1357),"&lt;from TechID&gt;")</f>
        <v>&lt;from TechID&gt;</v>
      </c>
      <c r="F1357" s="103" t="s">
        <v>860</v>
      </c>
      <c r="G1357" s="103" t="s">
        <v>151</v>
      </c>
      <c r="H1357" s="103" t="s">
        <v>861</v>
      </c>
      <c r="I1357" s="103" t="s">
        <v>862</v>
      </c>
      <c r="J1357" s="103" t="s">
        <v>863</v>
      </c>
      <c r="K1357" s="103" t="s">
        <v>864</v>
      </c>
      <c r="L1357" s="103" t="s">
        <v>153</v>
      </c>
      <c r="M1357" s="103" t="s">
        <v>865</v>
      </c>
      <c r="N1357" s="103" t="s">
        <v>866</v>
      </c>
      <c r="O1357" s="103" t="str">
        <f t="shared" si="74"/>
        <v>CFLscw(45w)</v>
      </c>
      <c r="P1357" s="103" t="s">
        <v>153</v>
      </c>
      <c r="Q1357" s="103" t="s">
        <v>153</v>
      </c>
      <c r="R1357" s="103" t="s">
        <v>153</v>
      </c>
      <c r="S1357" s="103" t="str">
        <f>INDEX('Measure &amp; Standard CostIDs'!$AK$8:$AK$12,B1357)</f>
        <v>Four+pack</v>
      </c>
      <c r="T1357" s="103" t="s">
        <v>867</v>
      </c>
      <c r="U1357" s="103"/>
      <c r="V1357" s="103"/>
      <c r="W1357" s="103">
        <f>ROUND(IF(LEFT(D1357,3)="Std",VLOOKUP(D1357,'Measure &amp; Standard CostIDs'!$S$5:$X$177,1+B1357,FALSE),VLOOKUP(D1357,'Measure &amp; Standard CostIDs'!$C$5:$H$177,1+B1357,FALSE)),2)</f>
        <v>5.9</v>
      </c>
      <c r="X1357" s="103"/>
      <c r="Y1357" s="103"/>
      <c r="Z1357" s="103" t="s">
        <v>868</v>
      </c>
      <c r="AA1357" s="103" t="s">
        <v>874</v>
      </c>
      <c r="AB1357" s="103" t="s">
        <v>153</v>
      </c>
      <c r="AC1357" s="103">
        <v>0</v>
      </c>
      <c r="AD1357" s="156">
        <v>42005</v>
      </c>
      <c r="AE1357" s="103"/>
      <c r="AF1357" s="103" t="s">
        <v>870</v>
      </c>
      <c r="AG1357" s="103" t="s">
        <v>871</v>
      </c>
      <c r="AH1357" s="103" t="s">
        <v>976</v>
      </c>
      <c r="AI1357" s="103">
        <v>0</v>
      </c>
      <c r="AJ1357" s="103"/>
      <c r="AK1357" s="103"/>
      <c r="AL1357" s="103"/>
      <c r="AM1357" s="103"/>
      <c r="AN1357" s="103"/>
      <c r="AO1357" s="103" t="str">
        <f t="shared" si="75"/>
        <v>CFLscw(45w)Four+pack</v>
      </c>
    </row>
    <row r="1358" spans="1:41">
      <c r="A1358" s="177">
        <f>IFERROR(MATCH(D1358,'Measure &amp; Standard CostIDs'!C$5:C$177,0),MATCH(D1358,'Measure &amp; Standard CostIDs'!S$5:S$177,0))</f>
        <v>34</v>
      </c>
      <c r="B1358" s="177">
        <f t="shared" si="73"/>
        <v>5</v>
      </c>
      <c r="C1358" s="103" t="s">
        <v>153</v>
      </c>
      <c r="D1358" s="103" t="str">
        <f t="shared" si="72"/>
        <v>CFLscw(48w)</v>
      </c>
      <c r="E1358" s="103" t="str">
        <f>IF(LEFT(D1358,3)="Std","Base case cost for mix of 60% Incandescent and 40% CFL lamps for CFL TechID: "&amp;INDEX('Measure &amp; Standard CostIDs'!$C$5:$C$177,A1358),"&lt;from TechID&gt;")</f>
        <v>&lt;from TechID&gt;</v>
      </c>
      <c r="F1358" s="103" t="s">
        <v>860</v>
      </c>
      <c r="G1358" s="103" t="s">
        <v>151</v>
      </c>
      <c r="H1358" s="103" t="s">
        <v>861</v>
      </c>
      <c r="I1358" s="103" t="s">
        <v>862</v>
      </c>
      <c r="J1358" s="103" t="s">
        <v>863</v>
      </c>
      <c r="K1358" s="103" t="s">
        <v>864</v>
      </c>
      <c r="L1358" s="103" t="s">
        <v>153</v>
      </c>
      <c r="M1358" s="103" t="s">
        <v>865</v>
      </c>
      <c r="N1358" s="103" t="s">
        <v>866</v>
      </c>
      <c r="O1358" s="103" t="str">
        <f t="shared" si="74"/>
        <v>CFLscw(48w)</v>
      </c>
      <c r="P1358" s="103" t="s">
        <v>153</v>
      </c>
      <c r="Q1358" s="103" t="s">
        <v>153</v>
      </c>
      <c r="R1358" s="103" t="s">
        <v>153</v>
      </c>
      <c r="S1358" s="103" t="str">
        <f>INDEX('Measure &amp; Standard CostIDs'!$AK$8:$AK$12,B1358)</f>
        <v>Four+pack</v>
      </c>
      <c r="T1358" s="103" t="s">
        <v>867</v>
      </c>
      <c r="U1358" s="103"/>
      <c r="V1358" s="103"/>
      <c r="W1358" s="103">
        <f>ROUND(IF(LEFT(D1358,3)="Std",VLOOKUP(D1358,'Measure &amp; Standard CostIDs'!$S$5:$X$177,1+B1358,FALSE),VLOOKUP(D1358,'Measure &amp; Standard CostIDs'!$C$5:$H$177,1+B1358,FALSE)),2)</f>
        <v>6.38</v>
      </c>
      <c r="X1358" s="103"/>
      <c r="Y1358" s="103"/>
      <c r="Z1358" s="103" t="s">
        <v>868</v>
      </c>
      <c r="AA1358" s="103" t="s">
        <v>874</v>
      </c>
      <c r="AB1358" s="103" t="s">
        <v>153</v>
      </c>
      <c r="AC1358" s="103">
        <v>0</v>
      </c>
      <c r="AD1358" s="156">
        <v>42005</v>
      </c>
      <c r="AE1358" s="103"/>
      <c r="AF1358" s="103" t="s">
        <v>870</v>
      </c>
      <c r="AG1358" s="103" t="s">
        <v>871</v>
      </c>
      <c r="AH1358" s="103" t="s">
        <v>976</v>
      </c>
      <c r="AI1358" s="103">
        <v>0</v>
      </c>
      <c r="AJ1358" s="103"/>
      <c r="AK1358" s="103"/>
      <c r="AL1358" s="103"/>
      <c r="AM1358" s="103"/>
      <c r="AN1358" s="103"/>
      <c r="AO1358" s="103" t="str">
        <f t="shared" si="75"/>
        <v>CFLscw(48w)Four+pack</v>
      </c>
    </row>
    <row r="1359" spans="1:41">
      <c r="A1359" s="177">
        <f>IFERROR(MATCH(D1359,'Measure &amp; Standard CostIDs'!C$5:C$177,0),MATCH(D1359,'Measure &amp; Standard CostIDs'!S$5:S$177,0))</f>
        <v>35</v>
      </c>
      <c r="B1359" s="177">
        <f t="shared" si="73"/>
        <v>5</v>
      </c>
      <c r="C1359" s="103" t="s">
        <v>153</v>
      </c>
      <c r="D1359" s="103" t="str">
        <f t="shared" si="72"/>
        <v>CFLscw(4w)</v>
      </c>
      <c r="E1359" s="103" t="str">
        <f>IF(LEFT(D1359,3)="Std","Base case cost for mix of 60% Incandescent and 40% CFL lamps for CFL TechID: "&amp;INDEX('Measure &amp; Standard CostIDs'!$C$5:$C$177,A1359),"&lt;from TechID&gt;")</f>
        <v>&lt;from TechID&gt;</v>
      </c>
      <c r="F1359" s="103" t="s">
        <v>860</v>
      </c>
      <c r="G1359" s="103" t="s">
        <v>151</v>
      </c>
      <c r="H1359" s="103" t="s">
        <v>861</v>
      </c>
      <c r="I1359" s="103" t="s">
        <v>862</v>
      </c>
      <c r="J1359" s="103" t="s">
        <v>863</v>
      </c>
      <c r="K1359" s="103" t="s">
        <v>864</v>
      </c>
      <c r="L1359" s="103" t="s">
        <v>153</v>
      </c>
      <c r="M1359" s="103" t="s">
        <v>865</v>
      </c>
      <c r="N1359" s="103" t="s">
        <v>866</v>
      </c>
      <c r="O1359" s="103" t="str">
        <f t="shared" si="74"/>
        <v>CFLscw(4w)</v>
      </c>
      <c r="P1359" s="103" t="s">
        <v>153</v>
      </c>
      <c r="Q1359" s="103" t="s">
        <v>153</v>
      </c>
      <c r="R1359" s="103" t="s">
        <v>153</v>
      </c>
      <c r="S1359" s="103" t="str">
        <f>INDEX('Measure &amp; Standard CostIDs'!$AK$8:$AK$12,B1359)</f>
        <v>Four+pack</v>
      </c>
      <c r="T1359" s="103" t="s">
        <v>867</v>
      </c>
      <c r="U1359" s="103"/>
      <c r="V1359" s="103"/>
      <c r="W1359" s="103">
        <f>ROUND(IF(LEFT(D1359,3)="Std",VLOOKUP(D1359,'Measure &amp; Standard CostIDs'!$S$5:$X$177,1+B1359,FALSE),VLOOKUP(D1359,'Measure &amp; Standard CostIDs'!$C$5:$H$177,1+B1359,FALSE)),2)</f>
        <v>1.31</v>
      </c>
      <c r="X1359" s="103"/>
      <c r="Y1359" s="103"/>
      <c r="Z1359" s="103" t="s">
        <v>868</v>
      </c>
      <c r="AA1359" s="103" t="s">
        <v>874</v>
      </c>
      <c r="AB1359" s="103" t="s">
        <v>153</v>
      </c>
      <c r="AC1359" s="103">
        <v>0</v>
      </c>
      <c r="AD1359" s="156">
        <v>42005</v>
      </c>
      <c r="AE1359" s="103"/>
      <c r="AF1359" s="103" t="s">
        <v>870</v>
      </c>
      <c r="AG1359" s="103" t="s">
        <v>871</v>
      </c>
      <c r="AH1359" s="103" t="s">
        <v>976</v>
      </c>
      <c r="AI1359" s="103">
        <v>0</v>
      </c>
      <c r="AJ1359" s="103"/>
      <c r="AK1359" s="103"/>
      <c r="AL1359" s="103"/>
      <c r="AM1359" s="103"/>
      <c r="AN1359" s="103"/>
      <c r="AO1359" s="103" t="str">
        <f t="shared" si="75"/>
        <v>CFLscw(4w)Four+pack</v>
      </c>
    </row>
    <row r="1360" spans="1:41">
      <c r="A1360" s="177">
        <f>IFERROR(MATCH(D1360,'Measure &amp; Standard CostIDs'!C$5:C$177,0),MATCH(D1360,'Measure &amp; Standard CostIDs'!S$5:S$177,0))</f>
        <v>36</v>
      </c>
      <c r="B1360" s="177">
        <f t="shared" si="73"/>
        <v>5</v>
      </c>
      <c r="C1360" s="103" t="s">
        <v>153</v>
      </c>
      <c r="D1360" s="103" t="str">
        <f t="shared" ref="D1360:D1423" si="76">+D1030</f>
        <v>CFLscw(50w)</v>
      </c>
      <c r="E1360" s="103" t="str">
        <f>IF(LEFT(D1360,3)="Std","Base case cost for mix of 60% Incandescent and 40% CFL lamps for CFL TechID: "&amp;INDEX('Measure &amp; Standard CostIDs'!$C$5:$C$177,A1360),"&lt;from TechID&gt;")</f>
        <v>&lt;from TechID&gt;</v>
      </c>
      <c r="F1360" s="103" t="s">
        <v>860</v>
      </c>
      <c r="G1360" s="103" t="s">
        <v>151</v>
      </c>
      <c r="H1360" s="103" t="s">
        <v>861</v>
      </c>
      <c r="I1360" s="103" t="s">
        <v>862</v>
      </c>
      <c r="J1360" s="103" t="s">
        <v>863</v>
      </c>
      <c r="K1360" s="103" t="s">
        <v>864</v>
      </c>
      <c r="L1360" s="103" t="s">
        <v>153</v>
      </c>
      <c r="M1360" s="103" t="s">
        <v>865</v>
      </c>
      <c r="N1360" s="103" t="s">
        <v>866</v>
      </c>
      <c r="O1360" s="103" t="str">
        <f t="shared" si="74"/>
        <v>CFLscw(50w)</v>
      </c>
      <c r="P1360" s="103" t="s">
        <v>153</v>
      </c>
      <c r="Q1360" s="103" t="s">
        <v>153</v>
      </c>
      <c r="R1360" s="103" t="s">
        <v>153</v>
      </c>
      <c r="S1360" s="103" t="str">
        <f>INDEX('Measure &amp; Standard CostIDs'!$AK$8:$AK$12,B1360)</f>
        <v>Four+pack</v>
      </c>
      <c r="T1360" s="103" t="s">
        <v>867</v>
      </c>
      <c r="U1360" s="103"/>
      <c r="V1360" s="103"/>
      <c r="W1360" s="103">
        <f>ROUND(IF(LEFT(D1360,3)="Std",VLOOKUP(D1360,'Measure &amp; Standard CostIDs'!$S$5:$X$177,1+B1360,FALSE),VLOOKUP(D1360,'Measure &amp; Standard CostIDs'!$C$5:$H$177,1+B1360,FALSE)),2)</f>
        <v>6.7</v>
      </c>
      <c r="X1360" s="103"/>
      <c r="Y1360" s="103"/>
      <c r="Z1360" s="103" t="s">
        <v>868</v>
      </c>
      <c r="AA1360" s="103" t="s">
        <v>874</v>
      </c>
      <c r="AB1360" s="103" t="s">
        <v>153</v>
      </c>
      <c r="AC1360" s="103">
        <v>0</v>
      </c>
      <c r="AD1360" s="156">
        <v>42005</v>
      </c>
      <c r="AE1360" s="103"/>
      <c r="AF1360" s="103" t="s">
        <v>870</v>
      </c>
      <c r="AG1360" s="103" t="s">
        <v>871</v>
      </c>
      <c r="AH1360" s="103" t="s">
        <v>976</v>
      </c>
      <c r="AI1360" s="103">
        <v>0</v>
      </c>
      <c r="AJ1360" s="103"/>
      <c r="AK1360" s="103"/>
      <c r="AL1360" s="103"/>
      <c r="AM1360" s="103"/>
      <c r="AN1360" s="103"/>
      <c r="AO1360" s="103" t="str">
        <f t="shared" si="75"/>
        <v>CFLscw(50w)Four+pack</v>
      </c>
    </row>
    <row r="1361" spans="1:41">
      <c r="A1361" s="177">
        <f>IFERROR(MATCH(D1361,'Measure &amp; Standard CostIDs'!C$5:C$177,0),MATCH(D1361,'Measure &amp; Standard CostIDs'!S$5:S$177,0))</f>
        <v>37</v>
      </c>
      <c r="B1361" s="177">
        <f t="shared" ref="B1361:B1424" si="77">+B1031+1</f>
        <v>5</v>
      </c>
      <c r="C1361" s="103" t="s">
        <v>153</v>
      </c>
      <c r="D1361" s="103" t="str">
        <f t="shared" si="76"/>
        <v>CFLscw(52w)</v>
      </c>
      <c r="E1361" s="103" t="str">
        <f>IF(LEFT(D1361,3)="Std","Base case cost for mix of 60% Incandescent and 40% CFL lamps for CFL TechID: "&amp;INDEX('Measure &amp; Standard CostIDs'!$C$5:$C$177,A1361),"&lt;from TechID&gt;")</f>
        <v>&lt;from TechID&gt;</v>
      </c>
      <c r="F1361" s="103" t="s">
        <v>860</v>
      </c>
      <c r="G1361" s="103" t="s">
        <v>151</v>
      </c>
      <c r="H1361" s="103" t="s">
        <v>861</v>
      </c>
      <c r="I1361" s="103" t="s">
        <v>862</v>
      </c>
      <c r="J1361" s="103" t="s">
        <v>863</v>
      </c>
      <c r="K1361" s="103" t="s">
        <v>864</v>
      </c>
      <c r="L1361" s="103" t="s">
        <v>153</v>
      </c>
      <c r="M1361" s="103" t="s">
        <v>865</v>
      </c>
      <c r="N1361" s="103" t="s">
        <v>866</v>
      </c>
      <c r="O1361" s="103" t="str">
        <f t="shared" si="74"/>
        <v>CFLscw(52w)</v>
      </c>
      <c r="P1361" s="103" t="s">
        <v>153</v>
      </c>
      <c r="Q1361" s="103" t="s">
        <v>153</v>
      </c>
      <c r="R1361" s="103" t="s">
        <v>153</v>
      </c>
      <c r="S1361" s="103" t="str">
        <f>INDEX('Measure &amp; Standard CostIDs'!$AK$8:$AK$12,B1361)</f>
        <v>Four+pack</v>
      </c>
      <c r="T1361" s="103" t="s">
        <v>867</v>
      </c>
      <c r="U1361" s="103"/>
      <c r="V1361" s="103"/>
      <c r="W1361" s="103">
        <f>ROUND(IF(LEFT(D1361,3)="Std",VLOOKUP(D1361,'Measure &amp; Standard CostIDs'!$S$5:$X$177,1+B1361,FALSE),VLOOKUP(D1361,'Measure &amp; Standard CostIDs'!$C$5:$H$177,1+B1361,FALSE)),2)</f>
        <v>7.02</v>
      </c>
      <c r="X1361" s="103"/>
      <c r="Y1361" s="103"/>
      <c r="Z1361" s="103" t="s">
        <v>868</v>
      </c>
      <c r="AA1361" s="103" t="s">
        <v>874</v>
      </c>
      <c r="AB1361" s="103" t="s">
        <v>153</v>
      </c>
      <c r="AC1361" s="103">
        <v>0</v>
      </c>
      <c r="AD1361" s="156">
        <v>42005</v>
      </c>
      <c r="AE1361" s="103"/>
      <c r="AF1361" s="103" t="s">
        <v>870</v>
      </c>
      <c r="AG1361" s="103" t="s">
        <v>871</v>
      </c>
      <c r="AH1361" s="103" t="s">
        <v>976</v>
      </c>
      <c r="AI1361" s="103">
        <v>0</v>
      </c>
      <c r="AJ1361" s="103"/>
      <c r="AK1361" s="103"/>
      <c r="AL1361" s="103"/>
      <c r="AM1361" s="103"/>
      <c r="AN1361" s="103"/>
      <c r="AO1361" s="103" t="str">
        <f t="shared" si="75"/>
        <v>CFLscw(52w)Four+pack</v>
      </c>
    </row>
    <row r="1362" spans="1:41">
      <c r="A1362" s="177">
        <f>IFERROR(MATCH(D1362,'Measure &amp; Standard CostIDs'!C$5:C$177,0),MATCH(D1362,'Measure &amp; Standard CostIDs'!S$5:S$177,0))</f>
        <v>38</v>
      </c>
      <c r="B1362" s="177">
        <f t="shared" si="77"/>
        <v>5</v>
      </c>
      <c r="C1362" s="103" t="s">
        <v>153</v>
      </c>
      <c r="D1362" s="103" t="str">
        <f t="shared" si="76"/>
        <v>CFLscw(55w)</v>
      </c>
      <c r="E1362" s="103" t="str">
        <f>IF(LEFT(D1362,3)="Std","Base case cost for mix of 60% Incandescent and 40% CFL lamps for CFL TechID: "&amp;INDEX('Measure &amp; Standard CostIDs'!$C$5:$C$177,A1362),"&lt;from TechID&gt;")</f>
        <v>&lt;from TechID&gt;</v>
      </c>
      <c r="F1362" s="103" t="s">
        <v>860</v>
      </c>
      <c r="G1362" s="103" t="s">
        <v>151</v>
      </c>
      <c r="H1362" s="103" t="s">
        <v>861</v>
      </c>
      <c r="I1362" s="103" t="s">
        <v>862</v>
      </c>
      <c r="J1362" s="103" t="s">
        <v>863</v>
      </c>
      <c r="K1362" s="103" t="s">
        <v>864</v>
      </c>
      <c r="L1362" s="103" t="s">
        <v>153</v>
      </c>
      <c r="M1362" s="103" t="s">
        <v>865</v>
      </c>
      <c r="N1362" s="103" t="s">
        <v>866</v>
      </c>
      <c r="O1362" s="103" t="str">
        <f t="shared" si="74"/>
        <v>CFLscw(55w)</v>
      </c>
      <c r="P1362" s="103" t="s">
        <v>153</v>
      </c>
      <c r="Q1362" s="103" t="s">
        <v>153</v>
      </c>
      <c r="R1362" s="103" t="s">
        <v>153</v>
      </c>
      <c r="S1362" s="103" t="str">
        <f>INDEX('Measure &amp; Standard CostIDs'!$AK$8:$AK$12,B1362)</f>
        <v>Four+pack</v>
      </c>
      <c r="T1362" s="103" t="s">
        <v>867</v>
      </c>
      <c r="U1362" s="103"/>
      <c r="V1362" s="103"/>
      <c r="W1362" s="103">
        <f>ROUND(IF(LEFT(D1362,3)="Std",VLOOKUP(D1362,'Measure &amp; Standard CostIDs'!$S$5:$X$177,1+B1362,FALSE),VLOOKUP(D1362,'Measure &amp; Standard CostIDs'!$C$5:$H$177,1+B1362,FALSE)),2)</f>
        <v>7.5</v>
      </c>
      <c r="X1362" s="103"/>
      <c r="Y1362" s="103"/>
      <c r="Z1362" s="103" t="s">
        <v>868</v>
      </c>
      <c r="AA1362" s="103" t="s">
        <v>874</v>
      </c>
      <c r="AB1362" s="103" t="s">
        <v>153</v>
      </c>
      <c r="AC1362" s="103">
        <v>0</v>
      </c>
      <c r="AD1362" s="156">
        <v>42005</v>
      </c>
      <c r="AE1362" s="103"/>
      <c r="AF1362" s="103" t="s">
        <v>870</v>
      </c>
      <c r="AG1362" s="103" t="s">
        <v>871</v>
      </c>
      <c r="AH1362" s="103" t="s">
        <v>976</v>
      </c>
      <c r="AI1362" s="103">
        <v>0</v>
      </c>
      <c r="AJ1362" s="103"/>
      <c r="AK1362" s="103"/>
      <c r="AL1362" s="103"/>
      <c r="AM1362" s="103"/>
      <c r="AN1362" s="103"/>
      <c r="AO1362" s="103" t="str">
        <f t="shared" si="75"/>
        <v>CFLscw(55w)Four+pack</v>
      </c>
    </row>
    <row r="1363" spans="1:41">
      <c r="A1363" s="177">
        <f>IFERROR(MATCH(D1363,'Measure &amp; Standard CostIDs'!C$5:C$177,0),MATCH(D1363,'Measure &amp; Standard CostIDs'!S$5:S$177,0))</f>
        <v>39</v>
      </c>
      <c r="B1363" s="177">
        <f t="shared" si="77"/>
        <v>5</v>
      </c>
      <c r="C1363" s="103" t="s">
        <v>153</v>
      </c>
      <c r="D1363" s="103" t="str">
        <f t="shared" si="76"/>
        <v>CFLscw(5w)</v>
      </c>
      <c r="E1363" s="103" t="str">
        <f>IF(LEFT(D1363,3)="Std","Base case cost for mix of 60% Incandescent and 40% CFL lamps for CFL TechID: "&amp;INDEX('Measure &amp; Standard CostIDs'!$C$5:$C$177,A1363),"&lt;from TechID&gt;")</f>
        <v>&lt;from TechID&gt;</v>
      </c>
      <c r="F1363" s="103" t="s">
        <v>860</v>
      </c>
      <c r="G1363" s="103" t="s">
        <v>151</v>
      </c>
      <c r="H1363" s="103" t="s">
        <v>861</v>
      </c>
      <c r="I1363" s="103" t="s">
        <v>862</v>
      </c>
      <c r="J1363" s="103" t="s">
        <v>863</v>
      </c>
      <c r="K1363" s="103" t="s">
        <v>864</v>
      </c>
      <c r="L1363" s="103" t="s">
        <v>153</v>
      </c>
      <c r="M1363" s="103" t="s">
        <v>865</v>
      </c>
      <c r="N1363" s="103" t="s">
        <v>866</v>
      </c>
      <c r="O1363" s="103" t="str">
        <f t="shared" si="74"/>
        <v>CFLscw(5w)</v>
      </c>
      <c r="P1363" s="103" t="s">
        <v>153</v>
      </c>
      <c r="Q1363" s="103" t="s">
        <v>153</v>
      </c>
      <c r="R1363" s="103" t="s">
        <v>153</v>
      </c>
      <c r="S1363" s="103" t="str">
        <f>INDEX('Measure &amp; Standard CostIDs'!$AK$8:$AK$12,B1363)</f>
        <v>Four+pack</v>
      </c>
      <c r="T1363" s="103" t="s">
        <v>867</v>
      </c>
      <c r="U1363" s="103"/>
      <c r="V1363" s="103"/>
      <c r="W1363" s="103">
        <f>ROUND(IF(LEFT(D1363,3)="Std",VLOOKUP(D1363,'Measure &amp; Standard CostIDs'!$S$5:$X$177,1+B1363,FALSE),VLOOKUP(D1363,'Measure &amp; Standard CostIDs'!$C$5:$H$177,1+B1363,FALSE)),2)</f>
        <v>1.37</v>
      </c>
      <c r="X1363" s="103"/>
      <c r="Y1363" s="103"/>
      <c r="Z1363" s="103" t="s">
        <v>868</v>
      </c>
      <c r="AA1363" s="103" t="s">
        <v>874</v>
      </c>
      <c r="AB1363" s="103" t="s">
        <v>153</v>
      </c>
      <c r="AC1363" s="103">
        <v>0</v>
      </c>
      <c r="AD1363" s="156">
        <v>42005</v>
      </c>
      <c r="AE1363" s="103"/>
      <c r="AF1363" s="103" t="s">
        <v>870</v>
      </c>
      <c r="AG1363" s="103" t="s">
        <v>871</v>
      </c>
      <c r="AH1363" s="103" t="s">
        <v>976</v>
      </c>
      <c r="AI1363" s="103">
        <v>0</v>
      </c>
      <c r="AJ1363" s="103"/>
      <c r="AK1363" s="103"/>
      <c r="AL1363" s="103"/>
      <c r="AM1363" s="103"/>
      <c r="AN1363" s="103"/>
      <c r="AO1363" s="103" t="str">
        <f t="shared" si="75"/>
        <v>CFLscw(5w)Four+pack</v>
      </c>
    </row>
    <row r="1364" spans="1:41">
      <c r="A1364" s="177">
        <f>IFERROR(MATCH(D1364,'Measure &amp; Standard CostIDs'!C$5:C$177,0),MATCH(D1364,'Measure &amp; Standard CostIDs'!S$5:S$177,0))</f>
        <v>40</v>
      </c>
      <c r="B1364" s="177">
        <f t="shared" si="77"/>
        <v>5</v>
      </c>
      <c r="C1364" s="103" t="s">
        <v>153</v>
      </c>
      <c r="D1364" s="103" t="str">
        <f t="shared" si="76"/>
        <v>CFLscw(68w)</v>
      </c>
      <c r="E1364" s="103" t="str">
        <f>IF(LEFT(D1364,3)="Std","Base case cost for mix of 60% Incandescent and 40% CFL lamps for CFL TechID: "&amp;INDEX('Measure &amp; Standard CostIDs'!$C$5:$C$177,A1364),"&lt;from TechID&gt;")</f>
        <v>&lt;from TechID&gt;</v>
      </c>
      <c r="F1364" s="103" t="s">
        <v>860</v>
      </c>
      <c r="G1364" s="103" t="s">
        <v>151</v>
      </c>
      <c r="H1364" s="103" t="s">
        <v>861</v>
      </c>
      <c r="I1364" s="103" t="s">
        <v>862</v>
      </c>
      <c r="J1364" s="103" t="s">
        <v>863</v>
      </c>
      <c r="K1364" s="103" t="s">
        <v>864</v>
      </c>
      <c r="L1364" s="103" t="s">
        <v>153</v>
      </c>
      <c r="M1364" s="103" t="s">
        <v>865</v>
      </c>
      <c r="N1364" s="103" t="s">
        <v>866</v>
      </c>
      <c r="O1364" s="103" t="str">
        <f t="shared" si="74"/>
        <v>CFLscw(68w)</v>
      </c>
      <c r="P1364" s="103" t="s">
        <v>153</v>
      </c>
      <c r="Q1364" s="103" t="s">
        <v>153</v>
      </c>
      <c r="R1364" s="103" t="s">
        <v>153</v>
      </c>
      <c r="S1364" s="103" t="str">
        <f>INDEX('Measure &amp; Standard CostIDs'!$AK$8:$AK$12,B1364)</f>
        <v>Four+pack</v>
      </c>
      <c r="T1364" s="103" t="s">
        <v>867</v>
      </c>
      <c r="U1364" s="103"/>
      <c r="V1364" s="103"/>
      <c r="W1364" s="103">
        <f>ROUND(IF(LEFT(D1364,3)="Std",VLOOKUP(D1364,'Measure &amp; Standard CostIDs'!$S$5:$X$177,1+B1364,FALSE),VLOOKUP(D1364,'Measure &amp; Standard CostIDs'!$C$5:$H$177,1+B1364,FALSE)),2)</f>
        <v>9.58</v>
      </c>
      <c r="X1364" s="103"/>
      <c r="Y1364" s="103"/>
      <c r="Z1364" s="103" t="s">
        <v>868</v>
      </c>
      <c r="AA1364" s="103" t="s">
        <v>874</v>
      </c>
      <c r="AB1364" s="103" t="s">
        <v>153</v>
      </c>
      <c r="AC1364" s="103">
        <v>0</v>
      </c>
      <c r="AD1364" s="156">
        <v>42005</v>
      </c>
      <c r="AE1364" s="103"/>
      <c r="AF1364" s="103" t="s">
        <v>870</v>
      </c>
      <c r="AG1364" s="103" t="s">
        <v>871</v>
      </c>
      <c r="AH1364" s="103" t="s">
        <v>976</v>
      </c>
      <c r="AI1364" s="103">
        <v>0</v>
      </c>
      <c r="AJ1364" s="103"/>
      <c r="AK1364" s="103"/>
      <c r="AL1364" s="103"/>
      <c r="AM1364" s="103"/>
      <c r="AN1364" s="103"/>
      <c r="AO1364" s="103" t="str">
        <f t="shared" si="75"/>
        <v>CFLscw(68w)Four+pack</v>
      </c>
    </row>
    <row r="1365" spans="1:41">
      <c r="A1365" s="177">
        <f>IFERROR(MATCH(D1365,'Measure &amp; Standard CostIDs'!C$5:C$177,0),MATCH(D1365,'Measure &amp; Standard CostIDs'!S$5:S$177,0))</f>
        <v>41</v>
      </c>
      <c r="B1365" s="177">
        <f t="shared" si="77"/>
        <v>5</v>
      </c>
      <c r="C1365" s="103" t="s">
        <v>153</v>
      </c>
      <c r="D1365" s="103" t="str">
        <f t="shared" si="76"/>
        <v>CFLscw(69w)</v>
      </c>
      <c r="E1365" s="103" t="str">
        <f>IF(LEFT(D1365,3)="Std","Base case cost for mix of 60% Incandescent and 40% CFL lamps for CFL TechID: "&amp;INDEX('Measure &amp; Standard CostIDs'!$C$5:$C$177,A1365),"&lt;from TechID&gt;")</f>
        <v>&lt;from TechID&gt;</v>
      </c>
      <c r="F1365" s="103" t="s">
        <v>860</v>
      </c>
      <c r="G1365" s="103" t="s">
        <v>151</v>
      </c>
      <c r="H1365" s="103" t="s">
        <v>861</v>
      </c>
      <c r="I1365" s="103" t="s">
        <v>862</v>
      </c>
      <c r="J1365" s="103" t="s">
        <v>863</v>
      </c>
      <c r="K1365" s="103" t="s">
        <v>864</v>
      </c>
      <c r="L1365" s="103" t="s">
        <v>153</v>
      </c>
      <c r="M1365" s="103" t="s">
        <v>865</v>
      </c>
      <c r="N1365" s="103" t="s">
        <v>866</v>
      </c>
      <c r="O1365" s="103" t="str">
        <f t="shared" si="74"/>
        <v>CFLscw(69w)</v>
      </c>
      <c r="P1365" s="103" t="s">
        <v>153</v>
      </c>
      <c r="Q1365" s="103" t="s">
        <v>153</v>
      </c>
      <c r="R1365" s="103" t="s">
        <v>153</v>
      </c>
      <c r="S1365" s="103" t="str">
        <f>INDEX('Measure &amp; Standard CostIDs'!$AK$8:$AK$12,B1365)</f>
        <v>Four+pack</v>
      </c>
      <c r="T1365" s="103" t="s">
        <v>867</v>
      </c>
      <c r="U1365" s="103"/>
      <c r="V1365" s="103"/>
      <c r="W1365" s="103">
        <f>ROUND(IF(LEFT(D1365,3)="Std",VLOOKUP(D1365,'Measure &amp; Standard CostIDs'!$S$5:$X$177,1+B1365,FALSE),VLOOKUP(D1365,'Measure &amp; Standard CostIDs'!$C$5:$H$177,1+B1365,FALSE)),2)</f>
        <v>9.74</v>
      </c>
      <c r="X1365" s="103"/>
      <c r="Y1365" s="103"/>
      <c r="Z1365" s="103" t="s">
        <v>868</v>
      </c>
      <c r="AA1365" s="103" t="s">
        <v>874</v>
      </c>
      <c r="AB1365" s="103" t="s">
        <v>153</v>
      </c>
      <c r="AC1365" s="103">
        <v>0</v>
      </c>
      <c r="AD1365" s="156">
        <v>42005</v>
      </c>
      <c r="AE1365" s="103"/>
      <c r="AF1365" s="103" t="s">
        <v>870</v>
      </c>
      <c r="AG1365" s="103" t="s">
        <v>871</v>
      </c>
      <c r="AH1365" s="103" t="s">
        <v>976</v>
      </c>
      <c r="AI1365" s="103">
        <v>0</v>
      </c>
      <c r="AJ1365" s="103"/>
      <c r="AK1365" s="103"/>
      <c r="AL1365" s="103"/>
      <c r="AM1365" s="103"/>
      <c r="AN1365" s="103"/>
      <c r="AO1365" s="103" t="str">
        <f t="shared" si="75"/>
        <v>CFLscw(69w)Four+pack</v>
      </c>
    </row>
    <row r="1366" spans="1:41">
      <c r="A1366" s="177">
        <f>IFERROR(MATCH(D1366,'Measure &amp; Standard CostIDs'!C$5:C$177,0),MATCH(D1366,'Measure &amp; Standard CostIDs'!S$5:S$177,0))</f>
        <v>42</v>
      </c>
      <c r="B1366" s="177">
        <f t="shared" si="77"/>
        <v>5</v>
      </c>
      <c r="C1366" s="103" t="s">
        <v>153</v>
      </c>
      <c r="D1366" s="103" t="str">
        <f t="shared" si="76"/>
        <v>CFLscw(6w)</v>
      </c>
      <c r="E1366" s="103" t="str">
        <f>IF(LEFT(D1366,3)="Std","Base case cost for mix of 60% Incandescent and 40% CFL lamps for CFL TechID: "&amp;INDEX('Measure &amp; Standard CostIDs'!$C$5:$C$177,A1366),"&lt;from TechID&gt;")</f>
        <v>&lt;from TechID&gt;</v>
      </c>
      <c r="F1366" s="103" t="s">
        <v>860</v>
      </c>
      <c r="G1366" s="103" t="s">
        <v>151</v>
      </c>
      <c r="H1366" s="103" t="s">
        <v>861</v>
      </c>
      <c r="I1366" s="103" t="s">
        <v>862</v>
      </c>
      <c r="J1366" s="103" t="s">
        <v>863</v>
      </c>
      <c r="K1366" s="103" t="s">
        <v>864</v>
      </c>
      <c r="L1366" s="103" t="s">
        <v>153</v>
      </c>
      <c r="M1366" s="103" t="s">
        <v>865</v>
      </c>
      <c r="N1366" s="103" t="s">
        <v>866</v>
      </c>
      <c r="O1366" s="103" t="str">
        <f t="shared" si="74"/>
        <v>CFLscw(6w)</v>
      </c>
      <c r="P1366" s="103" t="s">
        <v>153</v>
      </c>
      <c r="Q1366" s="103" t="s">
        <v>153</v>
      </c>
      <c r="R1366" s="103" t="s">
        <v>153</v>
      </c>
      <c r="S1366" s="103" t="str">
        <f>INDEX('Measure &amp; Standard CostIDs'!$AK$8:$AK$12,B1366)</f>
        <v>Four+pack</v>
      </c>
      <c r="T1366" s="103" t="s">
        <v>867</v>
      </c>
      <c r="U1366" s="103"/>
      <c r="V1366" s="103"/>
      <c r="W1366" s="103">
        <f>ROUND(IF(LEFT(D1366,3)="Std",VLOOKUP(D1366,'Measure &amp; Standard CostIDs'!$S$5:$X$177,1+B1366,FALSE),VLOOKUP(D1366,'Measure &amp; Standard CostIDs'!$C$5:$H$177,1+B1366,FALSE)),2)</f>
        <v>1.44</v>
      </c>
      <c r="X1366" s="103"/>
      <c r="Y1366" s="103"/>
      <c r="Z1366" s="103" t="s">
        <v>868</v>
      </c>
      <c r="AA1366" s="103" t="s">
        <v>874</v>
      </c>
      <c r="AB1366" s="103" t="s">
        <v>153</v>
      </c>
      <c r="AC1366" s="103">
        <v>0</v>
      </c>
      <c r="AD1366" s="156">
        <v>42005</v>
      </c>
      <c r="AE1366" s="103"/>
      <c r="AF1366" s="103" t="s">
        <v>870</v>
      </c>
      <c r="AG1366" s="103" t="s">
        <v>871</v>
      </c>
      <c r="AH1366" s="103" t="s">
        <v>976</v>
      </c>
      <c r="AI1366" s="103">
        <v>0</v>
      </c>
      <c r="AJ1366" s="103"/>
      <c r="AK1366" s="103"/>
      <c r="AL1366" s="103"/>
      <c r="AM1366" s="103"/>
      <c r="AN1366" s="103"/>
      <c r="AO1366" s="103" t="str">
        <f t="shared" si="75"/>
        <v>CFLscw(6w)Four+pack</v>
      </c>
    </row>
    <row r="1367" spans="1:41">
      <c r="A1367" s="177">
        <f>IFERROR(MATCH(D1367,'Measure &amp; Standard CostIDs'!C$5:C$177,0),MATCH(D1367,'Measure &amp; Standard CostIDs'!S$5:S$177,0))</f>
        <v>43</v>
      </c>
      <c r="B1367" s="177">
        <f t="shared" si="77"/>
        <v>5</v>
      </c>
      <c r="C1367" s="103" t="s">
        <v>153</v>
      </c>
      <c r="D1367" s="103" t="str">
        <f t="shared" si="76"/>
        <v>CFLscw(7w)</v>
      </c>
      <c r="E1367" s="103" t="str">
        <f>IF(LEFT(D1367,3)="Std","Base case cost for mix of 60% Incandescent and 40% CFL lamps for CFL TechID: "&amp;INDEX('Measure &amp; Standard CostIDs'!$C$5:$C$177,A1367),"&lt;from TechID&gt;")</f>
        <v>&lt;from TechID&gt;</v>
      </c>
      <c r="F1367" s="103" t="s">
        <v>860</v>
      </c>
      <c r="G1367" s="103" t="s">
        <v>151</v>
      </c>
      <c r="H1367" s="103" t="s">
        <v>861</v>
      </c>
      <c r="I1367" s="103" t="s">
        <v>862</v>
      </c>
      <c r="J1367" s="103" t="s">
        <v>863</v>
      </c>
      <c r="K1367" s="103" t="s">
        <v>864</v>
      </c>
      <c r="L1367" s="103" t="s">
        <v>153</v>
      </c>
      <c r="M1367" s="103" t="s">
        <v>865</v>
      </c>
      <c r="N1367" s="103" t="s">
        <v>866</v>
      </c>
      <c r="O1367" s="103" t="str">
        <f t="shared" si="74"/>
        <v>CFLscw(7w)</v>
      </c>
      <c r="P1367" s="103" t="s">
        <v>153</v>
      </c>
      <c r="Q1367" s="103" t="s">
        <v>153</v>
      </c>
      <c r="R1367" s="103" t="s">
        <v>153</v>
      </c>
      <c r="S1367" s="103" t="str">
        <f>INDEX('Measure &amp; Standard CostIDs'!$AK$8:$AK$12,B1367)</f>
        <v>Four+pack</v>
      </c>
      <c r="T1367" s="103" t="s">
        <v>867</v>
      </c>
      <c r="U1367" s="103"/>
      <c r="V1367" s="103"/>
      <c r="W1367" s="103">
        <f>ROUND(IF(LEFT(D1367,3)="Std",VLOOKUP(D1367,'Measure &amp; Standard CostIDs'!$S$5:$X$177,1+B1367,FALSE),VLOOKUP(D1367,'Measure &amp; Standard CostIDs'!$C$5:$H$177,1+B1367,FALSE)),2)</f>
        <v>1.51</v>
      </c>
      <c r="X1367" s="103"/>
      <c r="Y1367" s="103"/>
      <c r="Z1367" s="103" t="s">
        <v>868</v>
      </c>
      <c r="AA1367" s="103" t="s">
        <v>874</v>
      </c>
      <c r="AB1367" s="103" t="s">
        <v>153</v>
      </c>
      <c r="AC1367" s="103">
        <v>0</v>
      </c>
      <c r="AD1367" s="156">
        <v>42005</v>
      </c>
      <c r="AE1367" s="103"/>
      <c r="AF1367" s="103" t="s">
        <v>870</v>
      </c>
      <c r="AG1367" s="103" t="s">
        <v>871</v>
      </c>
      <c r="AH1367" s="103" t="s">
        <v>976</v>
      </c>
      <c r="AI1367" s="103">
        <v>0</v>
      </c>
      <c r="AJ1367" s="103"/>
      <c r="AK1367" s="103"/>
      <c r="AL1367" s="103"/>
      <c r="AM1367" s="103"/>
      <c r="AN1367" s="103"/>
      <c r="AO1367" s="103" t="str">
        <f t="shared" si="75"/>
        <v>CFLscw(7w)Four+pack</v>
      </c>
    </row>
    <row r="1368" spans="1:41">
      <c r="A1368" s="177">
        <f>IFERROR(MATCH(D1368,'Measure &amp; Standard CostIDs'!C$5:C$177,0),MATCH(D1368,'Measure &amp; Standard CostIDs'!S$5:S$177,0))</f>
        <v>44</v>
      </c>
      <c r="B1368" s="177">
        <f t="shared" si="77"/>
        <v>5</v>
      </c>
      <c r="C1368" s="103" t="s">
        <v>153</v>
      </c>
      <c r="D1368" s="103" t="str">
        <f t="shared" si="76"/>
        <v>CFLscw(84w)</v>
      </c>
      <c r="E1368" s="103" t="str">
        <f>IF(LEFT(D1368,3)="Std","Base case cost for mix of 60% Incandescent and 40% CFL lamps for CFL TechID: "&amp;INDEX('Measure &amp; Standard CostIDs'!$C$5:$C$177,A1368),"&lt;from TechID&gt;")</f>
        <v>&lt;from TechID&gt;</v>
      </c>
      <c r="F1368" s="103" t="s">
        <v>860</v>
      </c>
      <c r="G1368" s="103" t="s">
        <v>151</v>
      </c>
      <c r="H1368" s="103" t="s">
        <v>861</v>
      </c>
      <c r="I1368" s="103" t="s">
        <v>862</v>
      </c>
      <c r="J1368" s="103" t="s">
        <v>863</v>
      </c>
      <c r="K1368" s="103" t="s">
        <v>864</v>
      </c>
      <c r="L1368" s="103" t="s">
        <v>153</v>
      </c>
      <c r="M1368" s="103" t="s">
        <v>865</v>
      </c>
      <c r="N1368" s="103" t="s">
        <v>866</v>
      </c>
      <c r="O1368" s="103" t="str">
        <f t="shared" si="74"/>
        <v>CFLscw(84w)</v>
      </c>
      <c r="P1368" s="103" t="s">
        <v>153</v>
      </c>
      <c r="Q1368" s="103" t="s">
        <v>153</v>
      </c>
      <c r="R1368" s="103" t="s">
        <v>153</v>
      </c>
      <c r="S1368" s="103" t="str">
        <f>INDEX('Measure &amp; Standard CostIDs'!$AK$8:$AK$12,B1368)</f>
        <v>Four+pack</v>
      </c>
      <c r="T1368" s="103" t="s">
        <v>867</v>
      </c>
      <c r="U1368" s="103"/>
      <c r="V1368" s="103"/>
      <c r="W1368" s="103">
        <f>ROUND(IF(LEFT(D1368,3)="Std",VLOOKUP(D1368,'Measure &amp; Standard CostIDs'!$S$5:$X$177,1+B1368,FALSE),VLOOKUP(D1368,'Measure &amp; Standard CostIDs'!$C$5:$H$177,1+B1368,FALSE)),2)</f>
        <v>12.14</v>
      </c>
      <c r="X1368" s="103"/>
      <c r="Y1368" s="103"/>
      <c r="Z1368" s="103" t="s">
        <v>868</v>
      </c>
      <c r="AA1368" s="103" t="s">
        <v>874</v>
      </c>
      <c r="AB1368" s="103" t="s">
        <v>153</v>
      </c>
      <c r="AC1368" s="103">
        <v>0</v>
      </c>
      <c r="AD1368" s="156">
        <v>42005</v>
      </c>
      <c r="AE1368" s="103"/>
      <c r="AF1368" s="103" t="s">
        <v>870</v>
      </c>
      <c r="AG1368" s="103" t="s">
        <v>871</v>
      </c>
      <c r="AH1368" s="103" t="s">
        <v>976</v>
      </c>
      <c r="AI1368" s="103">
        <v>0</v>
      </c>
      <c r="AJ1368" s="103"/>
      <c r="AK1368" s="103"/>
      <c r="AL1368" s="103"/>
      <c r="AM1368" s="103"/>
      <c r="AN1368" s="103"/>
      <c r="AO1368" s="103" t="str">
        <f t="shared" si="75"/>
        <v>CFLscw(84w)Four+pack</v>
      </c>
    </row>
    <row r="1369" spans="1:41">
      <c r="A1369" s="177">
        <f>IFERROR(MATCH(D1369,'Measure &amp; Standard CostIDs'!C$5:C$177,0),MATCH(D1369,'Measure &amp; Standard CostIDs'!S$5:S$177,0))</f>
        <v>45</v>
      </c>
      <c r="B1369" s="177">
        <f t="shared" si="77"/>
        <v>5</v>
      </c>
      <c r="C1369" s="103" t="s">
        <v>153</v>
      </c>
      <c r="D1369" s="103" t="str">
        <f t="shared" si="76"/>
        <v>CFLscw(85w)</v>
      </c>
      <c r="E1369" s="103" t="str">
        <f>IF(LEFT(D1369,3)="Std","Base case cost for mix of 60% Incandescent and 40% CFL lamps for CFL TechID: "&amp;INDEX('Measure &amp; Standard CostIDs'!$C$5:$C$177,A1369),"&lt;from TechID&gt;")</f>
        <v>&lt;from TechID&gt;</v>
      </c>
      <c r="F1369" s="103" t="s">
        <v>860</v>
      </c>
      <c r="G1369" s="103" t="s">
        <v>151</v>
      </c>
      <c r="H1369" s="103" t="s">
        <v>861</v>
      </c>
      <c r="I1369" s="103" t="s">
        <v>862</v>
      </c>
      <c r="J1369" s="103" t="s">
        <v>863</v>
      </c>
      <c r="K1369" s="103" t="s">
        <v>864</v>
      </c>
      <c r="L1369" s="103" t="s">
        <v>153</v>
      </c>
      <c r="M1369" s="103" t="s">
        <v>865</v>
      </c>
      <c r="N1369" s="103" t="s">
        <v>866</v>
      </c>
      <c r="O1369" s="103" t="str">
        <f t="shared" si="74"/>
        <v>CFLscw(85w)</v>
      </c>
      <c r="P1369" s="103" t="s">
        <v>153</v>
      </c>
      <c r="Q1369" s="103" t="s">
        <v>153</v>
      </c>
      <c r="R1369" s="103" t="s">
        <v>153</v>
      </c>
      <c r="S1369" s="103" t="str">
        <f>INDEX('Measure &amp; Standard CostIDs'!$AK$8:$AK$12,B1369)</f>
        <v>Four+pack</v>
      </c>
      <c r="T1369" s="103" t="s">
        <v>867</v>
      </c>
      <c r="U1369" s="103"/>
      <c r="V1369" s="103"/>
      <c r="W1369" s="103">
        <f>ROUND(IF(LEFT(D1369,3)="Std",VLOOKUP(D1369,'Measure &amp; Standard CostIDs'!$S$5:$X$177,1+B1369,FALSE),VLOOKUP(D1369,'Measure &amp; Standard CostIDs'!$C$5:$H$177,1+B1369,FALSE)),2)</f>
        <v>12.3</v>
      </c>
      <c r="X1369" s="103"/>
      <c r="Y1369" s="103"/>
      <c r="Z1369" s="103" t="s">
        <v>868</v>
      </c>
      <c r="AA1369" s="103" t="s">
        <v>874</v>
      </c>
      <c r="AB1369" s="103" t="s">
        <v>153</v>
      </c>
      <c r="AC1369" s="103">
        <v>0</v>
      </c>
      <c r="AD1369" s="156">
        <v>42005</v>
      </c>
      <c r="AE1369" s="103"/>
      <c r="AF1369" s="103" t="s">
        <v>870</v>
      </c>
      <c r="AG1369" s="103" t="s">
        <v>871</v>
      </c>
      <c r="AH1369" s="103" t="s">
        <v>976</v>
      </c>
      <c r="AI1369" s="103">
        <v>0</v>
      </c>
      <c r="AJ1369" s="103"/>
      <c r="AK1369" s="103"/>
      <c r="AL1369" s="103"/>
      <c r="AM1369" s="103"/>
      <c r="AN1369" s="103"/>
      <c r="AO1369" s="103" t="str">
        <f t="shared" si="75"/>
        <v>CFLscw(85w)Four+pack</v>
      </c>
    </row>
    <row r="1370" spans="1:41">
      <c r="A1370" s="177">
        <f>IFERROR(MATCH(D1370,'Measure &amp; Standard CostIDs'!C$5:C$177,0),MATCH(D1370,'Measure &amp; Standard CostIDs'!S$5:S$177,0))</f>
        <v>46</v>
      </c>
      <c r="B1370" s="177">
        <f t="shared" si="77"/>
        <v>5</v>
      </c>
      <c r="C1370" s="103" t="s">
        <v>153</v>
      </c>
      <c r="D1370" s="103" t="str">
        <f t="shared" si="76"/>
        <v>CFLscw(8w)</v>
      </c>
      <c r="E1370" s="103" t="str">
        <f>IF(LEFT(D1370,3)="Std","Base case cost for mix of 60% Incandescent and 40% CFL lamps for CFL TechID: "&amp;INDEX('Measure &amp; Standard CostIDs'!$C$5:$C$177,A1370),"&lt;from TechID&gt;")</f>
        <v>&lt;from TechID&gt;</v>
      </c>
      <c r="F1370" s="103" t="s">
        <v>860</v>
      </c>
      <c r="G1370" s="103" t="s">
        <v>151</v>
      </c>
      <c r="H1370" s="103" t="s">
        <v>861</v>
      </c>
      <c r="I1370" s="103" t="s">
        <v>862</v>
      </c>
      <c r="J1370" s="103" t="s">
        <v>863</v>
      </c>
      <c r="K1370" s="103" t="s">
        <v>864</v>
      </c>
      <c r="L1370" s="103" t="s">
        <v>153</v>
      </c>
      <c r="M1370" s="103" t="s">
        <v>865</v>
      </c>
      <c r="N1370" s="103" t="s">
        <v>866</v>
      </c>
      <c r="O1370" s="103" t="str">
        <f t="shared" si="74"/>
        <v>CFLscw(8w)</v>
      </c>
      <c r="P1370" s="103" t="s">
        <v>153</v>
      </c>
      <c r="Q1370" s="103" t="s">
        <v>153</v>
      </c>
      <c r="R1370" s="103" t="s">
        <v>153</v>
      </c>
      <c r="S1370" s="103" t="str">
        <f>INDEX('Measure &amp; Standard CostIDs'!$AK$8:$AK$12,B1370)</f>
        <v>Four+pack</v>
      </c>
      <c r="T1370" s="103" t="s">
        <v>867</v>
      </c>
      <c r="U1370" s="103"/>
      <c r="V1370" s="103"/>
      <c r="W1370" s="103">
        <f>ROUND(IF(LEFT(D1370,3)="Std",VLOOKUP(D1370,'Measure &amp; Standard CostIDs'!$S$5:$X$177,1+B1370,FALSE),VLOOKUP(D1370,'Measure &amp; Standard CostIDs'!$C$5:$H$177,1+B1370,FALSE)),2)</f>
        <v>1.57</v>
      </c>
      <c r="X1370" s="103"/>
      <c r="Y1370" s="103"/>
      <c r="Z1370" s="103" t="s">
        <v>868</v>
      </c>
      <c r="AA1370" s="103" t="s">
        <v>874</v>
      </c>
      <c r="AB1370" s="103" t="s">
        <v>153</v>
      </c>
      <c r="AC1370" s="103">
        <v>0</v>
      </c>
      <c r="AD1370" s="156">
        <v>42005</v>
      </c>
      <c r="AE1370" s="103"/>
      <c r="AF1370" s="103" t="s">
        <v>870</v>
      </c>
      <c r="AG1370" s="103" t="s">
        <v>871</v>
      </c>
      <c r="AH1370" s="103" t="s">
        <v>976</v>
      </c>
      <c r="AI1370" s="103">
        <v>0</v>
      </c>
      <c r="AJ1370" s="103"/>
      <c r="AK1370" s="103"/>
      <c r="AL1370" s="103"/>
      <c r="AM1370" s="103"/>
      <c r="AN1370" s="103"/>
      <c r="AO1370" s="103" t="str">
        <f t="shared" si="75"/>
        <v>CFLscw(8w)Four+pack</v>
      </c>
    </row>
    <row r="1371" spans="1:41">
      <c r="A1371" s="177">
        <f>IFERROR(MATCH(D1371,'Measure &amp; Standard CostIDs'!C$5:C$177,0),MATCH(D1371,'Measure &amp; Standard CostIDs'!S$5:S$177,0))</f>
        <v>47</v>
      </c>
      <c r="B1371" s="177">
        <f t="shared" si="77"/>
        <v>5</v>
      </c>
      <c r="C1371" s="103" t="s">
        <v>153</v>
      </c>
      <c r="D1371" s="103" t="str">
        <f t="shared" si="76"/>
        <v>CFLscw(9w)</v>
      </c>
      <c r="E1371" s="103" t="str">
        <f>IF(LEFT(D1371,3)="Std","Base case cost for mix of 60% Incandescent and 40% CFL lamps for CFL TechID: "&amp;INDEX('Measure &amp; Standard CostIDs'!$C$5:$C$177,A1371),"&lt;from TechID&gt;")</f>
        <v>&lt;from TechID&gt;</v>
      </c>
      <c r="F1371" s="103" t="s">
        <v>860</v>
      </c>
      <c r="G1371" s="103" t="s">
        <v>151</v>
      </c>
      <c r="H1371" s="103" t="s">
        <v>861</v>
      </c>
      <c r="I1371" s="103" t="s">
        <v>862</v>
      </c>
      <c r="J1371" s="103" t="s">
        <v>863</v>
      </c>
      <c r="K1371" s="103" t="s">
        <v>864</v>
      </c>
      <c r="L1371" s="103" t="s">
        <v>153</v>
      </c>
      <c r="M1371" s="103" t="s">
        <v>865</v>
      </c>
      <c r="N1371" s="103" t="s">
        <v>866</v>
      </c>
      <c r="O1371" s="103" t="str">
        <f t="shared" si="74"/>
        <v>CFLscw(9w)</v>
      </c>
      <c r="P1371" s="103" t="s">
        <v>153</v>
      </c>
      <c r="Q1371" s="103" t="s">
        <v>153</v>
      </c>
      <c r="R1371" s="103" t="s">
        <v>153</v>
      </c>
      <c r="S1371" s="103" t="str">
        <f>INDEX('Measure &amp; Standard CostIDs'!$AK$8:$AK$12,B1371)</f>
        <v>Four+pack</v>
      </c>
      <c r="T1371" s="103" t="s">
        <v>867</v>
      </c>
      <c r="U1371" s="103"/>
      <c r="V1371" s="103"/>
      <c r="W1371" s="103">
        <f>ROUND(IF(LEFT(D1371,3)="Std",VLOOKUP(D1371,'Measure &amp; Standard CostIDs'!$S$5:$X$177,1+B1371,FALSE),VLOOKUP(D1371,'Measure &amp; Standard CostIDs'!$C$5:$H$177,1+B1371,FALSE)),2)</f>
        <v>1.64</v>
      </c>
      <c r="X1371" s="103"/>
      <c r="Y1371" s="103"/>
      <c r="Z1371" s="103" t="s">
        <v>868</v>
      </c>
      <c r="AA1371" s="103" t="s">
        <v>874</v>
      </c>
      <c r="AB1371" s="103" t="s">
        <v>153</v>
      </c>
      <c r="AC1371" s="103">
        <v>0</v>
      </c>
      <c r="AD1371" s="156">
        <v>42005</v>
      </c>
      <c r="AE1371" s="103"/>
      <c r="AF1371" s="103" t="s">
        <v>870</v>
      </c>
      <c r="AG1371" s="103" t="s">
        <v>871</v>
      </c>
      <c r="AH1371" s="103" t="s">
        <v>976</v>
      </c>
      <c r="AI1371" s="103">
        <v>0</v>
      </c>
      <c r="AJ1371" s="103"/>
      <c r="AK1371" s="103"/>
      <c r="AL1371" s="103"/>
      <c r="AM1371" s="103"/>
      <c r="AN1371" s="103"/>
      <c r="AO1371" s="103" t="str">
        <f t="shared" si="75"/>
        <v>CFLscw(9w)Four+pack</v>
      </c>
    </row>
    <row r="1372" spans="1:41">
      <c r="A1372" s="177">
        <f>IFERROR(MATCH(D1372,'Measure &amp; Standard CostIDs'!C$5:C$177,0),MATCH(D1372,'Measure &amp; Standard CostIDs'!S$5:S$177,0))</f>
        <v>48</v>
      </c>
      <c r="B1372" s="177">
        <f t="shared" si="77"/>
        <v>5</v>
      </c>
      <c r="C1372" s="103" t="s">
        <v>153</v>
      </c>
      <c r="D1372" s="103" t="str">
        <f t="shared" si="76"/>
        <v>CFLscw-3way(13w)</v>
      </c>
      <c r="E1372" s="103" t="str">
        <f>IF(LEFT(D1372,3)="Std","Base case cost for mix of 60% Incandescent and 40% CFL lamps for CFL TechID: "&amp;INDEX('Measure &amp; Standard CostIDs'!$C$5:$C$177,A1372),"&lt;from TechID&gt;")</f>
        <v>&lt;from TechID&gt;</v>
      </c>
      <c r="F1372" s="103" t="s">
        <v>860</v>
      </c>
      <c r="G1372" s="103" t="s">
        <v>151</v>
      </c>
      <c r="H1372" s="103" t="s">
        <v>861</v>
      </c>
      <c r="I1372" s="103" t="s">
        <v>862</v>
      </c>
      <c r="J1372" s="103" t="s">
        <v>863</v>
      </c>
      <c r="K1372" s="103" t="s">
        <v>864</v>
      </c>
      <c r="L1372" s="103" t="s">
        <v>153</v>
      </c>
      <c r="M1372" s="103" t="s">
        <v>865</v>
      </c>
      <c r="N1372" s="103" t="s">
        <v>866</v>
      </c>
      <c r="O1372" s="103" t="str">
        <f t="shared" si="74"/>
        <v>CFLscw-3way(13w)</v>
      </c>
      <c r="P1372" s="103" t="s">
        <v>153</v>
      </c>
      <c r="Q1372" s="103" t="s">
        <v>153</v>
      </c>
      <c r="R1372" s="103" t="s">
        <v>153</v>
      </c>
      <c r="S1372" s="103" t="str">
        <f>INDEX('Measure &amp; Standard CostIDs'!$AK$8:$AK$12,B1372)</f>
        <v>Four+pack</v>
      </c>
      <c r="T1372" s="103" t="s">
        <v>867</v>
      </c>
      <c r="U1372" s="103"/>
      <c r="V1372" s="103"/>
      <c r="W1372" s="103">
        <f>ROUND(IF(LEFT(D1372,3)="Std",VLOOKUP(D1372,'Measure &amp; Standard CostIDs'!$S$5:$X$177,1+B1372,FALSE),VLOOKUP(D1372,'Measure &amp; Standard CostIDs'!$C$5:$H$177,1+B1372,FALSE)),2)</f>
        <v>8.66</v>
      </c>
      <c r="X1372" s="103"/>
      <c r="Y1372" s="103"/>
      <c r="Z1372" s="103" t="s">
        <v>868</v>
      </c>
      <c r="AA1372" s="103" t="s">
        <v>874</v>
      </c>
      <c r="AB1372" s="103" t="s">
        <v>153</v>
      </c>
      <c r="AC1372" s="103">
        <v>0</v>
      </c>
      <c r="AD1372" s="156">
        <v>42005</v>
      </c>
      <c r="AE1372" s="103"/>
      <c r="AF1372" s="103" t="s">
        <v>870</v>
      </c>
      <c r="AG1372" s="103" t="s">
        <v>871</v>
      </c>
      <c r="AH1372" s="103" t="s">
        <v>976</v>
      </c>
      <c r="AI1372" s="103">
        <v>0</v>
      </c>
      <c r="AJ1372" s="103"/>
      <c r="AK1372" s="103"/>
      <c r="AL1372" s="103"/>
      <c r="AM1372" s="103"/>
      <c r="AN1372" s="103"/>
      <c r="AO1372" s="103" t="str">
        <f t="shared" si="75"/>
        <v>CFLscw-3way(13w)Four+pack</v>
      </c>
    </row>
    <row r="1373" spans="1:41">
      <c r="A1373" s="177">
        <f>IFERROR(MATCH(D1373,'Measure &amp; Standard CostIDs'!C$5:C$177,0),MATCH(D1373,'Measure &amp; Standard CostIDs'!S$5:S$177,0))</f>
        <v>49</v>
      </c>
      <c r="B1373" s="177">
        <f t="shared" si="77"/>
        <v>5</v>
      </c>
      <c r="C1373" s="103" t="s">
        <v>153</v>
      </c>
      <c r="D1373" s="103" t="str">
        <f t="shared" si="76"/>
        <v>CFLscw-3way(15w)</v>
      </c>
      <c r="E1373" s="103" t="str">
        <f>IF(LEFT(D1373,3)="Std","Base case cost for mix of 60% Incandescent and 40% CFL lamps for CFL TechID: "&amp;INDEX('Measure &amp; Standard CostIDs'!$C$5:$C$177,A1373),"&lt;from TechID&gt;")</f>
        <v>&lt;from TechID&gt;</v>
      </c>
      <c r="F1373" s="103" t="s">
        <v>860</v>
      </c>
      <c r="G1373" s="103" t="s">
        <v>151</v>
      </c>
      <c r="H1373" s="103" t="s">
        <v>861</v>
      </c>
      <c r="I1373" s="103" t="s">
        <v>862</v>
      </c>
      <c r="J1373" s="103" t="s">
        <v>863</v>
      </c>
      <c r="K1373" s="103" t="s">
        <v>864</v>
      </c>
      <c r="L1373" s="103" t="s">
        <v>153</v>
      </c>
      <c r="M1373" s="103" t="s">
        <v>865</v>
      </c>
      <c r="N1373" s="103" t="s">
        <v>866</v>
      </c>
      <c r="O1373" s="103" t="str">
        <f t="shared" si="74"/>
        <v>CFLscw-3way(15w)</v>
      </c>
      <c r="P1373" s="103" t="s">
        <v>153</v>
      </c>
      <c r="Q1373" s="103" t="s">
        <v>153</v>
      </c>
      <c r="R1373" s="103" t="s">
        <v>153</v>
      </c>
      <c r="S1373" s="103" t="str">
        <f>INDEX('Measure &amp; Standard CostIDs'!$AK$8:$AK$12,B1373)</f>
        <v>Four+pack</v>
      </c>
      <c r="T1373" s="103" t="s">
        <v>867</v>
      </c>
      <c r="U1373" s="103"/>
      <c r="V1373" s="103"/>
      <c r="W1373" s="103">
        <f>ROUND(IF(LEFT(D1373,3)="Std",VLOOKUP(D1373,'Measure &amp; Standard CostIDs'!$S$5:$X$177,1+B1373,FALSE),VLOOKUP(D1373,'Measure &amp; Standard CostIDs'!$C$5:$H$177,1+B1373,FALSE)),2)</f>
        <v>8.7899999999999991</v>
      </c>
      <c r="X1373" s="103"/>
      <c r="Y1373" s="103"/>
      <c r="Z1373" s="103" t="s">
        <v>868</v>
      </c>
      <c r="AA1373" s="103" t="s">
        <v>874</v>
      </c>
      <c r="AB1373" s="103" t="s">
        <v>153</v>
      </c>
      <c r="AC1373" s="103">
        <v>0</v>
      </c>
      <c r="AD1373" s="156">
        <v>42005</v>
      </c>
      <c r="AE1373" s="103"/>
      <c r="AF1373" s="103" t="s">
        <v>870</v>
      </c>
      <c r="AG1373" s="103" t="s">
        <v>871</v>
      </c>
      <c r="AH1373" s="103" t="s">
        <v>976</v>
      </c>
      <c r="AI1373" s="103">
        <v>0</v>
      </c>
      <c r="AJ1373" s="103"/>
      <c r="AK1373" s="103"/>
      <c r="AL1373" s="103"/>
      <c r="AM1373" s="103"/>
      <c r="AN1373" s="103"/>
      <c r="AO1373" s="103" t="str">
        <f t="shared" si="75"/>
        <v>CFLscw-3way(15w)Four+pack</v>
      </c>
    </row>
    <row r="1374" spans="1:41">
      <c r="A1374" s="177">
        <f>IFERROR(MATCH(D1374,'Measure &amp; Standard CostIDs'!C$5:C$177,0),MATCH(D1374,'Measure &amp; Standard CostIDs'!S$5:S$177,0))</f>
        <v>50</v>
      </c>
      <c r="B1374" s="177">
        <f t="shared" si="77"/>
        <v>5</v>
      </c>
      <c r="C1374" s="103" t="s">
        <v>153</v>
      </c>
      <c r="D1374" s="103" t="str">
        <f t="shared" si="76"/>
        <v>CFLscw-3way(16w)</v>
      </c>
      <c r="E1374" s="103" t="str">
        <f>IF(LEFT(D1374,3)="Std","Base case cost for mix of 60% Incandescent and 40% CFL lamps for CFL TechID: "&amp;INDEX('Measure &amp; Standard CostIDs'!$C$5:$C$177,A1374),"&lt;from TechID&gt;")</f>
        <v>&lt;from TechID&gt;</v>
      </c>
      <c r="F1374" s="103" t="s">
        <v>860</v>
      </c>
      <c r="G1374" s="103" t="s">
        <v>151</v>
      </c>
      <c r="H1374" s="103" t="s">
        <v>861</v>
      </c>
      <c r="I1374" s="103" t="s">
        <v>862</v>
      </c>
      <c r="J1374" s="103" t="s">
        <v>863</v>
      </c>
      <c r="K1374" s="103" t="s">
        <v>864</v>
      </c>
      <c r="L1374" s="103" t="s">
        <v>153</v>
      </c>
      <c r="M1374" s="103" t="s">
        <v>865</v>
      </c>
      <c r="N1374" s="103" t="s">
        <v>866</v>
      </c>
      <c r="O1374" s="103" t="str">
        <f t="shared" si="74"/>
        <v>CFLscw-3way(16w)</v>
      </c>
      <c r="P1374" s="103" t="s">
        <v>153</v>
      </c>
      <c r="Q1374" s="103" t="s">
        <v>153</v>
      </c>
      <c r="R1374" s="103" t="s">
        <v>153</v>
      </c>
      <c r="S1374" s="103" t="str">
        <f>INDEX('Measure &amp; Standard CostIDs'!$AK$8:$AK$12,B1374)</f>
        <v>Four+pack</v>
      </c>
      <c r="T1374" s="103" t="s">
        <v>867</v>
      </c>
      <c r="U1374" s="103"/>
      <c r="V1374" s="103"/>
      <c r="W1374" s="103">
        <f>ROUND(IF(LEFT(D1374,3)="Std",VLOOKUP(D1374,'Measure &amp; Standard CostIDs'!$S$5:$X$177,1+B1374,FALSE),VLOOKUP(D1374,'Measure &amp; Standard CostIDs'!$C$5:$H$177,1+B1374,FALSE)),2)</f>
        <v>8.86</v>
      </c>
      <c r="X1374" s="103"/>
      <c r="Y1374" s="103"/>
      <c r="Z1374" s="103" t="s">
        <v>868</v>
      </c>
      <c r="AA1374" s="103" t="s">
        <v>874</v>
      </c>
      <c r="AB1374" s="103" t="s">
        <v>153</v>
      </c>
      <c r="AC1374" s="103">
        <v>0</v>
      </c>
      <c r="AD1374" s="156">
        <v>42005</v>
      </c>
      <c r="AE1374" s="103"/>
      <c r="AF1374" s="103" t="s">
        <v>870</v>
      </c>
      <c r="AG1374" s="103" t="s">
        <v>871</v>
      </c>
      <c r="AH1374" s="103" t="s">
        <v>976</v>
      </c>
      <c r="AI1374" s="103">
        <v>0</v>
      </c>
      <c r="AJ1374" s="103"/>
      <c r="AK1374" s="103"/>
      <c r="AL1374" s="103"/>
      <c r="AM1374" s="103"/>
      <c r="AN1374" s="103"/>
      <c r="AO1374" s="103" t="str">
        <f t="shared" si="75"/>
        <v>CFLscw-3way(16w)Four+pack</v>
      </c>
    </row>
    <row r="1375" spans="1:41">
      <c r="A1375" s="177">
        <f>IFERROR(MATCH(D1375,'Measure &amp; Standard CostIDs'!C$5:C$177,0),MATCH(D1375,'Measure &amp; Standard CostIDs'!S$5:S$177,0))</f>
        <v>51</v>
      </c>
      <c r="B1375" s="177">
        <f t="shared" si="77"/>
        <v>5</v>
      </c>
      <c r="C1375" s="103" t="s">
        <v>153</v>
      </c>
      <c r="D1375" s="103" t="str">
        <f t="shared" si="76"/>
        <v>CFLscw-3way(17w)</v>
      </c>
      <c r="E1375" s="103" t="str">
        <f>IF(LEFT(D1375,3)="Std","Base case cost for mix of 60% Incandescent and 40% CFL lamps for CFL TechID: "&amp;INDEX('Measure &amp; Standard CostIDs'!$C$5:$C$177,A1375),"&lt;from TechID&gt;")</f>
        <v>&lt;from TechID&gt;</v>
      </c>
      <c r="F1375" s="103" t="s">
        <v>860</v>
      </c>
      <c r="G1375" s="103" t="s">
        <v>151</v>
      </c>
      <c r="H1375" s="103" t="s">
        <v>861</v>
      </c>
      <c r="I1375" s="103" t="s">
        <v>862</v>
      </c>
      <c r="J1375" s="103" t="s">
        <v>863</v>
      </c>
      <c r="K1375" s="103" t="s">
        <v>864</v>
      </c>
      <c r="L1375" s="103" t="s">
        <v>153</v>
      </c>
      <c r="M1375" s="103" t="s">
        <v>865</v>
      </c>
      <c r="N1375" s="103" t="s">
        <v>866</v>
      </c>
      <c r="O1375" s="103" t="str">
        <f t="shared" si="74"/>
        <v>CFLscw-3way(17w)</v>
      </c>
      <c r="P1375" s="103" t="s">
        <v>153</v>
      </c>
      <c r="Q1375" s="103" t="s">
        <v>153</v>
      </c>
      <c r="R1375" s="103" t="s">
        <v>153</v>
      </c>
      <c r="S1375" s="103" t="str">
        <f>INDEX('Measure &amp; Standard CostIDs'!$AK$8:$AK$12,B1375)</f>
        <v>Four+pack</v>
      </c>
      <c r="T1375" s="103" t="s">
        <v>867</v>
      </c>
      <c r="U1375" s="103"/>
      <c r="V1375" s="103"/>
      <c r="W1375" s="103">
        <f>ROUND(IF(LEFT(D1375,3)="Std",VLOOKUP(D1375,'Measure &amp; Standard CostIDs'!$S$5:$X$177,1+B1375,FALSE),VLOOKUP(D1375,'Measure &amp; Standard CostIDs'!$C$5:$H$177,1+B1375,FALSE)),2)</f>
        <v>8.92</v>
      </c>
      <c r="X1375" s="103"/>
      <c r="Y1375" s="103"/>
      <c r="Z1375" s="103" t="s">
        <v>868</v>
      </c>
      <c r="AA1375" s="103" t="s">
        <v>874</v>
      </c>
      <c r="AB1375" s="103" t="s">
        <v>153</v>
      </c>
      <c r="AC1375" s="103">
        <v>0</v>
      </c>
      <c r="AD1375" s="156">
        <v>42005</v>
      </c>
      <c r="AE1375" s="103"/>
      <c r="AF1375" s="103" t="s">
        <v>870</v>
      </c>
      <c r="AG1375" s="103" t="s">
        <v>871</v>
      </c>
      <c r="AH1375" s="103" t="s">
        <v>976</v>
      </c>
      <c r="AI1375" s="103">
        <v>0</v>
      </c>
      <c r="AJ1375" s="103"/>
      <c r="AK1375" s="103"/>
      <c r="AL1375" s="103"/>
      <c r="AM1375" s="103"/>
      <c r="AN1375" s="103"/>
      <c r="AO1375" s="103" t="str">
        <f t="shared" si="75"/>
        <v>CFLscw-3way(17w)Four+pack</v>
      </c>
    </row>
    <row r="1376" spans="1:41">
      <c r="A1376" s="177">
        <f>IFERROR(MATCH(D1376,'Measure &amp; Standard CostIDs'!C$5:C$177,0),MATCH(D1376,'Measure &amp; Standard CostIDs'!S$5:S$177,0))</f>
        <v>52</v>
      </c>
      <c r="B1376" s="177">
        <f t="shared" si="77"/>
        <v>5</v>
      </c>
      <c r="C1376" s="103" t="s">
        <v>153</v>
      </c>
      <c r="D1376" s="103" t="str">
        <f t="shared" si="76"/>
        <v>CFLscw-3way(18w)</v>
      </c>
      <c r="E1376" s="103" t="str">
        <f>IF(LEFT(D1376,3)="Std","Base case cost for mix of 60% Incandescent and 40% CFL lamps for CFL TechID: "&amp;INDEX('Measure &amp; Standard CostIDs'!$C$5:$C$177,A1376),"&lt;from TechID&gt;")</f>
        <v>&lt;from TechID&gt;</v>
      </c>
      <c r="F1376" s="103" t="s">
        <v>860</v>
      </c>
      <c r="G1376" s="103" t="s">
        <v>151</v>
      </c>
      <c r="H1376" s="103" t="s">
        <v>861</v>
      </c>
      <c r="I1376" s="103" t="s">
        <v>862</v>
      </c>
      <c r="J1376" s="103" t="s">
        <v>863</v>
      </c>
      <c r="K1376" s="103" t="s">
        <v>864</v>
      </c>
      <c r="L1376" s="103" t="s">
        <v>153</v>
      </c>
      <c r="M1376" s="103" t="s">
        <v>865</v>
      </c>
      <c r="N1376" s="103" t="s">
        <v>866</v>
      </c>
      <c r="O1376" s="103" t="str">
        <f t="shared" si="74"/>
        <v>CFLscw-3way(18w)</v>
      </c>
      <c r="P1376" s="103" t="s">
        <v>153</v>
      </c>
      <c r="Q1376" s="103" t="s">
        <v>153</v>
      </c>
      <c r="R1376" s="103" t="s">
        <v>153</v>
      </c>
      <c r="S1376" s="103" t="str">
        <f>INDEX('Measure &amp; Standard CostIDs'!$AK$8:$AK$12,B1376)</f>
        <v>Four+pack</v>
      </c>
      <c r="T1376" s="103" t="s">
        <v>867</v>
      </c>
      <c r="U1376" s="103"/>
      <c r="V1376" s="103"/>
      <c r="W1376" s="103">
        <f>ROUND(IF(LEFT(D1376,3)="Std",VLOOKUP(D1376,'Measure &amp; Standard CostIDs'!$S$5:$X$177,1+B1376,FALSE),VLOOKUP(D1376,'Measure &amp; Standard CostIDs'!$C$5:$H$177,1+B1376,FALSE)),2)</f>
        <v>8.99</v>
      </c>
      <c r="X1376" s="103"/>
      <c r="Y1376" s="103"/>
      <c r="Z1376" s="103" t="s">
        <v>868</v>
      </c>
      <c r="AA1376" s="103" t="s">
        <v>874</v>
      </c>
      <c r="AB1376" s="103" t="s">
        <v>153</v>
      </c>
      <c r="AC1376" s="103">
        <v>0</v>
      </c>
      <c r="AD1376" s="156">
        <v>42005</v>
      </c>
      <c r="AE1376" s="103"/>
      <c r="AF1376" s="103" t="s">
        <v>870</v>
      </c>
      <c r="AG1376" s="103" t="s">
        <v>871</v>
      </c>
      <c r="AH1376" s="103" t="s">
        <v>976</v>
      </c>
      <c r="AI1376" s="103">
        <v>0</v>
      </c>
      <c r="AJ1376" s="103"/>
      <c r="AK1376" s="103"/>
      <c r="AL1376" s="103"/>
      <c r="AM1376" s="103"/>
      <c r="AN1376" s="103"/>
      <c r="AO1376" s="103" t="str">
        <f t="shared" si="75"/>
        <v>CFLscw-3way(18w)Four+pack</v>
      </c>
    </row>
    <row r="1377" spans="1:41">
      <c r="A1377" s="177">
        <f>IFERROR(MATCH(D1377,'Measure &amp; Standard CostIDs'!C$5:C$177,0),MATCH(D1377,'Measure &amp; Standard CostIDs'!S$5:S$177,0))</f>
        <v>53</v>
      </c>
      <c r="B1377" s="177">
        <f t="shared" si="77"/>
        <v>5</v>
      </c>
      <c r="C1377" s="103" t="s">
        <v>153</v>
      </c>
      <c r="D1377" s="103" t="str">
        <f t="shared" si="76"/>
        <v>CFLscw-3way(19w)</v>
      </c>
      <c r="E1377" s="103" t="str">
        <f>IF(LEFT(D1377,3)="Std","Base case cost for mix of 60% Incandescent and 40% CFL lamps for CFL TechID: "&amp;INDEX('Measure &amp; Standard CostIDs'!$C$5:$C$177,A1377),"&lt;from TechID&gt;")</f>
        <v>&lt;from TechID&gt;</v>
      </c>
      <c r="F1377" s="103" t="s">
        <v>860</v>
      </c>
      <c r="G1377" s="103" t="s">
        <v>151</v>
      </c>
      <c r="H1377" s="103" t="s">
        <v>861</v>
      </c>
      <c r="I1377" s="103" t="s">
        <v>862</v>
      </c>
      <c r="J1377" s="103" t="s">
        <v>863</v>
      </c>
      <c r="K1377" s="103" t="s">
        <v>864</v>
      </c>
      <c r="L1377" s="103" t="s">
        <v>153</v>
      </c>
      <c r="M1377" s="103" t="s">
        <v>865</v>
      </c>
      <c r="N1377" s="103" t="s">
        <v>866</v>
      </c>
      <c r="O1377" s="103" t="str">
        <f t="shared" si="74"/>
        <v>CFLscw-3way(19w)</v>
      </c>
      <c r="P1377" s="103" t="s">
        <v>153</v>
      </c>
      <c r="Q1377" s="103" t="s">
        <v>153</v>
      </c>
      <c r="R1377" s="103" t="s">
        <v>153</v>
      </c>
      <c r="S1377" s="103" t="str">
        <f>INDEX('Measure &amp; Standard CostIDs'!$AK$8:$AK$12,B1377)</f>
        <v>Four+pack</v>
      </c>
      <c r="T1377" s="103" t="s">
        <v>867</v>
      </c>
      <c r="U1377" s="103"/>
      <c r="V1377" s="103"/>
      <c r="W1377" s="103">
        <f>ROUND(IF(LEFT(D1377,3)="Std",VLOOKUP(D1377,'Measure &amp; Standard CostIDs'!$S$5:$X$177,1+B1377,FALSE),VLOOKUP(D1377,'Measure &amp; Standard CostIDs'!$C$5:$H$177,1+B1377,FALSE)),2)</f>
        <v>9.06</v>
      </c>
      <c r="X1377" s="103"/>
      <c r="Y1377" s="103"/>
      <c r="Z1377" s="103" t="s">
        <v>868</v>
      </c>
      <c r="AA1377" s="103" t="s">
        <v>874</v>
      </c>
      <c r="AB1377" s="103" t="s">
        <v>153</v>
      </c>
      <c r="AC1377" s="103">
        <v>0</v>
      </c>
      <c r="AD1377" s="156">
        <v>42005</v>
      </c>
      <c r="AE1377" s="103"/>
      <c r="AF1377" s="103" t="s">
        <v>870</v>
      </c>
      <c r="AG1377" s="103" t="s">
        <v>871</v>
      </c>
      <c r="AH1377" s="103" t="s">
        <v>976</v>
      </c>
      <c r="AI1377" s="103">
        <v>0</v>
      </c>
      <c r="AJ1377" s="103"/>
      <c r="AK1377" s="103"/>
      <c r="AL1377" s="103"/>
      <c r="AM1377" s="103"/>
      <c r="AN1377" s="103"/>
      <c r="AO1377" s="103" t="str">
        <f t="shared" si="75"/>
        <v>CFLscw-3way(19w)Four+pack</v>
      </c>
    </row>
    <row r="1378" spans="1:41">
      <c r="A1378" s="177">
        <f>IFERROR(MATCH(D1378,'Measure &amp; Standard CostIDs'!C$5:C$177,0),MATCH(D1378,'Measure &amp; Standard CostIDs'!S$5:S$177,0))</f>
        <v>54</v>
      </c>
      <c r="B1378" s="177">
        <f t="shared" si="77"/>
        <v>5</v>
      </c>
      <c r="C1378" s="103" t="s">
        <v>153</v>
      </c>
      <c r="D1378" s="103" t="str">
        <f t="shared" si="76"/>
        <v>CFLscw-3way(20w)</v>
      </c>
      <c r="E1378" s="103" t="str">
        <f>IF(LEFT(D1378,3)="Std","Base case cost for mix of 60% Incandescent and 40% CFL lamps for CFL TechID: "&amp;INDEX('Measure &amp; Standard CostIDs'!$C$5:$C$177,A1378),"&lt;from TechID&gt;")</f>
        <v>&lt;from TechID&gt;</v>
      </c>
      <c r="F1378" s="103" t="s">
        <v>860</v>
      </c>
      <c r="G1378" s="103" t="s">
        <v>151</v>
      </c>
      <c r="H1378" s="103" t="s">
        <v>861</v>
      </c>
      <c r="I1378" s="103" t="s">
        <v>862</v>
      </c>
      <c r="J1378" s="103" t="s">
        <v>863</v>
      </c>
      <c r="K1378" s="103" t="s">
        <v>864</v>
      </c>
      <c r="L1378" s="103" t="s">
        <v>153</v>
      </c>
      <c r="M1378" s="103" t="s">
        <v>865</v>
      </c>
      <c r="N1378" s="103" t="s">
        <v>866</v>
      </c>
      <c r="O1378" s="103" t="str">
        <f t="shared" si="74"/>
        <v>CFLscw-3way(20w)</v>
      </c>
      <c r="P1378" s="103" t="s">
        <v>153</v>
      </c>
      <c r="Q1378" s="103" t="s">
        <v>153</v>
      </c>
      <c r="R1378" s="103" t="s">
        <v>153</v>
      </c>
      <c r="S1378" s="103" t="str">
        <f>INDEX('Measure &amp; Standard CostIDs'!$AK$8:$AK$12,B1378)</f>
        <v>Four+pack</v>
      </c>
      <c r="T1378" s="103" t="s">
        <v>867</v>
      </c>
      <c r="U1378" s="103"/>
      <c r="V1378" s="103"/>
      <c r="W1378" s="103">
        <f>ROUND(IF(LEFT(D1378,3)="Std",VLOOKUP(D1378,'Measure &amp; Standard CostIDs'!$S$5:$X$177,1+B1378,FALSE),VLOOKUP(D1378,'Measure &amp; Standard CostIDs'!$C$5:$H$177,1+B1378,FALSE)),2)</f>
        <v>9.1199999999999992</v>
      </c>
      <c r="X1378" s="103"/>
      <c r="Y1378" s="103"/>
      <c r="Z1378" s="103" t="s">
        <v>868</v>
      </c>
      <c r="AA1378" s="103" t="s">
        <v>874</v>
      </c>
      <c r="AB1378" s="103" t="s">
        <v>153</v>
      </c>
      <c r="AC1378" s="103">
        <v>0</v>
      </c>
      <c r="AD1378" s="156">
        <v>42005</v>
      </c>
      <c r="AE1378" s="103"/>
      <c r="AF1378" s="103" t="s">
        <v>870</v>
      </c>
      <c r="AG1378" s="103" t="s">
        <v>871</v>
      </c>
      <c r="AH1378" s="103" t="s">
        <v>976</v>
      </c>
      <c r="AI1378" s="103">
        <v>0</v>
      </c>
      <c r="AJ1378" s="103"/>
      <c r="AK1378" s="103"/>
      <c r="AL1378" s="103"/>
      <c r="AM1378" s="103"/>
      <c r="AN1378" s="103"/>
      <c r="AO1378" s="103" t="str">
        <f t="shared" si="75"/>
        <v>CFLscw-3way(20w)Four+pack</v>
      </c>
    </row>
    <row r="1379" spans="1:41">
      <c r="A1379" s="177">
        <f>IFERROR(MATCH(D1379,'Measure &amp; Standard CostIDs'!C$5:C$177,0),MATCH(D1379,'Measure &amp; Standard CostIDs'!S$5:S$177,0))</f>
        <v>55</v>
      </c>
      <c r="B1379" s="177">
        <f t="shared" si="77"/>
        <v>5</v>
      </c>
      <c r="C1379" s="103" t="s">
        <v>153</v>
      </c>
      <c r="D1379" s="103" t="str">
        <f t="shared" si="76"/>
        <v>CFLscw-3way(21w)</v>
      </c>
      <c r="E1379" s="103" t="str">
        <f>IF(LEFT(D1379,3)="Std","Base case cost for mix of 60% Incandescent and 40% CFL lamps for CFL TechID: "&amp;INDEX('Measure &amp; Standard CostIDs'!$C$5:$C$177,A1379),"&lt;from TechID&gt;")</f>
        <v>&lt;from TechID&gt;</v>
      </c>
      <c r="F1379" s="103" t="s">
        <v>860</v>
      </c>
      <c r="G1379" s="103" t="s">
        <v>151</v>
      </c>
      <c r="H1379" s="103" t="s">
        <v>861</v>
      </c>
      <c r="I1379" s="103" t="s">
        <v>862</v>
      </c>
      <c r="J1379" s="103" t="s">
        <v>863</v>
      </c>
      <c r="K1379" s="103" t="s">
        <v>864</v>
      </c>
      <c r="L1379" s="103" t="s">
        <v>153</v>
      </c>
      <c r="M1379" s="103" t="s">
        <v>865</v>
      </c>
      <c r="N1379" s="103" t="s">
        <v>866</v>
      </c>
      <c r="O1379" s="103" t="str">
        <f t="shared" si="74"/>
        <v>CFLscw-3way(21w)</v>
      </c>
      <c r="P1379" s="103" t="s">
        <v>153</v>
      </c>
      <c r="Q1379" s="103" t="s">
        <v>153</v>
      </c>
      <c r="R1379" s="103" t="s">
        <v>153</v>
      </c>
      <c r="S1379" s="103" t="str">
        <f>INDEX('Measure &amp; Standard CostIDs'!$AK$8:$AK$12,B1379)</f>
        <v>Four+pack</v>
      </c>
      <c r="T1379" s="103" t="s">
        <v>867</v>
      </c>
      <c r="U1379" s="103"/>
      <c r="V1379" s="103"/>
      <c r="W1379" s="103">
        <f>ROUND(IF(LEFT(D1379,3)="Std",VLOOKUP(D1379,'Measure &amp; Standard CostIDs'!$S$5:$X$177,1+B1379,FALSE),VLOOKUP(D1379,'Measure &amp; Standard CostIDs'!$C$5:$H$177,1+B1379,FALSE)),2)</f>
        <v>9.19</v>
      </c>
      <c r="X1379" s="103"/>
      <c r="Y1379" s="103"/>
      <c r="Z1379" s="103" t="s">
        <v>868</v>
      </c>
      <c r="AA1379" s="103" t="s">
        <v>874</v>
      </c>
      <c r="AB1379" s="103" t="s">
        <v>153</v>
      </c>
      <c r="AC1379" s="103">
        <v>0</v>
      </c>
      <c r="AD1379" s="156">
        <v>42005</v>
      </c>
      <c r="AE1379" s="103"/>
      <c r="AF1379" s="103" t="s">
        <v>870</v>
      </c>
      <c r="AG1379" s="103" t="s">
        <v>871</v>
      </c>
      <c r="AH1379" s="103" t="s">
        <v>976</v>
      </c>
      <c r="AI1379" s="103">
        <v>0</v>
      </c>
      <c r="AJ1379" s="103"/>
      <c r="AK1379" s="103"/>
      <c r="AL1379" s="103"/>
      <c r="AM1379" s="103"/>
      <c r="AN1379" s="103"/>
      <c r="AO1379" s="103" t="str">
        <f t="shared" si="75"/>
        <v>CFLscw-3way(21w)Four+pack</v>
      </c>
    </row>
    <row r="1380" spans="1:41">
      <c r="A1380" s="177">
        <f>IFERROR(MATCH(D1380,'Measure &amp; Standard CostIDs'!C$5:C$177,0),MATCH(D1380,'Measure &amp; Standard CostIDs'!S$5:S$177,0))</f>
        <v>56</v>
      </c>
      <c r="B1380" s="177">
        <f t="shared" si="77"/>
        <v>5</v>
      </c>
      <c r="C1380" s="103" t="s">
        <v>153</v>
      </c>
      <c r="D1380" s="103" t="str">
        <f t="shared" si="76"/>
        <v>CFLscw-3way(22w)</v>
      </c>
      <c r="E1380" s="103" t="str">
        <f>IF(LEFT(D1380,3)="Std","Base case cost for mix of 60% Incandescent and 40% CFL lamps for CFL TechID: "&amp;INDEX('Measure &amp; Standard CostIDs'!$C$5:$C$177,A1380),"&lt;from TechID&gt;")</f>
        <v>&lt;from TechID&gt;</v>
      </c>
      <c r="F1380" s="103" t="s">
        <v>860</v>
      </c>
      <c r="G1380" s="103" t="s">
        <v>151</v>
      </c>
      <c r="H1380" s="103" t="s">
        <v>861</v>
      </c>
      <c r="I1380" s="103" t="s">
        <v>862</v>
      </c>
      <c r="J1380" s="103" t="s">
        <v>863</v>
      </c>
      <c r="K1380" s="103" t="s">
        <v>864</v>
      </c>
      <c r="L1380" s="103" t="s">
        <v>153</v>
      </c>
      <c r="M1380" s="103" t="s">
        <v>865</v>
      </c>
      <c r="N1380" s="103" t="s">
        <v>866</v>
      </c>
      <c r="O1380" s="103" t="str">
        <f t="shared" si="74"/>
        <v>CFLscw-3way(22w)</v>
      </c>
      <c r="P1380" s="103" t="s">
        <v>153</v>
      </c>
      <c r="Q1380" s="103" t="s">
        <v>153</v>
      </c>
      <c r="R1380" s="103" t="s">
        <v>153</v>
      </c>
      <c r="S1380" s="103" t="str">
        <f>INDEX('Measure &amp; Standard CostIDs'!$AK$8:$AK$12,B1380)</f>
        <v>Four+pack</v>
      </c>
      <c r="T1380" s="103" t="s">
        <v>867</v>
      </c>
      <c r="U1380" s="103"/>
      <c r="V1380" s="103"/>
      <c r="W1380" s="103">
        <f>ROUND(IF(LEFT(D1380,3)="Std",VLOOKUP(D1380,'Measure &amp; Standard CostIDs'!$S$5:$X$177,1+B1380,FALSE),VLOOKUP(D1380,'Measure &amp; Standard CostIDs'!$C$5:$H$177,1+B1380,FALSE)),2)</f>
        <v>9.26</v>
      </c>
      <c r="X1380" s="103"/>
      <c r="Y1380" s="103"/>
      <c r="Z1380" s="103" t="s">
        <v>868</v>
      </c>
      <c r="AA1380" s="103" t="s">
        <v>874</v>
      </c>
      <c r="AB1380" s="103" t="s">
        <v>153</v>
      </c>
      <c r="AC1380" s="103">
        <v>0</v>
      </c>
      <c r="AD1380" s="156">
        <v>42005</v>
      </c>
      <c r="AE1380" s="103"/>
      <c r="AF1380" s="103" t="s">
        <v>870</v>
      </c>
      <c r="AG1380" s="103" t="s">
        <v>871</v>
      </c>
      <c r="AH1380" s="103" t="s">
        <v>976</v>
      </c>
      <c r="AI1380" s="103">
        <v>0</v>
      </c>
      <c r="AJ1380" s="103"/>
      <c r="AK1380" s="103"/>
      <c r="AL1380" s="103"/>
      <c r="AM1380" s="103"/>
      <c r="AN1380" s="103"/>
      <c r="AO1380" s="103" t="str">
        <f t="shared" si="75"/>
        <v>CFLscw-3way(22w)Four+pack</v>
      </c>
    </row>
    <row r="1381" spans="1:41">
      <c r="A1381" s="177">
        <f>IFERROR(MATCH(D1381,'Measure &amp; Standard CostIDs'!C$5:C$177,0),MATCH(D1381,'Measure &amp; Standard CostIDs'!S$5:S$177,0))</f>
        <v>57</v>
      </c>
      <c r="B1381" s="177">
        <f t="shared" si="77"/>
        <v>5</v>
      </c>
      <c r="C1381" s="103" t="s">
        <v>153</v>
      </c>
      <c r="D1381" s="103" t="str">
        <f t="shared" si="76"/>
        <v>CFLscw-3way(23w)</v>
      </c>
      <c r="E1381" s="103" t="str">
        <f>IF(LEFT(D1381,3)="Std","Base case cost for mix of 60% Incandescent and 40% CFL lamps for CFL TechID: "&amp;INDEX('Measure &amp; Standard CostIDs'!$C$5:$C$177,A1381),"&lt;from TechID&gt;")</f>
        <v>&lt;from TechID&gt;</v>
      </c>
      <c r="F1381" s="103" t="s">
        <v>860</v>
      </c>
      <c r="G1381" s="103" t="s">
        <v>151</v>
      </c>
      <c r="H1381" s="103" t="s">
        <v>861</v>
      </c>
      <c r="I1381" s="103" t="s">
        <v>862</v>
      </c>
      <c r="J1381" s="103" t="s">
        <v>863</v>
      </c>
      <c r="K1381" s="103" t="s">
        <v>864</v>
      </c>
      <c r="L1381" s="103" t="s">
        <v>153</v>
      </c>
      <c r="M1381" s="103" t="s">
        <v>865</v>
      </c>
      <c r="N1381" s="103" t="s">
        <v>866</v>
      </c>
      <c r="O1381" s="103" t="str">
        <f t="shared" si="74"/>
        <v>CFLscw-3way(23w)</v>
      </c>
      <c r="P1381" s="103" t="s">
        <v>153</v>
      </c>
      <c r="Q1381" s="103" t="s">
        <v>153</v>
      </c>
      <c r="R1381" s="103" t="s">
        <v>153</v>
      </c>
      <c r="S1381" s="103" t="str">
        <f>INDEX('Measure &amp; Standard CostIDs'!$AK$8:$AK$12,B1381)</f>
        <v>Four+pack</v>
      </c>
      <c r="T1381" s="103" t="s">
        <v>867</v>
      </c>
      <c r="U1381" s="103"/>
      <c r="V1381" s="103"/>
      <c r="W1381" s="103">
        <f>ROUND(IF(LEFT(D1381,3)="Std",VLOOKUP(D1381,'Measure &amp; Standard CostIDs'!$S$5:$X$177,1+B1381,FALSE),VLOOKUP(D1381,'Measure &amp; Standard CostIDs'!$C$5:$H$177,1+B1381,FALSE)),2)</f>
        <v>9.32</v>
      </c>
      <c r="X1381" s="103"/>
      <c r="Y1381" s="103"/>
      <c r="Z1381" s="103" t="s">
        <v>868</v>
      </c>
      <c r="AA1381" s="103" t="s">
        <v>874</v>
      </c>
      <c r="AB1381" s="103" t="s">
        <v>153</v>
      </c>
      <c r="AC1381" s="103">
        <v>0</v>
      </c>
      <c r="AD1381" s="156">
        <v>42005</v>
      </c>
      <c r="AE1381" s="103"/>
      <c r="AF1381" s="103" t="s">
        <v>870</v>
      </c>
      <c r="AG1381" s="103" t="s">
        <v>871</v>
      </c>
      <c r="AH1381" s="103" t="s">
        <v>976</v>
      </c>
      <c r="AI1381" s="103">
        <v>0</v>
      </c>
      <c r="AJ1381" s="103"/>
      <c r="AK1381" s="103"/>
      <c r="AL1381" s="103"/>
      <c r="AM1381" s="103"/>
      <c r="AN1381" s="103"/>
      <c r="AO1381" s="103" t="str">
        <f t="shared" si="75"/>
        <v>CFLscw-3way(23w)Four+pack</v>
      </c>
    </row>
    <row r="1382" spans="1:41">
      <c r="A1382" s="177">
        <f>IFERROR(MATCH(D1382,'Measure &amp; Standard CostIDs'!C$5:C$177,0),MATCH(D1382,'Measure &amp; Standard CostIDs'!S$5:S$177,0))</f>
        <v>58</v>
      </c>
      <c r="B1382" s="177">
        <f t="shared" si="77"/>
        <v>5</v>
      </c>
      <c r="C1382" s="103" t="s">
        <v>153</v>
      </c>
      <c r="D1382" s="103" t="str">
        <f t="shared" si="76"/>
        <v>CFLscw-3way(24w)</v>
      </c>
      <c r="E1382" s="103" t="str">
        <f>IF(LEFT(D1382,3)="Std","Base case cost for mix of 60% Incandescent and 40% CFL lamps for CFL TechID: "&amp;INDEX('Measure &amp; Standard CostIDs'!$C$5:$C$177,A1382),"&lt;from TechID&gt;")</f>
        <v>&lt;from TechID&gt;</v>
      </c>
      <c r="F1382" s="103" t="s">
        <v>860</v>
      </c>
      <c r="G1382" s="103" t="s">
        <v>151</v>
      </c>
      <c r="H1382" s="103" t="s">
        <v>861</v>
      </c>
      <c r="I1382" s="103" t="s">
        <v>862</v>
      </c>
      <c r="J1382" s="103" t="s">
        <v>863</v>
      </c>
      <c r="K1382" s="103" t="s">
        <v>864</v>
      </c>
      <c r="L1382" s="103" t="s">
        <v>153</v>
      </c>
      <c r="M1382" s="103" t="s">
        <v>865</v>
      </c>
      <c r="N1382" s="103" t="s">
        <v>866</v>
      </c>
      <c r="O1382" s="103" t="str">
        <f t="shared" si="74"/>
        <v>CFLscw-3way(24w)</v>
      </c>
      <c r="P1382" s="103" t="s">
        <v>153</v>
      </c>
      <c r="Q1382" s="103" t="s">
        <v>153</v>
      </c>
      <c r="R1382" s="103" t="s">
        <v>153</v>
      </c>
      <c r="S1382" s="103" t="str">
        <f>INDEX('Measure &amp; Standard CostIDs'!$AK$8:$AK$12,B1382)</f>
        <v>Four+pack</v>
      </c>
      <c r="T1382" s="103" t="s">
        <v>867</v>
      </c>
      <c r="U1382" s="103"/>
      <c r="V1382" s="103"/>
      <c r="W1382" s="103">
        <f>ROUND(IF(LEFT(D1382,3)="Std",VLOOKUP(D1382,'Measure &amp; Standard CostIDs'!$S$5:$X$177,1+B1382,FALSE),VLOOKUP(D1382,'Measure &amp; Standard CostIDs'!$C$5:$H$177,1+B1382,FALSE)),2)</f>
        <v>9.39</v>
      </c>
      <c r="X1382" s="103"/>
      <c r="Y1382" s="103"/>
      <c r="Z1382" s="103" t="s">
        <v>868</v>
      </c>
      <c r="AA1382" s="103" t="s">
        <v>874</v>
      </c>
      <c r="AB1382" s="103" t="s">
        <v>153</v>
      </c>
      <c r="AC1382" s="103">
        <v>0</v>
      </c>
      <c r="AD1382" s="156">
        <v>42005</v>
      </c>
      <c r="AE1382" s="103"/>
      <c r="AF1382" s="103" t="s">
        <v>870</v>
      </c>
      <c r="AG1382" s="103" t="s">
        <v>871</v>
      </c>
      <c r="AH1382" s="103" t="s">
        <v>976</v>
      </c>
      <c r="AI1382" s="103">
        <v>0</v>
      </c>
      <c r="AJ1382" s="103"/>
      <c r="AK1382" s="103"/>
      <c r="AL1382" s="103"/>
      <c r="AM1382" s="103"/>
      <c r="AN1382" s="103"/>
      <c r="AO1382" s="103" t="str">
        <f t="shared" si="75"/>
        <v>CFLscw-3way(24w)Four+pack</v>
      </c>
    </row>
    <row r="1383" spans="1:41">
      <c r="A1383" s="177">
        <f>IFERROR(MATCH(D1383,'Measure &amp; Standard CostIDs'!C$5:C$177,0),MATCH(D1383,'Measure &amp; Standard CostIDs'!S$5:S$177,0))</f>
        <v>59</v>
      </c>
      <c r="B1383" s="177">
        <f t="shared" si="77"/>
        <v>5</v>
      </c>
      <c r="C1383" s="103" t="s">
        <v>153</v>
      </c>
      <c r="D1383" s="103" t="str">
        <f t="shared" si="76"/>
        <v>CFLscw-3way(25w)</v>
      </c>
      <c r="E1383" s="103" t="str">
        <f>IF(LEFT(D1383,3)="Std","Base case cost for mix of 60% Incandescent and 40% CFL lamps for CFL TechID: "&amp;INDEX('Measure &amp; Standard CostIDs'!$C$5:$C$177,A1383),"&lt;from TechID&gt;")</f>
        <v>&lt;from TechID&gt;</v>
      </c>
      <c r="F1383" s="103" t="s">
        <v>860</v>
      </c>
      <c r="G1383" s="103" t="s">
        <v>151</v>
      </c>
      <c r="H1383" s="103" t="s">
        <v>861</v>
      </c>
      <c r="I1383" s="103" t="s">
        <v>862</v>
      </c>
      <c r="J1383" s="103" t="s">
        <v>863</v>
      </c>
      <c r="K1383" s="103" t="s">
        <v>864</v>
      </c>
      <c r="L1383" s="103" t="s">
        <v>153</v>
      </c>
      <c r="M1383" s="103" t="s">
        <v>865</v>
      </c>
      <c r="N1383" s="103" t="s">
        <v>866</v>
      </c>
      <c r="O1383" s="103" t="str">
        <f t="shared" si="74"/>
        <v>CFLscw-3way(25w)</v>
      </c>
      <c r="P1383" s="103" t="s">
        <v>153</v>
      </c>
      <c r="Q1383" s="103" t="s">
        <v>153</v>
      </c>
      <c r="R1383" s="103" t="s">
        <v>153</v>
      </c>
      <c r="S1383" s="103" t="str">
        <f>INDEX('Measure &amp; Standard CostIDs'!$AK$8:$AK$12,B1383)</f>
        <v>Four+pack</v>
      </c>
      <c r="T1383" s="103" t="s">
        <v>867</v>
      </c>
      <c r="U1383" s="103"/>
      <c r="V1383" s="103"/>
      <c r="W1383" s="103">
        <f>ROUND(IF(LEFT(D1383,3)="Std",VLOOKUP(D1383,'Measure &amp; Standard CostIDs'!$S$5:$X$177,1+B1383,FALSE),VLOOKUP(D1383,'Measure &amp; Standard CostIDs'!$C$5:$H$177,1+B1383,FALSE)),2)</f>
        <v>9.4600000000000009</v>
      </c>
      <c r="X1383" s="103"/>
      <c r="Y1383" s="103"/>
      <c r="Z1383" s="103" t="s">
        <v>868</v>
      </c>
      <c r="AA1383" s="103" t="s">
        <v>874</v>
      </c>
      <c r="AB1383" s="103" t="s">
        <v>153</v>
      </c>
      <c r="AC1383" s="103">
        <v>0</v>
      </c>
      <c r="AD1383" s="156">
        <v>42005</v>
      </c>
      <c r="AE1383" s="103"/>
      <c r="AF1383" s="103" t="s">
        <v>870</v>
      </c>
      <c r="AG1383" s="103" t="s">
        <v>871</v>
      </c>
      <c r="AH1383" s="103" t="s">
        <v>976</v>
      </c>
      <c r="AI1383" s="103">
        <v>0</v>
      </c>
      <c r="AJ1383" s="103"/>
      <c r="AK1383" s="103"/>
      <c r="AL1383" s="103"/>
      <c r="AM1383" s="103"/>
      <c r="AN1383" s="103"/>
      <c r="AO1383" s="103" t="str">
        <f t="shared" si="75"/>
        <v>CFLscw-3way(25w)Four+pack</v>
      </c>
    </row>
    <row r="1384" spans="1:41">
      <c r="A1384" s="177">
        <f>IFERROR(MATCH(D1384,'Measure &amp; Standard CostIDs'!C$5:C$177,0),MATCH(D1384,'Measure &amp; Standard CostIDs'!S$5:S$177,0))</f>
        <v>60</v>
      </c>
      <c r="B1384" s="177">
        <f t="shared" si="77"/>
        <v>5</v>
      </c>
      <c r="C1384" s="103" t="s">
        <v>153</v>
      </c>
      <c r="D1384" s="103" t="str">
        <f t="shared" si="76"/>
        <v>CFLscw-3way(26w)</v>
      </c>
      <c r="E1384" s="103" t="str">
        <f>IF(LEFT(D1384,3)="Std","Base case cost for mix of 60% Incandescent and 40% CFL lamps for CFL TechID: "&amp;INDEX('Measure &amp; Standard CostIDs'!$C$5:$C$177,A1384),"&lt;from TechID&gt;")</f>
        <v>&lt;from TechID&gt;</v>
      </c>
      <c r="F1384" s="103" t="s">
        <v>860</v>
      </c>
      <c r="G1384" s="103" t="s">
        <v>151</v>
      </c>
      <c r="H1384" s="103" t="s">
        <v>861</v>
      </c>
      <c r="I1384" s="103" t="s">
        <v>862</v>
      </c>
      <c r="J1384" s="103" t="s">
        <v>863</v>
      </c>
      <c r="K1384" s="103" t="s">
        <v>864</v>
      </c>
      <c r="L1384" s="103" t="s">
        <v>153</v>
      </c>
      <c r="M1384" s="103" t="s">
        <v>865</v>
      </c>
      <c r="N1384" s="103" t="s">
        <v>866</v>
      </c>
      <c r="O1384" s="103" t="str">
        <f t="shared" si="74"/>
        <v>CFLscw-3way(26w)</v>
      </c>
      <c r="P1384" s="103" t="s">
        <v>153</v>
      </c>
      <c r="Q1384" s="103" t="s">
        <v>153</v>
      </c>
      <c r="R1384" s="103" t="s">
        <v>153</v>
      </c>
      <c r="S1384" s="103" t="str">
        <f>INDEX('Measure &amp; Standard CostIDs'!$AK$8:$AK$12,B1384)</f>
        <v>Four+pack</v>
      </c>
      <c r="T1384" s="103" t="s">
        <v>867</v>
      </c>
      <c r="U1384" s="103"/>
      <c r="V1384" s="103"/>
      <c r="W1384" s="103">
        <f>ROUND(IF(LEFT(D1384,3)="Std",VLOOKUP(D1384,'Measure &amp; Standard CostIDs'!$S$5:$X$177,1+B1384,FALSE),VLOOKUP(D1384,'Measure &amp; Standard CostIDs'!$C$5:$H$177,1+B1384,FALSE)),2)</f>
        <v>9.6199999999999992</v>
      </c>
      <c r="X1384" s="103"/>
      <c r="Y1384" s="103"/>
      <c r="Z1384" s="103" t="s">
        <v>868</v>
      </c>
      <c r="AA1384" s="103" t="s">
        <v>874</v>
      </c>
      <c r="AB1384" s="103" t="s">
        <v>153</v>
      </c>
      <c r="AC1384" s="103">
        <v>0</v>
      </c>
      <c r="AD1384" s="156">
        <v>42005</v>
      </c>
      <c r="AE1384" s="103"/>
      <c r="AF1384" s="103" t="s">
        <v>870</v>
      </c>
      <c r="AG1384" s="103" t="s">
        <v>871</v>
      </c>
      <c r="AH1384" s="103" t="s">
        <v>976</v>
      </c>
      <c r="AI1384" s="103">
        <v>0</v>
      </c>
      <c r="AJ1384" s="103"/>
      <c r="AK1384" s="103"/>
      <c r="AL1384" s="103"/>
      <c r="AM1384" s="103"/>
      <c r="AN1384" s="103"/>
      <c r="AO1384" s="103" t="str">
        <f t="shared" si="75"/>
        <v>CFLscw-3way(26w)Four+pack</v>
      </c>
    </row>
    <row r="1385" spans="1:41">
      <c r="A1385" s="177">
        <f>IFERROR(MATCH(D1385,'Measure &amp; Standard CostIDs'!C$5:C$177,0),MATCH(D1385,'Measure &amp; Standard CostIDs'!S$5:S$177,0))</f>
        <v>61</v>
      </c>
      <c r="B1385" s="177">
        <f t="shared" si="77"/>
        <v>5</v>
      </c>
      <c r="C1385" s="103" t="s">
        <v>153</v>
      </c>
      <c r="D1385" s="103" t="str">
        <f t="shared" si="76"/>
        <v>CFLscw-3way(27w)</v>
      </c>
      <c r="E1385" s="103" t="str">
        <f>IF(LEFT(D1385,3)="Std","Base case cost for mix of 60% Incandescent and 40% CFL lamps for CFL TechID: "&amp;INDEX('Measure &amp; Standard CostIDs'!$C$5:$C$177,A1385),"&lt;from TechID&gt;")</f>
        <v>&lt;from TechID&gt;</v>
      </c>
      <c r="F1385" s="103" t="s">
        <v>860</v>
      </c>
      <c r="G1385" s="103" t="s">
        <v>151</v>
      </c>
      <c r="H1385" s="103" t="s">
        <v>861</v>
      </c>
      <c r="I1385" s="103" t="s">
        <v>862</v>
      </c>
      <c r="J1385" s="103" t="s">
        <v>863</v>
      </c>
      <c r="K1385" s="103" t="s">
        <v>864</v>
      </c>
      <c r="L1385" s="103" t="s">
        <v>153</v>
      </c>
      <c r="M1385" s="103" t="s">
        <v>865</v>
      </c>
      <c r="N1385" s="103" t="s">
        <v>866</v>
      </c>
      <c r="O1385" s="103" t="str">
        <f t="shared" si="74"/>
        <v>CFLscw-3way(27w)</v>
      </c>
      <c r="P1385" s="103" t="s">
        <v>153</v>
      </c>
      <c r="Q1385" s="103" t="s">
        <v>153</v>
      </c>
      <c r="R1385" s="103" t="s">
        <v>153</v>
      </c>
      <c r="S1385" s="103" t="str">
        <f>INDEX('Measure &amp; Standard CostIDs'!$AK$8:$AK$12,B1385)</f>
        <v>Four+pack</v>
      </c>
      <c r="T1385" s="103" t="s">
        <v>867</v>
      </c>
      <c r="U1385" s="103"/>
      <c r="V1385" s="103"/>
      <c r="W1385" s="103">
        <f>ROUND(IF(LEFT(D1385,3)="Std",VLOOKUP(D1385,'Measure &amp; Standard CostIDs'!$S$5:$X$177,1+B1385,FALSE),VLOOKUP(D1385,'Measure &amp; Standard CostIDs'!$C$5:$H$177,1+B1385,FALSE)),2)</f>
        <v>9.7799999999999994</v>
      </c>
      <c r="X1385" s="103"/>
      <c r="Y1385" s="103"/>
      <c r="Z1385" s="103" t="s">
        <v>868</v>
      </c>
      <c r="AA1385" s="103" t="s">
        <v>874</v>
      </c>
      <c r="AB1385" s="103" t="s">
        <v>153</v>
      </c>
      <c r="AC1385" s="103">
        <v>0</v>
      </c>
      <c r="AD1385" s="156">
        <v>42005</v>
      </c>
      <c r="AE1385" s="103"/>
      <c r="AF1385" s="103" t="s">
        <v>870</v>
      </c>
      <c r="AG1385" s="103" t="s">
        <v>871</v>
      </c>
      <c r="AH1385" s="103" t="s">
        <v>976</v>
      </c>
      <c r="AI1385" s="103">
        <v>0</v>
      </c>
      <c r="AJ1385" s="103"/>
      <c r="AK1385" s="103"/>
      <c r="AL1385" s="103"/>
      <c r="AM1385" s="103"/>
      <c r="AN1385" s="103"/>
      <c r="AO1385" s="103" t="str">
        <f t="shared" si="75"/>
        <v>CFLscw-3way(27w)Four+pack</v>
      </c>
    </row>
    <row r="1386" spans="1:41">
      <c r="A1386" s="177">
        <f>IFERROR(MATCH(D1386,'Measure &amp; Standard CostIDs'!C$5:C$177,0),MATCH(D1386,'Measure &amp; Standard CostIDs'!S$5:S$177,0))</f>
        <v>62</v>
      </c>
      <c r="B1386" s="177">
        <f t="shared" si="77"/>
        <v>5</v>
      </c>
      <c r="C1386" s="103" t="s">
        <v>153</v>
      </c>
      <c r="D1386" s="103" t="str">
        <f t="shared" si="76"/>
        <v>CFLscw-3way(28w)</v>
      </c>
      <c r="E1386" s="103" t="str">
        <f>IF(LEFT(D1386,3)="Std","Base case cost for mix of 60% Incandescent and 40% CFL lamps for CFL TechID: "&amp;INDEX('Measure &amp; Standard CostIDs'!$C$5:$C$177,A1386),"&lt;from TechID&gt;")</f>
        <v>&lt;from TechID&gt;</v>
      </c>
      <c r="F1386" s="103" t="s">
        <v>860</v>
      </c>
      <c r="G1386" s="103" t="s">
        <v>151</v>
      </c>
      <c r="H1386" s="103" t="s">
        <v>861</v>
      </c>
      <c r="I1386" s="103" t="s">
        <v>862</v>
      </c>
      <c r="J1386" s="103" t="s">
        <v>863</v>
      </c>
      <c r="K1386" s="103" t="s">
        <v>864</v>
      </c>
      <c r="L1386" s="103" t="s">
        <v>153</v>
      </c>
      <c r="M1386" s="103" t="s">
        <v>865</v>
      </c>
      <c r="N1386" s="103" t="s">
        <v>866</v>
      </c>
      <c r="O1386" s="103" t="str">
        <f t="shared" si="74"/>
        <v>CFLscw-3way(28w)</v>
      </c>
      <c r="P1386" s="103" t="s">
        <v>153</v>
      </c>
      <c r="Q1386" s="103" t="s">
        <v>153</v>
      </c>
      <c r="R1386" s="103" t="s">
        <v>153</v>
      </c>
      <c r="S1386" s="103" t="str">
        <f>INDEX('Measure &amp; Standard CostIDs'!$AK$8:$AK$12,B1386)</f>
        <v>Four+pack</v>
      </c>
      <c r="T1386" s="103" t="s">
        <v>867</v>
      </c>
      <c r="U1386" s="103"/>
      <c r="V1386" s="103"/>
      <c r="W1386" s="103">
        <f>ROUND(IF(LEFT(D1386,3)="Std",VLOOKUP(D1386,'Measure &amp; Standard CostIDs'!$S$5:$X$177,1+B1386,FALSE),VLOOKUP(D1386,'Measure &amp; Standard CostIDs'!$C$5:$H$177,1+B1386,FALSE)),2)</f>
        <v>9.94</v>
      </c>
      <c r="X1386" s="103"/>
      <c r="Y1386" s="103"/>
      <c r="Z1386" s="103" t="s">
        <v>868</v>
      </c>
      <c r="AA1386" s="103" t="s">
        <v>874</v>
      </c>
      <c r="AB1386" s="103" t="s">
        <v>153</v>
      </c>
      <c r="AC1386" s="103">
        <v>0</v>
      </c>
      <c r="AD1386" s="156">
        <v>42005</v>
      </c>
      <c r="AE1386" s="103"/>
      <c r="AF1386" s="103" t="s">
        <v>870</v>
      </c>
      <c r="AG1386" s="103" t="s">
        <v>871</v>
      </c>
      <c r="AH1386" s="103" t="s">
        <v>976</v>
      </c>
      <c r="AI1386" s="103">
        <v>0</v>
      </c>
      <c r="AJ1386" s="103"/>
      <c r="AK1386" s="103"/>
      <c r="AL1386" s="103"/>
      <c r="AM1386" s="103"/>
      <c r="AN1386" s="103"/>
      <c r="AO1386" s="103" t="str">
        <f t="shared" si="75"/>
        <v>CFLscw-3way(28w)Four+pack</v>
      </c>
    </row>
    <row r="1387" spans="1:41">
      <c r="A1387" s="177">
        <f>IFERROR(MATCH(D1387,'Measure &amp; Standard CostIDs'!C$5:C$177,0),MATCH(D1387,'Measure &amp; Standard CostIDs'!S$5:S$177,0))</f>
        <v>63</v>
      </c>
      <c r="B1387" s="177">
        <f t="shared" si="77"/>
        <v>5</v>
      </c>
      <c r="C1387" s="103" t="s">
        <v>153</v>
      </c>
      <c r="D1387" s="103" t="str">
        <f t="shared" si="76"/>
        <v>CFLscw-3way(29w)</v>
      </c>
      <c r="E1387" s="103" t="str">
        <f>IF(LEFT(D1387,3)="Std","Base case cost for mix of 60% Incandescent and 40% CFL lamps for CFL TechID: "&amp;INDEX('Measure &amp; Standard CostIDs'!$C$5:$C$177,A1387),"&lt;from TechID&gt;")</f>
        <v>&lt;from TechID&gt;</v>
      </c>
      <c r="F1387" s="103" t="s">
        <v>860</v>
      </c>
      <c r="G1387" s="103" t="s">
        <v>151</v>
      </c>
      <c r="H1387" s="103" t="s">
        <v>861</v>
      </c>
      <c r="I1387" s="103" t="s">
        <v>862</v>
      </c>
      <c r="J1387" s="103" t="s">
        <v>863</v>
      </c>
      <c r="K1387" s="103" t="s">
        <v>864</v>
      </c>
      <c r="L1387" s="103" t="s">
        <v>153</v>
      </c>
      <c r="M1387" s="103" t="s">
        <v>865</v>
      </c>
      <c r="N1387" s="103" t="s">
        <v>866</v>
      </c>
      <c r="O1387" s="103" t="str">
        <f t="shared" si="74"/>
        <v>CFLscw-3way(29w)</v>
      </c>
      <c r="P1387" s="103" t="s">
        <v>153</v>
      </c>
      <c r="Q1387" s="103" t="s">
        <v>153</v>
      </c>
      <c r="R1387" s="103" t="s">
        <v>153</v>
      </c>
      <c r="S1387" s="103" t="str">
        <f>INDEX('Measure &amp; Standard CostIDs'!$AK$8:$AK$12,B1387)</f>
        <v>Four+pack</v>
      </c>
      <c r="T1387" s="103" t="s">
        <v>867</v>
      </c>
      <c r="U1387" s="103"/>
      <c r="V1387" s="103"/>
      <c r="W1387" s="103">
        <f>ROUND(IF(LEFT(D1387,3)="Std",VLOOKUP(D1387,'Measure &amp; Standard CostIDs'!$S$5:$X$177,1+B1387,FALSE),VLOOKUP(D1387,'Measure &amp; Standard CostIDs'!$C$5:$H$177,1+B1387,FALSE)),2)</f>
        <v>10.1</v>
      </c>
      <c r="X1387" s="103"/>
      <c r="Y1387" s="103"/>
      <c r="Z1387" s="103" t="s">
        <v>868</v>
      </c>
      <c r="AA1387" s="103" t="s">
        <v>874</v>
      </c>
      <c r="AB1387" s="103" t="s">
        <v>153</v>
      </c>
      <c r="AC1387" s="103">
        <v>0</v>
      </c>
      <c r="AD1387" s="156">
        <v>42005</v>
      </c>
      <c r="AE1387" s="103"/>
      <c r="AF1387" s="103" t="s">
        <v>870</v>
      </c>
      <c r="AG1387" s="103" t="s">
        <v>871</v>
      </c>
      <c r="AH1387" s="103" t="s">
        <v>976</v>
      </c>
      <c r="AI1387" s="103">
        <v>0</v>
      </c>
      <c r="AJ1387" s="103"/>
      <c r="AK1387" s="103"/>
      <c r="AL1387" s="103"/>
      <c r="AM1387" s="103"/>
      <c r="AN1387" s="103"/>
      <c r="AO1387" s="103" t="str">
        <f t="shared" si="75"/>
        <v>CFLscw-3way(29w)Four+pack</v>
      </c>
    </row>
    <row r="1388" spans="1:41">
      <c r="A1388" s="177">
        <f>IFERROR(MATCH(D1388,'Measure &amp; Standard CostIDs'!C$5:C$177,0),MATCH(D1388,'Measure &amp; Standard CostIDs'!S$5:S$177,0))</f>
        <v>64</v>
      </c>
      <c r="B1388" s="177">
        <f t="shared" si="77"/>
        <v>5</v>
      </c>
      <c r="C1388" s="103" t="s">
        <v>153</v>
      </c>
      <c r="D1388" s="103" t="str">
        <f t="shared" si="76"/>
        <v>CFLscw-3way(30w)</v>
      </c>
      <c r="E1388" s="103" t="str">
        <f>IF(LEFT(D1388,3)="Std","Base case cost for mix of 60% Incandescent and 40% CFL lamps for CFL TechID: "&amp;INDEX('Measure &amp; Standard CostIDs'!$C$5:$C$177,A1388),"&lt;from TechID&gt;")</f>
        <v>&lt;from TechID&gt;</v>
      </c>
      <c r="F1388" s="103" t="s">
        <v>860</v>
      </c>
      <c r="G1388" s="103" t="s">
        <v>151</v>
      </c>
      <c r="H1388" s="103" t="s">
        <v>861</v>
      </c>
      <c r="I1388" s="103" t="s">
        <v>862</v>
      </c>
      <c r="J1388" s="103" t="s">
        <v>863</v>
      </c>
      <c r="K1388" s="103" t="s">
        <v>864</v>
      </c>
      <c r="L1388" s="103" t="s">
        <v>153</v>
      </c>
      <c r="M1388" s="103" t="s">
        <v>865</v>
      </c>
      <c r="N1388" s="103" t="s">
        <v>866</v>
      </c>
      <c r="O1388" s="103" t="str">
        <f t="shared" si="74"/>
        <v>CFLscw-3way(30w)</v>
      </c>
      <c r="P1388" s="103" t="s">
        <v>153</v>
      </c>
      <c r="Q1388" s="103" t="s">
        <v>153</v>
      </c>
      <c r="R1388" s="103" t="s">
        <v>153</v>
      </c>
      <c r="S1388" s="103" t="str">
        <f>INDEX('Measure &amp; Standard CostIDs'!$AK$8:$AK$12,B1388)</f>
        <v>Four+pack</v>
      </c>
      <c r="T1388" s="103" t="s">
        <v>867</v>
      </c>
      <c r="U1388" s="103"/>
      <c r="V1388" s="103"/>
      <c r="W1388" s="103">
        <f>ROUND(IF(LEFT(D1388,3)="Std",VLOOKUP(D1388,'Measure &amp; Standard CostIDs'!$S$5:$X$177,1+B1388,FALSE),VLOOKUP(D1388,'Measure &amp; Standard CostIDs'!$C$5:$H$177,1+B1388,FALSE)),2)</f>
        <v>10.26</v>
      </c>
      <c r="X1388" s="103"/>
      <c r="Y1388" s="103"/>
      <c r="Z1388" s="103" t="s">
        <v>868</v>
      </c>
      <c r="AA1388" s="103" t="s">
        <v>874</v>
      </c>
      <c r="AB1388" s="103" t="s">
        <v>153</v>
      </c>
      <c r="AC1388" s="103">
        <v>0</v>
      </c>
      <c r="AD1388" s="156">
        <v>42005</v>
      </c>
      <c r="AE1388" s="103"/>
      <c r="AF1388" s="103" t="s">
        <v>870</v>
      </c>
      <c r="AG1388" s="103" t="s">
        <v>871</v>
      </c>
      <c r="AH1388" s="103" t="s">
        <v>976</v>
      </c>
      <c r="AI1388" s="103">
        <v>0</v>
      </c>
      <c r="AJ1388" s="103"/>
      <c r="AK1388" s="103"/>
      <c r="AL1388" s="103"/>
      <c r="AM1388" s="103"/>
      <c r="AN1388" s="103"/>
      <c r="AO1388" s="103" t="str">
        <f t="shared" si="75"/>
        <v>CFLscw-3way(30w)Four+pack</v>
      </c>
    </row>
    <row r="1389" spans="1:41">
      <c r="A1389" s="177">
        <f>IFERROR(MATCH(D1389,'Measure &amp; Standard CostIDs'!C$5:C$177,0),MATCH(D1389,'Measure &amp; Standard CostIDs'!S$5:S$177,0))</f>
        <v>65</v>
      </c>
      <c r="B1389" s="177">
        <f t="shared" si="77"/>
        <v>5</v>
      </c>
      <c r="C1389" s="103" t="s">
        <v>153</v>
      </c>
      <c r="D1389" s="103" t="str">
        <f t="shared" si="76"/>
        <v>CFLscw-3way(31w)</v>
      </c>
      <c r="E1389" s="103" t="str">
        <f>IF(LEFT(D1389,3)="Std","Base case cost for mix of 60% Incandescent and 40% CFL lamps for CFL TechID: "&amp;INDEX('Measure &amp; Standard CostIDs'!$C$5:$C$177,A1389),"&lt;from TechID&gt;")</f>
        <v>&lt;from TechID&gt;</v>
      </c>
      <c r="F1389" s="103" t="s">
        <v>860</v>
      </c>
      <c r="G1389" s="103" t="s">
        <v>151</v>
      </c>
      <c r="H1389" s="103" t="s">
        <v>861</v>
      </c>
      <c r="I1389" s="103" t="s">
        <v>862</v>
      </c>
      <c r="J1389" s="103" t="s">
        <v>863</v>
      </c>
      <c r="K1389" s="103" t="s">
        <v>864</v>
      </c>
      <c r="L1389" s="103" t="s">
        <v>153</v>
      </c>
      <c r="M1389" s="103" t="s">
        <v>865</v>
      </c>
      <c r="N1389" s="103" t="s">
        <v>866</v>
      </c>
      <c r="O1389" s="103" t="str">
        <f t="shared" ref="O1389:O1452" si="78">IF(LEFT(D1389,3)="Std","",D1389)</f>
        <v>CFLscw-3way(31w)</v>
      </c>
      <c r="P1389" s="103" t="s">
        <v>153</v>
      </c>
      <c r="Q1389" s="103" t="s">
        <v>153</v>
      </c>
      <c r="R1389" s="103" t="s">
        <v>153</v>
      </c>
      <c r="S1389" s="103" t="str">
        <f>INDEX('Measure &amp; Standard CostIDs'!$AK$8:$AK$12,B1389)</f>
        <v>Four+pack</v>
      </c>
      <c r="T1389" s="103" t="s">
        <v>867</v>
      </c>
      <c r="U1389" s="103"/>
      <c r="V1389" s="103"/>
      <c r="W1389" s="103">
        <f>ROUND(IF(LEFT(D1389,3)="Std",VLOOKUP(D1389,'Measure &amp; Standard CostIDs'!$S$5:$X$177,1+B1389,FALSE),VLOOKUP(D1389,'Measure &amp; Standard CostIDs'!$C$5:$H$177,1+B1389,FALSE)),2)</f>
        <v>10.42</v>
      </c>
      <c r="X1389" s="103"/>
      <c r="Y1389" s="103"/>
      <c r="Z1389" s="103" t="s">
        <v>868</v>
      </c>
      <c r="AA1389" s="103" t="s">
        <v>874</v>
      </c>
      <c r="AB1389" s="103" t="s">
        <v>153</v>
      </c>
      <c r="AC1389" s="103">
        <v>0</v>
      </c>
      <c r="AD1389" s="156">
        <v>42005</v>
      </c>
      <c r="AE1389" s="103"/>
      <c r="AF1389" s="103" t="s">
        <v>870</v>
      </c>
      <c r="AG1389" s="103" t="s">
        <v>871</v>
      </c>
      <c r="AH1389" s="103" t="s">
        <v>976</v>
      </c>
      <c r="AI1389" s="103">
        <v>0</v>
      </c>
      <c r="AJ1389" s="103"/>
      <c r="AK1389" s="103"/>
      <c r="AL1389" s="103"/>
      <c r="AM1389" s="103"/>
      <c r="AN1389" s="103"/>
      <c r="AO1389" s="103" t="str">
        <f t="shared" ref="AO1389:AO1452" si="79">D1389&amp;S1389</f>
        <v>CFLscw-3way(31w)Four+pack</v>
      </c>
    </row>
    <row r="1390" spans="1:41">
      <c r="A1390" s="177">
        <f>IFERROR(MATCH(D1390,'Measure &amp; Standard CostIDs'!C$5:C$177,0),MATCH(D1390,'Measure &amp; Standard CostIDs'!S$5:S$177,0))</f>
        <v>66</v>
      </c>
      <c r="B1390" s="177">
        <f t="shared" si="77"/>
        <v>5</v>
      </c>
      <c r="C1390" s="103" t="s">
        <v>153</v>
      </c>
      <c r="D1390" s="103" t="str">
        <f t="shared" si="76"/>
        <v>CFLscw-3way(32w)</v>
      </c>
      <c r="E1390" s="103" t="str">
        <f>IF(LEFT(D1390,3)="Std","Base case cost for mix of 60% Incandescent and 40% CFL lamps for CFL TechID: "&amp;INDEX('Measure &amp; Standard CostIDs'!$C$5:$C$177,A1390),"&lt;from TechID&gt;")</f>
        <v>&lt;from TechID&gt;</v>
      </c>
      <c r="F1390" s="103" t="s">
        <v>860</v>
      </c>
      <c r="G1390" s="103" t="s">
        <v>151</v>
      </c>
      <c r="H1390" s="103" t="s">
        <v>861</v>
      </c>
      <c r="I1390" s="103" t="s">
        <v>862</v>
      </c>
      <c r="J1390" s="103" t="s">
        <v>863</v>
      </c>
      <c r="K1390" s="103" t="s">
        <v>864</v>
      </c>
      <c r="L1390" s="103" t="s">
        <v>153</v>
      </c>
      <c r="M1390" s="103" t="s">
        <v>865</v>
      </c>
      <c r="N1390" s="103" t="s">
        <v>866</v>
      </c>
      <c r="O1390" s="103" t="str">
        <f t="shared" si="78"/>
        <v>CFLscw-3way(32w)</v>
      </c>
      <c r="P1390" s="103" t="s">
        <v>153</v>
      </c>
      <c r="Q1390" s="103" t="s">
        <v>153</v>
      </c>
      <c r="R1390" s="103" t="s">
        <v>153</v>
      </c>
      <c r="S1390" s="103" t="str">
        <f>INDEX('Measure &amp; Standard CostIDs'!$AK$8:$AK$12,B1390)</f>
        <v>Four+pack</v>
      </c>
      <c r="T1390" s="103" t="s">
        <v>867</v>
      </c>
      <c r="U1390" s="103"/>
      <c r="V1390" s="103"/>
      <c r="W1390" s="103">
        <f>ROUND(IF(LEFT(D1390,3)="Std",VLOOKUP(D1390,'Measure &amp; Standard CostIDs'!$S$5:$X$177,1+B1390,FALSE),VLOOKUP(D1390,'Measure &amp; Standard CostIDs'!$C$5:$H$177,1+B1390,FALSE)),2)</f>
        <v>10.58</v>
      </c>
      <c r="X1390" s="103"/>
      <c r="Y1390" s="103"/>
      <c r="Z1390" s="103" t="s">
        <v>868</v>
      </c>
      <c r="AA1390" s="103" t="s">
        <v>874</v>
      </c>
      <c r="AB1390" s="103" t="s">
        <v>153</v>
      </c>
      <c r="AC1390" s="103">
        <v>0</v>
      </c>
      <c r="AD1390" s="156">
        <v>42005</v>
      </c>
      <c r="AE1390" s="103"/>
      <c r="AF1390" s="103" t="s">
        <v>870</v>
      </c>
      <c r="AG1390" s="103" t="s">
        <v>871</v>
      </c>
      <c r="AH1390" s="103" t="s">
        <v>976</v>
      </c>
      <c r="AI1390" s="103">
        <v>0</v>
      </c>
      <c r="AJ1390" s="103"/>
      <c r="AK1390" s="103"/>
      <c r="AL1390" s="103"/>
      <c r="AM1390" s="103"/>
      <c r="AN1390" s="103"/>
      <c r="AO1390" s="103" t="str">
        <f t="shared" si="79"/>
        <v>CFLscw-3way(32w)Four+pack</v>
      </c>
    </row>
    <row r="1391" spans="1:41">
      <c r="A1391" s="177">
        <f>IFERROR(MATCH(D1391,'Measure &amp; Standard CostIDs'!C$5:C$177,0),MATCH(D1391,'Measure &amp; Standard CostIDs'!S$5:S$177,0))</f>
        <v>67</v>
      </c>
      <c r="B1391" s="177">
        <f t="shared" si="77"/>
        <v>5</v>
      </c>
      <c r="C1391" s="103" t="s">
        <v>153</v>
      </c>
      <c r="D1391" s="103" t="str">
        <f t="shared" si="76"/>
        <v>CFLscw-3way(33w)</v>
      </c>
      <c r="E1391" s="103" t="str">
        <f>IF(LEFT(D1391,3)="Std","Base case cost for mix of 60% Incandescent and 40% CFL lamps for CFL TechID: "&amp;INDEX('Measure &amp; Standard CostIDs'!$C$5:$C$177,A1391),"&lt;from TechID&gt;")</f>
        <v>&lt;from TechID&gt;</v>
      </c>
      <c r="F1391" s="103" t="s">
        <v>860</v>
      </c>
      <c r="G1391" s="103" t="s">
        <v>151</v>
      </c>
      <c r="H1391" s="103" t="s">
        <v>861</v>
      </c>
      <c r="I1391" s="103" t="s">
        <v>862</v>
      </c>
      <c r="J1391" s="103" t="s">
        <v>863</v>
      </c>
      <c r="K1391" s="103" t="s">
        <v>864</v>
      </c>
      <c r="L1391" s="103" t="s">
        <v>153</v>
      </c>
      <c r="M1391" s="103" t="s">
        <v>865</v>
      </c>
      <c r="N1391" s="103" t="s">
        <v>866</v>
      </c>
      <c r="O1391" s="103" t="str">
        <f t="shared" si="78"/>
        <v>CFLscw-3way(33w)</v>
      </c>
      <c r="P1391" s="103" t="s">
        <v>153</v>
      </c>
      <c r="Q1391" s="103" t="s">
        <v>153</v>
      </c>
      <c r="R1391" s="103" t="s">
        <v>153</v>
      </c>
      <c r="S1391" s="103" t="str">
        <f>INDEX('Measure &amp; Standard CostIDs'!$AK$8:$AK$12,B1391)</f>
        <v>Four+pack</v>
      </c>
      <c r="T1391" s="103" t="s">
        <v>867</v>
      </c>
      <c r="U1391" s="103"/>
      <c r="V1391" s="103"/>
      <c r="W1391" s="103">
        <f>ROUND(IF(LEFT(D1391,3)="Std",VLOOKUP(D1391,'Measure &amp; Standard CostIDs'!$S$5:$X$177,1+B1391,FALSE),VLOOKUP(D1391,'Measure &amp; Standard CostIDs'!$C$5:$H$177,1+B1391,FALSE)),2)</f>
        <v>10.74</v>
      </c>
      <c r="X1391" s="103"/>
      <c r="Y1391" s="103"/>
      <c r="Z1391" s="103" t="s">
        <v>868</v>
      </c>
      <c r="AA1391" s="103" t="s">
        <v>874</v>
      </c>
      <c r="AB1391" s="103" t="s">
        <v>153</v>
      </c>
      <c r="AC1391" s="103">
        <v>0</v>
      </c>
      <c r="AD1391" s="156">
        <v>42005</v>
      </c>
      <c r="AE1391" s="103"/>
      <c r="AF1391" s="103" t="s">
        <v>870</v>
      </c>
      <c r="AG1391" s="103" t="s">
        <v>871</v>
      </c>
      <c r="AH1391" s="103" t="s">
        <v>976</v>
      </c>
      <c r="AI1391" s="103">
        <v>0</v>
      </c>
      <c r="AJ1391" s="103"/>
      <c r="AK1391" s="103"/>
      <c r="AL1391" s="103"/>
      <c r="AM1391" s="103"/>
      <c r="AN1391" s="103"/>
      <c r="AO1391" s="103" t="str">
        <f t="shared" si="79"/>
        <v>CFLscw-3way(33w)Four+pack</v>
      </c>
    </row>
    <row r="1392" spans="1:41">
      <c r="A1392" s="177">
        <f>IFERROR(MATCH(D1392,'Measure &amp; Standard CostIDs'!C$5:C$177,0),MATCH(D1392,'Measure &amp; Standard CostIDs'!S$5:S$177,0))</f>
        <v>68</v>
      </c>
      <c r="B1392" s="177">
        <f t="shared" si="77"/>
        <v>5</v>
      </c>
      <c r="C1392" s="103" t="s">
        <v>153</v>
      </c>
      <c r="D1392" s="103" t="str">
        <f t="shared" si="76"/>
        <v>CFLscw-3way(40w)</v>
      </c>
      <c r="E1392" s="103" t="str">
        <f>IF(LEFT(D1392,3)="Std","Base case cost for mix of 60% Incandescent and 40% CFL lamps for CFL TechID: "&amp;INDEX('Measure &amp; Standard CostIDs'!$C$5:$C$177,A1392),"&lt;from TechID&gt;")</f>
        <v>&lt;from TechID&gt;</v>
      </c>
      <c r="F1392" s="103" t="s">
        <v>860</v>
      </c>
      <c r="G1392" s="103" t="s">
        <v>151</v>
      </c>
      <c r="H1392" s="103" t="s">
        <v>861</v>
      </c>
      <c r="I1392" s="103" t="s">
        <v>862</v>
      </c>
      <c r="J1392" s="103" t="s">
        <v>863</v>
      </c>
      <c r="K1392" s="103" t="s">
        <v>864</v>
      </c>
      <c r="L1392" s="103" t="s">
        <v>153</v>
      </c>
      <c r="M1392" s="103" t="s">
        <v>865</v>
      </c>
      <c r="N1392" s="103" t="s">
        <v>866</v>
      </c>
      <c r="O1392" s="103" t="str">
        <f t="shared" si="78"/>
        <v>CFLscw-3way(40w)</v>
      </c>
      <c r="P1392" s="103" t="s">
        <v>153</v>
      </c>
      <c r="Q1392" s="103" t="s">
        <v>153</v>
      </c>
      <c r="R1392" s="103" t="s">
        <v>153</v>
      </c>
      <c r="S1392" s="103" t="str">
        <f>INDEX('Measure &amp; Standard CostIDs'!$AK$8:$AK$12,B1392)</f>
        <v>Four+pack</v>
      </c>
      <c r="T1392" s="103" t="s">
        <v>867</v>
      </c>
      <c r="U1392" s="103"/>
      <c r="V1392" s="103"/>
      <c r="W1392" s="103">
        <f>ROUND(IF(LEFT(D1392,3)="Std",VLOOKUP(D1392,'Measure &amp; Standard CostIDs'!$S$5:$X$177,1+B1392,FALSE),VLOOKUP(D1392,'Measure &amp; Standard CostIDs'!$C$5:$H$177,1+B1392,FALSE)),2)</f>
        <v>11.86</v>
      </c>
      <c r="X1392" s="103"/>
      <c r="Y1392" s="103"/>
      <c r="Z1392" s="103" t="s">
        <v>868</v>
      </c>
      <c r="AA1392" s="103" t="s">
        <v>874</v>
      </c>
      <c r="AB1392" s="103" t="s">
        <v>153</v>
      </c>
      <c r="AC1392" s="103">
        <v>0</v>
      </c>
      <c r="AD1392" s="156">
        <v>42005</v>
      </c>
      <c r="AE1392" s="103"/>
      <c r="AF1392" s="103" t="s">
        <v>870</v>
      </c>
      <c r="AG1392" s="103" t="s">
        <v>871</v>
      </c>
      <c r="AH1392" s="103" t="s">
        <v>976</v>
      </c>
      <c r="AI1392" s="103">
        <v>0</v>
      </c>
      <c r="AJ1392" s="103"/>
      <c r="AK1392" s="103"/>
      <c r="AL1392" s="103"/>
      <c r="AM1392" s="103"/>
      <c r="AN1392" s="103"/>
      <c r="AO1392" s="103" t="str">
        <f t="shared" si="79"/>
        <v>CFLscw-3way(40w)Four+pack</v>
      </c>
    </row>
    <row r="1393" spans="1:41">
      <c r="A1393" s="177">
        <f>IFERROR(MATCH(D1393,'Measure &amp; Standard CostIDs'!C$5:C$177,0),MATCH(D1393,'Measure &amp; Standard CostIDs'!S$5:S$177,0))</f>
        <v>69</v>
      </c>
      <c r="B1393" s="177">
        <f t="shared" si="77"/>
        <v>5</v>
      </c>
      <c r="C1393" s="103" t="s">
        <v>153</v>
      </c>
      <c r="D1393" s="103" t="str">
        <f t="shared" si="76"/>
        <v>CFLscw-3way(42w)</v>
      </c>
      <c r="E1393" s="103" t="str">
        <f>IF(LEFT(D1393,3)="Std","Base case cost for mix of 60% Incandescent and 40% CFL lamps for CFL TechID: "&amp;INDEX('Measure &amp; Standard CostIDs'!$C$5:$C$177,A1393),"&lt;from TechID&gt;")</f>
        <v>&lt;from TechID&gt;</v>
      </c>
      <c r="F1393" s="103" t="s">
        <v>860</v>
      </c>
      <c r="G1393" s="103" t="s">
        <v>151</v>
      </c>
      <c r="H1393" s="103" t="s">
        <v>861</v>
      </c>
      <c r="I1393" s="103" t="s">
        <v>862</v>
      </c>
      <c r="J1393" s="103" t="s">
        <v>863</v>
      </c>
      <c r="K1393" s="103" t="s">
        <v>864</v>
      </c>
      <c r="L1393" s="103" t="s">
        <v>153</v>
      </c>
      <c r="M1393" s="103" t="s">
        <v>865</v>
      </c>
      <c r="N1393" s="103" t="s">
        <v>866</v>
      </c>
      <c r="O1393" s="103" t="str">
        <f t="shared" si="78"/>
        <v>CFLscw-3way(42w)</v>
      </c>
      <c r="P1393" s="103" t="s">
        <v>153</v>
      </c>
      <c r="Q1393" s="103" t="s">
        <v>153</v>
      </c>
      <c r="R1393" s="103" t="s">
        <v>153</v>
      </c>
      <c r="S1393" s="103" t="str">
        <f>INDEX('Measure &amp; Standard CostIDs'!$AK$8:$AK$12,B1393)</f>
        <v>Four+pack</v>
      </c>
      <c r="T1393" s="103" t="s">
        <v>867</v>
      </c>
      <c r="U1393" s="103"/>
      <c r="V1393" s="103"/>
      <c r="W1393" s="103">
        <f>ROUND(IF(LEFT(D1393,3)="Std",VLOOKUP(D1393,'Measure &amp; Standard CostIDs'!$S$5:$X$177,1+B1393,FALSE),VLOOKUP(D1393,'Measure &amp; Standard CostIDs'!$C$5:$H$177,1+B1393,FALSE)),2)</f>
        <v>12.18</v>
      </c>
      <c r="X1393" s="103"/>
      <c r="Y1393" s="103"/>
      <c r="Z1393" s="103" t="s">
        <v>868</v>
      </c>
      <c r="AA1393" s="103" t="s">
        <v>874</v>
      </c>
      <c r="AB1393" s="103" t="s">
        <v>153</v>
      </c>
      <c r="AC1393" s="103">
        <v>0</v>
      </c>
      <c r="AD1393" s="156">
        <v>42005</v>
      </c>
      <c r="AE1393" s="103"/>
      <c r="AF1393" s="103" t="s">
        <v>870</v>
      </c>
      <c r="AG1393" s="103" t="s">
        <v>871</v>
      </c>
      <c r="AH1393" s="103" t="s">
        <v>976</v>
      </c>
      <c r="AI1393" s="103">
        <v>0</v>
      </c>
      <c r="AJ1393" s="103"/>
      <c r="AK1393" s="103"/>
      <c r="AL1393" s="103"/>
      <c r="AM1393" s="103"/>
      <c r="AN1393" s="103"/>
      <c r="AO1393" s="103" t="str">
        <f t="shared" si="79"/>
        <v>CFLscw-3way(42w)Four+pack</v>
      </c>
    </row>
    <row r="1394" spans="1:41">
      <c r="A1394" s="177">
        <f>IFERROR(MATCH(D1394,'Measure &amp; Standard CostIDs'!C$5:C$177,0),MATCH(D1394,'Measure &amp; Standard CostIDs'!S$5:S$177,0))</f>
        <v>70</v>
      </c>
      <c r="B1394" s="177">
        <f t="shared" si="77"/>
        <v>5</v>
      </c>
      <c r="C1394" s="103" t="s">
        <v>153</v>
      </c>
      <c r="D1394" s="103" t="str">
        <f t="shared" si="76"/>
        <v>CFLscw-A(10w)</v>
      </c>
      <c r="E1394" s="103" t="str">
        <f>IF(LEFT(D1394,3)="Std","Base case cost for mix of 60% Incandescent and 40% CFL lamps for CFL TechID: "&amp;INDEX('Measure &amp; Standard CostIDs'!$C$5:$C$177,A1394),"&lt;from TechID&gt;")</f>
        <v>&lt;from TechID&gt;</v>
      </c>
      <c r="F1394" s="103" t="s">
        <v>860</v>
      </c>
      <c r="G1394" s="103" t="s">
        <v>151</v>
      </c>
      <c r="H1394" s="103" t="s">
        <v>861</v>
      </c>
      <c r="I1394" s="103" t="s">
        <v>862</v>
      </c>
      <c r="J1394" s="103" t="s">
        <v>863</v>
      </c>
      <c r="K1394" s="103" t="s">
        <v>864</v>
      </c>
      <c r="L1394" s="103" t="s">
        <v>153</v>
      </c>
      <c r="M1394" s="103" t="s">
        <v>865</v>
      </c>
      <c r="N1394" s="103" t="s">
        <v>866</v>
      </c>
      <c r="O1394" s="103" t="str">
        <f t="shared" si="78"/>
        <v>CFLscw-A(10w)</v>
      </c>
      <c r="P1394" s="103" t="s">
        <v>153</v>
      </c>
      <c r="Q1394" s="103" t="s">
        <v>153</v>
      </c>
      <c r="R1394" s="103" t="s">
        <v>153</v>
      </c>
      <c r="S1394" s="103" t="str">
        <f>INDEX('Measure &amp; Standard CostIDs'!$AK$8:$AK$12,B1394)</f>
        <v>Four+pack</v>
      </c>
      <c r="T1394" s="103" t="s">
        <v>867</v>
      </c>
      <c r="U1394" s="103"/>
      <c r="V1394" s="103"/>
      <c r="W1394" s="103">
        <f>ROUND(IF(LEFT(D1394,3)="Std",VLOOKUP(D1394,'Measure &amp; Standard CostIDs'!$S$5:$X$177,1+B1394,FALSE),VLOOKUP(D1394,'Measure &amp; Standard CostIDs'!$C$5:$H$177,1+B1394,FALSE)),2)</f>
        <v>3.55</v>
      </c>
      <c r="X1394" s="103"/>
      <c r="Y1394" s="103"/>
      <c r="Z1394" s="103" t="s">
        <v>868</v>
      </c>
      <c r="AA1394" s="103" t="s">
        <v>874</v>
      </c>
      <c r="AB1394" s="103" t="s">
        <v>153</v>
      </c>
      <c r="AC1394" s="103">
        <v>0</v>
      </c>
      <c r="AD1394" s="156">
        <v>42005</v>
      </c>
      <c r="AE1394" s="103"/>
      <c r="AF1394" s="103" t="s">
        <v>870</v>
      </c>
      <c r="AG1394" s="103" t="s">
        <v>871</v>
      </c>
      <c r="AH1394" s="103" t="s">
        <v>976</v>
      </c>
      <c r="AI1394" s="103">
        <v>0</v>
      </c>
      <c r="AJ1394" s="103"/>
      <c r="AK1394" s="103"/>
      <c r="AL1394" s="103"/>
      <c r="AM1394" s="103"/>
      <c r="AN1394" s="103"/>
      <c r="AO1394" s="103" t="str">
        <f t="shared" si="79"/>
        <v>CFLscw-A(10w)Four+pack</v>
      </c>
    </row>
    <row r="1395" spans="1:41">
      <c r="A1395" s="177">
        <f>IFERROR(MATCH(D1395,'Measure &amp; Standard CostIDs'!C$5:C$177,0),MATCH(D1395,'Measure &amp; Standard CostIDs'!S$5:S$177,0))</f>
        <v>71</v>
      </c>
      <c r="B1395" s="177">
        <f t="shared" si="77"/>
        <v>5</v>
      </c>
      <c r="C1395" s="103" t="s">
        <v>153</v>
      </c>
      <c r="D1395" s="103" t="str">
        <f t="shared" si="76"/>
        <v>CFLscw-A(11w)</v>
      </c>
      <c r="E1395" s="103" t="str">
        <f>IF(LEFT(D1395,3)="Std","Base case cost for mix of 60% Incandescent and 40% CFL lamps for CFL TechID: "&amp;INDEX('Measure &amp; Standard CostIDs'!$C$5:$C$177,A1395),"&lt;from TechID&gt;")</f>
        <v>&lt;from TechID&gt;</v>
      </c>
      <c r="F1395" s="103" t="s">
        <v>860</v>
      </c>
      <c r="G1395" s="103" t="s">
        <v>151</v>
      </c>
      <c r="H1395" s="103" t="s">
        <v>861</v>
      </c>
      <c r="I1395" s="103" t="s">
        <v>862</v>
      </c>
      <c r="J1395" s="103" t="s">
        <v>863</v>
      </c>
      <c r="K1395" s="103" t="s">
        <v>864</v>
      </c>
      <c r="L1395" s="103" t="s">
        <v>153</v>
      </c>
      <c r="M1395" s="103" t="s">
        <v>865</v>
      </c>
      <c r="N1395" s="103" t="s">
        <v>866</v>
      </c>
      <c r="O1395" s="103" t="str">
        <f t="shared" si="78"/>
        <v>CFLscw-A(11w)</v>
      </c>
      <c r="P1395" s="103" t="s">
        <v>153</v>
      </c>
      <c r="Q1395" s="103" t="s">
        <v>153</v>
      </c>
      <c r="R1395" s="103" t="s">
        <v>153</v>
      </c>
      <c r="S1395" s="103" t="str">
        <f>INDEX('Measure &amp; Standard CostIDs'!$AK$8:$AK$12,B1395)</f>
        <v>Four+pack</v>
      </c>
      <c r="T1395" s="103" t="s">
        <v>867</v>
      </c>
      <c r="U1395" s="103"/>
      <c r="V1395" s="103"/>
      <c r="W1395" s="103">
        <f>ROUND(IF(LEFT(D1395,3)="Std",VLOOKUP(D1395,'Measure &amp; Standard CostIDs'!$S$5:$X$177,1+B1395,FALSE),VLOOKUP(D1395,'Measure &amp; Standard CostIDs'!$C$5:$H$177,1+B1395,FALSE)),2)</f>
        <v>3.61</v>
      </c>
      <c r="X1395" s="103"/>
      <c r="Y1395" s="103"/>
      <c r="Z1395" s="103" t="s">
        <v>868</v>
      </c>
      <c r="AA1395" s="103" t="s">
        <v>874</v>
      </c>
      <c r="AB1395" s="103" t="s">
        <v>153</v>
      </c>
      <c r="AC1395" s="103">
        <v>0</v>
      </c>
      <c r="AD1395" s="156">
        <v>42005</v>
      </c>
      <c r="AE1395" s="103"/>
      <c r="AF1395" s="103" t="s">
        <v>870</v>
      </c>
      <c r="AG1395" s="103" t="s">
        <v>871</v>
      </c>
      <c r="AH1395" s="103" t="s">
        <v>976</v>
      </c>
      <c r="AI1395" s="103">
        <v>0</v>
      </c>
      <c r="AJ1395" s="103"/>
      <c r="AK1395" s="103"/>
      <c r="AL1395" s="103"/>
      <c r="AM1395" s="103"/>
      <c r="AN1395" s="103"/>
      <c r="AO1395" s="103" t="str">
        <f t="shared" si="79"/>
        <v>CFLscw-A(11w)Four+pack</v>
      </c>
    </row>
    <row r="1396" spans="1:41">
      <c r="A1396" s="177">
        <f>IFERROR(MATCH(D1396,'Measure &amp; Standard CostIDs'!C$5:C$177,0),MATCH(D1396,'Measure &amp; Standard CostIDs'!S$5:S$177,0))</f>
        <v>72</v>
      </c>
      <c r="B1396" s="177">
        <f t="shared" si="77"/>
        <v>5</v>
      </c>
      <c r="C1396" s="103" t="s">
        <v>153</v>
      </c>
      <c r="D1396" s="103" t="str">
        <f t="shared" si="76"/>
        <v>CFLscw-A(12w)</v>
      </c>
      <c r="E1396" s="103" t="str">
        <f>IF(LEFT(D1396,3)="Std","Base case cost for mix of 60% Incandescent and 40% CFL lamps for CFL TechID: "&amp;INDEX('Measure &amp; Standard CostIDs'!$C$5:$C$177,A1396),"&lt;from TechID&gt;")</f>
        <v>&lt;from TechID&gt;</v>
      </c>
      <c r="F1396" s="103" t="s">
        <v>860</v>
      </c>
      <c r="G1396" s="103" t="s">
        <v>151</v>
      </c>
      <c r="H1396" s="103" t="s">
        <v>861</v>
      </c>
      <c r="I1396" s="103" t="s">
        <v>862</v>
      </c>
      <c r="J1396" s="103" t="s">
        <v>863</v>
      </c>
      <c r="K1396" s="103" t="s">
        <v>864</v>
      </c>
      <c r="L1396" s="103" t="s">
        <v>153</v>
      </c>
      <c r="M1396" s="103" t="s">
        <v>865</v>
      </c>
      <c r="N1396" s="103" t="s">
        <v>866</v>
      </c>
      <c r="O1396" s="103" t="str">
        <f t="shared" si="78"/>
        <v>CFLscw-A(12w)</v>
      </c>
      <c r="P1396" s="103" t="s">
        <v>153</v>
      </c>
      <c r="Q1396" s="103" t="s">
        <v>153</v>
      </c>
      <c r="R1396" s="103" t="s">
        <v>153</v>
      </c>
      <c r="S1396" s="103" t="str">
        <f>INDEX('Measure &amp; Standard CostIDs'!$AK$8:$AK$12,B1396)</f>
        <v>Four+pack</v>
      </c>
      <c r="T1396" s="103" t="s">
        <v>867</v>
      </c>
      <c r="U1396" s="103"/>
      <c r="V1396" s="103"/>
      <c r="W1396" s="103">
        <f>ROUND(IF(LEFT(D1396,3)="Std",VLOOKUP(D1396,'Measure &amp; Standard CostIDs'!$S$5:$X$177,1+B1396,FALSE),VLOOKUP(D1396,'Measure &amp; Standard CostIDs'!$C$5:$H$177,1+B1396,FALSE)),2)</f>
        <v>3.68</v>
      </c>
      <c r="X1396" s="103"/>
      <c r="Y1396" s="103"/>
      <c r="Z1396" s="103" t="s">
        <v>868</v>
      </c>
      <c r="AA1396" s="103" t="s">
        <v>874</v>
      </c>
      <c r="AB1396" s="103" t="s">
        <v>153</v>
      </c>
      <c r="AC1396" s="103">
        <v>0</v>
      </c>
      <c r="AD1396" s="156">
        <v>42005</v>
      </c>
      <c r="AE1396" s="103"/>
      <c r="AF1396" s="103" t="s">
        <v>870</v>
      </c>
      <c r="AG1396" s="103" t="s">
        <v>871</v>
      </c>
      <c r="AH1396" s="103" t="s">
        <v>976</v>
      </c>
      <c r="AI1396" s="103">
        <v>0</v>
      </c>
      <c r="AJ1396" s="103"/>
      <c r="AK1396" s="103"/>
      <c r="AL1396" s="103"/>
      <c r="AM1396" s="103"/>
      <c r="AN1396" s="103"/>
      <c r="AO1396" s="103" t="str">
        <f t="shared" si="79"/>
        <v>CFLscw-A(12w)Four+pack</v>
      </c>
    </row>
    <row r="1397" spans="1:41">
      <c r="A1397" s="177">
        <f>IFERROR(MATCH(D1397,'Measure &amp; Standard CostIDs'!C$5:C$177,0),MATCH(D1397,'Measure &amp; Standard CostIDs'!S$5:S$177,0))</f>
        <v>73</v>
      </c>
      <c r="B1397" s="177">
        <f t="shared" si="77"/>
        <v>5</v>
      </c>
      <c r="C1397" s="103" t="s">
        <v>153</v>
      </c>
      <c r="D1397" s="103" t="str">
        <f t="shared" si="76"/>
        <v>CFLscw-A(13w)</v>
      </c>
      <c r="E1397" s="103" t="str">
        <f>IF(LEFT(D1397,3)="Std","Base case cost for mix of 60% Incandescent and 40% CFL lamps for CFL TechID: "&amp;INDEX('Measure &amp; Standard CostIDs'!$C$5:$C$177,A1397),"&lt;from TechID&gt;")</f>
        <v>&lt;from TechID&gt;</v>
      </c>
      <c r="F1397" s="103" t="s">
        <v>860</v>
      </c>
      <c r="G1397" s="103" t="s">
        <v>151</v>
      </c>
      <c r="H1397" s="103" t="s">
        <v>861</v>
      </c>
      <c r="I1397" s="103" t="s">
        <v>862</v>
      </c>
      <c r="J1397" s="103" t="s">
        <v>863</v>
      </c>
      <c r="K1397" s="103" t="s">
        <v>864</v>
      </c>
      <c r="L1397" s="103" t="s">
        <v>153</v>
      </c>
      <c r="M1397" s="103" t="s">
        <v>865</v>
      </c>
      <c r="N1397" s="103" t="s">
        <v>866</v>
      </c>
      <c r="O1397" s="103" t="str">
        <f t="shared" si="78"/>
        <v>CFLscw-A(13w)</v>
      </c>
      <c r="P1397" s="103" t="s">
        <v>153</v>
      </c>
      <c r="Q1397" s="103" t="s">
        <v>153</v>
      </c>
      <c r="R1397" s="103" t="s">
        <v>153</v>
      </c>
      <c r="S1397" s="103" t="str">
        <f>INDEX('Measure &amp; Standard CostIDs'!$AK$8:$AK$12,B1397)</f>
        <v>Four+pack</v>
      </c>
      <c r="T1397" s="103" t="s">
        <v>867</v>
      </c>
      <c r="U1397" s="103"/>
      <c r="V1397" s="103"/>
      <c r="W1397" s="103">
        <f>ROUND(IF(LEFT(D1397,3)="Std",VLOOKUP(D1397,'Measure &amp; Standard CostIDs'!$S$5:$X$177,1+B1397,FALSE),VLOOKUP(D1397,'Measure &amp; Standard CostIDs'!$C$5:$H$177,1+B1397,FALSE)),2)</f>
        <v>3.75</v>
      </c>
      <c r="X1397" s="103"/>
      <c r="Y1397" s="103"/>
      <c r="Z1397" s="103" t="s">
        <v>868</v>
      </c>
      <c r="AA1397" s="103" t="s">
        <v>874</v>
      </c>
      <c r="AB1397" s="103" t="s">
        <v>153</v>
      </c>
      <c r="AC1397" s="103">
        <v>0</v>
      </c>
      <c r="AD1397" s="156">
        <v>42005</v>
      </c>
      <c r="AE1397" s="103"/>
      <c r="AF1397" s="103" t="s">
        <v>870</v>
      </c>
      <c r="AG1397" s="103" t="s">
        <v>871</v>
      </c>
      <c r="AH1397" s="103" t="s">
        <v>976</v>
      </c>
      <c r="AI1397" s="103">
        <v>0</v>
      </c>
      <c r="AJ1397" s="103"/>
      <c r="AK1397" s="103"/>
      <c r="AL1397" s="103"/>
      <c r="AM1397" s="103"/>
      <c r="AN1397" s="103"/>
      <c r="AO1397" s="103" t="str">
        <f t="shared" si="79"/>
        <v>CFLscw-A(13w)Four+pack</v>
      </c>
    </row>
    <row r="1398" spans="1:41">
      <c r="A1398" s="177">
        <f>IFERROR(MATCH(D1398,'Measure &amp; Standard CostIDs'!C$5:C$177,0),MATCH(D1398,'Measure &amp; Standard CostIDs'!S$5:S$177,0))</f>
        <v>74</v>
      </c>
      <c r="B1398" s="177">
        <f t="shared" si="77"/>
        <v>5</v>
      </c>
      <c r="C1398" s="103" t="s">
        <v>153</v>
      </c>
      <c r="D1398" s="103" t="str">
        <f t="shared" si="76"/>
        <v>CFLscw-A(14w)</v>
      </c>
      <c r="E1398" s="103" t="str">
        <f>IF(LEFT(D1398,3)="Std","Base case cost for mix of 60% Incandescent and 40% CFL lamps for CFL TechID: "&amp;INDEX('Measure &amp; Standard CostIDs'!$C$5:$C$177,A1398),"&lt;from TechID&gt;")</f>
        <v>&lt;from TechID&gt;</v>
      </c>
      <c r="F1398" s="103" t="s">
        <v>860</v>
      </c>
      <c r="G1398" s="103" t="s">
        <v>151</v>
      </c>
      <c r="H1398" s="103" t="s">
        <v>861</v>
      </c>
      <c r="I1398" s="103" t="s">
        <v>862</v>
      </c>
      <c r="J1398" s="103" t="s">
        <v>863</v>
      </c>
      <c r="K1398" s="103" t="s">
        <v>864</v>
      </c>
      <c r="L1398" s="103" t="s">
        <v>153</v>
      </c>
      <c r="M1398" s="103" t="s">
        <v>865</v>
      </c>
      <c r="N1398" s="103" t="s">
        <v>866</v>
      </c>
      <c r="O1398" s="103" t="str">
        <f t="shared" si="78"/>
        <v>CFLscw-A(14w)</v>
      </c>
      <c r="P1398" s="103" t="s">
        <v>153</v>
      </c>
      <c r="Q1398" s="103" t="s">
        <v>153</v>
      </c>
      <c r="R1398" s="103" t="s">
        <v>153</v>
      </c>
      <c r="S1398" s="103" t="str">
        <f>INDEX('Measure &amp; Standard CostIDs'!$AK$8:$AK$12,B1398)</f>
        <v>Four+pack</v>
      </c>
      <c r="T1398" s="103" t="s">
        <v>867</v>
      </c>
      <c r="U1398" s="103"/>
      <c r="V1398" s="103"/>
      <c r="W1398" s="103">
        <f>ROUND(IF(LEFT(D1398,3)="Std",VLOOKUP(D1398,'Measure &amp; Standard CostIDs'!$S$5:$X$177,1+B1398,FALSE),VLOOKUP(D1398,'Measure &amp; Standard CostIDs'!$C$5:$H$177,1+B1398,FALSE)),2)</f>
        <v>3.81</v>
      </c>
      <c r="X1398" s="103"/>
      <c r="Y1398" s="103"/>
      <c r="Z1398" s="103" t="s">
        <v>868</v>
      </c>
      <c r="AA1398" s="103" t="s">
        <v>874</v>
      </c>
      <c r="AB1398" s="103" t="s">
        <v>153</v>
      </c>
      <c r="AC1398" s="103">
        <v>0</v>
      </c>
      <c r="AD1398" s="156">
        <v>42005</v>
      </c>
      <c r="AE1398" s="103"/>
      <c r="AF1398" s="103" t="s">
        <v>870</v>
      </c>
      <c r="AG1398" s="103" t="s">
        <v>871</v>
      </c>
      <c r="AH1398" s="103" t="s">
        <v>976</v>
      </c>
      <c r="AI1398" s="103">
        <v>0</v>
      </c>
      <c r="AJ1398" s="103"/>
      <c r="AK1398" s="103"/>
      <c r="AL1398" s="103"/>
      <c r="AM1398" s="103"/>
      <c r="AN1398" s="103"/>
      <c r="AO1398" s="103" t="str">
        <f t="shared" si="79"/>
        <v>CFLscw-A(14w)Four+pack</v>
      </c>
    </row>
    <row r="1399" spans="1:41">
      <c r="A1399" s="177">
        <f>IFERROR(MATCH(D1399,'Measure &amp; Standard CostIDs'!C$5:C$177,0),MATCH(D1399,'Measure &amp; Standard CostIDs'!S$5:S$177,0))</f>
        <v>75</v>
      </c>
      <c r="B1399" s="177">
        <f t="shared" si="77"/>
        <v>5</v>
      </c>
      <c r="C1399" s="103" t="s">
        <v>153</v>
      </c>
      <c r="D1399" s="103" t="str">
        <f t="shared" si="76"/>
        <v>CFLscw-A(15w)</v>
      </c>
      <c r="E1399" s="103" t="str">
        <f>IF(LEFT(D1399,3)="Std","Base case cost for mix of 60% Incandescent and 40% CFL lamps for CFL TechID: "&amp;INDEX('Measure &amp; Standard CostIDs'!$C$5:$C$177,A1399),"&lt;from TechID&gt;")</f>
        <v>&lt;from TechID&gt;</v>
      </c>
      <c r="F1399" s="103" t="s">
        <v>860</v>
      </c>
      <c r="G1399" s="103" t="s">
        <v>151</v>
      </c>
      <c r="H1399" s="103" t="s">
        <v>861</v>
      </c>
      <c r="I1399" s="103" t="s">
        <v>862</v>
      </c>
      <c r="J1399" s="103" t="s">
        <v>863</v>
      </c>
      <c r="K1399" s="103" t="s">
        <v>864</v>
      </c>
      <c r="L1399" s="103" t="s">
        <v>153</v>
      </c>
      <c r="M1399" s="103" t="s">
        <v>865</v>
      </c>
      <c r="N1399" s="103" t="s">
        <v>866</v>
      </c>
      <c r="O1399" s="103" t="str">
        <f t="shared" si="78"/>
        <v>CFLscw-A(15w)</v>
      </c>
      <c r="P1399" s="103" t="s">
        <v>153</v>
      </c>
      <c r="Q1399" s="103" t="s">
        <v>153</v>
      </c>
      <c r="R1399" s="103" t="s">
        <v>153</v>
      </c>
      <c r="S1399" s="103" t="str">
        <f>INDEX('Measure &amp; Standard CostIDs'!$AK$8:$AK$12,B1399)</f>
        <v>Four+pack</v>
      </c>
      <c r="T1399" s="103" t="s">
        <v>867</v>
      </c>
      <c r="U1399" s="103"/>
      <c r="V1399" s="103"/>
      <c r="W1399" s="103">
        <f>ROUND(IF(LEFT(D1399,3)="Std",VLOOKUP(D1399,'Measure &amp; Standard CostIDs'!$S$5:$X$177,1+B1399,FALSE),VLOOKUP(D1399,'Measure &amp; Standard CostIDs'!$C$5:$H$177,1+B1399,FALSE)),2)</f>
        <v>3.88</v>
      </c>
      <c r="X1399" s="103"/>
      <c r="Y1399" s="103"/>
      <c r="Z1399" s="103" t="s">
        <v>868</v>
      </c>
      <c r="AA1399" s="103" t="s">
        <v>874</v>
      </c>
      <c r="AB1399" s="103" t="s">
        <v>153</v>
      </c>
      <c r="AC1399" s="103">
        <v>0</v>
      </c>
      <c r="AD1399" s="156">
        <v>42005</v>
      </c>
      <c r="AE1399" s="103"/>
      <c r="AF1399" s="103" t="s">
        <v>870</v>
      </c>
      <c r="AG1399" s="103" t="s">
        <v>871</v>
      </c>
      <c r="AH1399" s="103" t="s">
        <v>976</v>
      </c>
      <c r="AI1399" s="103">
        <v>0</v>
      </c>
      <c r="AJ1399" s="103"/>
      <c r="AK1399" s="103"/>
      <c r="AL1399" s="103"/>
      <c r="AM1399" s="103"/>
      <c r="AN1399" s="103"/>
      <c r="AO1399" s="103" t="str">
        <f t="shared" si="79"/>
        <v>CFLscw-A(15w)Four+pack</v>
      </c>
    </row>
    <row r="1400" spans="1:41">
      <c r="A1400" s="177">
        <f>IFERROR(MATCH(D1400,'Measure &amp; Standard CostIDs'!C$5:C$177,0),MATCH(D1400,'Measure &amp; Standard CostIDs'!S$5:S$177,0))</f>
        <v>76</v>
      </c>
      <c r="B1400" s="177">
        <f t="shared" si="77"/>
        <v>5</v>
      </c>
      <c r="C1400" s="103" t="s">
        <v>153</v>
      </c>
      <c r="D1400" s="103" t="str">
        <f t="shared" si="76"/>
        <v>CFLscw-A(16w)</v>
      </c>
      <c r="E1400" s="103" t="str">
        <f>IF(LEFT(D1400,3)="Std","Base case cost for mix of 60% Incandescent and 40% CFL lamps for CFL TechID: "&amp;INDEX('Measure &amp; Standard CostIDs'!$C$5:$C$177,A1400),"&lt;from TechID&gt;")</f>
        <v>&lt;from TechID&gt;</v>
      </c>
      <c r="F1400" s="103" t="s">
        <v>860</v>
      </c>
      <c r="G1400" s="103" t="s">
        <v>151</v>
      </c>
      <c r="H1400" s="103" t="s">
        <v>861</v>
      </c>
      <c r="I1400" s="103" t="s">
        <v>862</v>
      </c>
      <c r="J1400" s="103" t="s">
        <v>863</v>
      </c>
      <c r="K1400" s="103" t="s">
        <v>864</v>
      </c>
      <c r="L1400" s="103" t="s">
        <v>153</v>
      </c>
      <c r="M1400" s="103" t="s">
        <v>865</v>
      </c>
      <c r="N1400" s="103" t="s">
        <v>866</v>
      </c>
      <c r="O1400" s="103" t="str">
        <f t="shared" si="78"/>
        <v>CFLscw-A(16w)</v>
      </c>
      <c r="P1400" s="103" t="s">
        <v>153</v>
      </c>
      <c r="Q1400" s="103" t="s">
        <v>153</v>
      </c>
      <c r="R1400" s="103" t="s">
        <v>153</v>
      </c>
      <c r="S1400" s="103" t="str">
        <f>INDEX('Measure &amp; Standard CostIDs'!$AK$8:$AK$12,B1400)</f>
        <v>Four+pack</v>
      </c>
      <c r="T1400" s="103" t="s">
        <v>867</v>
      </c>
      <c r="U1400" s="103"/>
      <c r="V1400" s="103"/>
      <c r="W1400" s="103">
        <f>ROUND(IF(LEFT(D1400,3)="Std",VLOOKUP(D1400,'Measure &amp; Standard CostIDs'!$S$5:$X$177,1+B1400,FALSE),VLOOKUP(D1400,'Measure &amp; Standard CostIDs'!$C$5:$H$177,1+B1400,FALSE)),2)</f>
        <v>3.95</v>
      </c>
      <c r="X1400" s="103"/>
      <c r="Y1400" s="103"/>
      <c r="Z1400" s="103" t="s">
        <v>868</v>
      </c>
      <c r="AA1400" s="103" t="s">
        <v>874</v>
      </c>
      <c r="AB1400" s="103" t="s">
        <v>153</v>
      </c>
      <c r="AC1400" s="103">
        <v>0</v>
      </c>
      <c r="AD1400" s="156">
        <v>42005</v>
      </c>
      <c r="AE1400" s="103"/>
      <c r="AF1400" s="103" t="s">
        <v>870</v>
      </c>
      <c r="AG1400" s="103" t="s">
        <v>871</v>
      </c>
      <c r="AH1400" s="103" t="s">
        <v>976</v>
      </c>
      <c r="AI1400" s="103">
        <v>0</v>
      </c>
      <c r="AJ1400" s="103"/>
      <c r="AK1400" s="103"/>
      <c r="AL1400" s="103"/>
      <c r="AM1400" s="103"/>
      <c r="AN1400" s="103"/>
      <c r="AO1400" s="103" t="str">
        <f t="shared" si="79"/>
        <v>CFLscw-A(16w)Four+pack</v>
      </c>
    </row>
    <row r="1401" spans="1:41">
      <c r="A1401" s="177">
        <f>IFERROR(MATCH(D1401,'Measure &amp; Standard CostIDs'!C$5:C$177,0),MATCH(D1401,'Measure &amp; Standard CostIDs'!S$5:S$177,0))</f>
        <v>77</v>
      </c>
      <c r="B1401" s="177">
        <f t="shared" si="77"/>
        <v>5</v>
      </c>
      <c r="C1401" s="103" t="s">
        <v>153</v>
      </c>
      <c r="D1401" s="103" t="str">
        <f t="shared" si="76"/>
        <v>CFLscw-A(18w)</v>
      </c>
      <c r="E1401" s="103" t="str">
        <f>IF(LEFT(D1401,3)="Std","Base case cost for mix of 60% Incandescent and 40% CFL lamps for CFL TechID: "&amp;INDEX('Measure &amp; Standard CostIDs'!$C$5:$C$177,A1401),"&lt;from TechID&gt;")</f>
        <v>&lt;from TechID&gt;</v>
      </c>
      <c r="F1401" s="103" t="s">
        <v>860</v>
      </c>
      <c r="G1401" s="103" t="s">
        <v>151</v>
      </c>
      <c r="H1401" s="103" t="s">
        <v>861</v>
      </c>
      <c r="I1401" s="103" t="s">
        <v>862</v>
      </c>
      <c r="J1401" s="103" t="s">
        <v>863</v>
      </c>
      <c r="K1401" s="103" t="s">
        <v>864</v>
      </c>
      <c r="L1401" s="103" t="s">
        <v>153</v>
      </c>
      <c r="M1401" s="103" t="s">
        <v>865</v>
      </c>
      <c r="N1401" s="103" t="s">
        <v>866</v>
      </c>
      <c r="O1401" s="103" t="str">
        <f t="shared" si="78"/>
        <v>CFLscw-A(18w)</v>
      </c>
      <c r="P1401" s="103" t="s">
        <v>153</v>
      </c>
      <c r="Q1401" s="103" t="s">
        <v>153</v>
      </c>
      <c r="R1401" s="103" t="s">
        <v>153</v>
      </c>
      <c r="S1401" s="103" t="str">
        <f>INDEX('Measure &amp; Standard CostIDs'!$AK$8:$AK$12,B1401)</f>
        <v>Four+pack</v>
      </c>
      <c r="T1401" s="103" t="s">
        <v>867</v>
      </c>
      <c r="U1401" s="103"/>
      <c r="V1401" s="103"/>
      <c r="W1401" s="103">
        <f>ROUND(IF(LEFT(D1401,3)="Std",VLOOKUP(D1401,'Measure &amp; Standard CostIDs'!$S$5:$X$177,1+B1401,FALSE),VLOOKUP(D1401,'Measure &amp; Standard CostIDs'!$C$5:$H$177,1+B1401,FALSE)),2)</f>
        <v>4.08</v>
      </c>
      <c r="X1401" s="103"/>
      <c r="Y1401" s="103"/>
      <c r="Z1401" s="103" t="s">
        <v>868</v>
      </c>
      <c r="AA1401" s="103" t="s">
        <v>874</v>
      </c>
      <c r="AB1401" s="103" t="s">
        <v>153</v>
      </c>
      <c r="AC1401" s="103">
        <v>0</v>
      </c>
      <c r="AD1401" s="156">
        <v>42005</v>
      </c>
      <c r="AE1401" s="103"/>
      <c r="AF1401" s="103" t="s">
        <v>870</v>
      </c>
      <c r="AG1401" s="103" t="s">
        <v>871</v>
      </c>
      <c r="AH1401" s="103" t="s">
        <v>976</v>
      </c>
      <c r="AI1401" s="103">
        <v>0</v>
      </c>
      <c r="AJ1401" s="103"/>
      <c r="AK1401" s="103"/>
      <c r="AL1401" s="103"/>
      <c r="AM1401" s="103"/>
      <c r="AN1401" s="103"/>
      <c r="AO1401" s="103" t="str">
        <f t="shared" si="79"/>
        <v>CFLscw-A(18w)Four+pack</v>
      </c>
    </row>
    <row r="1402" spans="1:41">
      <c r="A1402" s="177">
        <f>IFERROR(MATCH(D1402,'Measure &amp; Standard CostIDs'!C$5:C$177,0),MATCH(D1402,'Measure &amp; Standard CostIDs'!S$5:S$177,0))</f>
        <v>78</v>
      </c>
      <c r="B1402" s="177">
        <f t="shared" si="77"/>
        <v>5</v>
      </c>
      <c r="C1402" s="103" t="s">
        <v>153</v>
      </c>
      <c r="D1402" s="103" t="str">
        <f t="shared" si="76"/>
        <v>CFLscw-A(19w)</v>
      </c>
      <c r="E1402" s="103" t="str">
        <f>IF(LEFT(D1402,3)="Std","Base case cost for mix of 60% Incandescent and 40% CFL lamps for CFL TechID: "&amp;INDEX('Measure &amp; Standard CostIDs'!$C$5:$C$177,A1402),"&lt;from TechID&gt;")</f>
        <v>&lt;from TechID&gt;</v>
      </c>
      <c r="F1402" s="103" t="s">
        <v>860</v>
      </c>
      <c r="G1402" s="103" t="s">
        <v>151</v>
      </c>
      <c r="H1402" s="103" t="s">
        <v>861</v>
      </c>
      <c r="I1402" s="103" t="s">
        <v>862</v>
      </c>
      <c r="J1402" s="103" t="s">
        <v>863</v>
      </c>
      <c r="K1402" s="103" t="s">
        <v>864</v>
      </c>
      <c r="L1402" s="103" t="s">
        <v>153</v>
      </c>
      <c r="M1402" s="103" t="s">
        <v>865</v>
      </c>
      <c r="N1402" s="103" t="s">
        <v>866</v>
      </c>
      <c r="O1402" s="103" t="str">
        <f t="shared" si="78"/>
        <v>CFLscw-A(19w)</v>
      </c>
      <c r="P1402" s="103" t="s">
        <v>153</v>
      </c>
      <c r="Q1402" s="103" t="s">
        <v>153</v>
      </c>
      <c r="R1402" s="103" t="s">
        <v>153</v>
      </c>
      <c r="S1402" s="103" t="str">
        <f>INDEX('Measure &amp; Standard CostIDs'!$AK$8:$AK$12,B1402)</f>
        <v>Four+pack</v>
      </c>
      <c r="T1402" s="103" t="s">
        <v>867</v>
      </c>
      <c r="U1402" s="103"/>
      <c r="V1402" s="103"/>
      <c r="W1402" s="103">
        <f>ROUND(IF(LEFT(D1402,3)="Std",VLOOKUP(D1402,'Measure &amp; Standard CostIDs'!$S$5:$X$177,1+B1402,FALSE),VLOOKUP(D1402,'Measure &amp; Standard CostIDs'!$C$5:$H$177,1+B1402,FALSE)),2)</f>
        <v>4.1500000000000004</v>
      </c>
      <c r="X1402" s="103"/>
      <c r="Y1402" s="103"/>
      <c r="Z1402" s="103" t="s">
        <v>868</v>
      </c>
      <c r="AA1402" s="103" t="s">
        <v>874</v>
      </c>
      <c r="AB1402" s="103" t="s">
        <v>153</v>
      </c>
      <c r="AC1402" s="103">
        <v>0</v>
      </c>
      <c r="AD1402" s="156">
        <v>42005</v>
      </c>
      <c r="AE1402" s="103"/>
      <c r="AF1402" s="103" t="s">
        <v>870</v>
      </c>
      <c r="AG1402" s="103" t="s">
        <v>871</v>
      </c>
      <c r="AH1402" s="103" t="s">
        <v>976</v>
      </c>
      <c r="AI1402" s="103">
        <v>0</v>
      </c>
      <c r="AJ1402" s="103"/>
      <c r="AK1402" s="103"/>
      <c r="AL1402" s="103"/>
      <c r="AM1402" s="103"/>
      <c r="AN1402" s="103"/>
      <c r="AO1402" s="103" t="str">
        <f t="shared" si="79"/>
        <v>CFLscw-A(19w)Four+pack</v>
      </c>
    </row>
    <row r="1403" spans="1:41">
      <c r="A1403" s="177">
        <f>IFERROR(MATCH(D1403,'Measure &amp; Standard CostIDs'!C$5:C$177,0),MATCH(D1403,'Measure &amp; Standard CostIDs'!S$5:S$177,0))</f>
        <v>79</v>
      </c>
      <c r="B1403" s="177">
        <f t="shared" si="77"/>
        <v>5</v>
      </c>
      <c r="C1403" s="103" t="s">
        <v>153</v>
      </c>
      <c r="D1403" s="103" t="str">
        <f t="shared" si="76"/>
        <v>CFLscw-A(20w)</v>
      </c>
      <c r="E1403" s="103" t="str">
        <f>IF(LEFT(D1403,3)="Std","Base case cost for mix of 60% Incandescent and 40% CFL lamps for CFL TechID: "&amp;INDEX('Measure &amp; Standard CostIDs'!$C$5:$C$177,A1403),"&lt;from TechID&gt;")</f>
        <v>&lt;from TechID&gt;</v>
      </c>
      <c r="F1403" s="103" t="s">
        <v>860</v>
      </c>
      <c r="G1403" s="103" t="s">
        <v>151</v>
      </c>
      <c r="H1403" s="103" t="s">
        <v>861</v>
      </c>
      <c r="I1403" s="103" t="s">
        <v>862</v>
      </c>
      <c r="J1403" s="103" t="s">
        <v>863</v>
      </c>
      <c r="K1403" s="103" t="s">
        <v>864</v>
      </c>
      <c r="L1403" s="103" t="s">
        <v>153</v>
      </c>
      <c r="M1403" s="103" t="s">
        <v>865</v>
      </c>
      <c r="N1403" s="103" t="s">
        <v>866</v>
      </c>
      <c r="O1403" s="103" t="str">
        <f t="shared" si="78"/>
        <v>CFLscw-A(20w)</v>
      </c>
      <c r="P1403" s="103" t="s">
        <v>153</v>
      </c>
      <c r="Q1403" s="103" t="s">
        <v>153</v>
      </c>
      <c r="R1403" s="103" t="s">
        <v>153</v>
      </c>
      <c r="S1403" s="103" t="str">
        <f>INDEX('Measure &amp; Standard CostIDs'!$AK$8:$AK$12,B1403)</f>
        <v>Four+pack</v>
      </c>
      <c r="T1403" s="103" t="s">
        <v>867</v>
      </c>
      <c r="U1403" s="103"/>
      <c r="V1403" s="103"/>
      <c r="W1403" s="103">
        <f>ROUND(IF(LEFT(D1403,3)="Std",VLOOKUP(D1403,'Measure &amp; Standard CostIDs'!$S$5:$X$177,1+B1403,FALSE),VLOOKUP(D1403,'Measure &amp; Standard CostIDs'!$C$5:$H$177,1+B1403,FALSE)),2)</f>
        <v>4.21</v>
      </c>
      <c r="X1403" s="103"/>
      <c r="Y1403" s="103"/>
      <c r="Z1403" s="103" t="s">
        <v>868</v>
      </c>
      <c r="AA1403" s="103" t="s">
        <v>874</v>
      </c>
      <c r="AB1403" s="103" t="s">
        <v>153</v>
      </c>
      <c r="AC1403" s="103">
        <v>0</v>
      </c>
      <c r="AD1403" s="156">
        <v>42005</v>
      </c>
      <c r="AE1403" s="103"/>
      <c r="AF1403" s="103" t="s">
        <v>870</v>
      </c>
      <c r="AG1403" s="103" t="s">
        <v>871</v>
      </c>
      <c r="AH1403" s="103" t="s">
        <v>976</v>
      </c>
      <c r="AI1403" s="103">
        <v>0</v>
      </c>
      <c r="AJ1403" s="103"/>
      <c r="AK1403" s="103"/>
      <c r="AL1403" s="103"/>
      <c r="AM1403" s="103"/>
      <c r="AN1403" s="103"/>
      <c r="AO1403" s="103" t="str">
        <f t="shared" si="79"/>
        <v>CFLscw-A(20w)Four+pack</v>
      </c>
    </row>
    <row r="1404" spans="1:41">
      <c r="A1404" s="177">
        <f>IFERROR(MATCH(D1404,'Measure &amp; Standard CostIDs'!C$5:C$177,0),MATCH(D1404,'Measure &amp; Standard CostIDs'!S$5:S$177,0))</f>
        <v>80</v>
      </c>
      <c r="B1404" s="177">
        <f t="shared" si="77"/>
        <v>5</v>
      </c>
      <c r="C1404" s="103" t="s">
        <v>153</v>
      </c>
      <c r="D1404" s="103" t="str">
        <f t="shared" si="76"/>
        <v>CFLscw-A(22w)</v>
      </c>
      <c r="E1404" s="103" t="str">
        <f>IF(LEFT(D1404,3)="Std","Base case cost for mix of 60% Incandescent and 40% CFL lamps for CFL TechID: "&amp;INDEX('Measure &amp; Standard CostIDs'!$C$5:$C$177,A1404),"&lt;from TechID&gt;")</f>
        <v>&lt;from TechID&gt;</v>
      </c>
      <c r="F1404" s="103" t="s">
        <v>860</v>
      </c>
      <c r="G1404" s="103" t="s">
        <v>151</v>
      </c>
      <c r="H1404" s="103" t="s">
        <v>861</v>
      </c>
      <c r="I1404" s="103" t="s">
        <v>862</v>
      </c>
      <c r="J1404" s="103" t="s">
        <v>863</v>
      </c>
      <c r="K1404" s="103" t="s">
        <v>864</v>
      </c>
      <c r="L1404" s="103" t="s">
        <v>153</v>
      </c>
      <c r="M1404" s="103" t="s">
        <v>865</v>
      </c>
      <c r="N1404" s="103" t="s">
        <v>866</v>
      </c>
      <c r="O1404" s="103" t="str">
        <f t="shared" si="78"/>
        <v>CFLscw-A(22w)</v>
      </c>
      <c r="P1404" s="103" t="s">
        <v>153</v>
      </c>
      <c r="Q1404" s="103" t="s">
        <v>153</v>
      </c>
      <c r="R1404" s="103" t="s">
        <v>153</v>
      </c>
      <c r="S1404" s="103" t="str">
        <f>INDEX('Measure &amp; Standard CostIDs'!$AK$8:$AK$12,B1404)</f>
        <v>Four+pack</v>
      </c>
      <c r="T1404" s="103" t="s">
        <v>867</v>
      </c>
      <c r="U1404" s="103"/>
      <c r="V1404" s="103"/>
      <c r="W1404" s="103">
        <f>ROUND(IF(LEFT(D1404,3)="Std",VLOOKUP(D1404,'Measure &amp; Standard CostIDs'!$S$5:$X$177,1+B1404,FALSE),VLOOKUP(D1404,'Measure &amp; Standard CostIDs'!$C$5:$H$177,1+B1404,FALSE)),2)</f>
        <v>4.3499999999999996</v>
      </c>
      <c r="X1404" s="103"/>
      <c r="Y1404" s="103"/>
      <c r="Z1404" s="103" t="s">
        <v>868</v>
      </c>
      <c r="AA1404" s="103" t="s">
        <v>874</v>
      </c>
      <c r="AB1404" s="103" t="s">
        <v>153</v>
      </c>
      <c r="AC1404" s="103">
        <v>0</v>
      </c>
      <c r="AD1404" s="156">
        <v>42005</v>
      </c>
      <c r="AE1404" s="103"/>
      <c r="AF1404" s="103" t="s">
        <v>870</v>
      </c>
      <c r="AG1404" s="103" t="s">
        <v>871</v>
      </c>
      <c r="AH1404" s="103" t="s">
        <v>976</v>
      </c>
      <c r="AI1404" s="103">
        <v>0</v>
      </c>
      <c r="AJ1404" s="103"/>
      <c r="AK1404" s="103"/>
      <c r="AL1404" s="103"/>
      <c r="AM1404" s="103"/>
      <c r="AN1404" s="103"/>
      <c r="AO1404" s="103" t="str">
        <f t="shared" si="79"/>
        <v>CFLscw-A(22w)Four+pack</v>
      </c>
    </row>
    <row r="1405" spans="1:41">
      <c r="A1405" s="177">
        <f>IFERROR(MATCH(D1405,'Measure &amp; Standard CostIDs'!C$5:C$177,0),MATCH(D1405,'Measure &amp; Standard CostIDs'!S$5:S$177,0))</f>
        <v>81</v>
      </c>
      <c r="B1405" s="177">
        <f t="shared" si="77"/>
        <v>5</v>
      </c>
      <c r="C1405" s="103" t="s">
        <v>153</v>
      </c>
      <c r="D1405" s="103" t="str">
        <f t="shared" si="76"/>
        <v>CFLscw-A(23w)</v>
      </c>
      <c r="E1405" s="103" t="str">
        <f>IF(LEFT(D1405,3)="Std","Base case cost for mix of 60% Incandescent and 40% CFL lamps for CFL TechID: "&amp;INDEX('Measure &amp; Standard CostIDs'!$C$5:$C$177,A1405),"&lt;from TechID&gt;")</f>
        <v>&lt;from TechID&gt;</v>
      </c>
      <c r="F1405" s="103" t="s">
        <v>860</v>
      </c>
      <c r="G1405" s="103" t="s">
        <v>151</v>
      </c>
      <c r="H1405" s="103" t="s">
        <v>861</v>
      </c>
      <c r="I1405" s="103" t="s">
        <v>862</v>
      </c>
      <c r="J1405" s="103" t="s">
        <v>863</v>
      </c>
      <c r="K1405" s="103" t="s">
        <v>864</v>
      </c>
      <c r="L1405" s="103" t="s">
        <v>153</v>
      </c>
      <c r="M1405" s="103" t="s">
        <v>865</v>
      </c>
      <c r="N1405" s="103" t="s">
        <v>866</v>
      </c>
      <c r="O1405" s="103" t="str">
        <f t="shared" si="78"/>
        <v>CFLscw-A(23w)</v>
      </c>
      <c r="P1405" s="103" t="s">
        <v>153</v>
      </c>
      <c r="Q1405" s="103" t="s">
        <v>153</v>
      </c>
      <c r="R1405" s="103" t="s">
        <v>153</v>
      </c>
      <c r="S1405" s="103" t="str">
        <f>INDEX('Measure &amp; Standard CostIDs'!$AK$8:$AK$12,B1405)</f>
        <v>Four+pack</v>
      </c>
      <c r="T1405" s="103" t="s">
        <v>867</v>
      </c>
      <c r="U1405" s="103"/>
      <c r="V1405" s="103"/>
      <c r="W1405" s="103">
        <f>ROUND(IF(LEFT(D1405,3)="Std",VLOOKUP(D1405,'Measure &amp; Standard CostIDs'!$S$5:$X$177,1+B1405,FALSE),VLOOKUP(D1405,'Measure &amp; Standard CostIDs'!$C$5:$H$177,1+B1405,FALSE)),2)</f>
        <v>4.41</v>
      </c>
      <c r="X1405" s="103"/>
      <c r="Y1405" s="103"/>
      <c r="Z1405" s="103" t="s">
        <v>868</v>
      </c>
      <c r="AA1405" s="103" t="s">
        <v>874</v>
      </c>
      <c r="AB1405" s="103" t="s">
        <v>153</v>
      </c>
      <c r="AC1405" s="103">
        <v>0</v>
      </c>
      <c r="AD1405" s="156">
        <v>42005</v>
      </c>
      <c r="AE1405" s="103"/>
      <c r="AF1405" s="103" t="s">
        <v>870</v>
      </c>
      <c r="AG1405" s="103" t="s">
        <v>871</v>
      </c>
      <c r="AH1405" s="103" t="s">
        <v>976</v>
      </c>
      <c r="AI1405" s="103">
        <v>0</v>
      </c>
      <c r="AJ1405" s="103"/>
      <c r="AK1405" s="103"/>
      <c r="AL1405" s="103"/>
      <c r="AM1405" s="103"/>
      <c r="AN1405" s="103"/>
      <c r="AO1405" s="103" t="str">
        <f t="shared" si="79"/>
        <v>CFLscw-A(23w)Four+pack</v>
      </c>
    </row>
    <row r="1406" spans="1:41">
      <c r="A1406" s="177">
        <f>IFERROR(MATCH(D1406,'Measure &amp; Standard CostIDs'!C$5:C$177,0),MATCH(D1406,'Measure &amp; Standard CostIDs'!S$5:S$177,0))</f>
        <v>82</v>
      </c>
      <c r="B1406" s="177">
        <f t="shared" si="77"/>
        <v>5</v>
      </c>
      <c r="C1406" s="103" t="s">
        <v>153</v>
      </c>
      <c r="D1406" s="103" t="str">
        <f t="shared" si="76"/>
        <v>CFLscw-A(24w)</v>
      </c>
      <c r="E1406" s="103" t="str">
        <f>IF(LEFT(D1406,3)="Std","Base case cost for mix of 60% Incandescent and 40% CFL lamps for CFL TechID: "&amp;INDEX('Measure &amp; Standard CostIDs'!$C$5:$C$177,A1406),"&lt;from TechID&gt;")</f>
        <v>&lt;from TechID&gt;</v>
      </c>
      <c r="F1406" s="103" t="s">
        <v>860</v>
      </c>
      <c r="G1406" s="103" t="s">
        <v>151</v>
      </c>
      <c r="H1406" s="103" t="s">
        <v>861</v>
      </c>
      <c r="I1406" s="103" t="s">
        <v>862</v>
      </c>
      <c r="J1406" s="103" t="s">
        <v>863</v>
      </c>
      <c r="K1406" s="103" t="s">
        <v>864</v>
      </c>
      <c r="L1406" s="103" t="s">
        <v>153</v>
      </c>
      <c r="M1406" s="103" t="s">
        <v>865</v>
      </c>
      <c r="N1406" s="103" t="s">
        <v>866</v>
      </c>
      <c r="O1406" s="103" t="str">
        <f t="shared" si="78"/>
        <v>CFLscw-A(24w)</v>
      </c>
      <c r="P1406" s="103" t="s">
        <v>153</v>
      </c>
      <c r="Q1406" s="103" t="s">
        <v>153</v>
      </c>
      <c r="R1406" s="103" t="s">
        <v>153</v>
      </c>
      <c r="S1406" s="103" t="str">
        <f>INDEX('Measure &amp; Standard CostIDs'!$AK$8:$AK$12,B1406)</f>
        <v>Four+pack</v>
      </c>
      <c r="T1406" s="103" t="s">
        <v>867</v>
      </c>
      <c r="U1406" s="103"/>
      <c r="V1406" s="103"/>
      <c r="W1406" s="103">
        <f>ROUND(IF(LEFT(D1406,3)="Std",VLOOKUP(D1406,'Measure &amp; Standard CostIDs'!$S$5:$X$177,1+B1406,FALSE),VLOOKUP(D1406,'Measure &amp; Standard CostIDs'!$C$5:$H$177,1+B1406,FALSE)),2)</f>
        <v>4.4800000000000004</v>
      </c>
      <c r="X1406" s="103"/>
      <c r="Y1406" s="103"/>
      <c r="Z1406" s="103" t="s">
        <v>868</v>
      </c>
      <c r="AA1406" s="103" t="s">
        <v>874</v>
      </c>
      <c r="AB1406" s="103" t="s">
        <v>153</v>
      </c>
      <c r="AC1406" s="103">
        <v>0</v>
      </c>
      <c r="AD1406" s="156">
        <v>42005</v>
      </c>
      <c r="AE1406" s="103"/>
      <c r="AF1406" s="103" t="s">
        <v>870</v>
      </c>
      <c r="AG1406" s="103" t="s">
        <v>871</v>
      </c>
      <c r="AH1406" s="103" t="s">
        <v>976</v>
      </c>
      <c r="AI1406" s="103">
        <v>0</v>
      </c>
      <c r="AJ1406" s="103"/>
      <c r="AK1406" s="103"/>
      <c r="AL1406" s="103"/>
      <c r="AM1406" s="103"/>
      <c r="AN1406" s="103"/>
      <c r="AO1406" s="103" t="str">
        <f t="shared" si="79"/>
        <v>CFLscw-A(24w)Four+pack</v>
      </c>
    </row>
    <row r="1407" spans="1:41">
      <c r="A1407" s="177">
        <f>IFERROR(MATCH(D1407,'Measure &amp; Standard CostIDs'!C$5:C$177,0),MATCH(D1407,'Measure &amp; Standard CostIDs'!S$5:S$177,0))</f>
        <v>83</v>
      </c>
      <c r="B1407" s="177">
        <f t="shared" si="77"/>
        <v>5</v>
      </c>
      <c r="C1407" s="103" t="s">
        <v>153</v>
      </c>
      <c r="D1407" s="103" t="str">
        <f t="shared" si="76"/>
        <v>CFLscw-A(25w)</v>
      </c>
      <c r="E1407" s="103" t="str">
        <f>IF(LEFT(D1407,3)="Std","Base case cost for mix of 60% Incandescent and 40% CFL lamps for CFL TechID: "&amp;INDEX('Measure &amp; Standard CostIDs'!$C$5:$C$177,A1407),"&lt;from TechID&gt;")</f>
        <v>&lt;from TechID&gt;</v>
      </c>
      <c r="F1407" s="103" t="s">
        <v>860</v>
      </c>
      <c r="G1407" s="103" t="s">
        <v>151</v>
      </c>
      <c r="H1407" s="103" t="s">
        <v>861</v>
      </c>
      <c r="I1407" s="103" t="s">
        <v>862</v>
      </c>
      <c r="J1407" s="103" t="s">
        <v>863</v>
      </c>
      <c r="K1407" s="103" t="s">
        <v>864</v>
      </c>
      <c r="L1407" s="103" t="s">
        <v>153</v>
      </c>
      <c r="M1407" s="103" t="s">
        <v>865</v>
      </c>
      <c r="N1407" s="103" t="s">
        <v>866</v>
      </c>
      <c r="O1407" s="103" t="str">
        <f t="shared" si="78"/>
        <v>CFLscw-A(25w)</v>
      </c>
      <c r="P1407" s="103" t="s">
        <v>153</v>
      </c>
      <c r="Q1407" s="103" t="s">
        <v>153</v>
      </c>
      <c r="R1407" s="103" t="s">
        <v>153</v>
      </c>
      <c r="S1407" s="103" t="str">
        <f>INDEX('Measure &amp; Standard CostIDs'!$AK$8:$AK$12,B1407)</f>
        <v>Four+pack</v>
      </c>
      <c r="T1407" s="103" t="s">
        <v>867</v>
      </c>
      <c r="U1407" s="103"/>
      <c r="V1407" s="103"/>
      <c r="W1407" s="103">
        <f>ROUND(IF(LEFT(D1407,3)="Std",VLOOKUP(D1407,'Measure &amp; Standard CostIDs'!$S$5:$X$177,1+B1407,FALSE),VLOOKUP(D1407,'Measure &amp; Standard CostIDs'!$C$5:$H$177,1+B1407,FALSE)),2)</f>
        <v>4.55</v>
      </c>
      <c r="X1407" s="103"/>
      <c r="Y1407" s="103"/>
      <c r="Z1407" s="103" t="s">
        <v>868</v>
      </c>
      <c r="AA1407" s="103" t="s">
        <v>874</v>
      </c>
      <c r="AB1407" s="103" t="s">
        <v>153</v>
      </c>
      <c r="AC1407" s="103">
        <v>0</v>
      </c>
      <c r="AD1407" s="156">
        <v>42005</v>
      </c>
      <c r="AE1407" s="103"/>
      <c r="AF1407" s="103" t="s">
        <v>870</v>
      </c>
      <c r="AG1407" s="103" t="s">
        <v>871</v>
      </c>
      <c r="AH1407" s="103" t="s">
        <v>976</v>
      </c>
      <c r="AI1407" s="103">
        <v>0</v>
      </c>
      <c r="AJ1407" s="103"/>
      <c r="AK1407" s="103"/>
      <c r="AL1407" s="103"/>
      <c r="AM1407" s="103"/>
      <c r="AN1407" s="103"/>
      <c r="AO1407" s="103" t="str">
        <f t="shared" si="79"/>
        <v>CFLscw-A(25w)Four+pack</v>
      </c>
    </row>
    <row r="1408" spans="1:41">
      <c r="A1408" s="177">
        <f>IFERROR(MATCH(D1408,'Measure &amp; Standard CostIDs'!C$5:C$177,0),MATCH(D1408,'Measure &amp; Standard CostIDs'!S$5:S$177,0))</f>
        <v>84</v>
      </c>
      <c r="B1408" s="177">
        <f t="shared" si="77"/>
        <v>5</v>
      </c>
      <c r="C1408" s="103" t="s">
        <v>153</v>
      </c>
      <c r="D1408" s="103" t="str">
        <f t="shared" si="76"/>
        <v>CFLscw-A(26w)</v>
      </c>
      <c r="E1408" s="103" t="str">
        <f>IF(LEFT(D1408,3)="Std","Base case cost for mix of 60% Incandescent and 40% CFL lamps for CFL TechID: "&amp;INDEX('Measure &amp; Standard CostIDs'!$C$5:$C$177,A1408),"&lt;from TechID&gt;")</f>
        <v>&lt;from TechID&gt;</v>
      </c>
      <c r="F1408" s="103" t="s">
        <v>860</v>
      </c>
      <c r="G1408" s="103" t="s">
        <v>151</v>
      </c>
      <c r="H1408" s="103" t="s">
        <v>861</v>
      </c>
      <c r="I1408" s="103" t="s">
        <v>862</v>
      </c>
      <c r="J1408" s="103" t="s">
        <v>863</v>
      </c>
      <c r="K1408" s="103" t="s">
        <v>864</v>
      </c>
      <c r="L1408" s="103" t="s">
        <v>153</v>
      </c>
      <c r="M1408" s="103" t="s">
        <v>865</v>
      </c>
      <c r="N1408" s="103" t="s">
        <v>866</v>
      </c>
      <c r="O1408" s="103" t="str">
        <f t="shared" si="78"/>
        <v>CFLscw-A(26w)</v>
      </c>
      <c r="P1408" s="103" t="s">
        <v>153</v>
      </c>
      <c r="Q1408" s="103" t="s">
        <v>153</v>
      </c>
      <c r="R1408" s="103" t="s">
        <v>153</v>
      </c>
      <c r="S1408" s="103" t="str">
        <f>INDEX('Measure &amp; Standard CostIDs'!$AK$8:$AK$12,B1408)</f>
        <v>Four+pack</v>
      </c>
      <c r="T1408" s="103" t="s">
        <v>867</v>
      </c>
      <c r="U1408" s="103"/>
      <c r="V1408" s="103"/>
      <c r="W1408" s="103">
        <f>ROUND(IF(LEFT(D1408,3)="Std",VLOOKUP(D1408,'Measure &amp; Standard CostIDs'!$S$5:$X$177,1+B1408,FALSE),VLOOKUP(D1408,'Measure &amp; Standard CostIDs'!$C$5:$H$177,1+B1408,FALSE)),2)</f>
        <v>4.71</v>
      </c>
      <c r="X1408" s="103"/>
      <c r="Y1408" s="103"/>
      <c r="Z1408" s="103" t="s">
        <v>868</v>
      </c>
      <c r="AA1408" s="103" t="s">
        <v>874</v>
      </c>
      <c r="AB1408" s="103" t="s">
        <v>153</v>
      </c>
      <c r="AC1408" s="103">
        <v>0</v>
      </c>
      <c r="AD1408" s="156">
        <v>42005</v>
      </c>
      <c r="AE1408" s="103"/>
      <c r="AF1408" s="103" t="s">
        <v>870</v>
      </c>
      <c r="AG1408" s="103" t="s">
        <v>871</v>
      </c>
      <c r="AH1408" s="103" t="s">
        <v>976</v>
      </c>
      <c r="AI1408" s="103">
        <v>0</v>
      </c>
      <c r="AJ1408" s="103"/>
      <c r="AK1408" s="103"/>
      <c r="AL1408" s="103"/>
      <c r="AM1408" s="103"/>
      <c r="AN1408" s="103"/>
      <c r="AO1408" s="103" t="str">
        <f t="shared" si="79"/>
        <v>CFLscw-A(26w)Four+pack</v>
      </c>
    </row>
    <row r="1409" spans="1:41">
      <c r="A1409" s="177">
        <f>IFERROR(MATCH(D1409,'Measure &amp; Standard CostIDs'!C$5:C$177,0),MATCH(D1409,'Measure &amp; Standard CostIDs'!S$5:S$177,0))</f>
        <v>85</v>
      </c>
      <c r="B1409" s="177">
        <f t="shared" si="77"/>
        <v>5</v>
      </c>
      <c r="C1409" s="103" t="s">
        <v>153</v>
      </c>
      <c r="D1409" s="103" t="str">
        <f t="shared" si="76"/>
        <v>CFLscw-A(27w)</v>
      </c>
      <c r="E1409" s="103" t="str">
        <f>IF(LEFT(D1409,3)="Std","Base case cost for mix of 60% Incandescent and 40% CFL lamps for CFL TechID: "&amp;INDEX('Measure &amp; Standard CostIDs'!$C$5:$C$177,A1409),"&lt;from TechID&gt;")</f>
        <v>&lt;from TechID&gt;</v>
      </c>
      <c r="F1409" s="103" t="s">
        <v>860</v>
      </c>
      <c r="G1409" s="103" t="s">
        <v>151</v>
      </c>
      <c r="H1409" s="103" t="s">
        <v>861</v>
      </c>
      <c r="I1409" s="103" t="s">
        <v>862</v>
      </c>
      <c r="J1409" s="103" t="s">
        <v>863</v>
      </c>
      <c r="K1409" s="103" t="s">
        <v>864</v>
      </c>
      <c r="L1409" s="103" t="s">
        <v>153</v>
      </c>
      <c r="M1409" s="103" t="s">
        <v>865</v>
      </c>
      <c r="N1409" s="103" t="s">
        <v>866</v>
      </c>
      <c r="O1409" s="103" t="str">
        <f t="shared" si="78"/>
        <v>CFLscw-A(27w)</v>
      </c>
      <c r="P1409" s="103" t="s">
        <v>153</v>
      </c>
      <c r="Q1409" s="103" t="s">
        <v>153</v>
      </c>
      <c r="R1409" s="103" t="s">
        <v>153</v>
      </c>
      <c r="S1409" s="103" t="str">
        <f>INDEX('Measure &amp; Standard CostIDs'!$AK$8:$AK$12,B1409)</f>
        <v>Four+pack</v>
      </c>
      <c r="T1409" s="103" t="s">
        <v>867</v>
      </c>
      <c r="U1409" s="103"/>
      <c r="V1409" s="103"/>
      <c r="W1409" s="103">
        <f>ROUND(IF(LEFT(D1409,3)="Std",VLOOKUP(D1409,'Measure &amp; Standard CostIDs'!$S$5:$X$177,1+B1409,FALSE),VLOOKUP(D1409,'Measure &amp; Standard CostIDs'!$C$5:$H$177,1+B1409,FALSE)),2)</f>
        <v>4.87</v>
      </c>
      <c r="X1409" s="103"/>
      <c r="Y1409" s="103"/>
      <c r="Z1409" s="103" t="s">
        <v>868</v>
      </c>
      <c r="AA1409" s="103" t="s">
        <v>874</v>
      </c>
      <c r="AB1409" s="103" t="s">
        <v>153</v>
      </c>
      <c r="AC1409" s="103">
        <v>0</v>
      </c>
      <c r="AD1409" s="156">
        <v>42005</v>
      </c>
      <c r="AE1409" s="103"/>
      <c r="AF1409" s="103" t="s">
        <v>870</v>
      </c>
      <c r="AG1409" s="103" t="s">
        <v>871</v>
      </c>
      <c r="AH1409" s="103" t="s">
        <v>976</v>
      </c>
      <c r="AI1409" s="103">
        <v>0</v>
      </c>
      <c r="AJ1409" s="103"/>
      <c r="AK1409" s="103"/>
      <c r="AL1409" s="103"/>
      <c r="AM1409" s="103"/>
      <c r="AN1409" s="103"/>
      <c r="AO1409" s="103" t="str">
        <f t="shared" si="79"/>
        <v>CFLscw-A(27w)Four+pack</v>
      </c>
    </row>
    <row r="1410" spans="1:41">
      <c r="A1410" s="177">
        <f>IFERROR(MATCH(D1410,'Measure &amp; Standard CostIDs'!C$5:C$177,0),MATCH(D1410,'Measure &amp; Standard CostIDs'!S$5:S$177,0))</f>
        <v>86</v>
      </c>
      <c r="B1410" s="177">
        <f t="shared" si="77"/>
        <v>5</v>
      </c>
      <c r="C1410" s="103" t="s">
        <v>153</v>
      </c>
      <c r="D1410" s="103" t="str">
        <f t="shared" si="76"/>
        <v>CFLscw-A(28w)</v>
      </c>
      <c r="E1410" s="103" t="str">
        <f>IF(LEFT(D1410,3)="Std","Base case cost for mix of 60% Incandescent and 40% CFL lamps for CFL TechID: "&amp;INDEX('Measure &amp; Standard CostIDs'!$C$5:$C$177,A1410),"&lt;from TechID&gt;")</f>
        <v>&lt;from TechID&gt;</v>
      </c>
      <c r="F1410" s="103" t="s">
        <v>860</v>
      </c>
      <c r="G1410" s="103" t="s">
        <v>151</v>
      </c>
      <c r="H1410" s="103" t="s">
        <v>861</v>
      </c>
      <c r="I1410" s="103" t="s">
        <v>862</v>
      </c>
      <c r="J1410" s="103" t="s">
        <v>863</v>
      </c>
      <c r="K1410" s="103" t="s">
        <v>864</v>
      </c>
      <c r="L1410" s="103" t="s">
        <v>153</v>
      </c>
      <c r="M1410" s="103" t="s">
        <v>865</v>
      </c>
      <c r="N1410" s="103" t="s">
        <v>866</v>
      </c>
      <c r="O1410" s="103" t="str">
        <f t="shared" si="78"/>
        <v>CFLscw-A(28w)</v>
      </c>
      <c r="P1410" s="103" t="s">
        <v>153</v>
      </c>
      <c r="Q1410" s="103" t="s">
        <v>153</v>
      </c>
      <c r="R1410" s="103" t="s">
        <v>153</v>
      </c>
      <c r="S1410" s="103" t="str">
        <f>INDEX('Measure &amp; Standard CostIDs'!$AK$8:$AK$12,B1410)</f>
        <v>Four+pack</v>
      </c>
      <c r="T1410" s="103" t="s">
        <v>867</v>
      </c>
      <c r="U1410" s="103"/>
      <c r="V1410" s="103"/>
      <c r="W1410" s="103">
        <f>ROUND(IF(LEFT(D1410,3)="Std",VLOOKUP(D1410,'Measure &amp; Standard CostIDs'!$S$5:$X$177,1+B1410,FALSE),VLOOKUP(D1410,'Measure &amp; Standard CostIDs'!$C$5:$H$177,1+B1410,FALSE)),2)</f>
        <v>5.03</v>
      </c>
      <c r="X1410" s="103"/>
      <c r="Y1410" s="103"/>
      <c r="Z1410" s="103" t="s">
        <v>868</v>
      </c>
      <c r="AA1410" s="103" t="s">
        <v>874</v>
      </c>
      <c r="AB1410" s="103" t="s">
        <v>153</v>
      </c>
      <c r="AC1410" s="103">
        <v>0</v>
      </c>
      <c r="AD1410" s="156">
        <v>42005</v>
      </c>
      <c r="AE1410" s="103"/>
      <c r="AF1410" s="103" t="s">
        <v>870</v>
      </c>
      <c r="AG1410" s="103" t="s">
        <v>871</v>
      </c>
      <c r="AH1410" s="103" t="s">
        <v>976</v>
      </c>
      <c r="AI1410" s="103">
        <v>0</v>
      </c>
      <c r="AJ1410" s="103"/>
      <c r="AK1410" s="103"/>
      <c r="AL1410" s="103"/>
      <c r="AM1410" s="103"/>
      <c r="AN1410" s="103"/>
      <c r="AO1410" s="103" t="str">
        <f t="shared" si="79"/>
        <v>CFLscw-A(28w)Four+pack</v>
      </c>
    </row>
    <row r="1411" spans="1:41">
      <c r="A1411" s="177">
        <f>IFERROR(MATCH(D1411,'Measure &amp; Standard CostIDs'!C$5:C$177,0),MATCH(D1411,'Measure &amp; Standard CostIDs'!S$5:S$177,0))</f>
        <v>87</v>
      </c>
      <c r="B1411" s="177">
        <f t="shared" si="77"/>
        <v>5</v>
      </c>
      <c r="C1411" s="103" t="s">
        <v>153</v>
      </c>
      <c r="D1411" s="103" t="str">
        <f t="shared" si="76"/>
        <v>CFLscw-A(30w)</v>
      </c>
      <c r="E1411" s="103" t="str">
        <f>IF(LEFT(D1411,3)="Std","Base case cost for mix of 60% Incandescent and 40% CFL lamps for CFL TechID: "&amp;INDEX('Measure &amp; Standard CostIDs'!$C$5:$C$177,A1411),"&lt;from TechID&gt;")</f>
        <v>&lt;from TechID&gt;</v>
      </c>
      <c r="F1411" s="103" t="s">
        <v>860</v>
      </c>
      <c r="G1411" s="103" t="s">
        <v>151</v>
      </c>
      <c r="H1411" s="103" t="s">
        <v>861</v>
      </c>
      <c r="I1411" s="103" t="s">
        <v>862</v>
      </c>
      <c r="J1411" s="103" t="s">
        <v>863</v>
      </c>
      <c r="K1411" s="103" t="s">
        <v>864</v>
      </c>
      <c r="L1411" s="103" t="s">
        <v>153</v>
      </c>
      <c r="M1411" s="103" t="s">
        <v>865</v>
      </c>
      <c r="N1411" s="103" t="s">
        <v>866</v>
      </c>
      <c r="O1411" s="103" t="str">
        <f t="shared" si="78"/>
        <v>CFLscw-A(30w)</v>
      </c>
      <c r="P1411" s="103" t="s">
        <v>153</v>
      </c>
      <c r="Q1411" s="103" t="s">
        <v>153</v>
      </c>
      <c r="R1411" s="103" t="s">
        <v>153</v>
      </c>
      <c r="S1411" s="103" t="str">
        <f>INDEX('Measure &amp; Standard CostIDs'!$AK$8:$AK$12,B1411)</f>
        <v>Four+pack</v>
      </c>
      <c r="T1411" s="103" t="s">
        <v>867</v>
      </c>
      <c r="U1411" s="103"/>
      <c r="V1411" s="103"/>
      <c r="W1411" s="103">
        <f>ROUND(IF(LEFT(D1411,3)="Std",VLOOKUP(D1411,'Measure &amp; Standard CostIDs'!$S$5:$X$177,1+B1411,FALSE),VLOOKUP(D1411,'Measure &amp; Standard CostIDs'!$C$5:$H$177,1+B1411,FALSE)),2)</f>
        <v>5.35</v>
      </c>
      <c r="X1411" s="103"/>
      <c r="Y1411" s="103"/>
      <c r="Z1411" s="103" t="s">
        <v>868</v>
      </c>
      <c r="AA1411" s="103" t="s">
        <v>874</v>
      </c>
      <c r="AB1411" s="103" t="s">
        <v>153</v>
      </c>
      <c r="AC1411" s="103">
        <v>0</v>
      </c>
      <c r="AD1411" s="156">
        <v>42005</v>
      </c>
      <c r="AE1411" s="103"/>
      <c r="AF1411" s="103" t="s">
        <v>870</v>
      </c>
      <c r="AG1411" s="103" t="s">
        <v>871</v>
      </c>
      <c r="AH1411" s="103" t="s">
        <v>976</v>
      </c>
      <c r="AI1411" s="103">
        <v>0</v>
      </c>
      <c r="AJ1411" s="103"/>
      <c r="AK1411" s="103"/>
      <c r="AL1411" s="103"/>
      <c r="AM1411" s="103"/>
      <c r="AN1411" s="103"/>
      <c r="AO1411" s="103" t="str">
        <f t="shared" si="79"/>
        <v>CFLscw-A(30w)Four+pack</v>
      </c>
    </row>
    <row r="1412" spans="1:41">
      <c r="A1412" s="177">
        <f>IFERROR(MATCH(D1412,'Measure &amp; Standard CostIDs'!C$5:C$177,0),MATCH(D1412,'Measure &amp; Standard CostIDs'!S$5:S$177,0))</f>
        <v>88</v>
      </c>
      <c r="B1412" s="177">
        <f t="shared" si="77"/>
        <v>5</v>
      </c>
      <c r="C1412" s="103" t="s">
        <v>153</v>
      </c>
      <c r="D1412" s="103" t="str">
        <f t="shared" si="76"/>
        <v>CFLscw-A(32w)</v>
      </c>
      <c r="E1412" s="103" t="str">
        <f>IF(LEFT(D1412,3)="Std","Base case cost for mix of 60% Incandescent and 40% CFL lamps for CFL TechID: "&amp;INDEX('Measure &amp; Standard CostIDs'!$C$5:$C$177,A1412),"&lt;from TechID&gt;")</f>
        <v>&lt;from TechID&gt;</v>
      </c>
      <c r="F1412" s="103" t="s">
        <v>860</v>
      </c>
      <c r="G1412" s="103" t="s">
        <v>151</v>
      </c>
      <c r="H1412" s="103" t="s">
        <v>861</v>
      </c>
      <c r="I1412" s="103" t="s">
        <v>862</v>
      </c>
      <c r="J1412" s="103" t="s">
        <v>863</v>
      </c>
      <c r="K1412" s="103" t="s">
        <v>864</v>
      </c>
      <c r="L1412" s="103" t="s">
        <v>153</v>
      </c>
      <c r="M1412" s="103" t="s">
        <v>865</v>
      </c>
      <c r="N1412" s="103" t="s">
        <v>866</v>
      </c>
      <c r="O1412" s="103" t="str">
        <f t="shared" si="78"/>
        <v>CFLscw-A(32w)</v>
      </c>
      <c r="P1412" s="103" t="s">
        <v>153</v>
      </c>
      <c r="Q1412" s="103" t="s">
        <v>153</v>
      </c>
      <c r="R1412" s="103" t="s">
        <v>153</v>
      </c>
      <c r="S1412" s="103" t="str">
        <f>INDEX('Measure &amp; Standard CostIDs'!$AK$8:$AK$12,B1412)</f>
        <v>Four+pack</v>
      </c>
      <c r="T1412" s="103" t="s">
        <v>867</v>
      </c>
      <c r="U1412" s="103"/>
      <c r="V1412" s="103"/>
      <c r="W1412" s="103">
        <f>ROUND(IF(LEFT(D1412,3)="Std",VLOOKUP(D1412,'Measure &amp; Standard CostIDs'!$S$5:$X$177,1+B1412,FALSE),VLOOKUP(D1412,'Measure &amp; Standard CostIDs'!$C$5:$H$177,1+B1412,FALSE)),2)</f>
        <v>5.67</v>
      </c>
      <c r="X1412" s="103"/>
      <c r="Y1412" s="103"/>
      <c r="Z1412" s="103" t="s">
        <v>868</v>
      </c>
      <c r="AA1412" s="103" t="s">
        <v>874</v>
      </c>
      <c r="AB1412" s="103" t="s">
        <v>153</v>
      </c>
      <c r="AC1412" s="103">
        <v>0</v>
      </c>
      <c r="AD1412" s="156">
        <v>42005</v>
      </c>
      <c r="AE1412" s="103"/>
      <c r="AF1412" s="103" t="s">
        <v>870</v>
      </c>
      <c r="AG1412" s="103" t="s">
        <v>871</v>
      </c>
      <c r="AH1412" s="103" t="s">
        <v>976</v>
      </c>
      <c r="AI1412" s="103">
        <v>0</v>
      </c>
      <c r="AJ1412" s="103"/>
      <c r="AK1412" s="103"/>
      <c r="AL1412" s="103"/>
      <c r="AM1412" s="103"/>
      <c r="AN1412" s="103"/>
      <c r="AO1412" s="103" t="str">
        <f t="shared" si="79"/>
        <v>CFLscw-A(32w)Four+pack</v>
      </c>
    </row>
    <row r="1413" spans="1:41">
      <c r="A1413" s="177">
        <f>IFERROR(MATCH(D1413,'Measure &amp; Standard CostIDs'!C$5:C$177,0),MATCH(D1413,'Measure &amp; Standard CostIDs'!S$5:S$177,0))</f>
        <v>89</v>
      </c>
      <c r="B1413" s="177">
        <f t="shared" si="77"/>
        <v>5</v>
      </c>
      <c r="C1413" s="103" t="s">
        <v>153</v>
      </c>
      <c r="D1413" s="103" t="str">
        <f t="shared" si="76"/>
        <v>CFLscw-A(40w)</v>
      </c>
      <c r="E1413" s="103" t="str">
        <f>IF(LEFT(D1413,3)="Std","Base case cost for mix of 60% Incandescent and 40% CFL lamps for CFL TechID: "&amp;INDEX('Measure &amp; Standard CostIDs'!$C$5:$C$177,A1413),"&lt;from TechID&gt;")</f>
        <v>&lt;from TechID&gt;</v>
      </c>
      <c r="F1413" s="103" t="s">
        <v>860</v>
      </c>
      <c r="G1413" s="103" t="s">
        <v>151</v>
      </c>
      <c r="H1413" s="103" t="s">
        <v>861</v>
      </c>
      <c r="I1413" s="103" t="s">
        <v>862</v>
      </c>
      <c r="J1413" s="103" t="s">
        <v>863</v>
      </c>
      <c r="K1413" s="103" t="s">
        <v>864</v>
      </c>
      <c r="L1413" s="103" t="s">
        <v>153</v>
      </c>
      <c r="M1413" s="103" t="s">
        <v>865</v>
      </c>
      <c r="N1413" s="103" t="s">
        <v>866</v>
      </c>
      <c r="O1413" s="103" t="str">
        <f t="shared" si="78"/>
        <v>CFLscw-A(40w)</v>
      </c>
      <c r="P1413" s="103" t="s">
        <v>153</v>
      </c>
      <c r="Q1413" s="103" t="s">
        <v>153</v>
      </c>
      <c r="R1413" s="103" t="s">
        <v>153</v>
      </c>
      <c r="S1413" s="103" t="str">
        <f>INDEX('Measure &amp; Standard CostIDs'!$AK$8:$AK$12,B1413)</f>
        <v>Four+pack</v>
      </c>
      <c r="T1413" s="103" t="s">
        <v>867</v>
      </c>
      <c r="U1413" s="103"/>
      <c r="V1413" s="103"/>
      <c r="W1413" s="103">
        <f>ROUND(IF(LEFT(D1413,3)="Std",VLOOKUP(D1413,'Measure &amp; Standard CostIDs'!$S$5:$X$177,1+B1413,FALSE),VLOOKUP(D1413,'Measure &amp; Standard CostIDs'!$C$5:$H$177,1+B1413,FALSE)),2)</f>
        <v>6.95</v>
      </c>
      <c r="X1413" s="103"/>
      <c r="Y1413" s="103"/>
      <c r="Z1413" s="103" t="s">
        <v>868</v>
      </c>
      <c r="AA1413" s="103" t="s">
        <v>874</v>
      </c>
      <c r="AB1413" s="103" t="s">
        <v>153</v>
      </c>
      <c r="AC1413" s="103">
        <v>0</v>
      </c>
      <c r="AD1413" s="156">
        <v>42005</v>
      </c>
      <c r="AE1413" s="103"/>
      <c r="AF1413" s="103" t="s">
        <v>870</v>
      </c>
      <c r="AG1413" s="103" t="s">
        <v>871</v>
      </c>
      <c r="AH1413" s="103" t="s">
        <v>976</v>
      </c>
      <c r="AI1413" s="103">
        <v>0</v>
      </c>
      <c r="AJ1413" s="103"/>
      <c r="AK1413" s="103"/>
      <c r="AL1413" s="103"/>
      <c r="AM1413" s="103"/>
      <c r="AN1413" s="103"/>
      <c r="AO1413" s="103" t="str">
        <f t="shared" si="79"/>
        <v>CFLscw-A(40w)Four+pack</v>
      </c>
    </row>
    <row r="1414" spans="1:41">
      <c r="A1414" s="177">
        <f>IFERROR(MATCH(D1414,'Measure &amp; Standard CostIDs'!C$5:C$177,0),MATCH(D1414,'Measure &amp; Standard CostIDs'!S$5:S$177,0))</f>
        <v>90</v>
      </c>
      <c r="B1414" s="177">
        <f t="shared" si="77"/>
        <v>5</v>
      </c>
      <c r="C1414" s="103" t="s">
        <v>153</v>
      </c>
      <c r="D1414" s="103" t="str">
        <f t="shared" si="76"/>
        <v>CFLscw-A(42w)</v>
      </c>
      <c r="E1414" s="103" t="str">
        <f>IF(LEFT(D1414,3)="Std","Base case cost for mix of 60% Incandescent and 40% CFL lamps for CFL TechID: "&amp;INDEX('Measure &amp; Standard CostIDs'!$C$5:$C$177,A1414),"&lt;from TechID&gt;")</f>
        <v>&lt;from TechID&gt;</v>
      </c>
      <c r="F1414" s="103" t="s">
        <v>860</v>
      </c>
      <c r="G1414" s="103" t="s">
        <v>151</v>
      </c>
      <c r="H1414" s="103" t="s">
        <v>861</v>
      </c>
      <c r="I1414" s="103" t="s">
        <v>862</v>
      </c>
      <c r="J1414" s="103" t="s">
        <v>863</v>
      </c>
      <c r="K1414" s="103" t="s">
        <v>864</v>
      </c>
      <c r="L1414" s="103" t="s">
        <v>153</v>
      </c>
      <c r="M1414" s="103" t="s">
        <v>865</v>
      </c>
      <c r="N1414" s="103" t="s">
        <v>866</v>
      </c>
      <c r="O1414" s="103" t="str">
        <f t="shared" si="78"/>
        <v>CFLscw-A(42w)</v>
      </c>
      <c r="P1414" s="103" t="s">
        <v>153</v>
      </c>
      <c r="Q1414" s="103" t="s">
        <v>153</v>
      </c>
      <c r="R1414" s="103" t="s">
        <v>153</v>
      </c>
      <c r="S1414" s="103" t="str">
        <f>INDEX('Measure &amp; Standard CostIDs'!$AK$8:$AK$12,B1414)</f>
        <v>Four+pack</v>
      </c>
      <c r="T1414" s="103" t="s">
        <v>867</v>
      </c>
      <c r="U1414" s="103"/>
      <c r="V1414" s="103"/>
      <c r="W1414" s="103">
        <f>ROUND(IF(LEFT(D1414,3)="Std",VLOOKUP(D1414,'Measure &amp; Standard CostIDs'!$S$5:$X$177,1+B1414,FALSE),VLOOKUP(D1414,'Measure &amp; Standard CostIDs'!$C$5:$H$177,1+B1414,FALSE)),2)</f>
        <v>7.27</v>
      </c>
      <c r="X1414" s="103"/>
      <c r="Y1414" s="103"/>
      <c r="Z1414" s="103" t="s">
        <v>868</v>
      </c>
      <c r="AA1414" s="103" t="s">
        <v>874</v>
      </c>
      <c r="AB1414" s="103" t="s">
        <v>153</v>
      </c>
      <c r="AC1414" s="103">
        <v>0</v>
      </c>
      <c r="AD1414" s="156">
        <v>42005</v>
      </c>
      <c r="AE1414" s="103"/>
      <c r="AF1414" s="103" t="s">
        <v>870</v>
      </c>
      <c r="AG1414" s="103" t="s">
        <v>871</v>
      </c>
      <c r="AH1414" s="103" t="s">
        <v>976</v>
      </c>
      <c r="AI1414" s="103">
        <v>0</v>
      </c>
      <c r="AJ1414" s="103"/>
      <c r="AK1414" s="103"/>
      <c r="AL1414" s="103"/>
      <c r="AM1414" s="103"/>
      <c r="AN1414" s="103"/>
      <c r="AO1414" s="103" t="str">
        <f t="shared" si="79"/>
        <v>CFLscw-A(42w)Four+pack</v>
      </c>
    </row>
    <row r="1415" spans="1:41">
      <c r="A1415" s="177">
        <f>IFERROR(MATCH(D1415,'Measure &amp; Standard CostIDs'!C$5:C$177,0),MATCH(D1415,'Measure &amp; Standard CostIDs'!S$5:S$177,0))</f>
        <v>91</v>
      </c>
      <c r="B1415" s="177">
        <f t="shared" si="77"/>
        <v>5</v>
      </c>
      <c r="C1415" s="103" t="s">
        <v>153</v>
      </c>
      <c r="D1415" s="103" t="str">
        <f t="shared" si="76"/>
        <v>CFLscw-A(45w)</v>
      </c>
      <c r="E1415" s="103" t="str">
        <f>IF(LEFT(D1415,3)="Std","Base case cost for mix of 60% Incandescent and 40% CFL lamps for CFL TechID: "&amp;INDEX('Measure &amp; Standard CostIDs'!$C$5:$C$177,A1415),"&lt;from TechID&gt;")</f>
        <v>&lt;from TechID&gt;</v>
      </c>
      <c r="F1415" s="103" t="s">
        <v>860</v>
      </c>
      <c r="G1415" s="103" t="s">
        <v>151</v>
      </c>
      <c r="H1415" s="103" t="s">
        <v>861</v>
      </c>
      <c r="I1415" s="103" t="s">
        <v>862</v>
      </c>
      <c r="J1415" s="103" t="s">
        <v>863</v>
      </c>
      <c r="K1415" s="103" t="s">
        <v>864</v>
      </c>
      <c r="L1415" s="103" t="s">
        <v>153</v>
      </c>
      <c r="M1415" s="103" t="s">
        <v>865</v>
      </c>
      <c r="N1415" s="103" t="s">
        <v>866</v>
      </c>
      <c r="O1415" s="103" t="str">
        <f t="shared" si="78"/>
        <v>CFLscw-A(45w)</v>
      </c>
      <c r="P1415" s="103" t="s">
        <v>153</v>
      </c>
      <c r="Q1415" s="103" t="s">
        <v>153</v>
      </c>
      <c r="R1415" s="103" t="s">
        <v>153</v>
      </c>
      <c r="S1415" s="103" t="str">
        <f>INDEX('Measure &amp; Standard CostIDs'!$AK$8:$AK$12,B1415)</f>
        <v>Four+pack</v>
      </c>
      <c r="T1415" s="103" t="s">
        <v>867</v>
      </c>
      <c r="U1415" s="103"/>
      <c r="V1415" s="103"/>
      <c r="W1415" s="103">
        <f>ROUND(IF(LEFT(D1415,3)="Std",VLOOKUP(D1415,'Measure &amp; Standard CostIDs'!$S$5:$X$177,1+B1415,FALSE),VLOOKUP(D1415,'Measure &amp; Standard CostIDs'!$C$5:$H$177,1+B1415,FALSE)),2)</f>
        <v>7.75</v>
      </c>
      <c r="X1415" s="103"/>
      <c r="Y1415" s="103"/>
      <c r="Z1415" s="103" t="s">
        <v>868</v>
      </c>
      <c r="AA1415" s="103" t="s">
        <v>874</v>
      </c>
      <c r="AB1415" s="103" t="s">
        <v>153</v>
      </c>
      <c r="AC1415" s="103">
        <v>0</v>
      </c>
      <c r="AD1415" s="156">
        <v>42005</v>
      </c>
      <c r="AE1415" s="103"/>
      <c r="AF1415" s="103" t="s">
        <v>870</v>
      </c>
      <c r="AG1415" s="103" t="s">
        <v>871</v>
      </c>
      <c r="AH1415" s="103" t="s">
        <v>976</v>
      </c>
      <c r="AI1415" s="103">
        <v>0</v>
      </c>
      <c r="AJ1415" s="103"/>
      <c r="AK1415" s="103"/>
      <c r="AL1415" s="103"/>
      <c r="AM1415" s="103"/>
      <c r="AN1415" s="103"/>
      <c r="AO1415" s="103" t="str">
        <f t="shared" si="79"/>
        <v>CFLscw-A(45w)Four+pack</v>
      </c>
    </row>
    <row r="1416" spans="1:41">
      <c r="A1416" s="177">
        <f>IFERROR(MATCH(D1416,'Measure &amp; Standard CostIDs'!C$5:C$177,0),MATCH(D1416,'Measure &amp; Standard CostIDs'!S$5:S$177,0))</f>
        <v>92</v>
      </c>
      <c r="B1416" s="177">
        <f t="shared" si="77"/>
        <v>5</v>
      </c>
      <c r="C1416" s="103" t="s">
        <v>153</v>
      </c>
      <c r="D1416" s="103" t="str">
        <f t="shared" si="76"/>
        <v>CFLscw-A(55w)</v>
      </c>
      <c r="E1416" s="103" t="str">
        <f>IF(LEFT(D1416,3)="Std","Base case cost for mix of 60% Incandescent and 40% CFL lamps for CFL TechID: "&amp;INDEX('Measure &amp; Standard CostIDs'!$C$5:$C$177,A1416),"&lt;from TechID&gt;")</f>
        <v>&lt;from TechID&gt;</v>
      </c>
      <c r="F1416" s="103" t="s">
        <v>860</v>
      </c>
      <c r="G1416" s="103" t="s">
        <v>151</v>
      </c>
      <c r="H1416" s="103" t="s">
        <v>861</v>
      </c>
      <c r="I1416" s="103" t="s">
        <v>862</v>
      </c>
      <c r="J1416" s="103" t="s">
        <v>863</v>
      </c>
      <c r="K1416" s="103" t="s">
        <v>864</v>
      </c>
      <c r="L1416" s="103" t="s">
        <v>153</v>
      </c>
      <c r="M1416" s="103" t="s">
        <v>865</v>
      </c>
      <c r="N1416" s="103" t="s">
        <v>866</v>
      </c>
      <c r="O1416" s="103" t="str">
        <f t="shared" si="78"/>
        <v>CFLscw-A(55w)</v>
      </c>
      <c r="P1416" s="103" t="s">
        <v>153</v>
      </c>
      <c r="Q1416" s="103" t="s">
        <v>153</v>
      </c>
      <c r="R1416" s="103" t="s">
        <v>153</v>
      </c>
      <c r="S1416" s="103" t="str">
        <f>INDEX('Measure &amp; Standard CostIDs'!$AK$8:$AK$12,B1416)</f>
        <v>Four+pack</v>
      </c>
      <c r="T1416" s="103" t="s">
        <v>867</v>
      </c>
      <c r="U1416" s="103"/>
      <c r="V1416" s="103"/>
      <c r="W1416" s="103">
        <f>ROUND(IF(LEFT(D1416,3)="Std",VLOOKUP(D1416,'Measure &amp; Standard CostIDs'!$S$5:$X$177,1+B1416,FALSE),VLOOKUP(D1416,'Measure &amp; Standard CostIDs'!$C$5:$H$177,1+B1416,FALSE)),2)</f>
        <v>9.35</v>
      </c>
      <c r="X1416" s="103"/>
      <c r="Y1416" s="103"/>
      <c r="Z1416" s="103" t="s">
        <v>868</v>
      </c>
      <c r="AA1416" s="103" t="s">
        <v>874</v>
      </c>
      <c r="AB1416" s="103" t="s">
        <v>153</v>
      </c>
      <c r="AC1416" s="103">
        <v>0</v>
      </c>
      <c r="AD1416" s="156">
        <v>42005</v>
      </c>
      <c r="AE1416" s="103"/>
      <c r="AF1416" s="103" t="s">
        <v>870</v>
      </c>
      <c r="AG1416" s="103" t="s">
        <v>871</v>
      </c>
      <c r="AH1416" s="103" t="s">
        <v>976</v>
      </c>
      <c r="AI1416" s="103">
        <v>0</v>
      </c>
      <c r="AJ1416" s="103"/>
      <c r="AK1416" s="103"/>
      <c r="AL1416" s="103"/>
      <c r="AM1416" s="103"/>
      <c r="AN1416" s="103"/>
      <c r="AO1416" s="103" t="str">
        <f t="shared" si="79"/>
        <v>CFLscw-A(55w)Four+pack</v>
      </c>
    </row>
    <row r="1417" spans="1:41">
      <c r="A1417" s="177">
        <f>IFERROR(MATCH(D1417,'Measure &amp; Standard CostIDs'!C$5:C$177,0),MATCH(D1417,'Measure &amp; Standard CostIDs'!S$5:S$177,0))</f>
        <v>93</v>
      </c>
      <c r="B1417" s="177">
        <f t="shared" si="77"/>
        <v>5</v>
      </c>
      <c r="C1417" s="103" t="s">
        <v>153</v>
      </c>
      <c r="D1417" s="103" t="str">
        <f t="shared" si="76"/>
        <v>CFLscw-A(7w)</v>
      </c>
      <c r="E1417" s="103" t="str">
        <f>IF(LEFT(D1417,3)="Std","Base case cost for mix of 60% Incandescent and 40% CFL lamps for CFL TechID: "&amp;INDEX('Measure &amp; Standard CostIDs'!$C$5:$C$177,A1417),"&lt;from TechID&gt;")</f>
        <v>&lt;from TechID&gt;</v>
      </c>
      <c r="F1417" s="103" t="s">
        <v>860</v>
      </c>
      <c r="G1417" s="103" t="s">
        <v>151</v>
      </c>
      <c r="H1417" s="103" t="s">
        <v>861</v>
      </c>
      <c r="I1417" s="103" t="s">
        <v>862</v>
      </c>
      <c r="J1417" s="103" t="s">
        <v>863</v>
      </c>
      <c r="K1417" s="103" t="s">
        <v>864</v>
      </c>
      <c r="L1417" s="103" t="s">
        <v>153</v>
      </c>
      <c r="M1417" s="103" t="s">
        <v>865</v>
      </c>
      <c r="N1417" s="103" t="s">
        <v>866</v>
      </c>
      <c r="O1417" s="103" t="str">
        <f t="shared" si="78"/>
        <v>CFLscw-A(7w)</v>
      </c>
      <c r="P1417" s="103" t="s">
        <v>153</v>
      </c>
      <c r="Q1417" s="103" t="s">
        <v>153</v>
      </c>
      <c r="R1417" s="103" t="s">
        <v>153</v>
      </c>
      <c r="S1417" s="103" t="str">
        <f>INDEX('Measure &amp; Standard CostIDs'!$AK$8:$AK$12,B1417)</f>
        <v>Four+pack</v>
      </c>
      <c r="T1417" s="103" t="s">
        <v>867</v>
      </c>
      <c r="U1417" s="103"/>
      <c r="V1417" s="103"/>
      <c r="W1417" s="103">
        <f>ROUND(IF(LEFT(D1417,3)="Std",VLOOKUP(D1417,'Measure &amp; Standard CostIDs'!$S$5:$X$177,1+B1417,FALSE),VLOOKUP(D1417,'Measure &amp; Standard CostIDs'!$C$5:$H$177,1+B1417,FALSE)),2)</f>
        <v>3.35</v>
      </c>
      <c r="X1417" s="103"/>
      <c r="Y1417" s="103"/>
      <c r="Z1417" s="103" t="s">
        <v>868</v>
      </c>
      <c r="AA1417" s="103" t="s">
        <v>874</v>
      </c>
      <c r="AB1417" s="103" t="s">
        <v>153</v>
      </c>
      <c r="AC1417" s="103">
        <v>0</v>
      </c>
      <c r="AD1417" s="156">
        <v>42005</v>
      </c>
      <c r="AE1417" s="103"/>
      <c r="AF1417" s="103" t="s">
        <v>870</v>
      </c>
      <c r="AG1417" s="103" t="s">
        <v>871</v>
      </c>
      <c r="AH1417" s="103" t="s">
        <v>976</v>
      </c>
      <c r="AI1417" s="103">
        <v>0</v>
      </c>
      <c r="AJ1417" s="103"/>
      <c r="AK1417" s="103"/>
      <c r="AL1417" s="103"/>
      <c r="AM1417" s="103"/>
      <c r="AN1417" s="103"/>
      <c r="AO1417" s="103" t="str">
        <f t="shared" si="79"/>
        <v>CFLscw-A(7w)Four+pack</v>
      </c>
    </row>
    <row r="1418" spans="1:41">
      <c r="A1418" s="177">
        <f>IFERROR(MATCH(D1418,'Measure &amp; Standard CostIDs'!C$5:C$177,0),MATCH(D1418,'Measure &amp; Standard CostIDs'!S$5:S$177,0))</f>
        <v>94</v>
      </c>
      <c r="B1418" s="177">
        <f t="shared" si="77"/>
        <v>5</v>
      </c>
      <c r="C1418" s="103" t="s">
        <v>153</v>
      </c>
      <c r="D1418" s="103" t="str">
        <f t="shared" si="76"/>
        <v>CFLscw-A(8w)</v>
      </c>
      <c r="E1418" s="103" t="str">
        <f>IF(LEFT(D1418,3)="Std","Base case cost for mix of 60% Incandescent and 40% CFL lamps for CFL TechID: "&amp;INDEX('Measure &amp; Standard CostIDs'!$C$5:$C$177,A1418),"&lt;from TechID&gt;")</f>
        <v>&lt;from TechID&gt;</v>
      </c>
      <c r="F1418" s="103" t="s">
        <v>860</v>
      </c>
      <c r="G1418" s="103" t="s">
        <v>151</v>
      </c>
      <c r="H1418" s="103" t="s">
        <v>861</v>
      </c>
      <c r="I1418" s="103" t="s">
        <v>862</v>
      </c>
      <c r="J1418" s="103" t="s">
        <v>863</v>
      </c>
      <c r="K1418" s="103" t="s">
        <v>864</v>
      </c>
      <c r="L1418" s="103" t="s">
        <v>153</v>
      </c>
      <c r="M1418" s="103" t="s">
        <v>865</v>
      </c>
      <c r="N1418" s="103" t="s">
        <v>866</v>
      </c>
      <c r="O1418" s="103" t="str">
        <f t="shared" si="78"/>
        <v>CFLscw-A(8w)</v>
      </c>
      <c r="P1418" s="103" t="s">
        <v>153</v>
      </c>
      <c r="Q1418" s="103" t="s">
        <v>153</v>
      </c>
      <c r="R1418" s="103" t="s">
        <v>153</v>
      </c>
      <c r="S1418" s="103" t="str">
        <f>INDEX('Measure &amp; Standard CostIDs'!$AK$8:$AK$12,B1418)</f>
        <v>Four+pack</v>
      </c>
      <c r="T1418" s="103" t="s">
        <v>867</v>
      </c>
      <c r="U1418" s="103"/>
      <c r="V1418" s="103"/>
      <c r="W1418" s="103">
        <f>ROUND(IF(LEFT(D1418,3)="Std",VLOOKUP(D1418,'Measure &amp; Standard CostIDs'!$S$5:$X$177,1+B1418,FALSE),VLOOKUP(D1418,'Measure &amp; Standard CostIDs'!$C$5:$H$177,1+B1418,FALSE)),2)</f>
        <v>3.42</v>
      </c>
      <c r="X1418" s="103"/>
      <c r="Y1418" s="103"/>
      <c r="Z1418" s="103" t="s">
        <v>868</v>
      </c>
      <c r="AA1418" s="103" t="s">
        <v>874</v>
      </c>
      <c r="AB1418" s="103" t="s">
        <v>153</v>
      </c>
      <c r="AC1418" s="103">
        <v>0</v>
      </c>
      <c r="AD1418" s="156">
        <v>42005</v>
      </c>
      <c r="AE1418" s="103"/>
      <c r="AF1418" s="103" t="s">
        <v>870</v>
      </c>
      <c r="AG1418" s="103" t="s">
        <v>871</v>
      </c>
      <c r="AH1418" s="103" t="s">
        <v>976</v>
      </c>
      <c r="AI1418" s="103">
        <v>0</v>
      </c>
      <c r="AJ1418" s="103"/>
      <c r="AK1418" s="103"/>
      <c r="AL1418" s="103"/>
      <c r="AM1418" s="103"/>
      <c r="AN1418" s="103"/>
      <c r="AO1418" s="103" t="str">
        <f t="shared" si="79"/>
        <v>CFLscw-A(8w)Four+pack</v>
      </c>
    </row>
    <row r="1419" spans="1:41">
      <c r="A1419" s="177">
        <f>IFERROR(MATCH(D1419,'Measure &amp; Standard CostIDs'!C$5:C$177,0),MATCH(D1419,'Measure &amp; Standard CostIDs'!S$5:S$177,0))</f>
        <v>95</v>
      </c>
      <c r="B1419" s="177">
        <f t="shared" si="77"/>
        <v>5</v>
      </c>
      <c r="C1419" s="103" t="s">
        <v>153</v>
      </c>
      <c r="D1419" s="103" t="str">
        <f t="shared" si="76"/>
        <v>CFLscw-A(9w)</v>
      </c>
      <c r="E1419" s="103" t="str">
        <f>IF(LEFT(D1419,3)="Std","Base case cost for mix of 60% Incandescent and 40% CFL lamps for CFL TechID: "&amp;INDEX('Measure &amp; Standard CostIDs'!$C$5:$C$177,A1419),"&lt;from TechID&gt;")</f>
        <v>&lt;from TechID&gt;</v>
      </c>
      <c r="F1419" s="103" t="s">
        <v>860</v>
      </c>
      <c r="G1419" s="103" t="s">
        <v>151</v>
      </c>
      <c r="H1419" s="103" t="s">
        <v>861</v>
      </c>
      <c r="I1419" s="103" t="s">
        <v>862</v>
      </c>
      <c r="J1419" s="103" t="s">
        <v>863</v>
      </c>
      <c r="K1419" s="103" t="s">
        <v>864</v>
      </c>
      <c r="L1419" s="103" t="s">
        <v>153</v>
      </c>
      <c r="M1419" s="103" t="s">
        <v>865</v>
      </c>
      <c r="N1419" s="103" t="s">
        <v>866</v>
      </c>
      <c r="O1419" s="103" t="str">
        <f t="shared" si="78"/>
        <v>CFLscw-A(9w)</v>
      </c>
      <c r="P1419" s="103" t="s">
        <v>153</v>
      </c>
      <c r="Q1419" s="103" t="s">
        <v>153</v>
      </c>
      <c r="R1419" s="103" t="s">
        <v>153</v>
      </c>
      <c r="S1419" s="103" t="str">
        <f>INDEX('Measure &amp; Standard CostIDs'!$AK$8:$AK$12,B1419)</f>
        <v>Four+pack</v>
      </c>
      <c r="T1419" s="103" t="s">
        <v>867</v>
      </c>
      <c r="U1419" s="103"/>
      <c r="V1419" s="103"/>
      <c r="W1419" s="103">
        <f>ROUND(IF(LEFT(D1419,3)="Std",VLOOKUP(D1419,'Measure &amp; Standard CostIDs'!$S$5:$X$177,1+B1419,FALSE),VLOOKUP(D1419,'Measure &amp; Standard CostIDs'!$C$5:$H$177,1+B1419,FALSE)),2)</f>
        <v>3.48</v>
      </c>
      <c r="X1419" s="103"/>
      <c r="Y1419" s="103"/>
      <c r="Z1419" s="103" t="s">
        <v>868</v>
      </c>
      <c r="AA1419" s="103" t="s">
        <v>874</v>
      </c>
      <c r="AB1419" s="103" t="s">
        <v>153</v>
      </c>
      <c r="AC1419" s="103">
        <v>0</v>
      </c>
      <c r="AD1419" s="156">
        <v>42005</v>
      </c>
      <c r="AE1419" s="103"/>
      <c r="AF1419" s="103" t="s">
        <v>870</v>
      </c>
      <c r="AG1419" s="103" t="s">
        <v>871</v>
      </c>
      <c r="AH1419" s="103" t="s">
        <v>976</v>
      </c>
      <c r="AI1419" s="103">
        <v>0</v>
      </c>
      <c r="AJ1419" s="103"/>
      <c r="AK1419" s="103"/>
      <c r="AL1419" s="103"/>
      <c r="AM1419" s="103"/>
      <c r="AN1419" s="103"/>
      <c r="AO1419" s="103" t="str">
        <f t="shared" si="79"/>
        <v>CFLscw-A(9w)Four+pack</v>
      </c>
    </row>
    <row r="1420" spans="1:41">
      <c r="A1420" s="177">
        <f>IFERROR(MATCH(D1420,'Measure &amp; Standard CostIDs'!C$5:C$177,0),MATCH(D1420,'Measure &amp; Standard CostIDs'!S$5:S$177,0))</f>
        <v>96</v>
      </c>
      <c r="B1420" s="177">
        <f t="shared" si="77"/>
        <v>5</v>
      </c>
      <c r="C1420" s="103" t="s">
        <v>153</v>
      </c>
      <c r="D1420" s="103" t="str">
        <f t="shared" si="76"/>
        <v>CFLscw-Candle(10w)</v>
      </c>
      <c r="E1420" s="103" t="str">
        <f>IF(LEFT(D1420,3)="Std","Base case cost for mix of 60% Incandescent and 40% CFL lamps for CFL TechID: "&amp;INDEX('Measure &amp; Standard CostIDs'!$C$5:$C$177,A1420),"&lt;from TechID&gt;")</f>
        <v>&lt;from TechID&gt;</v>
      </c>
      <c r="F1420" s="103" t="s">
        <v>860</v>
      </c>
      <c r="G1420" s="103" t="s">
        <v>151</v>
      </c>
      <c r="H1420" s="103" t="s">
        <v>861</v>
      </c>
      <c r="I1420" s="103" t="s">
        <v>862</v>
      </c>
      <c r="J1420" s="103" t="s">
        <v>863</v>
      </c>
      <c r="K1420" s="103" t="s">
        <v>864</v>
      </c>
      <c r="L1420" s="103" t="s">
        <v>153</v>
      </c>
      <c r="M1420" s="103" t="s">
        <v>865</v>
      </c>
      <c r="N1420" s="103" t="s">
        <v>866</v>
      </c>
      <c r="O1420" s="103" t="str">
        <f t="shared" si="78"/>
        <v>CFLscw-Candle(10w)</v>
      </c>
      <c r="P1420" s="103" t="s">
        <v>153</v>
      </c>
      <c r="Q1420" s="103" t="s">
        <v>153</v>
      </c>
      <c r="R1420" s="103" t="s">
        <v>153</v>
      </c>
      <c r="S1420" s="103" t="str">
        <f>INDEX('Measure &amp; Standard CostIDs'!$AK$8:$AK$12,B1420)</f>
        <v>Four+pack</v>
      </c>
      <c r="T1420" s="103" t="s">
        <v>867</v>
      </c>
      <c r="U1420" s="103"/>
      <c r="V1420" s="103"/>
      <c r="W1420" s="103">
        <f>ROUND(IF(LEFT(D1420,3)="Std",VLOOKUP(D1420,'Measure &amp; Standard CostIDs'!$S$5:$X$177,1+B1420,FALSE),VLOOKUP(D1420,'Measure &amp; Standard CostIDs'!$C$5:$H$177,1+B1420,FALSE)),2)</f>
        <v>5.17</v>
      </c>
      <c r="X1420" s="103"/>
      <c r="Y1420" s="103"/>
      <c r="Z1420" s="103" t="s">
        <v>868</v>
      </c>
      <c r="AA1420" s="103" t="s">
        <v>874</v>
      </c>
      <c r="AB1420" s="103" t="s">
        <v>153</v>
      </c>
      <c r="AC1420" s="103">
        <v>0</v>
      </c>
      <c r="AD1420" s="156">
        <v>42005</v>
      </c>
      <c r="AE1420" s="103"/>
      <c r="AF1420" s="103" t="s">
        <v>870</v>
      </c>
      <c r="AG1420" s="103" t="s">
        <v>871</v>
      </c>
      <c r="AH1420" s="103" t="s">
        <v>976</v>
      </c>
      <c r="AI1420" s="103">
        <v>0</v>
      </c>
      <c r="AJ1420" s="103"/>
      <c r="AK1420" s="103"/>
      <c r="AL1420" s="103"/>
      <c r="AM1420" s="103"/>
      <c r="AN1420" s="103"/>
      <c r="AO1420" s="103" t="str">
        <f t="shared" si="79"/>
        <v>CFLscw-Candle(10w)Four+pack</v>
      </c>
    </row>
    <row r="1421" spans="1:41">
      <c r="A1421" s="177">
        <f>IFERROR(MATCH(D1421,'Measure &amp; Standard CostIDs'!C$5:C$177,0),MATCH(D1421,'Measure &amp; Standard CostIDs'!S$5:S$177,0))</f>
        <v>97</v>
      </c>
      <c r="B1421" s="177">
        <f t="shared" si="77"/>
        <v>5</v>
      </c>
      <c r="C1421" s="103" t="s">
        <v>153</v>
      </c>
      <c r="D1421" s="103" t="str">
        <f t="shared" si="76"/>
        <v>CFLscw-Candle(11w)</v>
      </c>
      <c r="E1421" s="103" t="str">
        <f>IF(LEFT(D1421,3)="Std","Base case cost for mix of 60% Incandescent and 40% CFL lamps for CFL TechID: "&amp;INDEX('Measure &amp; Standard CostIDs'!$C$5:$C$177,A1421),"&lt;from TechID&gt;")</f>
        <v>&lt;from TechID&gt;</v>
      </c>
      <c r="F1421" s="103" t="s">
        <v>860</v>
      </c>
      <c r="G1421" s="103" t="s">
        <v>151</v>
      </c>
      <c r="H1421" s="103" t="s">
        <v>861</v>
      </c>
      <c r="I1421" s="103" t="s">
        <v>862</v>
      </c>
      <c r="J1421" s="103" t="s">
        <v>863</v>
      </c>
      <c r="K1421" s="103" t="s">
        <v>864</v>
      </c>
      <c r="L1421" s="103" t="s">
        <v>153</v>
      </c>
      <c r="M1421" s="103" t="s">
        <v>865</v>
      </c>
      <c r="N1421" s="103" t="s">
        <v>866</v>
      </c>
      <c r="O1421" s="103" t="str">
        <f t="shared" si="78"/>
        <v>CFLscw-Candle(11w)</v>
      </c>
      <c r="P1421" s="103" t="s">
        <v>153</v>
      </c>
      <c r="Q1421" s="103" t="s">
        <v>153</v>
      </c>
      <c r="R1421" s="103" t="s">
        <v>153</v>
      </c>
      <c r="S1421" s="103" t="str">
        <f>INDEX('Measure &amp; Standard CostIDs'!$AK$8:$AK$12,B1421)</f>
        <v>Four+pack</v>
      </c>
      <c r="T1421" s="103" t="s">
        <v>867</v>
      </c>
      <c r="U1421" s="103"/>
      <c r="V1421" s="103"/>
      <c r="W1421" s="103">
        <f>ROUND(IF(LEFT(D1421,3)="Std",VLOOKUP(D1421,'Measure &amp; Standard CostIDs'!$S$5:$X$177,1+B1421,FALSE),VLOOKUP(D1421,'Measure &amp; Standard CostIDs'!$C$5:$H$177,1+B1421,FALSE)),2)</f>
        <v>5.38</v>
      </c>
      <c r="X1421" s="103"/>
      <c r="Y1421" s="103"/>
      <c r="Z1421" s="103" t="s">
        <v>868</v>
      </c>
      <c r="AA1421" s="103" t="s">
        <v>874</v>
      </c>
      <c r="AB1421" s="103" t="s">
        <v>153</v>
      </c>
      <c r="AC1421" s="103">
        <v>0</v>
      </c>
      <c r="AD1421" s="156">
        <v>42005</v>
      </c>
      <c r="AE1421" s="103"/>
      <c r="AF1421" s="103" t="s">
        <v>870</v>
      </c>
      <c r="AG1421" s="103" t="s">
        <v>871</v>
      </c>
      <c r="AH1421" s="103" t="s">
        <v>976</v>
      </c>
      <c r="AI1421" s="103">
        <v>0</v>
      </c>
      <c r="AJ1421" s="103"/>
      <c r="AK1421" s="103"/>
      <c r="AL1421" s="103"/>
      <c r="AM1421" s="103"/>
      <c r="AN1421" s="103"/>
      <c r="AO1421" s="103" t="str">
        <f t="shared" si="79"/>
        <v>CFLscw-Candle(11w)Four+pack</v>
      </c>
    </row>
    <row r="1422" spans="1:41">
      <c r="A1422" s="177">
        <f>IFERROR(MATCH(D1422,'Measure &amp; Standard CostIDs'!C$5:C$177,0),MATCH(D1422,'Measure &amp; Standard CostIDs'!S$5:S$177,0))</f>
        <v>98</v>
      </c>
      <c r="B1422" s="177">
        <f t="shared" si="77"/>
        <v>5</v>
      </c>
      <c r="C1422" s="103" t="s">
        <v>153</v>
      </c>
      <c r="D1422" s="103" t="str">
        <f t="shared" si="76"/>
        <v>CFLscw-Candle(12w)</v>
      </c>
      <c r="E1422" s="103" t="str">
        <f>IF(LEFT(D1422,3)="Std","Base case cost for mix of 60% Incandescent and 40% CFL lamps for CFL TechID: "&amp;INDEX('Measure &amp; Standard CostIDs'!$C$5:$C$177,A1422),"&lt;from TechID&gt;")</f>
        <v>&lt;from TechID&gt;</v>
      </c>
      <c r="F1422" s="103" t="s">
        <v>860</v>
      </c>
      <c r="G1422" s="103" t="s">
        <v>151</v>
      </c>
      <c r="H1422" s="103" t="s">
        <v>861</v>
      </c>
      <c r="I1422" s="103" t="s">
        <v>862</v>
      </c>
      <c r="J1422" s="103" t="s">
        <v>863</v>
      </c>
      <c r="K1422" s="103" t="s">
        <v>864</v>
      </c>
      <c r="L1422" s="103" t="s">
        <v>153</v>
      </c>
      <c r="M1422" s="103" t="s">
        <v>865</v>
      </c>
      <c r="N1422" s="103" t="s">
        <v>866</v>
      </c>
      <c r="O1422" s="103" t="str">
        <f t="shared" si="78"/>
        <v>CFLscw-Candle(12w)</v>
      </c>
      <c r="P1422" s="103" t="s">
        <v>153</v>
      </c>
      <c r="Q1422" s="103" t="s">
        <v>153</v>
      </c>
      <c r="R1422" s="103" t="s">
        <v>153</v>
      </c>
      <c r="S1422" s="103" t="str">
        <f>INDEX('Measure &amp; Standard CostIDs'!$AK$8:$AK$12,B1422)</f>
        <v>Four+pack</v>
      </c>
      <c r="T1422" s="103" t="s">
        <v>867</v>
      </c>
      <c r="U1422" s="103"/>
      <c r="V1422" s="103"/>
      <c r="W1422" s="103">
        <f>ROUND(IF(LEFT(D1422,3)="Std",VLOOKUP(D1422,'Measure &amp; Standard CostIDs'!$S$5:$X$177,1+B1422,FALSE),VLOOKUP(D1422,'Measure &amp; Standard CostIDs'!$C$5:$H$177,1+B1422,FALSE)),2)</f>
        <v>5.58</v>
      </c>
      <c r="X1422" s="103"/>
      <c r="Y1422" s="103"/>
      <c r="Z1422" s="103" t="s">
        <v>868</v>
      </c>
      <c r="AA1422" s="103" t="s">
        <v>874</v>
      </c>
      <c r="AB1422" s="103" t="s">
        <v>153</v>
      </c>
      <c r="AC1422" s="103">
        <v>0</v>
      </c>
      <c r="AD1422" s="156">
        <v>42005</v>
      </c>
      <c r="AE1422" s="103"/>
      <c r="AF1422" s="103" t="s">
        <v>870</v>
      </c>
      <c r="AG1422" s="103" t="s">
        <v>871</v>
      </c>
      <c r="AH1422" s="103" t="s">
        <v>976</v>
      </c>
      <c r="AI1422" s="103">
        <v>0</v>
      </c>
      <c r="AJ1422" s="103"/>
      <c r="AK1422" s="103"/>
      <c r="AL1422" s="103"/>
      <c r="AM1422" s="103"/>
      <c r="AN1422" s="103"/>
      <c r="AO1422" s="103" t="str">
        <f t="shared" si="79"/>
        <v>CFLscw-Candle(12w)Four+pack</v>
      </c>
    </row>
    <row r="1423" spans="1:41">
      <c r="A1423" s="177">
        <f>IFERROR(MATCH(D1423,'Measure &amp; Standard CostIDs'!C$5:C$177,0),MATCH(D1423,'Measure &amp; Standard CostIDs'!S$5:S$177,0))</f>
        <v>99</v>
      </c>
      <c r="B1423" s="177">
        <f t="shared" si="77"/>
        <v>5</v>
      </c>
      <c r="C1423" s="103" t="s">
        <v>153</v>
      </c>
      <c r="D1423" s="103" t="str">
        <f t="shared" si="76"/>
        <v>CFLscw-Candle(13w)</v>
      </c>
      <c r="E1423" s="103" t="str">
        <f>IF(LEFT(D1423,3)="Std","Base case cost for mix of 60% Incandescent and 40% CFL lamps for CFL TechID: "&amp;INDEX('Measure &amp; Standard CostIDs'!$C$5:$C$177,A1423),"&lt;from TechID&gt;")</f>
        <v>&lt;from TechID&gt;</v>
      </c>
      <c r="F1423" s="103" t="s">
        <v>860</v>
      </c>
      <c r="G1423" s="103" t="s">
        <v>151</v>
      </c>
      <c r="H1423" s="103" t="s">
        <v>861</v>
      </c>
      <c r="I1423" s="103" t="s">
        <v>862</v>
      </c>
      <c r="J1423" s="103" t="s">
        <v>863</v>
      </c>
      <c r="K1423" s="103" t="s">
        <v>864</v>
      </c>
      <c r="L1423" s="103" t="s">
        <v>153</v>
      </c>
      <c r="M1423" s="103" t="s">
        <v>865</v>
      </c>
      <c r="N1423" s="103" t="s">
        <v>866</v>
      </c>
      <c r="O1423" s="103" t="str">
        <f t="shared" si="78"/>
        <v>CFLscw-Candle(13w)</v>
      </c>
      <c r="P1423" s="103" t="s">
        <v>153</v>
      </c>
      <c r="Q1423" s="103" t="s">
        <v>153</v>
      </c>
      <c r="R1423" s="103" t="s">
        <v>153</v>
      </c>
      <c r="S1423" s="103" t="str">
        <f>INDEX('Measure &amp; Standard CostIDs'!$AK$8:$AK$12,B1423)</f>
        <v>Four+pack</v>
      </c>
      <c r="T1423" s="103" t="s">
        <v>867</v>
      </c>
      <c r="U1423" s="103"/>
      <c r="V1423" s="103"/>
      <c r="W1423" s="103">
        <f>ROUND(IF(LEFT(D1423,3)="Std",VLOOKUP(D1423,'Measure &amp; Standard CostIDs'!$S$5:$X$177,1+B1423,FALSE),VLOOKUP(D1423,'Measure &amp; Standard CostIDs'!$C$5:$H$177,1+B1423,FALSE)),2)</f>
        <v>5.79</v>
      </c>
      <c r="X1423" s="103"/>
      <c r="Y1423" s="103"/>
      <c r="Z1423" s="103" t="s">
        <v>868</v>
      </c>
      <c r="AA1423" s="103" t="s">
        <v>874</v>
      </c>
      <c r="AB1423" s="103" t="s">
        <v>153</v>
      </c>
      <c r="AC1423" s="103">
        <v>0</v>
      </c>
      <c r="AD1423" s="156">
        <v>42005</v>
      </c>
      <c r="AE1423" s="103"/>
      <c r="AF1423" s="103" t="s">
        <v>870</v>
      </c>
      <c r="AG1423" s="103" t="s">
        <v>871</v>
      </c>
      <c r="AH1423" s="103" t="s">
        <v>976</v>
      </c>
      <c r="AI1423" s="103">
        <v>0</v>
      </c>
      <c r="AJ1423" s="103"/>
      <c r="AK1423" s="103"/>
      <c r="AL1423" s="103"/>
      <c r="AM1423" s="103"/>
      <c r="AN1423" s="103"/>
      <c r="AO1423" s="103" t="str">
        <f t="shared" si="79"/>
        <v>CFLscw-Candle(13w)Four+pack</v>
      </c>
    </row>
    <row r="1424" spans="1:41">
      <c r="A1424" s="177">
        <f>IFERROR(MATCH(D1424,'Measure &amp; Standard CostIDs'!C$5:C$177,0),MATCH(D1424,'Measure &amp; Standard CostIDs'!S$5:S$177,0))</f>
        <v>100</v>
      </c>
      <c r="B1424" s="177">
        <f t="shared" si="77"/>
        <v>5</v>
      </c>
      <c r="C1424" s="103" t="s">
        <v>153</v>
      </c>
      <c r="D1424" s="103" t="str">
        <f t="shared" ref="D1424:D1487" si="80">+D1094</f>
        <v>CFLscw-Candle(14w)</v>
      </c>
      <c r="E1424" s="103" t="str">
        <f>IF(LEFT(D1424,3)="Std","Base case cost for mix of 60% Incandescent and 40% CFL lamps for CFL TechID: "&amp;INDEX('Measure &amp; Standard CostIDs'!$C$5:$C$177,A1424),"&lt;from TechID&gt;")</f>
        <v>&lt;from TechID&gt;</v>
      </c>
      <c r="F1424" s="103" t="s">
        <v>860</v>
      </c>
      <c r="G1424" s="103" t="s">
        <v>151</v>
      </c>
      <c r="H1424" s="103" t="s">
        <v>861</v>
      </c>
      <c r="I1424" s="103" t="s">
        <v>862</v>
      </c>
      <c r="J1424" s="103" t="s">
        <v>863</v>
      </c>
      <c r="K1424" s="103" t="s">
        <v>864</v>
      </c>
      <c r="L1424" s="103" t="s">
        <v>153</v>
      </c>
      <c r="M1424" s="103" t="s">
        <v>865</v>
      </c>
      <c r="N1424" s="103" t="s">
        <v>866</v>
      </c>
      <c r="O1424" s="103" t="str">
        <f t="shared" si="78"/>
        <v>CFLscw-Candle(14w)</v>
      </c>
      <c r="P1424" s="103" t="s">
        <v>153</v>
      </c>
      <c r="Q1424" s="103" t="s">
        <v>153</v>
      </c>
      <c r="R1424" s="103" t="s">
        <v>153</v>
      </c>
      <c r="S1424" s="103" t="str">
        <f>INDEX('Measure &amp; Standard CostIDs'!$AK$8:$AK$12,B1424)</f>
        <v>Four+pack</v>
      </c>
      <c r="T1424" s="103" t="s">
        <v>867</v>
      </c>
      <c r="U1424" s="103"/>
      <c r="V1424" s="103"/>
      <c r="W1424" s="103">
        <f>ROUND(IF(LEFT(D1424,3)="Std",VLOOKUP(D1424,'Measure &amp; Standard CostIDs'!$S$5:$X$177,1+B1424,FALSE),VLOOKUP(D1424,'Measure &amp; Standard CostIDs'!$C$5:$H$177,1+B1424,FALSE)),2)</f>
        <v>5.99</v>
      </c>
      <c r="X1424" s="103"/>
      <c r="Y1424" s="103"/>
      <c r="Z1424" s="103" t="s">
        <v>868</v>
      </c>
      <c r="AA1424" s="103" t="s">
        <v>874</v>
      </c>
      <c r="AB1424" s="103" t="s">
        <v>153</v>
      </c>
      <c r="AC1424" s="103">
        <v>0</v>
      </c>
      <c r="AD1424" s="156">
        <v>42005</v>
      </c>
      <c r="AE1424" s="103"/>
      <c r="AF1424" s="103" t="s">
        <v>870</v>
      </c>
      <c r="AG1424" s="103" t="s">
        <v>871</v>
      </c>
      <c r="AH1424" s="103" t="s">
        <v>976</v>
      </c>
      <c r="AI1424" s="103">
        <v>0</v>
      </c>
      <c r="AJ1424" s="103"/>
      <c r="AK1424" s="103"/>
      <c r="AL1424" s="103"/>
      <c r="AM1424" s="103"/>
      <c r="AN1424" s="103"/>
      <c r="AO1424" s="103" t="str">
        <f t="shared" si="79"/>
        <v>CFLscw-Candle(14w)Four+pack</v>
      </c>
    </row>
    <row r="1425" spans="1:41">
      <c r="A1425" s="177">
        <f>IFERROR(MATCH(D1425,'Measure &amp; Standard CostIDs'!C$5:C$177,0),MATCH(D1425,'Measure &amp; Standard CostIDs'!S$5:S$177,0))</f>
        <v>101</v>
      </c>
      <c r="B1425" s="177">
        <f t="shared" ref="B1425:B1488" si="81">+B1095+1</f>
        <v>5</v>
      </c>
      <c r="C1425" s="103" t="s">
        <v>153</v>
      </c>
      <c r="D1425" s="103" t="str">
        <f t="shared" si="80"/>
        <v>CFLscw-Candle(15w)</v>
      </c>
      <c r="E1425" s="103" t="str">
        <f>IF(LEFT(D1425,3)="Std","Base case cost for mix of 60% Incandescent and 40% CFL lamps for CFL TechID: "&amp;INDEX('Measure &amp; Standard CostIDs'!$C$5:$C$177,A1425),"&lt;from TechID&gt;")</f>
        <v>&lt;from TechID&gt;</v>
      </c>
      <c r="F1425" s="103" t="s">
        <v>860</v>
      </c>
      <c r="G1425" s="103" t="s">
        <v>151</v>
      </c>
      <c r="H1425" s="103" t="s">
        <v>861</v>
      </c>
      <c r="I1425" s="103" t="s">
        <v>862</v>
      </c>
      <c r="J1425" s="103" t="s">
        <v>863</v>
      </c>
      <c r="K1425" s="103" t="s">
        <v>864</v>
      </c>
      <c r="L1425" s="103" t="s">
        <v>153</v>
      </c>
      <c r="M1425" s="103" t="s">
        <v>865</v>
      </c>
      <c r="N1425" s="103" t="s">
        <v>866</v>
      </c>
      <c r="O1425" s="103" t="str">
        <f t="shared" si="78"/>
        <v>CFLscw-Candle(15w)</v>
      </c>
      <c r="P1425" s="103" t="s">
        <v>153</v>
      </c>
      <c r="Q1425" s="103" t="s">
        <v>153</v>
      </c>
      <c r="R1425" s="103" t="s">
        <v>153</v>
      </c>
      <c r="S1425" s="103" t="str">
        <f>INDEX('Measure &amp; Standard CostIDs'!$AK$8:$AK$12,B1425)</f>
        <v>Four+pack</v>
      </c>
      <c r="T1425" s="103" t="s">
        <v>867</v>
      </c>
      <c r="U1425" s="103"/>
      <c r="V1425" s="103"/>
      <c r="W1425" s="103">
        <f>ROUND(IF(LEFT(D1425,3)="Std",VLOOKUP(D1425,'Measure &amp; Standard CostIDs'!$S$5:$X$177,1+B1425,FALSE),VLOOKUP(D1425,'Measure &amp; Standard CostIDs'!$C$5:$H$177,1+B1425,FALSE)),2)</f>
        <v>6.2</v>
      </c>
      <c r="X1425" s="103"/>
      <c r="Y1425" s="103"/>
      <c r="Z1425" s="103" t="s">
        <v>868</v>
      </c>
      <c r="AA1425" s="103" t="s">
        <v>874</v>
      </c>
      <c r="AB1425" s="103" t="s">
        <v>153</v>
      </c>
      <c r="AC1425" s="103">
        <v>0</v>
      </c>
      <c r="AD1425" s="156">
        <v>42005</v>
      </c>
      <c r="AE1425" s="103"/>
      <c r="AF1425" s="103" t="s">
        <v>870</v>
      </c>
      <c r="AG1425" s="103" t="s">
        <v>871</v>
      </c>
      <c r="AH1425" s="103" t="s">
        <v>976</v>
      </c>
      <c r="AI1425" s="103">
        <v>0</v>
      </c>
      <c r="AJ1425" s="103"/>
      <c r="AK1425" s="103"/>
      <c r="AL1425" s="103"/>
      <c r="AM1425" s="103"/>
      <c r="AN1425" s="103"/>
      <c r="AO1425" s="103" t="str">
        <f t="shared" si="79"/>
        <v>CFLscw-Candle(15w)Four+pack</v>
      </c>
    </row>
    <row r="1426" spans="1:41">
      <c r="A1426" s="177">
        <f>IFERROR(MATCH(D1426,'Measure &amp; Standard CostIDs'!C$5:C$177,0),MATCH(D1426,'Measure &amp; Standard CostIDs'!S$5:S$177,0))</f>
        <v>102</v>
      </c>
      <c r="B1426" s="177">
        <f t="shared" si="81"/>
        <v>5</v>
      </c>
      <c r="C1426" s="103" t="s">
        <v>153</v>
      </c>
      <c r="D1426" s="103" t="str">
        <f t="shared" si="80"/>
        <v>CFLscw-Candle(7w)</v>
      </c>
      <c r="E1426" s="103" t="str">
        <f>IF(LEFT(D1426,3)="Std","Base case cost for mix of 60% Incandescent and 40% CFL lamps for CFL TechID: "&amp;INDEX('Measure &amp; Standard CostIDs'!$C$5:$C$177,A1426),"&lt;from TechID&gt;")</f>
        <v>&lt;from TechID&gt;</v>
      </c>
      <c r="F1426" s="103" t="s">
        <v>860</v>
      </c>
      <c r="G1426" s="103" t="s">
        <v>151</v>
      </c>
      <c r="H1426" s="103" t="s">
        <v>861</v>
      </c>
      <c r="I1426" s="103" t="s">
        <v>862</v>
      </c>
      <c r="J1426" s="103" t="s">
        <v>863</v>
      </c>
      <c r="K1426" s="103" t="s">
        <v>864</v>
      </c>
      <c r="L1426" s="103" t="s">
        <v>153</v>
      </c>
      <c r="M1426" s="103" t="s">
        <v>865</v>
      </c>
      <c r="N1426" s="103" t="s">
        <v>866</v>
      </c>
      <c r="O1426" s="103" t="str">
        <f t="shared" si="78"/>
        <v>CFLscw-Candle(7w)</v>
      </c>
      <c r="P1426" s="103" t="s">
        <v>153</v>
      </c>
      <c r="Q1426" s="103" t="s">
        <v>153</v>
      </c>
      <c r="R1426" s="103" t="s">
        <v>153</v>
      </c>
      <c r="S1426" s="103" t="str">
        <f>INDEX('Measure &amp; Standard CostIDs'!$AK$8:$AK$12,B1426)</f>
        <v>Four+pack</v>
      </c>
      <c r="T1426" s="103" t="s">
        <v>867</v>
      </c>
      <c r="U1426" s="103"/>
      <c r="V1426" s="103"/>
      <c r="W1426" s="103">
        <f>ROUND(IF(LEFT(D1426,3)="Std",VLOOKUP(D1426,'Measure &amp; Standard CostIDs'!$S$5:$X$177,1+B1426,FALSE),VLOOKUP(D1426,'Measure &amp; Standard CostIDs'!$C$5:$H$177,1+B1426,FALSE)),2)</f>
        <v>4.55</v>
      </c>
      <c r="X1426" s="103"/>
      <c r="Y1426" s="103"/>
      <c r="Z1426" s="103" t="s">
        <v>868</v>
      </c>
      <c r="AA1426" s="103" t="s">
        <v>874</v>
      </c>
      <c r="AB1426" s="103" t="s">
        <v>153</v>
      </c>
      <c r="AC1426" s="103">
        <v>0</v>
      </c>
      <c r="AD1426" s="156">
        <v>42005</v>
      </c>
      <c r="AE1426" s="103"/>
      <c r="AF1426" s="103" t="s">
        <v>870</v>
      </c>
      <c r="AG1426" s="103" t="s">
        <v>871</v>
      </c>
      <c r="AH1426" s="103" t="s">
        <v>976</v>
      </c>
      <c r="AI1426" s="103">
        <v>0</v>
      </c>
      <c r="AJ1426" s="103"/>
      <c r="AK1426" s="103"/>
      <c r="AL1426" s="103"/>
      <c r="AM1426" s="103"/>
      <c r="AN1426" s="103"/>
      <c r="AO1426" s="103" t="str">
        <f t="shared" si="79"/>
        <v>CFLscw-Candle(7w)Four+pack</v>
      </c>
    </row>
    <row r="1427" spans="1:41">
      <c r="A1427" s="177">
        <f>IFERROR(MATCH(D1427,'Measure &amp; Standard CostIDs'!C$5:C$177,0),MATCH(D1427,'Measure &amp; Standard CostIDs'!S$5:S$177,0))</f>
        <v>103</v>
      </c>
      <c r="B1427" s="177">
        <f t="shared" si="81"/>
        <v>5</v>
      </c>
      <c r="C1427" s="103" t="s">
        <v>153</v>
      </c>
      <c r="D1427" s="103" t="str">
        <f t="shared" si="80"/>
        <v>CFLscw-Candle(8w)</v>
      </c>
      <c r="E1427" s="103" t="str">
        <f>IF(LEFT(D1427,3)="Std","Base case cost for mix of 60% Incandescent and 40% CFL lamps for CFL TechID: "&amp;INDEX('Measure &amp; Standard CostIDs'!$C$5:$C$177,A1427),"&lt;from TechID&gt;")</f>
        <v>&lt;from TechID&gt;</v>
      </c>
      <c r="F1427" s="103" t="s">
        <v>860</v>
      </c>
      <c r="G1427" s="103" t="s">
        <v>151</v>
      </c>
      <c r="H1427" s="103" t="s">
        <v>861</v>
      </c>
      <c r="I1427" s="103" t="s">
        <v>862</v>
      </c>
      <c r="J1427" s="103" t="s">
        <v>863</v>
      </c>
      <c r="K1427" s="103" t="s">
        <v>864</v>
      </c>
      <c r="L1427" s="103" t="s">
        <v>153</v>
      </c>
      <c r="M1427" s="103" t="s">
        <v>865</v>
      </c>
      <c r="N1427" s="103" t="s">
        <v>866</v>
      </c>
      <c r="O1427" s="103" t="str">
        <f t="shared" si="78"/>
        <v>CFLscw-Candle(8w)</v>
      </c>
      <c r="P1427" s="103" t="s">
        <v>153</v>
      </c>
      <c r="Q1427" s="103" t="s">
        <v>153</v>
      </c>
      <c r="R1427" s="103" t="s">
        <v>153</v>
      </c>
      <c r="S1427" s="103" t="str">
        <f>INDEX('Measure &amp; Standard CostIDs'!$AK$8:$AK$12,B1427)</f>
        <v>Four+pack</v>
      </c>
      <c r="T1427" s="103" t="s">
        <v>867</v>
      </c>
      <c r="U1427" s="103"/>
      <c r="V1427" s="103"/>
      <c r="W1427" s="103">
        <f>ROUND(IF(LEFT(D1427,3)="Std",VLOOKUP(D1427,'Measure &amp; Standard CostIDs'!$S$5:$X$177,1+B1427,FALSE),VLOOKUP(D1427,'Measure &amp; Standard CostIDs'!$C$5:$H$177,1+B1427,FALSE)),2)</f>
        <v>4.76</v>
      </c>
      <c r="X1427" s="103"/>
      <c r="Y1427" s="103"/>
      <c r="Z1427" s="103" t="s">
        <v>868</v>
      </c>
      <c r="AA1427" s="103" t="s">
        <v>874</v>
      </c>
      <c r="AB1427" s="103" t="s">
        <v>153</v>
      </c>
      <c r="AC1427" s="103">
        <v>0</v>
      </c>
      <c r="AD1427" s="156">
        <v>42005</v>
      </c>
      <c r="AE1427" s="103"/>
      <c r="AF1427" s="103" t="s">
        <v>870</v>
      </c>
      <c r="AG1427" s="103" t="s">
        <v>871</v>
      </c>
      <c r="AH1427" s="103" t="s">
        <v>976</v>
      </c>
      <c r="AI1427" s="103">
        <v>0</v>
      </c>
      <c r="AJ1427" s="103"/>
      <c r="AK1427" s="103"/>
      <c r="AL1427" s="103"/>
      <c r="AM1427" s="103"/>
      <c r="AN1427" s="103"/>
      <c r="AO1427" s="103" t="str">
        <f t="shared" si="79"/>
        <v>CFLscw-Candle(8w)Four+pack</v>
      </c>
    </row>
    <row r="1428" spans="1:41">
      <c r="A1428" s="177">
        <f>IFERROR(MATCH(D1428,'Measure &amp; Standard CostIDs'!C$5:C$177,0),MATCH(D1428,'Measure &amp; Standard CostIDs'!S$5:S$177,0))</f>
        <v>104</v>
      </c>
      <c r="B1428" s="177">
        <f t="shared" si="81"/>
        <v>5</v>
      </c>
      <c r="C1428" s="103" t="s">
        <v>153</v>
      </c>
      <c r="D1428" s="103" t="str">
        <f t="shared" si="80"/>
        <v>CFLscw-Candle(9w)</v>
      </c>
      <c r="E1428" s="103" t="str">
        <f>IF(LEFT(D1428,3)="Std","Base case cost for mix of 60% Incandescent and 40% CFL lamps for CFL TechID: "&amp;INDEX('Measure &amp; Standard CostIDs'!$C$5:$C$177,A1428),"&lt;from TechID&gt;")</f>
        <v>&lt;from TechID&gt;</v>
      </c>
      <c r="F1428" s="103" t="s">
        <v>860</v>
      </c>
      <c r="G1428" s="103" t="s">
        <v>151</v>
      </c>
      <c r="H1428" s="103" t="s">
        <v>861</v>
      </c>
      <c r="I1428" s="103" t="s">
        <v>862</v>
      </c>
      <c r="J1428" s="103" t="s">
        <v>863</v>
      </c>
      <c r="K1428" s="103" t="s">
        <v>864</v>
      </c>
      <c r="L1428" s="103" t="s">
        <v>153</v>
      </c>
      <c r="M1428" s="103" t="s">
        <v>865</v>
      </c>
      <c r="N1428" s="103" t="s">
        <v>866</v>
      </c>
      <c r="O1428" s="103" t="str">
        <f t="shared" si="78"/>
        <v>CFLscw-Candle(9w)</v>
      </c>
      <c r="P1428" s="103" t="s">
        <v>153</v>
      </c>
      <c r="Q1428" s="103" t="s">
        <v>153</v>
      </c>
      <c r="R1428" s="103" t="s">
        <v>153</v>
      </c>
      <c r="S1428" s="103" t="str">
        <f>INDEX('Measure &amp; Standard CostIDs'!$AK$8:$AK$12,B1428)</f>
        <v>Four+pack</v>
      </c>
      <c r="T1428" s="103" t="s">
        <v>867</v>
      </c>
      <c r="U1428" s="103"/>
      <c r="V1428" s="103"/>
      <c r="W1428" s="103">
        <f>ROUND(IF(LEFT(D1428,3)="Std",VLOOKUP(D1428,'Measure &amp; Standard CostIDs'!$S$5:$X$177,1+B1428,FALSE),VLOOKUP(D1428,'Measure &amp; Standard CostIDs'!$C$5:$H$177,1+B1428,FALSE)),2)</f>
        <v>4.96</v>
      </c>
      <c r="X1428" s="103"/>
      <c r="Y1428" s="103"/>
      <c r="Z1428" s="103" t="s">
        <v>868</v>
      </c>
      <c r="AA1428" s="103" t="s">
        <v>874</v>
      </c>
      <c r="AB1428" s="103" t="s">
        <v>153</v>
      </c>
      <c r="AC1428" s="103">
        <v>0</v>
      </c>
      <c r="AD1428" s="156">
        <v>42005</v>
      </c>
      <c r="AE1428" s="103"/>
      <c r="AF1428" s="103" t="s">
        <v>870</v>
      </c>
      <c r="AG1428" s="103" t="s">
        <v>871</v>
      </c>
      <c r="AH1428" s="103" t="s">
        <v>976</v>
      </c>
      <c r="AI1428" s="103">
        <v>0</v>
      </c>
      <c r="AJ1428" s="103"/>
      <c r="AK1428" s="103"/>
      <c r="AL1428" s="103"/>
      <c r="AM1428" s="103"/>
      <c r="AN1428" s="103"/>
      <c r="AO1428" s="103" t="str">
        <f t="shared" si="79"/>
        <v>CFLscw-Candle(9w)Four+pack</v>
      </c>
    </row>
    <row r="1429" spans="1:41">
      <c r="A1429" s="177">
        <f>IFERROR(MATCH(D1429,'Measure &amp; Standard CostIDs'!C$5:C$177,0),MATCH(D1429,'Measure &amp; Standard CostIDs'!S$5:S$177,0))</f>
        <v>105</v>
      </c>
      <c r="B1429" s="177">
        <f t="shared" si="81"/>
        <v>5</v>
      </c>
      <c r="C1429" s="103" t="s">
        <v>153</v>
      </c>
      <c r="D1429" s="103" t="str">
        <f t="shared" si="80"/>
        <v>CFLscw-Dim(10w)</v>
      </c>
      <c r="E1429" s="103" t="str">
        <f>IF(LEFT(D1429,3)="Std","Base case cost for mix of 60% Incandescent and 40% CFL lamps for CFL TechID: "&amp;INDEX('Measure &amp; Standard CostIDs'!$C$5:$C$177,A1429),"&lt;from TechID&gt;")</f>
        <v>&lt;from TechID&gt;</v>
      </c>
      <c r="F1429" s="103" t="s">
        <v>860</v>
      </c>
      <c r="G1429" s="103" t="s">
        <v>151</v>
      </c>
      <c r="H1429" s="103" t="s">
        <v>861</v>
      </c>
      <c r="I1429" s="103" t="s">
        <v>862</v>
      </c>
      <c r="J1429" s="103" t="s">
        <v>863</v>
      </c>
      <c r="K1429" s="103" t="s">
        <v>864</v>
      </c>
      <c r="L1429" s="103" t="s">
        <v>153</v>
      </c>
      <c r="M1429" s="103" t="s">
        <v>865</v>
      </c>
      <c r="N1429" s="103" t="s">
        <v>866</v>
      </c>
      <c r="O1429" s="103" t="str">
        <f t="shared" si="78"/>
        <v>CFLscw-Dim(10w)</v>
      </c>
      <c r="P1429" s="103" t="s">
        <v>153</v>
      </c>
      <c r="Q1429" s="103" t="s">
        <v>153</v>
      </c>
      <c r="R1429" s="103" t="s">
        <v>153</v>
      </c>
      <c r="S1429" s="103" t="str">
        <f>INDEX('Measure &amp; Standard CostIDs'!$AK$8:$AK$12,B1429)</f>
        <v>Four+pack</v>
      </c>
      <c r="T1429" s="103" t="s">
        <v>867</v>
      </c>
      <c r="U1429" s="103"/>
      <c r="V1429" s="103"/>
      <c r="W1429" s="103">
        <f>ROUND(IF(LEFT(D1429,3)="Std",VLOOKUP(D1429,'Measure &amp; Standard CostIDs'!$S$5:$X$177,1+B1429,FALSE),VLOOKUP(D1429,'Measure &amp; Standard CostIDs'!$C$5:$H$177,1+B1429,FALSE)),2)</f>
        <v>7.51</v>
      </c>
      <c r="X1429" s="103"/>
      <c r="Y1429" s="103"/>
      <c r="Z1429" s="103" t="s">
        <v>868</v>
      </c>
      <c r="AA1429" s="103" t="s">
        <v>874</v>
      </c>
      <c r="AB1429" s="103" t="s">
        <v>153</v>
      </c>
      <c r="AC1429" s="103">
        <v>0</v>
      </c>
      <c r="AD1429" s="156">
        <v>42005</v>
      </c>
      <c r="AE1429" s="103"/>
      <c r="AF1429" s="103" t="s">
        <v>870</v>
      </c>
      <c r="AG1429" s="103" t="s">
        <v>871</v>
      </c>
      <c r="AH1429" s="103" t="s">
        <v>976</v>
      </c>
      <c r="AI1429" s="103">
        <v>0</v>
      </c>
      <c r="AJ1429" s="103"/>
      <c r="AK1429" s="103"/>
      <c r="AL1429" s="103"/>
      <c r="AM1429" s="103"/>
      <c r="AN1429" s="103"/>
      <c r="AO1429" s="103" t="str">
        <f t="shared" si="79"/>
        <v>CFLscw-Dim(10w)Four+pack</v>
      </c>
    </row>
    <row r="1430" spans="1:41">
      <c r="A1430" s="177">
        <f>IFERROR(MATCH(D1430,'Measure &amp; Standard CostIDs'!C$5:C$177,0),MATCH(D1430,'Measure &amp; Standard CostIDs'!S$5:S$177,0))</f>
        <v>106</v>
      </c>
      <c r="B1430" s="177">
        <f t="shared" si="81"/>
        <v>5</v>
      </c>
      <c r="C1430" s="103" t="s">
        <v>153</v>
      </c>
      <c r="D1430" s="103" t="str">
        <f t="shared" si="80"/>
        <v>CFLscw-Dim(11w)</v>
      </c>
      <c r="E1430" s="103" t="str">
        <f>IF(LEFT(D1430,3)="Std","Base case cost for mix of 60% Incandescent and 40% CFL lamps for CFL TechID: "&amp;INDEX('Measure &amp; Standard CostIDs'!$C$5:$C$177,A1430),"&lt;from TechID&gt;")</f>
        <v>&lt;from TechID&gt;</v>
      </c>
      <c r="F1430" s="103" t="s">
        <v>860</v>
      </c>
      <c r="G1430" s="103" t="s">
        <v>151</v>
      </c>
      <c r="H1430" s="103" t="s">
        <v>861</v>
      </c>
      <c r="I1430" s="103" t="s">
        <v>862</v>
      </c>
      <c r="J1430" s="103" t="s">
        <v>863</v>
      </c>
      <c r="K1430" s="103" t="s">
        <v>864</v>
      </c>
      <c r="L1430" s="103" t="s">
        <v>153</v>
      </c>
      <c r="M1430" s="103" t="s">
        <v>865</v>
      </c>
      <c r="N1430" s="103" t="s">
        <v>866</v>
      </c>
      <c r="O1430" s="103" t="str">
        <f t="shared" si="78"/>
        <v>CFLscw-Dim(11w)</v>
      </c>
      <c r="P1430" s="103" t="s">
        <v>153</v>
      </c>
      <c r="Q1430" s="103" t="s">
        <v>153</v>
      </c>
      <c r="R1430" s="103" t="s">
        <v>153</v>
      </c>
      <c r="S1430" s="103" t="str">
        <f>INDEX('Measure &amp; Standard CostIDs'!$AK$8:$AK$12,B1430)</f>
        <v>Four+pack</v>
      </c>
      <c r="T1430" s="103" t="s">
        <v>867</v>
      </c>
      <c r="U1430" s="103"/>
      <c r="V1430" s="103"/>
      <c r="W1430" s="103">
        <f>ROUND(IF(LEFT(D1430,3)="Std",VLOOKUP(D1430,'Measure &amp; Standard CostIDs'!$S$5:$X$177,1+B1430,FALSE),VLOOKUP(D1430,'Measure &amp; Standard CostIDs'!$C$5:$H$177,1+B1430,FALSE)),2)</f>
        <v>7.58</v>
      </c>
      <c r="X1430" s="103"/>
      <c r="Y1430" s="103"/>
      <c r="Z1430" s="103" t="s">
        <v>868</v>
      </c>
      <c r="AA1430" s="103" t="s">
        <v>874</v>
      </c>
      <c r="AB1430" s="103" t="s">
        <v>153</v>
      </c>
      <c r="AC1430" s="103">
        <v>0</v>
      </c>
      <c r="AD1430" s="156">
        <v>42005</v>
      </c>
      <c r="AE1430" s="103"/>
      <c r="AF1430" s="103" t="s">
        <v>870</v>
      </c>
      <c r="AG1430" s="103" t="s">
        <v>871</v>
      </c>
      <c r="AH1430" s="103" t="s">
        <v>976</v>
      </c>
      <c r="AI1430" s="103">
        <v>0</v>
      </c>
      <c r="AJ1430" s="103"/>
      <c r="AK1430" s="103"/>
      <c r="AL1430" s="103"/>
      <c r="AM1430" s="103"/>
      <c r="AN1430" s="103"/>
      <c r="AO1430" s="103" t="str">
        <f t="shared" si="79"/>
        <v>CFLscw-Dim(11w)Four+pack</v>
      </c>
    </row>
    <row r="1431" spans="1:41">
      <c r="A1431" s="177">
        <f>IFERROR(MATCH(D1431,'Measure &amp; Standard CostIDs'!C$5:C$177,0),MATCH(D1431,'Measure &amp; Standard CostIDs'!S$5:S$177,0))</f>
        <v>107</v>
      </c>
      <c r="B1431" s="177">
        <f t="shared" si="81"/>
        <v>5</v>
      </c>
      <c r="C1431" s="103" t="s">
        <v>153</v>
      </c>
      <c r="D1431" s="103" t="str">
        <f t="shared" si="80"/>
        <v>CFLscw-Dim(14w)</v>
      </c>
      <c r="E1431" s="103" t="str">
        <f>IF(LEFT(D1431,3)="Std","Base case cost for mix of 60% Incandescent and 40% CFL lamps for CFL TechID: "&amp;INDEX('Measure &amp; Standard CostIDs'!$C$5:$C$177,A1431),"&lt;from TechID&gt;")</f>
        <v>&lt;from TechID&gt;</v>
      </c>
      <c r="F1431" s="103" t="s">
        <v>860</v>
      </c>
      <c r="G1431" s="103" t="s">
        <v>151</v>
      </c>
      <c r="H1431" s="103" t="s">
        <v>861</v>
      </c>
      <c r="I1431" s="103" t="s">
        <v>862</v>
      </c>
      <c r="J1431" s="103" t="s">
        <v>863</v>
      </c>
      <c r="K1431" s="103" t="s">
        <v>864</v>
      </c>
      <c r="L1431" s="103" t="s">
        <v>153</v>
      </c>
      <c r="M1431" s="103" t="s">
        <v>865</v>
      </c>
      <c r="N1431" s="103" t="s">
        <v>866</v>
      </c>
      <c r="O1431" s="103" t="str">
        <f t="shared" si="78"/>
        <v>CFLscw-Dim(14w)</v>
      </c>
      <c r="P1431" s="103" t="s">
        <v>153</v>
      </c>
      <c r="Q1431" s="103" t="s">
        <v>153</v>
      </c>
      <c r="R1431" s="103" t="s">
        <v>153</v>
      </c>
      <c r="S1431" s="103" t="str">
        <f>INDEX('Measure &amp; Standard CostIDs'!$AK$8:$AK$12,B1431)</f>
        <v>Four+pack</v>
      </c>
      <c r="T1431" s="103" t="s">
        <v>867</v>
      </c>
      <c r="U1431" s="103"/>
      <c r="V1431" s="103"/>
      <c r="W1431" s="103">
        <f>ROUND(IF(LEFT(D1431,3)="Std",VLOOKUP(D1431,'Measure &amp; Standard CostIDs'!$S$5:$X$177,1+B1431,FALSE),VLOOKUP(D1431,'Measure &amp; Standard CostIDs'!$C$5:$H$177,1+B1431,FALSE)),2)</f>
        <v>7.78</v>
      </c>
      <c r="X1431" s="103"/>
      <c r="Y1431" s="103"/>
      <c r="Z1431" s="103" t="s">
        <v>868</v>
      </c>
      <c r="AA1431" s="103" t="s">
        <v>874</v>
      </c>
      <c r="AB1431" s="103" t="s">
        <v>153</v>
      </c>
      <c r="AC1431" s="103">
        <v>0</v>
      </c>
      <c r="AD1431" s="156">
        <v>42005</v>
      </c>
      <c r="AE1431" s="103"/>
      <c r="AF1431" s="103" t="s">
        <v>870</v>
      </c>
      <c r="AG1431" s="103" t="s">
        <v>871</v>
      </c>
      <c r="AH1431" s="103" t="s">
        <v>976</v>
      </c>
      <c r="AI1431" s="103">
        <v>0</v>
      </c>
      <c r="AJ1431" s="103"/>
      <c r="AK1431" s="103"/>
      <c r="AL1431" s="103"/>
      <c r="AM1431" s="103"/>
      <c r="AN1431" s="103"/>
      <c r="AO1431" s="103" t="str">
        <f t="shared" si="79"/>
        <v>CFLscw-Dim(14w)Four+pack</v>
      </c>
    </row>
    <row r="1432" spans="1:41">
      <c r="A1432" s="177">
        <f>IFERROR(MATCH(D1432,'Measure &amp; Standard CostIDs'!C$5:C$177,0),MATCH(D1432,'Measure &amp; Standard CostIDs'!S$5:S$177,0))</f>
        <v>108</v>
      </c>
      <c r="B1432" s="177">
        <f t="shared" si="81"/>
        <v>5</v>
      </c>
      <c r="C1432" s="103" t="s">
        <v>153</v>
      </c>
      <c r="D1432" s="103" t="str">
        <f t="shared" si="80"/>
        <v>CFLscw-Dim(15w)</v>
      </c>
      <c r="E1432" s="103" t="str">
        <f>IF(LEFT(D1432,3)="Std","Base case cost for mix of 60% Incandescent and 40% CFL lamps for CFL TechID: "&amp;INDEX('Measure &amp; Standard CostIDs'!$C$5:$C$177,A1432),"&lt;from TechID&gt;")</f>
        <v>&lt;from TechID&gt;</v>
      </c>
      <c r="F1432" s="103" t="s">
        <v>860</v>
      </c>
      <c r="G1432" s="103" t="s">
        <v>151</v>
      </c>
      <c r="H1432" s="103" t="s">
        <v>861</v>
      </c>
      <c r="I1432" s="103" t="s">
        <v>862</v>
      </c>
      <c r="J1432" s="103" t="s">
        <v>863</v>
      </c>
      <c r="K1432" s="103" t="s">
        <v>864</v>
      </c>
      <c r="L1432" s="103" t="s">
        <v>153</v>
      </c>
      <c r="M1432" s="103" t="s">
        <v>865</v>
      </c>
      <c r="N1432" s="103" t="s">
        <v>866</v>
      </c>
      <c r="O1432" s="103" t="str">
        <f t="shared" si="78"/>
        <v>CFLscw-Dim(15w)</v>
      </c>
      <c r="P1432" s="103" t="s">
        <v>153</v>
      </c>
      <c r="Q1432" s="103" t="s">
        <v>153</v>
      </c>
      <c r="R1432" s="103" t="s">
        <v>153</v>
      </c>
      <c r="S1432" s="103" t="str">
        <f>INDEX('Measure &amp; Standard CostIDs'!$AK$8:$AK$12,B1432)</f>
        <v>Four+pack</v>
      </c>
      <c r="T1432" s="103" t="s">
        <v>867</v>
      </c>
      <c r="U1432" s="103"/>
      <c r="V1432" s="103"/>
      <c r="W1432" s="103">
        <f>ROUND(IF(LEFT(D1432,3)="Std",VLOOKUP(D1432,'Measure &amp; Standard CostIDs'!$S$5:$X$177,1+B1432,FALSE),VLOOKUP(D1432,'Measure &amp; Standard CostIDs'!$C$5:$H$177,1+B1432,FALSE)),2)</f>
        <v>7.84</v>
      </c>
      <c r="X1432" s="103"/>
      <c r="Y1432" s="103"/>
      <c r="Z1432" s="103" t="s">
        <v>868</v>
      </c>
      <c r="AA1432" s="103" t="s">
        <v>874</v>
      </c>
      <c r="AB1432" s="103" t="s">
        <v>153</v>
      </c>
      <c r="AC1432" s="103">
        <v>0</v>
      </c>
      <c r="AD1432" s="156">
        <v>42005</v>
      </c>
      <c r="AE1432" s="103"/>
      <c r="AF1432" s="103" t="s">
        <v>870</v>
      </c>
      <c r="AG1432" s="103" t="s">
        <v>871</v>
      </c>
      <c r="AH1432" s="103" t="s">
        <v>976</v>
      </c>
      <c r="AI1432" s="103">
        <v>0</v>
      </c>
      <c r="AJ1432" s="103"/>
      <c r="AK1432" s="103"/>
      <c r="AL1432" s="103"/>
      <c r="AM1432" s="103"/>
      <c r="AN1432" s="103"/>
      <c r="AO1432" s="103" t="str">
        <f t="shared" si="79"/>
        <v>CFLscw-Dim(15w)Four+pack</v>
      </c>
    </row>
    <row r="1433" spans="1:41">
      <c r="A1433" s="177">
        <f>IFERROR(MATCH(D1433,'Measure &amp; Standard CostIDs'!C$5:C$177,0),MATCH(D1433,'Measure &amp; Standard CostIDs'!S$5:S$177,0))</f>
        <v>109</v>
      </c>
      <c r="B1433" s="177">
        <f t="shared" si="81"/>
        <v>5</v>
      </c>
      <c r="C1433" s="103" t="s">
        <v>153</v>
      </c>
      <c r="D1433" s="103" t="str">
        <f t="shared" si="80"/>
        <v>CFLscw-Dim(16w)</v>
      </c>
      <c r="E1433" s="103" t="str">
        <f>IF(LEFT(D1433,3)="Std","Base case cost for mix of 60% Incandescent and 40% CFL lamps for CFL TechID: "&amp;INDEX('Measure &amp; Standard CostIDs'!$C$5:$C$177,A1433),"&lt;from TechID&gt;")</f>
        <v>&lt;from TechID&gt;</v>
      </c>
      <c r="F1433" s="103" t="s">
        <v>860</v>
      </c>
      <c r="G1433" s="103" t="s">
        <v>151</v>
      </c>
      <c r="H1433" s="103" t="s">
        <v>861</v>
      </c>
      <c r="I1433" s="103" t="s">
        <v>862</v>
      </c>
      <c r="J1433" s="103" t="s">
        <v>863</v>
      </c>
      <c r="K1433" s="103" t="s">
        <v>864</v>
      </c>
      <c r="L1433" s="103" t="s">
        <v>153</v>
      </c>
      <c r="M1433" s="103" t="s">
        <v>865</v>
      </c>
      <c r="N1433" s="103" t="s">
        <v>866</v>
      </c>
      <c r="O1433" s="103" t="str">
        <f t="shared" si="78"/>
        <v>CFLscw-Dim(16w)</v>
      </c>
      <c r="P1433" s="103" t="s">
        <v>153</v>
      </c>
      <c r="Q1433" s="103" t="s">
        <v>153</v>
      </c>
      <c r="R1433" s="103" t="s">
        <v>153</v>
      </c>
      <c r="S1433" s="103" t="str">
        <f>INDEX('Measure &amp; Standard CostIDs'!$AK$8:$AK$12,B1433)</f>
        <v>Four+pack</v>
      </c>
      <c r="T1433" s="103" t="s">
        <v>867</v>
      </c>
      <c r="U1433" s="103"/>
      <c r="V1433" s="103"/>
      <c r="W1433" s="103">
        <f>ROUND(IF(LEFT(D1433,3)="Std",VLOOKUP(D1433,'Measure &amp; Standard CostIDs'!$S$5:$X$177,1+B1433,FALSE),VLOOKUP(D1433,'Measure &amp; Standard CostIDs'!$C$5:$H$177,1+B1433,FALSE)),2)</f>
        <v>7.91</v>
      </c>
      <c r="X1433" s="103"/>
      <c r="Y1433" s="103"/>
      <c r="Z1433" s="103" t="s">
        <v>868</v>
      </c>
      <c r="AA1433" s="103" t="s">
        <v>874</v>
      </c>
      <c r="AB1433" s="103" t="s">
        <v>153</v>
      </c>
      <c r="AC1433" s="103">
        <v>0</v>
      </c>
      <c r="AD1433" s="156">
        <v>42005</v>
      </c>
      <c r="AE1433" s="103"/>
      <c r="AF1433" s="103" t="s">
        <v>870</v>
      </c>
      <c r="AG1433" s="103" t="s">
        <v>871</v>
      </c>
      <c r="AH1433" s="103" t="s">
        <v>976</v>
      </c>
      <c r="AI1433" s="103">
        <v>0</v>
      </c>
      <c r="AJ1433" s="103"/>
      <c r="AK1433" s="103"/>
      <c r="AL1433" s="103"/>
      <c r="AM1433" s="103"/>
      <c r="AN1433" s="103"/>
      <c r="AO1433" s="103" t="str">
        <f t="shared" si="79"/>
        <v>CFLscw-Dim(16w)Four+pack</v>
      </c>
    </row>
    <row r="1434" spans="1:41">
      <c r="A1434" s="177">
        <f>IFERROR(MATCH(D1434,'Measure &amp; Standard CostIDs'!C$5:C$177,0),MATCH(D1434,'Measure &amp; Standard CostIDs'!S$5:S$177,0))</f>
        <v>110</v>
      </c>
      <c r="B1434" s="177">
        <f t="shared" si="81"/>
        <v>5</v>
      </c>
      <c r="C1434" s="103" t="s">
        <v>153</v>
      </c>
      <c r="D1434" s="103" t="str">
        <f t="shared" si="80"/>
        <v>CFLscw-Dim(18w)</v>
      </c>
      <c r="E1434" s="103" t="str">
        <f>IF(LEFT(D1434,3)="Std","Base case cost for mix of 60% Incandescent and 40% CFL lamps for CFL TechID: "&amp;INDEX('Measure &amp; Standard CostIDs'!$C$5:$C$177,A1434),"&lt;from TechID&gt;")</f>
        <v>&lt;from TechID&gt;</v>
      </c>
      <c r="F1434" s="103" t="s">
        <v>860</v>
      </c>
      <c r="G1434" s="103" t="s">
        <v>151</v>
      </c>
      <c r="H1434" s="103" t="s">
        <v>861</v>
      </c>
      <c r="I1434" s="103" t="s">
        <v>862</v>
      </c>
      <c r="J1434" s="103" t="s">
        <v>863</v>
      </c>
      <c r="K1434" s="103" t="s">
        <v>864</v>
      </c>
      <c r="L1434" s="103" t="s">
        <v>153</v>
      </c>
      <c r="M1434" s="103" t="s">
        <v>865</v>
      </c>
      <c r="N1434" s="103" t="s">
        <v>866</v>
      </c>
      <c r="O1434" s="103" t="str">
        <f t="shared" si="78"/>
        <v>CFLscw-Dim(18w)</v>
      </c>
      <c r="P1434" s="103" t="s">
        <v>153</v>
      </c>
      <c r="Q1434" s="103" t="s">
        <v>153</v>
      </c>
      <c r="R1434" s="103" t="s">
        <v>153</v>
      </c>
      <c r="S1434" s="103" t="str">
        <f>INDEX('Measure &amp; Standard CostIDs'!$AK$8:$AK$12,B1434)</f>
        <v>Four+pack</v>
      </c>
      <c r="T1434" s="103" t="s">
        <v>867</v>
      </c>
      <c r="U1434" s="103"/>
      <c r="V1434" s="103"/>
      <c r="W1434" s="103">
        <f>ROUND(IF(LEFT(D1434,3)="Std",VLOOKUP(D1434,'Measure &amp; Standard CostIDs'!$S$5:$X$177,1+B1434,FALSE),VLOOKUP(D1434,'Measure &amp; Standard CostIDs'!$C$5:$H$177,1+B1434,FALSE)),2)</f>
        <v>8.0399999999999991</v>
      </c>
      <c r="X1434" s="103"/>
      <c r="Y1434" s="103"/>
      <c r="Z1434" s="103" t="s">
        <v>868</v>
      </c>
      <c r="AA1434" s="103" t="s">
        <v>874</v>
      </c>
      <c r="AB1434" s="103" t="s">
        <v>153</v>
      </c>
      <c r="AC1434" s="103">
        <v>0</v>
      </c>
      <c r="AD1434" s="156">
        <v>42005</v>
      </c>
      <c r="AE1434" s="103"/>
      <c r="AF1434" s="103" t="s">
        <v>870</v>
      </c>
      <c r="AG1434" s="103" t="s">
        <v>871</v>
      </c>
      <c r="AH1434" s="103" t="s">
        <v>976</v>
      </c>
      <c r="AI1434" s="103">
        <v>0</v>
      </c>
      <c r="AJ1434" s="103"/>
      <c r="AK1434" s="103"/>
      <c r="AL1434" s="103"/>
      <c r="AM1434" s="103"/>
      <c r="AN1434" s="103"/>
      <c r="AO1434" s="103" t="str">
        <f t="shared" si="79"/>
        <v>CFLscw-Dim(18w)Four+pack</v>
      </c>
    </row>
    <row r="1435" spans="1:41">
      <c r="A1435" s="177">
        <f>IFERROR(MATCH(D1435,'Measure &amp; Standard CostIDs'!C$5:C$177,0),MATCH(D1435,'Measure &amp; Standard CostIDs'!S$5:S$177,0))</f>
        <v>111</v>
      </c>
      <c r="B1435" s="177">
        <f t="shared" si="81"/>
        <v>5</v>
      </c>
      <c r="C1435" s="103" t="s">
        <v>153</v>
      </c>
      <c r="D1435" s="103" t="str">
        <f t="shared" si="80"/>
        <v>CFLscw-Dim(19w)</v>
      </c>
      <c r="E1435" s="103" t="str">
        <f>IF(LEFT(D1435,3)="Std","Base case cost for mix of 60% Incandescent and 40% CFL lamps for CFL TechID: "&amp;INDEX('Measure &amp; Standard CostIDs'!$C$5:$C$177,A1435),"&lt;from TechID&gt;")</f>
        <v>&lt;from TechID&gt;</v>
      </c>
      <c r="F1435" s="103" t="s">
        <v>860</v>
      </c>
      <c r="G1435" s="103" t="s">
        <v>151</v>
      </c>
      <c r="H1435" s="103" t="s">
        <v>861</v>
      </c>
      <c r="I1435" s="103" t="s">
        <v>862</v>
      </c>
      <c r="J1435" s="103" t="s">
        <v>863</v>
      </c>
      <c r="K1435" s="103" t="s">
        <v>864</v>
      </c>
      <c r="L1435" s="103" t="s">
        <v>153</v>
      </c>
      <c r="M1435" s="103" t="s">
        <v>865</v>
      </c>
      <c r="N1435" s="103" t="s">
        <v>866</v>
      </c>
      <c r="O1435" s="103" t="str">
        <f t="shared" si="78"/>
        <v>CFLscw-Dim(19w)</v>
      </c>
      <c r="P1435" s="103" t="s">
        <v>153</v>
      </c>
      <c r="Q1435" s="103" t="s">
        <v>153</v>
      </c>
      <c r="R1435" s="103" t="s">
        <v>153</v>
      </c>
      <c r="S1435" s="103" t="str">
        <f>INDEX('Measure &amp; Standard CostIDs'!$AK$8:$AK$12,B1435)</f>
        <v>Four+pack</v>
      </c>
      <c r="T1435" s="103" t="s">
        <v>867</v>
      </c>
      <c r="U1435" s="103"/>
      <c r="V1435" s="103"/>
      <c r="W1435" s="103">
        <f>ROUND(IF(LEFT(D1435,3)="Std",VLOOKUP(D1435,'Measure &amp; Standard CostIDs'!$S$5:$X$177,1+B1435,FALSE),VLOOKUP(D1435,'Measure &amp; Standard CostIDs'!$C$5:$H$177,1+B1435,FALSE)),2)</f>
        <v>8.11</v>
      </c>
      <c r="X1435" s="103"/>
      <c r="Y1435" s="103"/>
      <c r="Z1435" s="103" t="s">
        <v>868</v>
      </c>
      <c r="AA1435" s="103" t="s">
        <v>874</v>
      </c>
      <c r="AB1435" s="103" t="s">
        <v>153</v>
      </c>
      <c r="AC1435" s="103">
        <v>0</v>
      </c>
      <c r="AD1435" s="156">
        <v>42005</v>
      </c>
      <c r="AE1435" s="103"/>
      <c r="AF1435" s="103" t="s">
        <v>870</v>
      </c>
      <c r="AG1435" s="103" t="s">
        <v>871</v>
      </c>
      <c r="AH1435" s="103" t="s">
        <v>976</v>
      </c>
      <c r="AI1435" s="103">
        <v>0</v>
      </c>
      <c r="AJ1435" s="103"/>
      <c r="AK1435" s="103"/>
      <c r="AL1435" s="103"/>
      <c r="AM1435" s="103"/>
      <c r="AN1435" s="103"/>
      <c r="AO1435" s="103" t="str">
        <f t="shared" si="79"/>
        <v>CFLscw-Dim(19w)Four+pack</v>
      </c>
    </row>
    <row r="1436" spans="1:41">
      <c r="A1436" s="177">
        <f>IFERROR(MATCH(D1436,'Measure &amp; Standard CostIDs'!C$5:C$177,0),MATCH(D1436,'Measure &amp; Standard CostIDs'!S$5:S$177,0))</f>
        <v>112</v>
      </c>
      <c r="B1436" s="177">
        <f t="shared" si="81"/>
        <v>5</v>
      </c>
      <c r="C1436" s="103" t="s">
        <v>153</v>
      </c>
      <c r="D1436" s="103" t="str">
        <f t="shared" si="80"/>
        <v>CFLscw-Dim(20w)</v>
      </c>
      <c r="E1436" s="103" t="str">
        <f>IF(LEFT(D1436,3)="Std","Base case cost for mix of 60% Incandescent and 40% CFL lamps for CFL TechID: "&amp;INDEX('Measure &amp; Standard CostIDs'!$C$5:$C$177,A1436),"&lt;from TechID&gt;")</f>
        <v>&lt;from TechID&gt;</v>
      </c>
      <c r="F1436" s="103" t="s">
        <v>860</v>
      </c>
      <c r="G1436" s="103" t="s">
        <v>151</v>
      </c>
      <c r="H1436" s="103" t="s">
        <v>861</v>
      </c>
      <c r="I1436" s="103" t="s">
        <v>862</v>
      </c>
      <c r="J1436" s="103" t="s">
        <v>863</v>
      </c>
      <c r="K1436" s="103" t="s">
        <v>864</v>
      </c>
      <c r="L1436" s="103" t="s">
        <v>153</v>
      </c>
      <c r="M1436" s="103" t="s">
        <v>865</v>
      </c>
      <c r="N1436" s="103" t="s">
        <v>866</v>
      </c>
      <c r="O1436" s="103" t="str">
        <f t="shared" si="78"/>
        <v>CFLscw-Dim(20w)</v>
      </c>
      <c r="P1436" s="103" t="s">
        <v>153</v>
      </c>
      <c r="Q1436" s="103" t="s">
        <v>153</v>
      </c>
      <c r="R1436" s="103" t="s">
        <v>153</v>
      </c>
      <c r="S1436" s="103" t="str">
        <f>INDEX('Measure &amp; Standard CostIDs'!$AK$8:$AK$12,B1436)</f>
        <v>Four+pack</v>
      </c>
      <c r="T1436" s="103" t="s">
        <v>867</v>
      </c>
      <c r="U1436" s="103"/>
      <c r="V1436" s="103"/>
      <c r="W1436" s="103">
        <f>ROUND(IF(LEFT(D1436,3)="Std",VLOOKUP(D1436,'Measure &amp; Standard CostIDs'!$S$5:$X$177,1+B1436,FALSE),VLOOKUP(D1436,'Measure &amp; Standard CostIDs'!$C$5:$H$177,1+B1436,FALSE)),2)</f>
        <v>8.18</v>
      </c>
      <c r="X1436" s="103"/>
      <c r="Y1436" s="103"/>
      <c r="Z1436" s="103" t="s">
        <v>868</v>
      </c>
      <c r="AA1436" s="103" t="s">
        <v>874</v>
      </c>
      <c r="AB1436" s="103" t="s">
        <v>153</v>
      </c>
      <c r="AC1436" s="103">
        <v>0</v>
      </c>
      <c r="AD1436" s="156">
        <v>42005</v>
      </c>
      <c r="AE1436" s="103"/>
      <c r="AF1436" s="103" t="s">
        <v>870</v>
      </c>
      <c r="AG1436" s="103" t="s">
        <v>871</v>
      </c>
      <c r="AH1436" s="103" t="s">
        <v>976</v>
      </c>
      <c r="AI1436" s="103">
        <v>0</v>
      </c>
      <c r="AJ1436" s="103"/>
      <c r="AK1436" s="103"/>
      <c r="AL1436" s="103"/>
      <c r="AM1436" s="103"/>
      <c r="AN1436" s="103"/>
      <c r="AO1436" s="103" t="str">
        <f t="shared" si="79"/>
        <v>CFLscw-Dim(20w)Four+pack</v>
      </c>
    </row>
    <row r="1437" spans="1:41">
      <c r="A1437" s="177">
        <f>IFERROR(MATCH(D1437,'Measure &amp; Standard CostIDs'!C$5:C$177,0),MATCH(D1437,'Measure &amp; Standard CostIDs'!S$5:S$177,0))</f>
        <v>113</v>
      </c>
      <c r="B1437" s="177">
        <f t="shared" si="81"/>
        <v>5</v>
      </c>
      <c r="C1437" s="103" t="s">
        <v>153</v>
      </c>
      <c r="D1437" s="103" t="str">
        <f t="shared" si="80"/>
        <v>CFLscw-Dim(23w)</v>
      </c>
      <c r="E1437" s="103" t="str">
        <f>IF(LEFT(D1437,3)="Std","Base case cost for mix of 60% Incandescent and 40% CFL lamps for CFL TechID: "&amp;INDEX('Measure &amp; Standard CostIDs'!$C$5:$C$177,A1437),"&lt;from TechID&gt;")</f>
        <v>&lt;from TechID&gt;</v>
      </c>
      <c r="F1437" s="103" t="s">
        <v>860</v>
      </c>
      <c r="G1437" s="103" t="s">
        <v>151</v>
      </c>
      <c r="H1437" s="103" t="s">
        <v>861</v>
      </c>
      <c r="I1437" s="103" t="s">
        <v>862</v>
      </c>
      <c r="J1437" s="103" t="s">
        <v>863</v>
      </c>
      <c r="K1437" s="103" t="s">
        <v>864</v>
      </c>
      <c r="L1437" s="103" t="s">
        <v>153</v>
      </c>
      <c r="M1437" s="103" t="s">
        <v>865</v>
      </c>
      <c r="N1437" s="103" t="s">
        <v>866</v>
      </c>
      <c r="O1437" s="103" t="str">
        <f t="shared" si="78"/>
        <v>CFLscw-Dim(23w)</v>
      </c>
      <c r="P1437" s="103" t="s">
        <v>153</v>
      </c>
      <c r="Q1437" s="103" t="s">
        <v>153</v>
      </c>
      <c r="R1437" s="103" t="s">
        <v>153</v>
      </c>
      <c r="S1437" s="103" t="str">
        <f>INDEX('Measure &amp; Standard CostIDs'!$AK$8:$AK$12,B1437)</f>
        <v>Four+pack</v>
      </c>
      <c r="T1437" s="103" t="s">
        <v>867</v>
      </c>
      <c r="U1437" s="103"/>
      <c r="V1437" s="103"/>
      <c r="W1437" s="103">
        <f>ROUND(IF(LEFT(D1437,3)="Std",VLOOKUP(D1437,'Measure &amp; Standard CostIDs'!$S$5:$X$177,1+B1437,FALSE),VLOOKUP(D1437,'Measure &amp; Standard CostIDs'!$C$5:$H$177,1+B1437,FALSE)),2)</f>
        <v>8.3800000000000008</v>
      </c>
      <c r="X1437" s="103"/>
      <c r="Y1437" s="103"/>
      <c r="Z1437" s="103" t="s">
        <v>868</v>
      </c>
      <c r="AA1437" s="103" t="s">
        <v>874</v>
      </c>
      <c r="AB1437" s="103" t="s">
        <v>153</v>
      </c>
      <c r="AC1437" s="103">
        <v>0</v>
      </c>
      <c r="AD1437" s="156">
        <v>42005</v>
      </c>
      <c r="AE1437" s="103"/>
      <c r="AF1437" s="103" t="s">
        <v>870</v>
      </c>
      <c r="AG1437" s="103" t="s">
        <v>871</v>
      </c>
      <c r="AH1437" s="103" t="s">
        <v>976</v>
      </c>
      <c r="AI1437" s="103">
        <v>0</v>
      </c>
      <c r="AJ1437" s="103"/>
      <c r="AK1437" s="103"/>
      <c r="AL1437" s="103"/>
      <c r="AM1437" s="103"/>
      <c r="AN1437" s="103"/>
      <c r="AO1437" s="103" t="str">
        <f t="shared" si="79"/>
        <v>CFLscw-Dim(23w)Four+pack</v>
      </c>
    </row>
    <row r="1438" spans="1:41">
      <c r="A1438" s="177">
        <f>IFERROR(MATCH(D1438,'Measure &amp; Standard CostIDs'!C$5:C$177,0),MATCH(D1438,'Measure &amp; Standard CostIDs'!S$5:S$177,0))</f>
        <v>114</v>
      </c>
      <c r="B1438" s="177">
        <f t="shared" si="81"/>
        <v>5</v>
      </c>
      <c r="C1438" s="103" t="s">
        <v>153</v>
      </c>
      <c r="D1438" s="103" t="str">
        <f t="shared" si="80"/>
        <v>CFLscw-Dim(25w)</v>
      </c>
      <c r="E1438" s="103" t="str">
        <f>IF(LEFT(D1438,3)="Std","Base case cost for mix of 60% Incandescent and 40% CFL lamps for CFL TechID: "&amp;INDEX('Measure &amp; Standard CostIDs'!$C$5:$C$177,A1438),"&lt;from TechID&gt;")</f>
        <v>&lt;from TechID&gt;</v>
      </c>
      <c r="F1438" s="103" t="s">
        <v>860</v>
      </c>
      <c r="G1438" s="103" t="s">
        <v>151</v>
      </c>
      <c r="H1438" s="103" t="s">
        <v>861</v>
      </c>
      <c r="I1438" s="103" t="s">
        <v>862</v>
      </c>
      <c r="J1438" s="103" t="s">
        <v>863</v>
      </c>
      <c r="K1438" s="103" t="s">
        <v>864</v>
      </c>
      <c r="L1438" s="103" t="s">
        <v>153</v>
      </c>
      <c r="M1438" s="103" t="s">
        <v>865</v>
      </c>
      <c r="N1438" s="103" t="s">
        <v>866</v>
      </c>
      <c r="O1438" s="103" t="str">
        <f t="shared" si="78"/>
        <v>CFLscw-Dim(25w)</v>
      </c>
      <c r="P1438" s="103" t="s">
        <v>153</v>
      </c>
      <c r="Q1438" s="103" t="s">
        <v>153</v>
      </c>
      <c r="R1438" s="103" t="s">
        <v>153</v>
      </c>
      <c r="S1438" s="103" t="str">
        <f>INDEX('Measure &amp; Standard CostIDs'!$AK$8:$AK$12,B1438)</f>
        <v>Four+pack</v>
      </c>
      <c r="T1438" s="103" t="s">
        <v>867</v>
      </c>
      <c r="U1438" s="103"/>
      <c r="V1438" s="103"/>
      <c r="W1438" s="103">
        <f>ROUND(IF(LEFT(D1438,3)="Std",VLOOKUP(D1438,'Measure &amp; Standard CostIDs'!$S$5:$X$177,1+B1438,FALSE),VLOOKUP(D1438,'Measure &amp; Standard CostIDs'!$C$5:$H$177,1+B1438,FALSE)),2)</f>
        <v>8.51</v>
      </c>
      <c r="X1438" s="103"/>
      <c r="Y1438" s="103"/>
      <c r="Z1438" s="103" t="s">
        <v>868</v>
      </c>
      <c r="AA1438" s="103" t="s">
        <v>874</v>
      </c>
      <c r="AB1438" s="103" t="s">
        <v>153</v>
      </c>
      <c r="AC1438" s="103">
        <v>0</v>
      </c>
      <c r="AD1438" s="156">
        <v>42005</v>
      </c>
      <c r="AE1438" s="103"/>
      <c r="AF1438" s="103" t="s">
        <v>870</v>
      </c>
      <c r="AG1438" s="103" t="s">
        <v>871</v>
      </c>
      <c r="AH1438" s="103" t="s">
        <v>976</v>
      </c>
      <c r="AI1438" s="103">
        <v>0</v>
      </c>
      <c r="AJ1438" s="103"/>
      <c r="AK1438" s="103"/>
      <c r="AL1438" s="103"/>
      <c r="AM1438" s="103"/>
      <c r="AN1438" s="103"/>
      <c r="AO1438" s="103" t="str">
        <f t="shared" si="79"/>
        <v>CFLscw-Dim(25w)Four+pack</v>
      </c>
    </row>
    <row r="1439" spans="1:41">
      <c r="A1439" s="177">
        <f>IFERROR(MATCH(D1439,'Measure &amp; Standard CostIDs'!C$5:C$177,0),MATCH(D1439,'Measure &amp; Standard CostIDs'!S$5:S$177,0))</f>
        <v>115</v>
      </c>
      <c r="B1439" s="177">
        <f t="shared" si="81"/>
        <v>5</v>
      </c>
      <c r="C1439" s="103" t="s">
        <v>153</v>
      </c>
      <c r="D1439" s="103" t="str">
        <f t="shared" si="80"/>
        <v>CFLscw-Dim(26w)</v>
      </c>
      <c r="E1439" s="103" t="str">
        <f>IF(LEFT(D1439,3)="Std","Base case cost for mix of 60% Incandescent and 40% CFL lamps for CFL TechID: "&amp;INDEX('Measure &amp; Standard CostIDs'!$C$5:$C$177,A1439),"&lt;from TechID&gt;")</f>
        <v>&lt;from TechID&gt;</v>
      </c>
      <c r="F1439" s="103" t="s">
        <v>860</v>
      </c>
      <c r="G1439" s="103" t="s">
        <v>151</v>
      </c>
      <c r="H1439" s="103" t="s">
        <v>861</v>
      </c>
      <c r="I1439" s="103" t="s">
        <v>862</v>
      </c>
      <c r="J1439" s="103" t="s">
        <v>863</v>
      </c>
      <c r="K1439" s="103" t="s">
        <v>864</v>
      </c>
      <c r="L1439" s="103" t="s">
        <v>153</v>
      </c>
      <c r="M1439" s="103" t="s">
        <v>865</v>
      </c>
      <c r="N1439" s="103" t="s">
        <v>866</v>
      </c>
      <c r="O1439" s="103" t="str">
        <f t="shared" si="78"/>
        <v>CFLscw-Dim(26w)</v>
      </c>
      <c r="P1439" s="103" t="s">
        <v>153</v>
      </c>
      <c r="Q1439" s="103" t="s">
        <v>153</v>
      </c>
      <c r="R1439" s="103" t="s">
        <v>153</v>
      </c>
      <c r="S1439" s="103" t="str">
        <f>INDEX('Measure &amp; Standard CostIDs'!$AK$8:$AK$12,B1439)</f>
        <v>Four+pack</v>
      </c>
      <c r="T1439" s="103" t="s">
        <v>867</v>
      </c>
      <c r="U1439" s="103"/>
      <c r="V1439" s="103"/>
      <c r="W1439" s="103">
        <f>ROUND(IF(LEFT(D1439,3)="Std",VLOOKUP(D1439,'Measure &amp; Standard CostIDs'!$S$5:$X$177,1+B1439,FALSE),VLOOKUP(D1439,'Measure &amp; Standard CostIDs'!$C$5:$H$177,1+B1439,FALSE)),2)</f>
        <v>8.67</v>
      </c>
      <c r="X1439" s="103"/>
      <c r="Y1439" s="103"/>
      <c r="Z1439" s="103" t="s">
        <v>868</v>
      </c>
      <c r="AA1439" s="103" t="s">
        <v>874</v>
      </c>
      <c r="AB1439" s="103" t="s">
        <v>153</v>
      </c>
      <c r="AC1439" s="103">
        <v>0</v>
      </c>
      <c r="AD1439" s="156">
        <v>42005</v>
      </c>
      <c r="AE1439" s="103"/>
      <c r="AF1439" s="103" t="s">
        <v>870</v>
      </c>
      <c r="AG1439" s="103" t="s">
        <v>871</v>
      </c>
      <c r="AH1439" s="103" t="s">
        <v>976</v>
      </c>
      <c r="AI1439" s="103">
        <v>0</v>
      </c>
      <c r="AJ1439" s="103"/>
      <c r="AK1439" s="103"/>
      <c r="AL1439" s="103"/>
      <c r="AM1439" s="103"/>
      <c r="AN1439" s="103"/>
      <c r="AO1439" s="103" t="str">
        <f t="shared" si="79"/>
        <v>CFLscw-Dim(26w)Four+pack</v>
      </c>
    </row>
    <row r="1440" spans="1:41">
      <c r="A1440" s="177">
        <f>IFERROR(MATCH(D1440,'Measure &amp; Standard CostIDs'!C$5:C$177,0),MATCH(D1440,'Measure &amp; Standard CostIDs'!S$5:S$177,0))</f>
        <v>116</v>
      </c>
      <c r="B1440" s="177">
        <f t="shared" si="81"/>
        <v>5</v>
      </c>
      <c r="C1440" s="103" t="s">
        <v>153</v>
      </c>
      <c r="D1440" s="103" t="str">
        <f t="shared" si="80"/>
        <v>CFLscw-Dim(28w)</v>
      </c>
      <c r="E1440" s="103" t="str">
        <f>IF(LEFT(D1440,3)="Std","Base case cost for mix of 60% Incandescent and 40% CFL lamps for CFL TechID: "&amp;INDEX('Measure &amp; Standard CostIDs'!$C$5:$C$177,A1440),"&lt;from TechID&gt;")</f>
        <v>&lt;from TechID&gt;</v>
      </c>
      <c r="F1440" s="103" t="s">
        <v>860</v>
      </c>
      <c r="G1440" s="103" t="s">
        <v>151</v>
      </c>
      <c r="H1440" s="103" t="s">
        <v>861</v>
      </c>
      <c r="I1440" s="103" t="s">
        <v>862</v>
      </c>
      <c r="J1440" s="103" t="s">
        <v>863</v>
      </c>
      <c r="K1440" s="103" t="s">
        <v>864</v>
      </c>
      <c r="L1440" s="103" t="s">
        <v>153</v>
      </c>
      <c r="M1440" s="103" t="s">
        <v>865</v>
      </c>
      <c r="N1440" s="103" t="s">
        <v>866</v>
      </c>
      <c r="O1440" s="103" t="str">
        <f t="shared" si="78"/>
        <v>CFLscw-Dim(28w)</v>
      </c>
      <c r="P1440" s="103" t="s">
        <v>153</v>
      </c>
      <c r="Q1440" s="103" t="s">
        <v>153</v>
      </c>
      <c r="R1440" s="103" t="s">
        <v>153</v>
      </c>
      <c r="S1440" s="103" t="str">
        <f>INDEX('Measure &amp; Standard CostIDs'!$AK$8:$AK$12,B1440)</f>
        <v>Four+pack</v>
      </c>
      <c r="T1440" s="103" t="s">
        <v>867</v>
      </c>
      <c r="U1440" s="103"/>
      <c r="V1440" s="103"/>
      <c r="W1440" s="103">
        <f>ROUND(IF(LEFT(D1440,3)="Std",VLOOKUP(D1440,'Measure &amp; Standard CostIDs'!$S$5:$X$177,1+B1440,FALSE),VLOOKUP(D1440,'Measure &amp; Standard CostIDs'!$C$5:$H$177,1+B1440,FALSE)),2)</f>
        <v>8.99</v>
      </c>
      <c r="X1440" s="103"/>
      <c r="Y1440" s="103"/>
      <c r="Z1440" s="103" t="s">
        <v>868</v>
      </c>
      <c r="AA1440" s="103" t="s">
        <v>874</v>
      </c>
      <c r="AB1440" s="103" t="s">
        <v>153</v>
      </c>
      <c r="AC1440" s="103">
        <v>0</v>
      </c>
      <c r="AD1440" s="156">
        <v>42005</v>
      </c>
      <c r="AE1440" s="103"/>
      <c r="AF1440" s="103" t="s">
        <v>870</v>
      </c>
      <c r="AG1440" s="103" t="s">
        <v>871</v>
      </c>
      <c r="AH1440" s="103" t="s">
        <v>976</v>
      </c>
      <c r="AI1440" s="103">
        <v>0</v>
      </c>
      <c r="AJ1440" s="103"/>
      <c r="AK1440" s="103"/>
      <c r="AL1440" s="103"/>
      <c r="AM1440" s="103"/>
      <c r="AN1440" s="103"/>
      <c r="AO1440" s="103" t="str">
        <f t="shared" si="79"/>
        <v>CFLscw-Dim(28w)Four+pack</v>
      </c>
    </row>
    <row r="1441" spans="1:41">
      <c r="A1441" s="177">
        <f>IFERROR(MATCH(D1441,'Measure &amp; Standard CostIDs'!C$5:C$177,0),MATCH(D1441,'Measure &amp; Standard CostIDs'!S$5:S$177,0))</f>
        <v>117</v>
      </c>
      <c r="B1441" s="177">
        <f t="shared" si="81"/>
        <v>5</v>
      </c>
      <c r="C1441" s="103" t="s">
        <v>153</v>
      </c>
      <c r="D1441" s="103" t="str">
        <f t="shared" si="80"/>
        <v>CFLscw-Dim(30w)</v>
      </c>
      <c r="E1441" s="103" t="str">
        <f>IF(LEFT(D1441,3)="Std","Base case cost for mix of 60% Incandescent and 40% CFL lamps for CFL TechID: "&amp;INDEX('Measure &amp; Standard CostIDs'!$C$5:$C$177,A1441),"&lt;from TechID&gt;")</f>
        <v>&lt;from TechID&gt;</v>
      </c>
      <c r="F1441" s="103" t="s">
        <v>860</v>
      </c>
      <c r="G1441" s="103" t="s">
        <v>151</v>
      </c>
      <c r="H1441" s="103" t="s">
        <v>861</v>
      </c>
      <c r="I1441" s="103" t="s">
        <v>862</v>
      </c>
      <c r="J1441" s="103" t="s">
        <v>863</v>
      </c>
      <c r="K1441" s="103" t="s">
        <v>864</v>
      </c>
      <c r="L1441" s="103" t="s">
        <v>153</v>
      </c>
      <c r="M1441" s="103" t="s">
        <v>865</v>
      </c>
      <c r="N1441" s="103" t="s">
        <v>866</v>
      </c>
      <c r="O1441" s="103" t="str">
        <f t="shared" si="78"/>
        <v>CFLscw-Dim(30w)</v>
      </c>
      <c r="P1441" s="103" t="s">
        <v>153</v>
      </c>
      <c r="Q1441" s="103" t="s">
        <v>153</v>
      </c>
      <c r="R1441" s="103" t="s">
        <v>153</v>
      </c>
      <c r="S1441" s="103" t="str">
        <f>INDEX('Measure &amp; Standard CostIDs'!$AK$8:$AK$12,B1441)</f>
        <v>Four+pack</v>
      </c>
      <c r="T1441" s="103" t="s">
        <v>867</v>
      </c>
      <c r="U1441" s="103"/>
      <c r="V1441" s="103"/>
      <c r="W1441" s="103">
        <f>ROUND(IF(LEFT(D1441,3)="Std",VLOOKUP(D1441,'Measure &amp; Standard CostIDs'!$S$5:$X$177,1+B1441,FALSE),VLOOKUP(D1441,'Measure &amp; Standard CostIDs'!$C$5:$H$177,1+B1441,FALSE)),2)</f>
        <v>9.31</v>
      </c>
      <c r="X1441" s="103"/>
      <c r="Y1441" s="103"/>
      <c r="Z1441" s="103" t="s">
        <v>868</v>
      </c>
      <c r="AA1441" s="103" t="s">
        <v>874</v>
      </c>
      <c r="AB1441" s="103" t="s">
        <v>153</v>
      </c>
      <c r="AC1441" s="103">
        <v>0</v>
      </c>
      <c r="AD1441" s="156">
        <v>42005</v>
      </c>
      <c r="AE1441" s="103"/>
      <c r="AF1441" s="103" t="s">
        <v>870</v>
      </c>
      <c r="AG1441" s="103" t="s">
        <v>871</v>
      </c>
      <c r="AH1441" s="103" t="s">
        <v>976</v>
      </c>
      <c r="AI1441" s="103">
        <v>0</v>
      </c>
      <c r="AJ1441" s="103"/>
      <c r="AK1441" s="103"/>
      <c r="AL1441" s="103"/>
      <c r="AM1441" s="103"/>
      <c r="AN1441" s="103"/>
      <c r="AO1441" s="103" t="str">
        <f t="shared" si="79"/>
        <v>CFLscw-Dim(30w)Four+pack</v>
      </c>
    </row>
    <row r="1442" spans="1:41">
      <c r="A1442" s="177">
        <f>IFERROR(MATCH(D1442,'Measure &amp; Standard CostIDs'!C$5:C$177,0),MATCH(D1442,'Measure &amp; Standard CostIDs'!S$5:S$177,0))</f>
        <v>118</v>
      </c>
      <c r="B1442" s="177">
        <f t="shared" si="81"/>
        <v>5</v>
      </c>
      <c r="C1442" s="103" t="s">
        <v>153</v>
      </c>
      <c r="D1442" s="103" t="str">
        <f t="shared" si="80"/>
        <v>CFLscw-Dim(33w)</v>
      </c>
      <c r="E1442" s="103" t="str">
        <f>IF(LEFT(D1442,3)="Std","Base case cost for mix of 60% Incandescent and 40% CFL lamps for CFL TechID: "&amp;INDEX('Measure &amp; Standard CostIDs'!$C$5:$C$177,A1442),"&lt;from TechID&gt;")</f>
        <v>&lt;from TechID&gt;</v>
      </c>
      <c r="F1442" s="103" t="s">
        <v>860</v>
      </c>
      <c r="G1442" s="103" t="s">
        <v>151</v>
      </c>
      <c r="H1442" s="103" t="s">
        <v>861</v>
      </c>
      <c r="I1442" s="103" t="s">
        <v>862</v>
      </c>
      <c r="J1442" s="103" t="s">
        <v>863</v>
      </c>
      <c r="K1442" s="103" t="s">
        <v>864</v>
      </c>
      <c r="L1442" s="103" t="s">
        <v>153</v>
      </c>
      <c r="M1442" s="103" t="s">
        <v>865</v>
      </c>
      <c r="N1442" s="103" t="s">
        <v>866</v>
      </c>
      <c r="O1442" s="103" t="str">
        <f t="shared" si="78"/>
        <v>CFLscw-Dim(33w)</v>
      </c>
      <c r="P1442" s="103" t="s">
        <v>153</v>
      </c>
      <c r="Q1442" s="103" t="s">
        <v>153</v>
      </c>
      <c r="R1442" s="103" t="s">
        <v>153</v>
      </c>
      <c r="S1442" s="103" t="str">
        <f>INDEX('Measure &amp; Standard CostIDs'!$AK$8:$AK$12,B1442)</f>
        <v>Four+pack</v>
      </c>
      <c r="T1442" s="103" t="s">
        <v>867</v>
      </c>
      <c r="U1442" s="103"/>
      <c r="V1442" s="103"/>
      <c r="W1442" s="103">
        <f>ROUND(IF(LEFT(D1442,3)="Std",VLOOKUP(D1442,'Measure &amp; Standard CostIDs'!$S$5:$X$177,1+B1442,FALSE),VLOOKUP(D1442,'Measure &amp; Standard CostIDs'!$C$5:$H$177,1+B1442,FALSE)),2)</f>
        <v>9.7899999999999991</v>
      </c>
      <c r="X1442" s="103"/>
      <c r="Y1442" s="103"/>
      <c r="Z1442" s="103" t="s">
        <v>868</v>
      </c>
      <c r="AA1442" s="103" t="s">
        <v>874</v>
      </c>
      <c r="AB1442" s="103" t="s">
        <v>153</v>
      </c>
      <c r="AC1442" s="103">
        <v>0</v>
      </c>
      <c r="AD1442" s="156">
        <v>42005</v>
      </c>
      <c r="AE1442" s="103"/>
      <c r="AF1442" s="103" t="s">
        <v>870</v>
      </c>
      <c r="AG1442" s="103" t="s">
        <v>871</v>
      </c>
      <c r="AH1442" s="103" t="s">
        <v>976</v>
      </c>
      <c r="AI1442" s="103">
        <v>0</v>
      </c>
      <c r="AJ1442" s="103"/>
      <c r="AK1442" s="103"/>
      <c r="AL1442" s="103"/>
      <c r="AM1442" s="103"/>
      <c r="AN1442" s="103"/>
      <c r="AO1442" s="103" t="str">
        <f t="shared" si="79"/>
        <v>CFLscw-Dim(33w)Four+pack</v>
      </c>
    </row>
    <row r="1443" spans="1:41">
      <c r="A1443" s="177">
        <f>IFERROR(MATCH(D1443,'Measure &amp; Standard CostIDs'!C$5:C$177,0),MATCH(D1443,'Measure &amp; Standard CostIDs'!S$5:S$177,0))</f>
        <v>119</v>
      </c>
      <c r="B1443" s="177">
        <f t="shared" si="81"/>
        <v>5</v>
      </c>
      <c r="C1443" s="103" t="s">
        <v>153</v>
      </c>
      <c r="D1443" s="103" t="str">
        <f t="shared" si="80"/>
        <v>CFLscw-Dim(35w)</v>
      </c>
      <c r="E1443" s="103" t="str">
        <f>IF(LEFT(D1443,3)="Std","Base case cost for mix of 60% Incandescent and 40% CFL lamps for CFL TechID: "&amp;INDEX('Measure &amp; Standard CostIDs'!$C$5:$C$177,A1443),"&lt;from TechID&gt;")</f>
        <v>&lt;from TechID&gt;</v>
      </c>
      <c r="F1443" s="103" t="s">
        <v>860</v>
      </c>
      <c r="G1443" s="103" t="s">
        <v>151</v>
      </c>
      <c r="H1443" s="103" t="s">
        <v>861</v>
      </c>
      <c r="I1443" s="103" t="s">
        <v>862</v>
      </c>
      <c r="J1443" s="103" t="s">
        <v>863</v>
      </c>
      <c r="K1443" s="103" t="s">
        <v>864</v>
      </c>
      <c r="L1443" s="103" t="s">
        <v>153</v>
      </c>
      <c r="M1443" s="103" t="s">
        <v>865</v>
      </c>
      <c r="N1443" s="103" t="s">
        <v>866</v>
      </c>
      <c r="O1443" s="103" t="str">
        <f t="shared" si="78"/>
        <v>CFLscw-Dim(35w)</v>
      </c>
      <c r="P1443" s="103" t="s">
        <v>153</v>
      </c>
      <c r="Q1443" s="103" t="s">
        <v>153</v>
      </c>
      <c r="R1443" s="103" t="s">
        <v>153</v>
      </c>
      <c r="S1443" s="103" t="str">
        <f>INDEX('Measure &amp; Standard CostIDs'!$AK$8:$AK$12,B1443)</f>
        <v>Four+pack</v>
      </c>
      <c r="T1443" s="103" t="s">
        <v>867</v>
      </c>
      <c r="U1443" s="103"/>
      <c r="V1443" s="103"/>
      <c r="W1443" s="103">
        <f>ROUND(IF(LEFT(D1443,3)="Std",VLOOKUP(D1443,'Measure &amp; Standard CostIDs'!$S$5:$X$177,1+B1443,FALSE),VLOOKUP(D1443,'Measure &amp; Standard CostIDs'!$C$5:$H$177,1+B1443,FALSE)),2)</f>
        <v>10.11</v>
      </c>
      <c r="X1443" s="103"/>
      <c r="Y1443" s="103"/>
      <c r="Z1443" s="103" t="s">
        <v>868</v>
      </c>
      <c r="AA1443" s="103" t="s">
        <v>874</v>
      </c>
      <c r="AB1443" s="103" t="s">
        <v>153</v>
      </c>
      <c r="AC1443" s="103">
        <v>0</v>
      </c>
      <c r="AD1443" s="156">
        <v>42005</v>
      </c>
      <c r="AE1443" s="103"/>
      <c r="AF1443" s="103" t="s">
        <v>870</v>
      </c>
      <c r="AG1443" s="103" t="s">
        <v>871</v>
      </c>
      <c r="AH1443" s="103" t="s">
        <v>976</v>
      </c>
      <c r="AI1443" s="103">
        <v>0</v>
      </c>
      <c r="AJ1443" s="103"/>
      <c r="AK1443" s="103"/>
      <c r="AL1443" s="103"/>
      <c r="AM1443" s="103"/>
      <c r="AN1443" s="103"/>
      <c r="AO1443" s="103" t="str">
        <f t="shared" si="79"/>
        <v>CFLscw-Dim(35w)Four+pack</v>
      </c>
    </row>
    <row r="1444" spans="1:41">
      <c r="A1444" s="177">
        <f>IFERROR(MATCH(D1444,'Measure &amp; Standard CostIDs'!C$5:C$177,0),MATCH(D1444,'Measure &amp; Standard CostIDs'!S$5:S$177,0))</f>
        <v>120</v>
      </c>
      <c r="B1444" s="177">
        <f t="shared" si="81"/>
        <v>5</v>
      </c>
      <c r="C1444" s="103" t="s">
        <v>153</v>
      </c>
      <c r="D1444" s="103" t="str">
        <f t="shared" si="80"/>
        <v>CFLscw-Dim(38w)</v>
      </c>
      <c r="E1444" s="103" t="str">
        <f>IF(LEFT(D1444,3)="Std","Base case cost for mix of 60% Incandescent and 40% CFL lamps for CFL TechID: "&amp;INDEX('Measure &amp; Standard CostIDs'!$C$5:$C$177,A1444),"&lt;from TechID&gt;")</f>
        <v>&lt;from TechID&gt;</v>
      </c>
      <c r="F1444" s="103" t="s">
        <v>860</v>
      </c>
      <c r="G1444" s="103" t="s">
        <v>151</v>
      </c>
      <c r="H1444" s="103" t="s">
        <v>861</v>
      </c>
      <c r="I1444" s="103" t="s">
        <v>862</v>
      </c>
      <c r="J1444" s="103" t="s">
        <v>863</v>
      </c>
      <c r="K1444" s="103" t="s">
        <v>864</v>
      </c>
      <c r="L1444" s="103" t="s">
        <v>153</v>
      </c>
      <c r="M1444" s="103" t="s">
        <v>865</v>
      </c>
      <c r="N1444" s="103" t="s">
        <v>866</v>
      </c>
      <c r="O1444" s="103" t="str">
        <f t="shared" si="78"/>
        <v>CFLscw-Dim(38w)</v>
      </c>
      <c r="P1444" s="103" t="s">
        <v>153</v>
      </c>
      <c r="Q1444" s="103" t="s">
        <v>153</v>
      </c>
      <c r="R1444" s="103" t="s">
        <v>153</v>
      </c>
      <c r="S1444" s="103" t="str">
        <f>INDEX('Measure &amp; Standard CostIDs'!$AK$8:$AK$12,B1444)</f>
        <v>Four+pack</v>
      </c>
      <c r="T1444" s="103" t="s">
        <v>867</v>
      </c>
      <c r="U1444" s="103"/>
      <c r="V1444" s="103"/>
      <c r="W1444" s="103">
        <f>ROUND(IF(LEFT(D1444,3)="Std",VLOOKUP(D1444,'Measure &amp; Standard CostIDs'!$S$5:$X$177,1+B1444,FALSE),VLOOKUP(D1444,'Measure &amp; Standard CostIDs'!$C$5:$H$177,1+B1444,FALSE)),2)</f>
        <v>10.59</v>
      </c>
      <c r="X1444" s="103"/>
      <c r="Y1444" s="103"/>
      <c r="Z1444" s="103" t="s">
        <v>868</v>
      </c>
      <c r="AA1444" s="103" t="s">
        <v>874</v>
      </c>
      <c r="AB1444" s="103" t="s">
        <v>153</v>
      </c>
      <c r="AC1444" s="103">
        <v>0</v>
      </c>
      <c r="AD1444" s="156">
        <v>42005</v>
      </c>
      <c r="AE1444" s="103"/>
      <c r="AF1444" s="103" t="s">
        <v>870</v>
      </c>
      <c r="AG1444" s="103" t="s">
        <v>871</v>
      </c>
      <c r="AH1444" s="103" t="s">
        <v>976</v>
      </c>
      <c r="AI1444" s="103">
        <v>0</v>
      </c>
      <c r="AJ1444" s="103"/>
      <c r="AK1444" s="103"/>
      <c r="AL1444" s="103"/>
      <c r="AM1444" s="103"/>
      <c r="AN1444" s="103"/>
      <c r="AO1444" s="103" t="str">
        <f t="shared" si="79"/>
        <v>CFLscw-Dim(38w)Four+pack</v>
      </c>
    </row>
    <row r="1445" spans="1:41">
      <c r="A1445" s="177">
        <f>IFERROR(MATCH(D1445,'Measure &amp; Standard CostIDs'!C$5:C$177,0),MATCH(D1445,'Measure &amp; Standard CostIDs'!S$5:S$177,0))</f>
        <v>121</v>
      </c>
      <c r="B1445" s="177">
        <f t="shared" si="81"/>
        <v>5</v>
      </c>
      <c r="C1445" s="103" t="s">
        <v>153</v>
      </c>
      <c r="D1445" s="103" t="str">
        <f t="shared" si="80"/>
        <v>CFLscw-Dim(40w)</v>
      </c>
      <c r="E1445" s="103" t="str">
        <f>IF(LEFT(D1445,3)="Std","Base case cost for mix of 60% Incandescent and 40% CFL lamps for CFL TechID: "&amp;INDEX('Measure &amp; Standard CostIDs'!$C$5:$C$177,A1445),"&lt;from TechID&gt;")</f>
        <v>&lt;from TechID&gt;</v>
      </c>
      <c r="F1445" s="103" t="s">
        <v>860</v>
      </c>
      <c r="G1445" s="103" t="s">
        <v>151</v>
      </c>
      <c r="H1445" s="103" t="s">
        <v>861</v>
      </c>
      <c r="I1445" s="103" t="s">
        <v>862</v>
      </c>
      <c r="J1445" s="103" t="s">
        <v>863</v>
      </c>
      <c r="K1445" s="103" t="s">
        <v>864</v>
      </c>
      <c r="L1445" s="103" t="s">
        <v>153</v>
      </c>
      <c r="M1445" s="103" t="s">
        <v>865</v>
      </c>
      <c r="N1445" s="103" t="s">
        <v>866</v>
      </c>
      <c r="O1445" s="103" t="str">
        <f t="shared" si="78"/>
        <v>CFLscw-Dim(40w)</v>
      </c>
      <c r="P1445" s="103" t="s">
        <v>153</v>
      </c>
      <c r="Q1445" s="103" t="s">
        <v>153</v>
      </c>
      <c r="R1445" s="103" t="s">
        <v>153</v>
      </c>
      <c r="S1445" s="103" t="str">
        <f>INDEX('Measure &amp; Standard CostIDs'!$AK$8:$AK$12,B1445)</f>
        <v>Four+pack</v>
      </c>
      <c r="T1445" s="103" t="s">
        <v>867</v>
      </c>
      <c r="U1445" s="103"/>
      <c r="V1445" s="103"/>
      <c r="W1445" s="103">
        <f>ROUND(IF(LEFT(D1445,3)="Std",VLOOKUP(D1445,'Measure &amp; Standard CostIDs'!$S$5:$X$177,1+B1445,FALSE),VLOOKUP(D1445,'Measure &amp; Standard CostIDs'!$C$5:$H$177,1+B1445,FALSE)),2)</f>
        <v>10.91</v>
      </c>
      <c r="X1445" s="103"/>
      <c r="Y1445" s="103"/>
      <c r="Z1445" s="103" t="s">
        <v>868</v>
      </c>
      <c r="AA1445" s="103" t="s">
        <v>874</v>
      </c>
      <c r="AB1445" s="103" t="s">
        <v>153</v>
      </c>
      <c r="AC1445" s="103">
        <v>0</v>
      </c>
      <c r="AD1445" s="156">
        <v>42005</v>
      </c>
      <c r="AE1445" s="103"/>
      <c r="AF1445" s="103" t="s">
        <v>870</v>
      </c>
      <c r="AG1445" s="103" t="s">
        <v>871</v>
      </c>
      <c r="AH1445" s="103" t="s">
        <v>976</v>
      </c>
      <c r="AI1445" s="103">
        <v>0</v>
      </c>
      <c r="AJ1445" s="103"/>
      <c r="AK1445" s="103"/>
      <c r="AL1445" s="103"/>
      <c r="AM1445" s="103"/>
      <c r="AN1445" s="103"/>
      <c r="AO1445" s="103" t="str">
        <f t="shared" si="79"/>
        <v>CFLscw-Dim(40w)Four+pack</v>
      </c>
    </row>
    <row r="1446" spans="1:41">
      <c r="A1446" s="177">
        <f>IFERROR(MATCH(D1446,'Measure &amp; Standard CostIDs'!C$5:C$177,0),MATCH(D1446,'Measure &amp; Standard CostIDs'!S$5:S$177,0))</f>
        <v>122</v>
      </c>
      <c r="B1446" s="177">
        <f t="shared" si="81"/>
        <v>5</v>
      </c>
      <c r="C1446" s="103" t="s">
        <v>153</v>
      </c>
      <c r="D1446" s="103" t="str">
        <f t="shared" si="80"/>
        <v>CFLscw-Dim(45w)</v>
      </c>
      <c r="E1446" s="103" t="str">
        <f>IF(LEFT(D1446,3)="Std","Base case cost for mix of 60% Incandescent and 40% CFL lamps for CFL TechID: "&amp;INDEX('Measure &amp; Standard CostIDs'!$C$5:$C$177,A1446),"&lt;from TechID&gt;")</f>
        <v>&lt;from TechID&gt;</v>
      </c>
      <c r="F1446" s="103" t="s">
        <v>860</v>
      </c>
      <c r="G1446" s="103" t="s">
        <v>151</v>
      </c>
      <c r="H1446" s="103" t="s">
        <v>861</v>
      </c>
      <c r="I1446" s="103" t="s">
        <v>862</v>
      </c>
      <c r="J1446" s="103" t="s">
        <v>863</v>
      </c>
      <c r="K1446" s="103" t="s">
        <v>864</v>
      </c>
      <c r="L1446" s="103" t="s">
        <v>153</v>
      </c>
      <c r="M1446" s="103" t="s">
        <v>865</v>
      </c>
      <c r="N1446" s="103" t="s">
        <v>866</v>
      </c>
      <c r="O1446" s="103" t="str">
        <f t="shared" si="78"/>
        <v>CFLscw-Dim(45w)</v>
      </c>
      <c r="P1446" s="103" t="s">
        <v>153</v>
      </c>
      <c r="Q1446" s="103" t="s">
        <v>153</v>
      </c>
      <c r="R1446" s="103" t="s">
        <v>153</v>
      </c>
      <c r="S1446" s="103" t="str">
        <f>INDEX('Measure &amp; Standard CostIDs'!$AK$8:$AK$12,B1446)</f>
        <v>Four+pack</v>
      </c>
      <c r="T1446" s="103" t="s">
        <v>867</v>
      </c>
      <c r="U1446" s="103"/>
      <c r="V1446" s="103"/>
      <c r="W1446" s="103">
        <f>ROUND(IF(LEFT(D1446,3)="Std",VLOOKUP(D1446,'Measure &amp; Standard CostIDs'!$S$5:$X$177,1+B1446,FALSE),VLOOKUP(D1446,'Measure &amp; Standard CostIDs'!$C$5:$H$177,1+B1446,FALSE)),2)</f>
        <v>11.71</v>
      </c>
      <c r="X1446" s="103"/>
      <c r="Y1446" s="103"/>
      <c r="Z1446" s="103" t="s">
        <v>868</v>
      </c>
      <c r="AA1446" s="103" t="s">
        <v>874</v>
      </c>
      <c r="AB1446" s="103" t="s">
        <v>153</v>
      </c>
      <c r="AC1446" s="103">
        <v>0</v>
      </c>
      <c r="AD1446" s="156">
        <v>42005</v>
      </c>
      <c r="AE1446" s="103"/>
      <c r="AF1446" s="103" t="s">
        <v>870</v>
      </c>
      <c r="AG1446" s="103" t="s">
        <v>871</v>
      </c>
      <c r="AH1446" s="103" t="s">
        <v>976</v>
      </c>
      <c r="AI1446" s="103">
        <v>0</v>
      </c>
      <c r="AJ1446" s="103"/>
      <c r="AK1446" s="103"/>
      <c r="AL1446" s="103"/>
      <c r="AM1446" s="103"/>
      <c r="AN1446" s="103"/>
      <c r="AO1446" s="103" t="str">
        <f t="shared" si="79"/>
        <v>CFLscw-Dim(45w)Four+pack</v>
      </c>
    </row>
    <row r="1447" spans="1:41">
      <c r="A1447" s="177">
        <f>IFERROR(MATCH(D1447,'Measure &amp; Standard CostIDs'!C$5:C$177,0),MATCH(D1447,'Measure &amp; Standard CostIDs'!S$5:S$177,0))</f>
        <v>123</v>
      </c>
      <c r="B1447" s="177">
        <f t="shared" si="81"/>
        <v>5</v>
      </c>
      <c r="C1447" s="103" t="s">
        <v>153</v>
      </c>
      <c r="D1447" s="103" t="str">
        <f t="shared" si="80"/>
        <v>CFLscw-Dim(47w)</v>
      </c>
      <c r="E1447" s="103" t="str">
        <f>IF(LEFT(D1447,3)="Std","Base case cost for mix of 60% Incandescent and 40% CFL lamps for CFL TechID: "&amp;INDEX('Measure &amp; Standard CostIDs'!$C$5:$C$177,A1447),"&lt;from TechID&gt;")</f>
        <v>&lt;from TechID&gt;</v>
      </c>
      <c r="F1447" s="103" t="s">
        <v>860</v>
      </c>
      <c r="G1447" s="103" t="s">
        <v>151</v>
      </c>
      <c r="H1447" s="103" t="s">
        <v>861</v>
      </c>
      <c r="I1447" s="103" t="s">
        <v>862</v>
      </c>
      <c r="J1447" s="103" t="s">
        <v>863</v>
      </c>
      <c r="K1447" s="103" t="s">
        <v>864</v>
      </c>
      <c r="L1447" s="103" t="s">
        <v>153</v>
      </c>
      <c r="M1447" s="103" t="s">
        <v>865</v>
      </c>
      <c r="N1447" s="103" t="s">
        <v>866</v>
      </c>
      <c r="O1447" s="103" t="str">
        <f t="shared" si="78"/>
        <v>CFLscw-Dim(47w)</v>
      </c>
      <c r="P1447" s="103" t="s">
        <v>153</v>
      </c>
      <c r="Q1447" s="103" t="s">
        <v>153</v>
      </c>
      <c r="R1447" s="103" t="s">
        <v>153</v>
      </c>
      <c r="S1447" s="103" t="str">
        <f>INDEX('Measure &amp; Standard CostIDs'!$AK$8:$AK$12,B1447)</f>
        <v>Four+pack</v>
      </c>
      <c r="T1447" s="103" t="s">
        <v>867</v>
      </c>
      <c r="U1447" s="103"/>
      <c r="V1447" s="103"/>
      <c r="W1447" s="103">
        <f>ROUND(IF(LEFT(D1447,3)="Std",VLOOKUP(D1447,'Measure &amp; Standard CostIDs'!$S$5:$X$177,1+B1447,FALSE),VLOOKUP(D1447,'Measure &amp; Standard CostIDs'!$C$5:$H$177,1+B1447,FALSE)),2)</f>
        <v>12.03</v>
      </c>
      <c r="X1447" s="103"/>
      <c r="Y1447" s="103"/>
      <c r="Z1447" s="103" t="s">
        <v>868</v>
      </c>
      <c r="AA1447" s="103" t="s">
        <v>874</v>
      </c>
      <c r="AB1447" s="103" t="s">
        <v>153</v>
      </c>
      <c r="AC1447" s="103">
        <v>0</v>
      </c>
      <c r="AD1447" s="156">
        <v>42005</v>
      </c>
      <c r="AE1447" s="103"/>
      <c r="AF1447" s="103" t="s">
        <v>870</v>
      </c>
      <c r="AG1447" s="103" t="s">
        <v>871</v>
      </c>
      <c r="AH1447" s="103" t="s">
        <v>976</v>
      </c>
      <c r="AI1447" s="103">
        <v>0</v>
      </c>
      <c r="AJ1447" s="103"/>
      <c r="AK1447" s="103"/>
      <c r="AL1447" s="103"/>
      <c r="AM1447" s="103"/>
      <c r="AN1447" s="103"/>
      <c r="AO1447" s="103" t="str">
        <f t="shared" si="79"/>
        <v>CFLscw-Dim(47w)Four+pack</v>
      </c>
    </row>
    <row r="1448" spans="1:41">
      <c r="A1448" s="177">
        <f>IFERROR(MATCH(D1448,'Measure &amp; Standard CostIDs'!C$5:C$177,0),MATCH(D1448,'Measure &amp; Standard CostIDs'!S$5:S$177,0))</f>
        <v>124</v>
      </c>
      <c r="B1448" s="177">
        <f t="shared" si="81"/>
        <v>5</v>
      </c>
      <c r="C1448" s="103" t="s">
        <v>153</v>
      </c>
      <c r="D1448" s="103" t="str">
        <f t="shared" si="80"/>
        <v>CFLscw-Dim(50w)</v>
      </c>
      <c r="E1448" s="103" t="str">
        <f>IF(LEFT(D1448,3)="Std","Base case cost for mix of 60% Incandescent and 40% CFL lamps for CFL TechID: "&amp;INDEX('Measure &amp; Standard CostIDs'!$C$5:$C$177,A1448),"&lt;from TechID&gt;")</f>
        <v>&lt;from TechID&gt;</v>
      </c>
      <c r="F1448" s="103" t="s">
        <v>860</v>
      </c>
      <c r="G1448" s="103" t="s">
        <v>151</v>
      </c>
      <c r="H1448" s="103" t="s">
        <v>861</v>
      </c>
      <c r="I1448" s="103" t="s">
        <v>862</v>
      </c>
      <c r="J1448" s="103" t="s">
        <v>863</v>
      </c>
      <c r="K1448" s="103" t="s">
        <v>864</v>
      </c>
      <c r="L1448" s="103" t="s">
        <v>153</v>
      </c>
      <c r="M1448" s="103" t="s">
        <v>865</v>
      </c>
      <c r="N1448" s="103" t="s">
        <v>866</v>
      </c>
      <c r="O1448" s="103" t="str">
        <f t="shared" si="78"/>
        <v>CFLscw-Dim(50w)</v>
      </c>
      <c r="P1448" s="103" t="s">
        <v>153</v>
      </c>
      <c r="Q1448" s="103" t="s">
        <v>153</v>
      </c>
      <c r="R1448" s="103" t="s">
        <v>153</v>
      </c>
      <c r="S1448" s="103" t="str">
        <f>INDEX('Measure &amp; Standard CostIDs'!$AK$8:$AK$12,B1448)</f>
        <v>Four+pack</v>
      </c>
      <c r="T1448" s="103" t="s">
        <v>867</v>
      </c>
      <c r="U1448" s="103"/>
      <c r="V1448" s="103"/>
      <c r="W1448" s="103">
        <f>ROUND(IF(LEFT(D1448,3)="Std",VLOOKUP(D1448,'Measure &amp; Standard CostIDs'!$S$5:$X$177,1+B1448,FALSE),VLOOKUP(D1448,'Measure &amp; Standard CostIDs'!$C$5:$H$177,1+B1448,FALSE)),2)</f>
        <v>12.51</v>
      </c>
      <c r="X1448" s="103"/>
      <c r="Y1448" s="103"/>
      <c r="Z1448" s="103" t="s">
        <v>868</v>
      </c>
      <c r="AA1448" s="103" t="s">
        <v>874</v>
      </c>
      <c r="AB1448" s="103" t="s">
        <v>153</v>
      </c>
      <c r="AC1448" s="103">
        <v>0</v>
      </c>
      <c r="AD1448" s="156">
        <v>42005</v>
      </c>
      <c r="AE1448" s="103"/>
      <c r="AF1448" s="103" t="s">
        <v>870</v>
      </c>
      <c r="AG1448" s="103" t="s">
        <v>871</v>
      </c>
      <c r="AH1448" s="103" t="s">
        <v>976</v>
      </c>
      <c r="AI1448" s="103">
        <v>0</v>
      </c>
      <c r="AJ1448" s="103"/>
      <c r="AK1448" s="103"/>
      <c r="AL1448" s="103"/>
      <c r="AM1448" s="103"/>
      <c r="AN1448" s="103"/>
      <c r="AO1448" s="103" t="str">
        <f t="shared" si="79"/>
        <v>CFLscw-Dim(50w)Four+pack</v>
      </c>
    </row>
    <row r="1449" spans="1:41">
      <c r="A1449" s="177">
        <f>IFERROR(MATCH(D1449,'Measure &amp; Standard CostIDs'!C$5:C$177,0),MATCH(D1449,'Measure &amp; Standard CostIDs'!S$5:S$177,0))</f>
        <v>125</v>
      </c>
      <c r="B1449" s="177">
        <f t="shared" si="81"/>
        <v>5</v>
      </c>
      <c r="C1449" s="103" t="s">
        <v>153</v>
      </c>
      <c r="D1449" s="103" t="str">
        <f t="shared" si="80"/>
        <v>CFLscw-Glb(10w)</v>
      </c>
      <c r="E1449" s="103" t="str">
        <f>IF(LEFT(D1449,3)="Std","Base case cost for mix of 60% Incandescent and 40% CFL lamps for CFL TechID: "&amp;INDEX('Measure &amp; Standard CostIDs'!$C$5:$C$177,A1449),"&lt;from TechID&gt;")</f>
        <v>&lt;from TechID&gt;</v>
      </c>
      <c r="F1449" s="103" t="s">
        <v>860</v>
      </c>
      <c r="G1449" s="103" t="s">
        <v>151</v>
      </c>
      <c r="H1449" s="103" t="s">
        <v>861</v>
      </c>
      <c r="I1449" s="103" t="s">
        <v>862</v>
      </c>
      <c r="J1449" s="103" t="s">
        <v>863</v>
      </c>
      <c r="K1449" s="103" t="s">
        <v>864</v>
      </c>
      <c r="L1449" s="103" t="s">
        <v>153</v>
      </c>
      <c r="M1449" s="103" t="s">
        <v>865</v>
      </c>
      <c r="N1449" s="103" t="s">
        <v>866</v>
      </c>
      <c r="O1449" s="103" t="str">
        <f t="shared" si="78"/>
        <v>CFLscw-Glb(10w)</v>
      </c>
      <c r="P1449" s="103" t="s">
        <v>153</v>
      </c>
      <c r="Q1449" s="103" t="s">
        <v>153</v>
      </c>
      <c r="R1449" s="103" t="s">
        <v>153</v>
      </c>
      <c r="S1449" s="103" t="str">
        <f>INDEX('Measure &amp; Standard CostIDs'!$AK$8:$AK$12,B1449)</f>
        <v>Four+pack</v>
      </c>
      <c r="T1449" s="103" t="s">
        <v>867</v>
      </c>
      <c r="U1449" s="103"/>
      <c r="V1449" s="103"/>
      <c r="W1449" s="103">
        <f>ROUND(IF(LEFT(D1449,3)="Std",VLOOKUP(D1449,'Measure &amp; Standard CostIDs'!$S$5:$X$177,1+B1449,FALSE),VLOOKUP(D1449,'Measure &amp; Standard CostIDs'!$C$5:$H$177,1+B1449,FALSE)),2)</f>
        <v>5.32</v>
      </c>
      <c r="X1449" s="103"/>
      <c r="Y1449" s="103"/>
      <c r="Z1449" s="103" t="s">
        <v>868</v>
      </c>
      <c r="AA1449" s="103" t="s">
        <v>874</v>
      </c>
      <c r="AB1449" s="103" t="s">
        <v>153</v>
      </c>
      <c r="AC1449" s="103">
        <v>0</v>
      </c>
      <c r="AD1449" s="156">
        <v>42005</v>
      </c>
      <c r="AE1449" s="103"/>
      <c r="AF1449" s="103" t="s">
        <v>870</v>
      </c>
      <c r="AG1449" s="103" t="s">
        <v>871</v>
      </c>
      <c r="AH1449" s="103" t="s">
        <v>976</v>
      </c>
      <c r="AI1449" s="103">
        <v>0</v>
      </c>
      <c r="AJ1449" s="103"/>
      <c r="AK1449" s="103"/>
      <c r="AL1449" s="103"/>
      <c r="AM1449" s="103"/>
      <c r="AN1449" s="103"/>
      <c r="AO1449" s="103" t="str">
        <f t="shared" si="79"/>
        <v>CFLscw-Glb(10w)Four+pack</v>
      </c>
    </row>
    <row r="1450" spans="1:41">
      <c r="A1450" s="177">
        <f>IFERROR(MATCH(D1450,'Measure &amp; Standard CostIDs'!C$5:C$177,0),MATCH(D1450,'Measure &amp; Standard CostIDs'!S$5:S$177,0))</f>
        <v>126</v>
      </c>
      <c r="B1450" s="177">
        <f t="shared" si="81"/>
        <v>5</v>
      </c>
      <c r="C1450" s="103" t="s">
        <v>153</v>
      </c>
      <c r="D1450" s="103" t="str">
        <f t="shared" si="80"/>
        <v>CFLscw-Glb(11w)</v>
      </c>
      <c r="E1450" s="103" t="str">
        <f>IF(LEFT(D1450,3)="Std","Base case cost for mix of 60% Incandescent and 40% CFL lamps for CFL TechID: "&amp;INDEX('Measure &amp; Standard CostIDs'!$C$5:$C$177,A1450),"&lt;from TechID&gt;")</f>
        <v>&lt;from TechID&gt;</v>
      </c>
      <c r="F1450" s="103" t="s">
        <v>860</v>
      </c>
      <c r="G1450" s="103" t="s">
        <v>151</v>
      </c>
      <c r="H1450" s="103" t="s">
        <v>861</v>
      </c>
      <c r="I1450" s="103" t="s">
        <v>862</v>
      </c>
      <c r="J1450" s="103" t="s">
        <v>863</v>
      </c>
      <c r="K1450" s="103" t="s">
        <v>864</v>
      </c>
      <c r="L1450" s="103" t="s">
        <v>153</v>
      </c>
      <c r="M1450" s="103" t="s">
        <v>865</v>
      </c>
      <c r="N1450" s="103" t="s">
        <v>866</v>
      </c>
      <c r="O1450" s="103" t="str">
        <f t="shared" si="78"/>
        <v>CFLscw-Glb(11w)</v>
      </c>
      <c r="P1450" s="103" t="s">
        <v>153</v>
      </c>
      <c r="Q1450" s="103" t="s">
        <v>153</v>
      </c>
      <c r="R1450" s="103" t="s">
        <v>153</v>
      </c>
      <c r="S1450" s="103" t="str">
        <f>INDEX('Measure &amp; Standard CostIDs'!$AK$8:$AK$12,B1450)</f>
        <v>Four+pack</v>
      </c>
      <c r="T1450" s="103" t="s">
        <v>867</v>
      </c>
      <c r="U1450" s="103"/>
      <c r="V1450" s="103"/>
      <c r="W1450" s="103">
        <f>ROUND(IF(LEFT(D1450,3)="Std",VLOOKUP(D1450,'Measure &amp; Standard CostIDs'!$S$5:$X$177,1+B1450,FALSE),VLOOKUP(D1450,'Measure &amp; Standard CostIDs'!$C$5:$H$177,1+B1450,FALSE)),2)</f>
        <v>5.3</v>
      </c>
      <c r="X1450" s="103"/>
      <c r="Y1450" s="103"/>
      <c r="Z1450" s="103" t="s">
        <v>868</v>
      </c>
      <c r="AA1450" s="103" t="s">
        <v>874</v>
      </c>
      <c r="AB1450" s="103" t="s">
        <v>153</v>
      </c>
      <c r="AC1450" s="103">
        <v>0</v>
      </c>
      <c r="AD1450" s="156">
        <v>42005</v>
      </c>
      <c r="AE1450" s="103"/>
      <c r="AF1450" s="103" t="s">
        <v>870</v>
      </c>
      <c r="AG1450" s="103" t="s">
        <v>871</v>
      </c>
      <c r="AH1450" s="103" t="s">
        <v>976</v>
      </c>
      <c r="AI1450" s="103">
        <v>0</v>
      </c>
      <c r="AJ1450" s="103"/>
      <c r="AK1450" s="103"/>
      <c r="AL1450" s="103"/>
      <c r="AM1450" s="103"/>
      <c r="AN1450" s="103"/>
      <c r="AO1450" s="103" t="str">
        <f t="shared" si="79"/>
        <v>CFLscw-Glb(11w)Four+pack</v>
      </c>
    </row>
    <row r="1451" spans="1:41">
      <c r="A1451" s="177">
        <f>IFERROR(MATCH(D1451,'Measure &amp; Standard CostIDs'!C$5:C$177,0),MATCH(D1451,'Measure &amp; Standard CostIDs'!S$5:S$177,0))</f>
        <v>127</v>
      </c>
      <c r="B1451" s="177">
        <f t="shared" si="81"/>
        <v>5</v>
      </c>
      <c r="C1451" s="103" t="s">
        <v>153</v>
      </c>
      <c r="D1451" s="103" t="str">
        <f t="shared" si="80"/>
        <v>CFLscw-Glb(12w)</v>
      </c>
      <c r="E1451" s="103" t="str">
        <f>IF(LEFT(D1451,3)="Std","Base case cost for mix of 60% Incandescent and 40% CFL lamps for CFL TechID: "&amp;INDEX('Measure &amp; Standard CostIDs'!$C$5:$C$177,A1451),"&lt;from TechID&gt;")</f>
        <v>&lt;from TechID&gt;</v>
      </c>
      <c r="F1451" s="103" t="s">
        <v>860</v>
      </c>
      <c r="G1451" s="103" t="s">
        <v>151</v>
      </c>
      <c r="H1451" s="103" t="s">
        <v>861</v>
      </c>
      <c r="I1451" s="103" t="s">
        <v>862</v>
      </c>
      <c r="J1451" s="103" t="s">
        <v>863</v>
      </c>
      <c r="K1451" s="103" t="s">
        <v>864</v>
      </c>
      <c r="L1451" s="103" t="s">
        <v>153</v>
      </c>
      <c r="M1451" s="103" t="s">
        <v>865</v>
      </c>
      <c r="N1451" s="103" t="s">
        <v>866</v>
      </c>
      <c r="O1451" s="103" t="str">
        <f t="shared" si="78"/>
        <v>CFLscw-Glb(12w)</v>
      </c>
      <c r="P1451" s="103" t="s">
        <v>153</v>
      </c>
      <c r="Q1451" s="103" t="s">
        <v>153</v>
      </c>
      <c r="R1451" s="103" t="s">
        <v>153</v>
      </c>
      <c r="S1451" s="103" t="str">
        <f>INDEX('Measure &amp; Standard CostIDs'!$AK$8:$AK$12,B1451)</f>
        <v>Four+pack</v>
      </c>
      <c r="T1451" s="103" t="s">
        <v>867</v>
      </c>
      <c r="U1451" s="103"/>
      <c r="V1451" s="103"/>
      <c r="W1451" s="103">
        <f>ROUND(IF(LEFT(D1451,3)="Std",VLOOKUP(D1451,'Measure &amp; Standard CostIDs'!$S$5:$X$177,1+B1451,FALSE),VLOOKUP(D1451,'Measure &amp; Standard CostIDs'!$C$5:$H$177,1+B1451,FALSE)),2)</f>
        <v>5.27</v>
      </c>
      <c r="X1451" s="103"/>
      <c r="Y1451" s="103"/>
      <c r="Z1451" s="103" t="s">
        <v>868</v>
      </c>
      <c r="AA1451" s="103" t="s">
        <v>874</v>
      </c>
      <c r="AB1451" s="103" t="s">
        <v>153</v>
      </c>
      <c r="AC1451" s="103">
        <v>0</v>
      </c>
      <c r="AD1451" s="156">
        <v>42005</v>
      </c>
      <c r="AE1451" s="103"/>
      <c r="AF1451" s="103" t="s">
        <v>870</v>
      </c>
      <c r="AG1451" s="103" t="s">
        <v>871</v>
      </c>
      <c r="AH1451" s="103" t="s">
        <v>976</v>
      </c>
      <c r="AI1451" s="103">
        <v>0</v>
      </c>
      <c r="AJ1451" s="103"/>
      <c r="AK1451" s="103"/>
      <c r="AL1451" s="103"/>
      <c r="AM1451" s="103"/>
      <c r="AN1451" s="103"/>
      <c r="AO1451" s="103" t="str">
        <f t="shared" si="79"/>
        <v>CFLscw-Glb(12w)Four+pack</v>
      </c>
    </row>
    <row r="1452" spans="1:41">
      <c r="A1452" s="177">
        <f>IFERROR(MATCH(D1452,'Measure &amp; Standard CostIDs'!C$5:C$177,0),MATCH(D1452,'Measure &amp; Standard CostIDs'!S$5:S$177,0))</f>
        <v>128</v>
      </c>
      <c r="B1452" s="177">
        <f t="shared" si="81"/>
        <v>5</v>
      </c>
      <c r="C1452" s="103" t="s">
        <v>153</v>
      </c>
      <c r="D1452" s="103" t="str">
        <f t="shared" si="80"/>
        <v>CFLscw-Glb(13w)</v>
      </c>
      <c r="E1452" s="103" t="str">
        <f>IF(LEFT(D1452,3)="Std","Base case cost for mix of 60% Incandescent and 40% CFL lamps for CFL TechID: "&amp;INDEX('Measure &amp; Standard CostIDs'!$C$5:$C$177,A1452),"&lt;from TechID&gt;")</f>
        <v>&lt;from TechID&gt;</v>
      </c>
      <c r="F1452" s="103" t="s">
        <v>860</v>
      </c>
      <c r="G1452" s="103" t="s">
        <v>151</v>
      </c>
      <c r="H1452" s="103" t="s">
        <v>861</v>
      </c>
      <c r="I1452" s="103" t="s">
        <v>862</v>
      </c>
      <c r="J1452" s="103" t="s">
        <v>863</v>
      </c>
      <c r="K1452" s="103" t="s">
        <v>864</v>
      </c>
      <c r="L1452" s="103" t="s">
        <v>153</v>
      </c>
      <c r="M1452" s="103" t="s">
        <v>865</v>
      </c>
      <c r="N1452" s="103" t="s">
        <v>866</v>
      </c>
      <c r="O1452" s="103" t="str">
        <f t="shared" si="78"/>
        <v>CFLscw-Glb(13w)</v>
      </c>
      <c r="P1452" s="103" t="s">
        <v>153</v>
      </c>
      <c r="Q1452" s="103" t="s">
        <v>153</v>
      </c>
      <c r="R1452" s="103" t="s">
        <v>153</v>
      </c>
      <c r="S1452" s="103" t="str">
        <f>INDEX('Measure &amp; Standard CostIDs'!$AK$8:$AK$12,B1452)</f>
        <v>Four+pack</v>
      </c>
      <c r="T1452" s="103" t="s">
        <v>867</v>
      </c>
      <c r="U1452" s="103"/>
      <c r="V1452" s="103"/>
      <c r="W1452" s="103">
        <f>ROUND(IF(LEFT(D1452,3)="Std",VLOOKUP(D1452,'Measure &amp; Standard CostIDs'!$S$5:$X$177,1+B1452,FALSE),VLOOKUP(D1452,'Measure &amp; Standard CostIDs'!$C$5:$H$177,1+B1452,FALSE)),2)</f>
        <v>5.25</v>
      </c>
      <c r="X1452" s="103"/>
      <c r="Y1452" s="103"/>
      <c r="Z1452" s="103" t="s">
        <v>868</v>
      </c>
      <c r="AA1452" s="103" t="s">
        <v>874</v>
      </c>
      <c r="AB1452" s="103" t="s">
        <v>153</v>
      </c>
      <c r="AC1452" s="103">
        <v>0</v>
      </c>
      <c r="AD1452" s="156">
        <v>42005</v>
      </c>
      <c r="AE1452" s="103"/>
      <c r="AF1452" s="103" t="s">
        <v>870</v>
      </c>
      <c r="AG1452" s="103" t="s">
        <v>871</v>
      </c>
      <c r="AH1452" s="103" t="s">
        <v>976</v>
      </c>
      <c r="AI1452" s="103">
        <v>0</v>
      </c>
      <c r="AJ1452" s="103"/>
      <c r="AK1452" s="103"/>
      <c r="AL1452" s="103"/>
      <c r="AM1452" s="103"/>
      <c r="AN1452" s="103"/>
      <c r="AO1452" s="103" t="str">
        <f t="shared" si="79"/>
        <v>CFLscw-Glb(13w)Four+pack</v>
      </c>
    </row>
    <row r="1453" spans="1:41">
      <c r="A1453" s="177">
        <f>IFERROR(MATCH(D1453,'Measure &amp; Standard CostIDs'!C$5:C$177,0),MATCH(D1453,'Measure &amp; Standard CostIDs'!S$5:S$177,0))</f>
        <v>129</v>
      </c>
      <c r="B1453" s="177">
        <f t="shared" si="81"/>
        <v>5</v>
      </c>
      <c r="C1453" s="103" t="s">
        <v>153</v>
      </c>
      <c r="D1453" s="103" t="str">
        <f t="shared" si="80"/>
        <v>CFLscw-Glb(14w)</v>
      </c>
      <c r="E1453" s="103" t="str">
        <f>IF(LEFT(D1453,3)="Std","Base case cost for mix of 60% Incandescent and 40% CFL lamps for CFL TechID: "&amp;INDEX('Measure &amp; Standard CostIDs'!$C$5:$C$177,A1453),"&lt;from TechID&gt;")</f>
        <v>&lt;from TechID&gt;</v>
      </c>
      <c r="F1453" s="103" t="s">
        <v>860</v>
      </c>
      <c r="G1453" s="103" t="s">
        <v>151</v>
      </c>
      <c r="H1453" s="103" t="s">
        <v>861</v>
      </c>
      <c r="I1453" s="103" t="s">
        <v>862</v>
      </c>
      <c r="J1453" s="103" t="s">
        <v>863</v>
      </c>
      <c r="K1453" s="103" t="s">
        <v>864</v>
      </c>
      <c r="L1453" s="103" t="s">
        <v>153</v>
      </c>
      <c r="M1453" s="103" t="s">
        <v>865</v>
      </c>
      <c r="N1453" s="103" t="s">
        <v>866</v>
      </c>
      <c r="O1453" s="103" t="str">
        <f t="shared" ref="O1453:O1516" si="82">IF(LEFT(D1453,3)="Std","",D1453)</f>
        <v>CFLscw-Glb(14w)</v>
      </c>
      <c r="P1453" s="103" t="s">
        <v>153</v>
      </c>
      <c r="Q1453" s="103" t="s">
        <v>153</v>
      </c>
      <c r="R1453" s="103" t="s">
        <v>153</v>
      </c>
      <c r="S1453" s="103" t="str">
        <f>INDEX('Measure &amp; Standard CostIDs'!$AK$8:$AK$12,B1453)</f>
        <v>Four+pack</v>
      </c>
      <c r="T1453" s="103" t="s">
        <v>867</v>
      </c>
      <c r="U1453" s="103"/>
      <c r="V1453" s="103"/>
      <c r="W1453" s="103">
        <f>ROUND(IF(LEFT(D1453,3)="Std",VLOOKUP(D1453,'Measure &amp; Standard CostIDs'!$S$5:$X$177,1+B1453,FALSE),VLOOKUP(D1453,'Measure &amp; Standard CostIDs'!$C$5:$H$177,1+B1453,FALSE)),2)</f>
        <v>5.22</v>
      </c>
      <c r="X1453" s="103"/>
      <c r="Y1453" s="103"/>
      <c r="Z1453" s="103" t="s">
        <v>868</v>
      </c>
      <c r="AA1453" s="103" t="s">
        <v>874</v>
      </c>
      <c r="AB1453" s="103" t="s">
        <v>153</v>
      </c>
      <c r="AC1453" s="103">
        <v>0</v>
      </c>
      <c r="AD1453" s="156">
        <v>42005</v>
      </c>
      <c r="AE1453" s="103"/>
      <c r="AF1453" s="103" t="s">
        <v>870</v>
      </c>
      <c r="AG1453" s="103" t="s">
        <v>871</v>
      </c>
      <c r="AH1453" s="103" t="s">
        <v>976</v>
      </c>
      <c r="AI1453" s="103">
        <v>0</v>
      </c>
      <c r="AJ1453" s="103"/>
      <c r="AK1453" s="103"/>
      <c r="AL1453" s="103"/>
      <c r="AM1453" s="103"/>
      <c r="AN1453" s="103"/>
      <c r="AO1453" s="103" t="str">
        <f t="shared" ref="AO1453:AO1516" si="83">D1453&amp;S1453</f>
        <v>CFLscw-Glb(14w)Four+pack</v>
      </c>
    </row>
    <row r="1454" spans="1:41">
      <c r="A1454" s="177">
        <f>IFERROR(MATCH(D1454,'Measure &amp; Standard CostIDs'!C$5:C$177,0),MATCH(D1454,'Measure &amp; Standard CostIDs'!S$5:S$177,0))</f>
        <v>130</v>
      </c>
      <c r="B1454" s="177">
        <f t="shared" si="81"/>
        <v>5</v>
      </c>
      <c r="C1454" s="103" t="s">
        <v>153</v>
      </c>
      <c r="D1454" s="103" t="str">
        <f t="shared" si="80"/>
        <v>CFLscw-Glb(15w)</v>
      </c>
      <c r="E1454" s="103" t="str">
        <f>IF(LEFT(D1454,3)="Std","Base case cost for mix of 60% Incandescent and 40% CFL lamps for CFL TechID: "&amp;INDEX('Measure &amp; Standard CostIDs'!$C$5:$C$177,A1454),"&lt;from TechID&gt;")</f>
        <v>&lt;from TechID&gt;</v>
      </c>
      <c r="F1454" s="103" t="s">
        <v>860</v>
      </c>
      <c r="G1454" s="103" t="s">
        <v>151</v>
      </c>
      <c r="H1454" s="103" t="s">
        <v>861</v>
      </c>
      <c r="I1454" s="103" t="s">
        <v>862</v>
      </c>
      <c r="J1454" s="103" t="s">
        <v>863</v>
      </c>
      <c r="K1454" s="103" t="s">
        <v>864</v>
      </c>
      <c r="L1454" s="103" t="s">
        <v>153</v>
      </c>
      <c r="M1454" s="103" t="s">
        <v>865</v>
      </c>
      <c r="N1454" s="103" t="s">
        <v>866</v>
      </c>
      <c r="O1454" s="103" t="str">
        <f t="shared" si="82"/>
        <v>CFLscw-Glb(15w)</v>
      </c>
      <c r="P1454" s="103" t="s">
        <v>153</v>
      </c>
      <c r="Q1454" s="103" t="s">
        <v>153</v>
      </c>
      <c r="R1454" s="103" t="s">
        <v>153</v>
      </c>
      <c r="S1454" s="103" t="str">
        <f>INDEX('Measure &amp; Standard CostIDs'!$AK$8:$AK$12,B1454)</f>
        <v>Four+pack</v>
      </c>
      <c r="T1454" s="103" t="s">
        <v>867</v>
      </c>
      <c r="U1454" s="103"/>
      <c r="V1454" s="103"/>
      <c r="W1454" s="103">
        <f>ROUND(IF(LEFT(D1454,3)="Std",VLOOKUP(D1454,'Measure &amp; Standard CostIDs'!$S$5:$X$177,1+B1454,FALSE),VLOOKUP(D1454,'Measure &amp; Standard CostIDs'!$C$5:$H$177,1+B1454,FALSE)),2)</f>
        <v>5.19</v>
      </c>
      <c r="X1454" s="103"/>
      <c r="Y1454" s="103"/>
      <c r="Z1454" s="103" t="s">
        <v>868</v>
      </c>
      <c r="AA1454" s="103" t="s">
        <v>874</v>
      </c>
      <c r="AB1454" s="103" t="s">
        <v>153</v>
      </c>
      <c r="AC1454" s="103">
        <v>0</v>
      </c>
      <c r="AD1454" s="156">
        <v>42005</v>
      </c>
      <c r="AE1454" s="103"/>
      <c r="AF1454" s="103" t="s">
        <v>870</v>
      </c>
      <c r="AG1454" s="103" t="s">
        <v>871</v>
      </c>
      <c r="AH1454" s="103" t="s">
        <v>976</v>
      </c>
      <c r="AI1454" s="103">
        <v>0</v>
      </c>
      <c r="AJ1454" s="103"/>
      <c r="AK1454" s="103"/>
      <c r="AL1454" s="103"/>
      <c r="AM1454" s="103"/>
      <c r="AN1454" s="103"/>
      <c r="AO1454" s="103" t="str">
        <f t="shared" si="83"/>
        <v>CFLscw-Glb(15w)Four+pack</v>
      </c>
    </row>
    <row r="1455" spans="1:41">
      <c r="A1455" s="177">
        <f>IFERROR(MATCH(D1455,'Measure &amp; Standard CostIDs'!C$5:C$177,0),MATCH(D1455,'Measure &amp; Standard CostIDs'!S$5:S$177,0))</f>
        <v>131</v>
      </c>
      <c r="B1455" s="177">
        <f t="shared" si="81"/>
        <v>5</v>
      </c>
      <c r="C1455" s="103" t="s">
        <v>153</v>
      </c>
      <c r="D1455" s="103" t="str">
        <f t="shared" si="80"/>
        <v>CFLscw-Glb(16w)</v>
      </c>
      <c r="E1455" s="103" t="str">
        <f>IF(LEFT(D1455,3)="Std","Base case cost for mix of 60% Incandescent and 40% CFL lamps for CFL TechID: "&amp;INDEX('Measure &amp; Standard CostIDs'!$C$5:$C$177,A1455),"&lt;from TechID&gt;")</f>
        <v>&lt;from TechID&gt;</v>
      </c>
      <c r="F1455" s="103" t="s">
        <v>860</v>
      </c>
      <c r="G1455" s="103" t="s">
        <v>151</v>
      </c>
      <c r="H1455" s="103" t="s">
        <v>861</v>
      </c>
      <c r="I1455" s="103" t="s">
        <v>862</v>
      </c>
      <c r="J1455" s="103" t="s">
        <v>863</v>
      </c>
      <c r="K1455" s="103" t="s">
        <v>864</v>
      </c>
      <c r="L1455" s="103" t="s">
        <v>153</v>
      </c>
      <c r="M1455" s="103" t="s">
        <v>865</v>
      </c>
      <c r="N1455" s="103" t="s">
        <v>866</v>
      </c>
      <c r="O1455" s="103" t="str">
        <f t="shared" si="82"/>
        <v>CFLscw-Glb(16w)</v>
      </c>
      <c r="P1455" s="103" t="s">
        <v>153</v>
      </c>
      <c r="Q1455" s="103" t="s">
        <v>153</v>
      </c>
      <c r="R1455" s="103" t="s">
        <v>153</v>
      </c>
      <c r="S1455" s="103" t="str">
        <f>INDEX('Measure &amp; Standard CostIDs'!$AK$8:$AK$12,B1455)</f>
        <v>Four+pack</v>
      </c>
      <c r="T1455" s="103" t="s">
        <v>867</v>
      </c>
      <c r="U1455" s="103"/>
      <c r="V1455" s="103"/>
      <c r="W1455" s="103">
        <f>ROUND(IF(LEFT(D1455,3)="Std",VLOOKUP(D1455,'Measure &amp; Standard CostIDs'!$S$5:$X$177,1+B1455,FALSE),VLOOKUP(D1455,'Measure &amp; Standard CostIDs'!$C$5:$H$177,1+B1455,FALSE)),2)</f>
        <v>5.17</v>
      </c>
      <c r="X1455" s="103"/>
      <c r="Y1455" s="103"/>
      <c r="Z1455" s="103" t="s">
        <v>868</v>
      </c>
      <c r="AA1455" s="103" t="s">
        <v>874</v>
      </c>
      <c r="AB1455" s="103" t="s">
        <v>153</v>
      </c>
      <c r="AC1455" s="103">
        <v>0</v>
      </c>
      <c r="AD1455" s="156">
        <v>42005</v>
      </c>
      <c r="AE1455" s="103"/>
      <c r="AF1455" s="103" t="s">
        <v>870</v>
      </c>
      <c r="AG1455" s="103" t="s">
        <v>871</v>
      </c>
      <c r="AH1455" s="103" t="s">
        <v>976</v>
      </c>
      <c r="AI1455" s="103">
        <v>0</v>
      </c>
      <c r="AJ1455" s="103"/>
      <c r="AK1455" s="103"/>
      <c r="AL1455" s="103"/>
      <c r="AM1455" s="103"/>
      <c r="AN1455" s="103"/>
      <c r="AO1455" s="103" t="str">
        <f t="shared" si="83"/>
        <v>CFLscw-Glb(16w)Four+pack</v>
      </c>
    </row>
    <row r="1456" spans="1:41">
      <c r="A1456" s="177">
        <f>IFERROR(MATCH(D1456,'Measure &amp; Standard CostIDs'!C$5:C$177,0),MATCH(D1456,'Measure &amp; Standard CostIDs'!S$5:S$177,0))</f>
        <v>132</v>
      </c>
      <c r="B1456" s="177">
        <f t="shared" si="81"/>
        <v>5</v>
      </c>
      <c r="C1456" s="103" t="s">
        <v>153</v>
      </c>
      <c r="D1456" s="103" t="str">
        <f t="shared" si="80"/>
        <v>CFLscw-Glb(18w)</v>
      </c>
      <c r="E1456" s="103" t="str">
        <f>IF(LEFT(D1456,3)="Std","Base case cost for mix of 60% Incandescent and 40% CFL lamps for CFL TechID: "&amp;INDEX('Measure &amp; Standard CostIDs'!$C$5:$C$177,A1456),"&lt;from TechID&gt;")</f>
        <v>&lt;from TechID&gt;</v>
      </c>
      <c r="F1456" s="103" t="s">
        <v>860</v>
      </c>
      <c r="G1456" s="103" t="s">
        <v>151</v>
      </c>
      <c r="H1456" s="103" t="s">
        <v>861</v>
      </c>
      <c r="I1456" s="103" t="s">
        <v>862</v>
      </c>
      <c r="J1456" s="103" t="s">
        <v>863</v>
      </c>
      <c r="K1456" s="103" t="s">
        <v>864</v>
      </c>
      <c r="L1456" s="103" t="s">
        <v>153</v>
      </c>
      <c r="M1456" s="103" t="s">
        <v>865</v>
      </c>
      <c r="N1456" s="103" t="s">
        <v>866</v>
      </c>
      <c r="O1456" s="103" t="str">
        <f t="shared" si="82"/>
        <v>CFLscw-Glb(18w)</v>
      </c>
      <c r="P1456" s="103" t="s">
        <v>153</v>
      </c>
      <c r="Q1456" s="103" t="s">
        <v>153</v>
      </c>
      <c r="R1456" s="103" t="s">
        <v>153</v>
      </c>
      <c r="S1456" s="103" t="str">
        <f>INDEX('Measure &amp; Standard CostIDs'!$AK$8:$AK$12,B1456)</f>
        <v>Four+pack</v>
      </c>
      <c r="T1456" s="103" t="s">
        <v>867</v>
      </c>
      <c r="U1456" s="103"/>
      <c r="V1456" s="103"/>
      <c r="W1456" s="103">
        <f>ROUND(IF(LEFT(D1456,3)="Std",VLOOKUP(D1456,'Measure &amp; Standard CostIDs'!$S$5:$X$177,1+B1456,FALSE),VLOOKUP(D1456,'Measure &amp; Standard CostIDs'!$C$5:$H$177,1+B1456,FALSE)),2)</f>
        <v>5.1100000000000003</v>
      </c>
      <c r="X1456" s="103"/>
      <c r="Y1456" s="103"/>
      <c r="Z1456" s="103" t="s">
        <v>868</v>
      </c>
      <c r="AA1456" s="103" t="s">
        <v>874</v>
      </c>
      <c r="AB1456" s="103" t="s">
        <v>153</v>
      </c>
      <c r="AC1456" s="103">
        <v>0</v>
      </c>
      <c r="AD1456" s="156">
        <v>42005</v>
      </c>
      <c r="AE1456" s="103"/>
      <c r="AF1456" s="103" t="s">
        <v>870</v>
      </c>
      <c r="AG1456" s="103" t="s">
        <v>871</v>
      </c>
      <c r="AH1456" s="103" t="s">
        <v>976</v>
      </c>
      <c r="AI1456" s="103">
        <v>0</v>
      </c>
      <c r="AJ1456" s="103"/>
      <c r="AK1456" s="103"/>
      <c r="AL1456" s="103"/>
      <c r="AM1456" s="103"/>
      <c r="AN1456" s="103"/>
      <c r="AO1456" s="103" t="str">
        <f t="shared" si="83"/>
        <v>CFLscw-Glb(18w)Four+pack</v>
      </c>
    </row>
    <row r="1457" spans="1:41">
      <c r="A1457" s="177">
        <f>IFERROR(MATCH(D1457,'Measure &amp; Standard CostIDs'!C$5:C$177,0),MATCH(D1457,'Measure &amp; Standard CostIDs'!S$5:S$177,0))</f>
        <v>133</v>
      </c>
      <c r="B1457" s="177">
        <f t="shared" si="81"/>
        <v>5</v>
      </c>
      <c r="C1457" s="103" t="s">
        <v>153</v>
      </c>
      <c r="D1457" s="103" t="str">
        <f t="shared" si="80"/>
        <v>CFLscw-Glb(19w)</v>
      </c>
      <c r="E1457" s="103" t="str">
        <f>IF(LEFT(D1457,3)="Std","Base case cost for mix of 60% Incandescent and 40% CFL lamps for CFL TechID: "&amp;INDEX('Measure &amp; Standard CostIDs'!$C$5:$C$177,A1457),"&lt;from TechID&gt;")</f>
        <v>&lt;from TechID&gt;</v>
      </c>
      <c r="F1457" s="103" t="s">
        <v>860</v>
      </c>
      <c r="G1457" s="103" t="s">
        <v>151</v>
      </c>
      <c r="H1457" s="103" t="s">
        <v>861</v>
      </c>
      <c r="I1457" s="103" t="s">
        <v>862</v>
      </c>
      <c r="J1457" s="103" t="s">
        <v>863</v>
      </c>
      <c r="K1457" s="103" t="s">
        <v>864</v>
      </c>
      <c r="L1457" s="103" t="s">
        <v>153</v>
      </c>
      <c r="M1457" s="103" t="s">
        <v>865</v>
      </c>
      <c r="N1457" s="103" t="s">
        <v>866</v>
      </c>
      <c r="O1457" s="103" t="str">
        <f t="shared" si="82"/>
        <v>CFLscw-Glb(19w)</v>
      </c>
      <c r="P1457" s="103" t="s">
        <v>153</v>
      </c>
      <c r="Q1457" s="103" t="s">
        <v>153</v>
      </c>
      <c r="R1457" s="103" t="s">
        <v>153</v>
      </c>
      <c r="S1457" s="103" t="str">
        <f>INDEX('Measure &amp; Standard CostIDs'!$AK$8:$AK$12,B1457)</f>
        <v>Four+pack</v>
      </c>
      <c r="T1457" s="103" t="s">
        <v>867</v>
      </c>
      <c r="U1457" s="103"/>
      <c r="V1457" s="103"/>
      <c r="W1457" s="103">
        <f>ROUND(IF(LEFT(D1457,3)="Std",VLOOKUP(D1457,'Measure &amp; Standard CostIDs'!$S$5:$X$177,1+B1457,FALSE),VLOOKUP(D1457,'Measure &amp; Standard CostIDs'!$C$5:$H$177,1+B1457,FALSE)),2)</f>
        <v>5.09</v>
      </c>
      <c r="X1457" s="103"/>
      <c r="Y1457" s="103"/>
      <c r="Z1457" s="103" t="s">
        <v>868</v>
      </c>
      <c r="AA1457" s="103" t="s">
        <v>874</v>
      </c>
      <c r="AB1457" s="103" t="s">
        <v>153</v>
      </c>
      <c r="AC1457" s="103">
        <v>0</v>
      </c>
      <c r="AD1457" s="156">
        <v>42005</v>
      </c>
      <c r="AE1457" s="103"/>
      <c r="AF1457" s="103" t="s">
        <v>870</v>
      </c>
      <c r="AG1457" s="103" t="s">
        <v>871</v>
      </c>
      <c r="AH1457" s="103" t="s">
        <v>976</v>
      </c>
      <c r="AI1457" s="103">
        <v>0</v>
      </c>
      <c r="AJ1457" s="103"/>
      <c r="AK1457" s="103"/>
      <c r="AL1457" s="103"/>
      <c r="AM1457" s="103"/>
      <c r="AN1457" s="103"/>
      <c r="AO1457" s="103" t="str">
        <f t="shared" si="83"/>
        <v>CFLscw-Glb(19w)Four+pack</v>
      </c>
    </row>
    <row r="1458" spans="1:41">
      <c r="A1458" s="177">
        <f>IFERROR(MATCH(D1458,'Measure &amp; Standard CostIDs'!C$5:C$177,0),MATCH(D1458,'Measure &amp; Standard CostIDs'!S$5:S$177,0))</f>
        <v>134</v>
      </c>
      <c r="B1458" s="177">
        <f t="shared" si="81"/>
        <v>5</v>
      </c>
      <c r="C1458" s="103" t="s">
        <v>153</v>
      </c>
      <c r="D1458" s="103" t="str">
        <f t="shared" si="80"/>
        <v>CFLscw-Glb(20w)</v>
      </c>
      <c r="E1458" s="103" t="str">
        <f>IF(LEFT(D1458,3)="Std","Base case cost for mix of 60% Incandescent and 40% CFL lamps for CFL TechID: "&amp;INDEX('Measure &amp; Standard CostIDs'!$C$5:$C$177,A1458),"&lt;from TechID&gt;")</f>
        <v>&lt;from TechID&gt;</v>
      </c>
      <c r="F1458" s="103" t="s">
        <v>860</v>
      </c>
      <c r="G1458" s="103" t="s">
        <v>151</v>
      </c>
      <c r="H1458" s="103" t="s">
        <v>861</v>
      </c>
      <c r="I1458" s="103" t="s">
        <v>862</v>
      </c>
      <c r="J1458" s="103" t="s">
        <v>863</v>
      </c>
      <c r="K1458" s="103" t="s">
        <v>864</v>
      </c>
      <c r="L1458" s="103" t="s">
        <v>153</v>
      </c>
      <c r="M1458" s="103" t="s">
        <v>865</v>
      </c>
      <c r="N1458" s="103" t="s">
        <v>866</v>
      </c>
      <c r="O1458" s="103" t="str">
        <f t="shared" si="82"/>
        <v>CFLscw-Glb(20w)</v>
      </c>
      <c r="P1458" s="103" t="s">
        <v>153</v>
      </c>
      <c r="Q1458" s="103" t="s">
        <v>153</v>
      </c>
      <c r="R1458" s="103" t="s">
        <v>153</v>
      </c>
      <c r="S1458" s="103" t="str">
        <f>INDEX('Measure &amp; Standard CostIDs'!$AK$8:$AK$12,B1458)</f>
        <v>Four+pack</v>
      </c>
      <c r="T1458" s="103" t="s">
        <v>867</v>
      </c>
      <c r="U1458" s="103"/>
      <c r="V1458" s="103"/>
      <c r="W1458" s="103">
        <f>ROUND(IF(LEFT(D1458,3)="Std",VLOOKUP(D1458,'Measure &amp; Standard CostIDs'!$S$5:$X$177,1+B1458,FALSE),VLOOKUP(D1458,'Measure &amp; Standard CostIDs'!$C$5:$H$177,1+B1458,FALSE)),2)</f>
        <v>5.0599999999999996</v>
      </c>
      <c r="X1458" s="103"/>
      <c r="Y1458" s="103"/>
      <c r="Z1458" s="103" t="s">
        <v>868</v>
      </c>
      <c r="AA1458" s="103" t="s">
        <v>874</v>
      </c>
      <c r="AB1458" s="103" t="s">
        <v>153</v>
      </c>
      <c r="AC1458" s="103">
        <v>0</v>
      </c>
      <c r="AD1458" s="156">
        <v>42005</v>
      </c>
      <c r="AE1458" s="103"/>
      <c r="AF1458" s="103" t="s">
        <v>870</v>
      </c>
      <c r="AG1458" s="103" t="s">
        <v>871</v>
      </c>
      <c r="AH1458" s="103" t="s">
        <v>976</v>
      </c>
      <c r="AI1458" s="103">
        <v>0</v>
      </c>
      <c r="AJ1458" s="103"/>
      <c r="AK1458" s="103"/>
      <c r="AL1458" s="103"/>
      <c r="AM1458" s="103"/>
      <c r="AN1458" s="103"/>
      <c r="AO1458" s="103" t="str">
        <f t="shared" si="83"/>
        <v>CFLscw-Glb(20w)Four+pack</v>
      </c>
    </row>
    <row r="1459" spans="1:41">
      <c r="A1459" s="177">
        <f>IFERROR(MATCH(D1459,'Measure &amp; Standard CostIDs'!C$5:C$177,0),MATCH(D1459,'Measure &amp; Standard CostIDs'!S$5:S$177,0))</f>
        <v>135</v>
      </c>
      <c r="B1459" s="177">
        <f t="shared" si="81"/>
        <v>5</v>
      </c>
      <c r="C1459" s="103" t="s">
        <v>153</v>
      </c>
      <c r="D1459" s="103" t="str">
        <f t="shared" si="80"/>
        <v>CFLscw-Glb(22w)</v>
      </c>
      <c r="E1459" s="103" t="str">
        <f>IF(LEFT(D1459,3)="Std","Base case cost for mix of 60% Incandescent and 40% CFL lamps for CFL TechID: "&amp;INDEX('Measure &amp; Standard CostIDs'!$C$5:$C$177,A1459),"&lt;from TechID&gt;")</f>
        <v>&lt;from TechID&gt;</v>
      </c>
      <c r="F1459" s="103" t="s">
        <v>860</v>
      </c>
      <c r="G1459" s="103" t="s">
        <v>151</v>
      </c>
      <c r="H1459" s="103" t="s">
        <v>861</v>
      </c>
      <c r="I1459" s="103" t="s">
        <v>862</v>
      </c>
      <c r="J1459" s="103" t="s">
        <v>863</v>
      </c>
      <c r="K1459" s="103" t="s">
        <v>864</v>
      </c>
      <c r="L1459" s="103" t="s">
        <v>153</v>
      </c>
      <c r="M1459" s="103" t="s">
        <v>865</v>
      </c>
      <c r="N1459" s="103" t="s">
        <v>866</v>
      </c>
      <c r="O1459" s="103" t="str">
        <f t="shared" si="82"/>
        <v>CFLscw-Glb(22w)</v>
      </c>
      <c r="P1459" s="103" t="s">
        <v>153</v>
      </c>
      <c r="Q1459" s="103" t="s">
        <v>153</v>
      </c>
      <c r="R1459" s="103" t="s">
        <v>153</v>
      </c>
      <c r="S1459" s="103" t="str">
        <f>INDEX('Measure &amp; Standard CostIDs'!$AK$8:$AK$12,B1459)</f>
        <v>Four+pack</v>
      </c>
      <c r="T1459" s="103" t="s">
        <v>867</v>
      </c>
      <c r="U1459" s="103"/>
      <c r="V1459" s="103"/>
      <c r="W1459" s="103">
        <f>ROUND(IF(LEFT(D1459,3)="Std",VLOOKUP(D1459,'Measure &amp; Standard CostIDs'!$S$5:$X$177,1+B1459,FALSE),VLOOKUP(D1459,'Measure &amp; Standard CostIDs'!$C$5:$H$177,1+B1459,FALSE)),2)</f>
        <v>5.01</v>
      </c>
      <c r="X1459" s="103"/>
      <c r="Y1459" s="103"/>
      <c r="Z1459" s="103" t="s">
        <v>868</v>
      </c>
      <c r="AA1459" s="103" t="s">
        <v>874</v>
      </c>
      <c r="AB1459" s="103" t="s">
        <v>153</v>
      </c>
      <c r="AC1459" s="103">
        <v>0</v>
      </c>
      <c r="AD1459" s="156">
        <v>42005</v>
      </c>
      <c r="AE1459" s="103"/>
      <c r="AF1459" s="103" t="s">
        <v>870</v>
      </c>
      <c r="AG1459" s="103" t="s">
        <v>871</v>
      </c>
      <c r="AH1459" s="103" t="s">
        <v>976</v>
      </c>
      <c r="AI1459" s="103">
        <v>0</v>
      </c>
      <c r="AJ1459" s="103"/>
      <c r="AK1459" s="103"/>
      <c r="AL1459" s="103"/>
      <c r="AM1459" s="103"/>
      <c r="AN1459" s="103"/>
      <c r="AO1459" s="103" t="str">
        <f t="shared" si="83"/>
        <v>CFLscw-Glb(22w)Four+pack</v>
      </c>
    </row>
    <row r="1460" spans="1:41">
      <c r="A1460" s="177">
        <f>IFERROR(MATCH(D1460,'Measure &amp; Standard CostIDs'!C$5:C$177,0),MATCH(D1460,'Measure &amp; Standard CostIDs'!S$5:S$177,0))</f>
        <v>136</v>
      </c>
      <c r="B1460" s="177">
        <f t="shared" si="81"/>
        <v>5</v>
      </c>
      <c r="C1460" s="103" t="s">
        <v>153</v>
      </c>
      <c r="D1460" s="103" t="str">
        <f t="shared" si="80"/>
        <v>CFLscw-Glb(23w)</v>
      </c>
      <c r="E1460" s="103" t="str">
        <f>IF(LEFT(D1460,3)="Std","Base case cost for mix of 60% Incandescent and 40% CFL lamps for CFL TechID: "&amp;INDEX('Measure &amp; Standard CostIDs'!$C$5:$C$177,A1460),"&lt;from TechID&gt;")</f>
        <v>&lt;from TechID&gt;</v>
      </c>
      <c r="F1460" s="103" t="s">
        <v>860</v>
      </c>
      <c r="G1460" s="103" t="s">
        <v>151</v>
      </c>
      <c r="H1460" s="103" t="s">
        <v>861</v>
      </c>
      <c r="I1460" s="103" t="s">
        <v>862</v>
      </c>
      <c r="J1460" s="103" t="s">
        <v>863</v>
      </c>
      <c r="K1460" s="103" t="s">
        <v>864</v>
      </c>
      <c r="L1460" s="103" t="s">
        <v>153</v>
      </c>
      <c r="M1460" s="103" t="s">
        <v>865</v>
      </c>
      <c r="N1460" s="103" t="s">
        <v>866</v>
      </c>
      <c r="O1460" s="103" t="str">
        <f t="shared" si="82"/>
        <v>CFLscw-Glb(23w)</v>
      </c>
      <c r="P1460" s="103" t="s">
        <v>153</v>
      </c>
      <c r="Q1460" s="103" t="s">
        <v>153</v>
      </c>
      <c r="R1460" s="103" t="s">
        <v>153</v>
      </c>
      <c r="S1460" s="103" t="str">
        <f>INDEX('Measure &amp; Standard CostIDs'!$AK$8:$AK$12,B1460)</f>
        <v>Four+pack</v>
      </c>
      <c r="T1460" s="103" t="s">
        <v>867</v>
      </c>
      <c r="U1460" s="103"/>
      <c r="V1460" s="103"/>
      <c r="W1460" s="103">
        <f>ROUND(IF(LEFT(D1460,3)="Std",VLOOKUP(D1460,'Measure &amp; Standard CostIDs'!$S$5:$X$177,1+B1460,FALSE),VLOOKUP(D1460,'Measure &amp; Standard CostIDs'!$C$5:$H$177,1+B1460,FALSE)),2)</f>
        <v>4.9800000000000004</v>
      </c>
      <c r="X1460" s="103"/>
      <c r="Y1460" s="103"/>
      <c r="Z1460" s="103" t="s">
        <v>868</v>
      </c>
      <c r="AA1460" s="103" t="s">
        <v>874</v>
      </c>
      <c r="AB1460" s="103" t="s">
        <v>153</v>
      </c>
      <c r="AC1460" s="103">
        <v>0</v>
      </c>
      <c r="AD1460" s="156">
        <v>42005</v>
      </c>
      <c r="AE1460" s="103"/>
      <c r="AF1460" s="103" t="s">
        <v>870</v>
      </c>
      <c r="AG1460" s="103" t="s">
        <v>871</v>
      </c>
      <c r="AH1460" s="103" t="s">
        <v>976</v>
      </c>
      <c r="AI1460" s="103">
        <v>0</v>
      </c>
      <c r="AJ1460" s="103"/>
      <c r="AK1460" s="103"/>
      <c r="AL1460" s="103"/>
      <c r="AM1460" s="103"/>
      <c r="AN1460" s="103"/>
      <c r="AO1460" s="103" t="str">
        <f t="shared" si="83"/>
        <v>CFLscw-Glb(23w)Four+pack</v>
      </c>
    </row>
    <row r="1461" spans="1:41">
      <c r="A1461" s="177">
        <f>IFERROR(MATCH(D1461,'Measure &amp; Standard CostIDs'!C$5:C$177,0),MATCH(D1461,'Measure &amp; Standard CostIDs'!S$5:S$177,0))</f>
        <v>137</v>
      </c>
      <c r="B1461" s="177">
        <f t="shared" si="81"/>
        <v>5</v>
      </c>
      <c r="C1461" s="103" t="s">
        <v>153</v>
      </c>
      <c r="D1461" s="103" t="str">
        <f t="shared" si="80"/>
        <v>CFLscw-Glb(9w)</v>
      </c>
      <c r="E1461" s="103" t="str">
        <f>IF(LEFT(D1461,3)="Std","Base case cost for mix of 60% Incandescent and 40% CFL lamps for CFL TechID: "&amp;INDEX('Measure &amp; Standard CostIDs'!$C$5:$C$177,A1461),"&lt;from TechID&gt;")</f>
        <v>&lt;from TechID&gt;</v>
      </c>
      <c r="F1461" s="103" t="s">
        <v>860</v>
      </c>
      <c r="G1461" s="103" t="s">
        <v>151</v>
      </c>
      <c r="H1461" s="103" t="s">
        <v>861</v>
      </c>
      <c r="I1461" s="103" t="s">
        <v>862</v>
      </c>
      <c r="J1461" s="103" t="s">
        <v>863</v>
      </c>
      <c r="K1461" s="103" t="s">
        <v>864</v>
      </c>
      <c r="L1461" s="103" t="s">
        <v>153</v>
      </c>
      <c r="M1461" s="103" t="s">
        <v>865</v>
      </c>
      <c r="N1461" s="103" t="s">
        <v>866</v>
      </c>
      <c r="O1461" s="103" t="str">
        <f t="shared" si="82"/>
        <v>CFLscw-Glb(9w)</v>
      </c>
      <c r="P1461" s="103" t="s">
        <v>153</v>
      </c>
      <c r="Q1461" s="103" t="s">
        <v>153</v>
      </c>
      <c r="R1461" s="103" t="s">
        <v>153</v>
      </c>
      <c r="S1461" s="103" t="str">
        <f>INDEX('Measure &amp; Standard CostIDs'!$AK$8:$AK$12,B1461)</f>
        <v>Four+pack</v>
      </c>
      <c r="T1461" s="103" t="s">
        <v>867</v>
      </c>
      <c r="U1461" s="103"/>
      <c r="V1461" s="103"/>
      <c r="W1461" s="103">
        <f>ROUND(IF(LEFT(D1461,3)="Std",VLOOKUP(D1461,'Measure &amp; Standard CostIDs'!$S$5:$X$177,1+B1461,FALSE),VLOOKUP(D1461,'Measure &amp; Standard CostIDs'!$C$5:$H$177,1+B1461,FALSE)),2)</f>
        <v>5.35</v>
      </c>
      <c r="X1461" s="103"/>
      <c r="Y1461" s="103"/>
      <c r="Z1461" s="103" t="s">
        <v>868</v>
      </c>
      <c r="AA1461" s="103" t="s">
        <v>874</v>
      </c>
      <c r="AB1461" s="103" t="s">
        <v>153</v>
      </c>
      <c r="AC1461" s="103">
        <v>0</v>
      </c>
      <c r="AD1461" s="156">
        <v>42005</v>
      </c>
      <c r="AE1461" s="103"/>
      <c r="AF1461" s="103" t="s">
        <v>870</v>
      </c>
      <c r="AG1461" s="103" t="s">
        <v>871</v>
      </c>
      <c r="AH1461" s="103" t="s">
        <v>976</v>
      </c>
      <c r="AI1461" s="103">
        <v>0</v>
      </c>
      <c r="AJ1461" s="103"/>
      <c r="AK1461" s="103"/>
      <c r="AL1461" s="103"/>
      <c r="AM1461" s="103"/>
      <c r="AN1461" s="103"/>
      <c r="AO1461" s="103" t="str">
        <f t="shared" si="83"/>
        <v>CFLscw-Glb(9w)Four+pack</v>
      </c>
    </row>
    <row r="1462" spans="1:41">
      <c r="A1462" s="177">
        <f>IFERROR(MATCH(D1462,'Measure &amp; Standard CostIDs'!C$5:C$177,0),MATCH(D1462,'Measure &amp; Standard CostIDs'!S$5:S$177,0))</f>
        <v>138</v>
      </c>
      <c r="B1462" s="177">
        <f t="shared" si="81"/>
        <v>5</v>
      </c>
      <c r="C1462" s="103" t="s">
        <v>153</v>
      </c>
      <c r="D1462" s="103" t="str">
        <f t="shared" si="80"/>
        <v>CFLscw-PAR38(23w)</v>
      </c>
      <c r="E1462" s="103" t="str">
        <f>IF(LEFT(D1462,3)="Std","Base case cost for mix of 60% Incandescent and 40% CFL lamps for CFL TechID: "&amp;INDEX('Measure &amp; Standard CostIDs'!$C$5:$C$177,A1462),"&lt;from TechID&gt;")</f>
        <v>&lt;from TechID&gt;</v>
      </c>
      <c r="F1462" s="103" t="s">
        <v>860</v>
      </c>
      <c r="G1462" s="103" t="s">
        <v>151</v>
      </c>
      <c r="H1462" s="103" t="s">
        <v>861</v>
      </c>
      <c r="I1462" s="103" t="s">
        <v>862</v>
      </c>
      <c r="J1462" s="103" t="s">
        <v>863</v>
      </c>
      <c r="K1462" s="103" t="s">
        <v>864</v>
      </c>
      <c r="L1462" s="103" t="s">
        <v>153</v>
      </c>
      <c r="M1462" s="103" t="s">
        <v>865</v>
      </c>
      <c r="N1462" s="103" t="s">
        <v>866</v>
      </c>
      <c r="O1462" s="103" t="str">
        <f t="shared" si="82"/>
        <v>CFLscw-PAR38(23w)</v>
      </c>
      <c r="P1462" s="103" t="s">
        <v>153</v>
      </c>
      <c r="Q1462" s="103" t="s">
        <v>153</v>
      </c>
      <c r="R1462" s="103" t="s">
        <v>153</v>
      </c>
      <c r="S1462" s="103" t="str">
        <f>INDEX('Measure &amp; Standard CostIDs'!$AK$8:$AK$12,B1462)</f>
        <v>Four+pack</v>
      </c>
      <c r="T1462" s="103" t="s">
        <v>867</v>
      </c>
      <c r="U1462" s="103"/>
      <c r="V1462" s="103"/>
      <c r="W1462" s="103">
        <f>ROUND(IF(LEFT(D1462,3)="Std",VLOOKUP(D1462,'Measure &amp; Standard CostIDs'!$S$5:$X$177,1+B1462,FALSE),VLOOKUP(D1462,'Measure &amp; Standard CostIDs'!$C$5:$H$177,1+B1462,FALSE)),2)</f>
        <v>6.8</v>
      </c>
      <c r="X1462" s="103"/>
      <c r="Y1462" s="103"/>
      <c r="Z1462" s="103" t="s">
        <v>868</v>
      </c>
      <c r="AA1462" s="103" t="s">
        <v>874</v>
      </c>
      <c r="AB1462" s="103" t="s">
        <v>153</v>
      </c>
      <c r="AC1462" s="103">
        <v>0</v>
      </c>
      <c r="AD1462" s="156">
        <v>42005</v>
      </c>
      <c r="AE1462" s="103"/>
      <c r="AF1462" s="103" t="s">
        <v>870</v>
      </c>
      <c r="AG1462" s="103" t="s">
        <v>871</v>
      </c>
      <c r="AH1462" s="103" t="s">
        <v>976</v>
      </c>
      <c r="AI1462" s="103">
        <v>0</v>
      </c>
      <c r="AJ1462" s="103"/>
      <c r="AK1462" s="103"/>
      <c r="AL1462" s="103"/>
      <c r="AM1462" s="103"/>
      <c r="AN1462" s="103"/>
      <c r="AO1462" s="103" t="str">
        <f t="shared" si="83"/>
        <v>CFLscw-PAR38(23w)Four+pack</v>
      </c>
    </row>
    <row r="1463" spans="1:41">
      <c r="A1463" s="177">
        <f>IFERROR(MATCH(D1463,'Measure &amp; Standard CostIDs'!C$5:C$177,0),MATCH(D1463,'Measure &amp; Standard CostIDs'!S$5:S$177,0))</f>
        <v>139</v>
      </c>
      <c r="B1463" s="177">
        <f t="shared" si="81"/>
        <v>5</v>
      </c>
      <c r="C1463" s="103" t="s">
        <v>153</v>
      </c>
      <c r="D1463" s="103" t="str">
        <f t="shared" si="80"/>
        <v>CFLscw-Refl(10w)</v>
      </c>
      <c r="E1463" s="103" t="str">
        <f>IF(LEFT(D1463,3)="Std","Base case cost for mix of 60% Incandescent and 40% CFL lamps for CFL TechID: "&amp;INDEX('Measure &amp; Standard CostIDs'!$C$5:$C$177,A1463),"&lt;from TechID&gt;")</f>
        <v>&lt;from TechID&gt;</v>
      </c>
      <c r="F1463" s="103" t="s">
        <v>860</v>
      </c>
      <c r="G1463" s="103" t="s">
        <v>151</v>
      </c>
      <c r="H1463" s="103" t="s">
        <v>861</v>
      </c>
      <c r="I1463" s="103" t="s">
        <v>862</v>
      </c>
      <c r="J1463" s="103" t="s">
        <v>863</v>
      </c>
      <c r="K1463" s="103" t="s">
        <v>864</v>
      </c>
      <c r="L1463" s="103" t="s">
        <v>153</v>
      </c>
      <c r="M1463" s="103" t="s">
        <v>865</v>
      </c>
      <c r="N1463" s="103" t="s">
        <v>866</v>
      </c>
      <c r="O1463" s="103" t="str">
        <f t="shared" si="82"/>
        <v>CFLscw-Refl(10w)</v>
      </c>
      <c r="P1463" s="103" t="s">
        <v>153</v>
      </c>
      <c r="Q1463" s="103" t="s">
        <v>153</v>
      </c>
      <c r="R1463" s="103" t="s">
        <v>153</v>
      </c>
      <c r="S1463" s="103" t="str">
        <f>INDEX('Measure &amp; Standard CostIDs'!$AK$8:$AK$12,B1463)</f>
        <v>Four+pack</v>
      </c>
      <c r="T1463" s="103" t="s">
        <v>867</v>
      </c>
      <c r="U1463" s="103"/>
      <c r="V1463" s="103"/>
      <c r="W1463" s="103">
        <f>ROUND(IF(LEFT(D1463,3)="Std",VLOOKUP(D1463,'Measure &amp; Standard CostIDs'!$S$5:$X$177,1+B1463,FALSE),VLOOKUP(D1463,'Measure &amp; Standard CostIDs'!$C$5:$H$177,1+B1463,FALSE)),2)</f>
        <v>4.88</v>
      </c>
      <c r="X1463" s="103"/>
      <c r="Y1463" s="103"/>
      <c r="Z1463" s="103" t="s">
        <v>868</v>
      </c>
      <c r="AA1463" s="103" t="s">
        <v>874</v>
      </c>
      <c r="AB1463" s="103" t="s">
        <v>153</v>
      </c>
      <c r="AC1463" s="103">
        <v>0</v>
      </c>
      <c r="AD1463" s="156">
        <v>42005</v>
      </c>
      <c r="AE1463" s="103"/>
      <c r="AF1463" s="103" t="s">
        <v>870</v>
      </c>
      <c r="AG1463" s="103" t="s">
        <v>871</v>
      </c>
      <c r="AH1463" s="103" t="s">
        <v>976</v>
      </c>
      <c r="AI1463" s="103">
        <v>0</v>
      </c>
      <c r="AJ1463" s="103"/>
      <c r="AK1463" s="103"/>
      <c r="AL1463" s="103"/>
      <c r="AM1463" s="103"/>
      <c r="AN1463" s="103"/>
      <c r="AO1463" s="103" t="str">
        <f t="shared" si="83"/>
        <v>CFLscw-Refl(10w)Four+pack</v>
      </c>
    </row>
    <row r="1464" spans="1:41">
      <c r="A1464" s="177">
        <f>IFERROR(MATCH(D1464,'Measure &amp; Standard CostIDs'!C$5:C$177,0),MATCH(D1464,'Measure &amp; Standard CostIDs'!S$5:S$177,0))</f>
        <v>140</v>
      </c>
      <c r="B1464" s="177">
        <f t="shared" si="81"/>
        <v>5</v>
      </c>
      <c r="C1464" s="103" t="s">
        <v>153</v>
      </c>
      <c r="D1464" s="103" t="str">
        <f t="shared" si="80"/>
        <v>CFLscw-Refl(11w)</v>
      </c>
      <c r="E1464" s="103" t="str">
        <f>IF(LEFT(D1464,3)="Std","Base case cost for mix of 60% Incandescent and 40% CFL lamps for CFL TechID: "&amp;INDEX('Measure &amp; Standard CostIDs'!$C$5:$C$177,A1464),"&lt;from TechID&gt;")</f>
        <v>&lt;from TechID&gt;</v>
      </c>
      <c r="F1464" s="103" t="s">
        <v>860</v>
      </c>
      <c r="G1464" s="103" t="s">
        <v>151</v>
      </c>
      <c r="H1464" s="103" t="s">
        <v>861</v>
      </c>
      <c r="I1464" s="103" t="s">
        <v>862</v>
      </c>
      <c r="J1464" s="103" t="s">
        <v>863</v>
      </c>
      <c r="K1464" s="103" t="s">
        <v>864</v>
      </c>
      <c r="L1464" s="103" t="s">
        <v>153</v>
      </c>
      <c r="M1464" s="103" t="s">
        <v>865</v>
      </c>
      <c r="N1464" s="103" t="s">
        <v>866</v>
      </c>
      <c r="O1464" s="103" t="str">
        <f t="shared" si="82"/>
        <v>CFLscw-Refl(11w)</v>
      </c>
      <c r="P1464" s="103" t="s">
        <v>153</v>
      </c>
      <c r="Q1464" s="103" t="s">
        <v>153</v>
      </c>
      <c r="R1464" s="103" t="s">
        <v>153</v>
      </c>
      <c r="S1464" s="103" t="str">
        <f>INDEX('Measure &amp; Standard CostIDs'!$AK$8:$AK$12,B1464)</f>
        <v>Four+pack</v>
      </c>
      <c r="T1464" s="103" t="s">
        <v>867</v>
      </c>
      <c r="U1464" s="103"/>
      <c r="V1464" s="103"/>
      <c r="W1464" s="103">
        <f>ROUND(IF(LEFT(D1464,3)="Std",VLOOKUP(D1464,'Measure &amp; Standard CostIDs'!$S$5:$X$177,1+B1464,FALSE),VLOOKUP(D1464,'Measure &amp; Standard CostIDs'!$C$5:$H$177,1+B1464,FALSE)),2)</f>
        <v>5.03</v>
      </c>
      <c r="X1464" s="103"/>
      <c r="Y1464" s="103"/>
      <c r="Z1464" s="103" t="s">
        <v>868</v>
      </c>
      <c r="AA1464" s="103" t="s">
        <v>874</v>
      </c>
      <c r="AB1464" s="103" t="s">
        <v>153</v>
      </c>
      <c r="AC1464" s="103">
        <v>0</v>
      </c>
      <c r="AD1464" s="156">
        <v>42005</v>
      </c>
      <c r="AE1464" s="103"/>
      <c r="AF1464" s="103" t="s">
        <v>870</v>
      </c>
      <c r="AG1464" s="103" t="s">
        <v>871</v>
      </c>
      <c r="AH1464" s="103" t="s">
        <v>976</v>
      </c>
      <c r="AI1464" s="103">
        <v>0</v>
      </c>
      <c r="AJ1464" s="103"/>
      <c r="AK1464" s="103"/>
      <c r="AL1464" s="103"/>
      <c r="AM1464" s="103"/>
      <c r="AN1464" s="103"/>
      <c r="AO1464" s="103" t="str">
        <f t="shared" si="83"/>
        <v>CFLscw-Refl(11w)Four+pack</v>
      </c>
    </row>
    <row r="1465" spans="1:41">
      <c r="A1465" s="177">
        <f>IFERROR(MATCH(D1465,'Measure &amp; Standard CostIDs'!C$5:C$177,0),MATCH(D1465,'Measure &amp; Standard CostIDs'!S$5:S$177,0))</f>
        <v>141</v>
      </c>
      <c r="B1465" s="177">
        <f t="shared" si="81"/>
        <v>5</v>
      </c>
      <c r="C1465" s="103" t="s">
        <v>153</v>
      </c>
      <c r="D1465" s="103" t="str">
        <f t="shared" si="80"/>
        <v>CFLscw-Refl(12w)</v>
      </c>
      <c r="E1465" s="103" t="str">
        <f>IF(LEFT(D1465,3)="Std","Base case cost for mix of 60% Incandescent and 40% CFL lamps for CFL TechID: "&amp;INDEX('Measure &amp; Standard CostIDs'!$C$5:$C$177,A1465),"&lt;from TechID&gt;")</f>
        <v>&lt;from TechID&gt;</v>
      </c>
      <c r="F1465" s="103" t="s">
        <v>860</v>
      </c>
      <c r="G1465" s="103" t="s">
        <v>151</v>
      </c>
      <c r="H1465" s="103" t="s">
        <v>861</v>
      </c>
      <c r="I1465" s="103" t="s">
        <v>862</v>
      </c>
      <c r="J1465" s="103" t="s">
        <v>863</v>
      </c>
      <c r="K1465" s="103" t="s">
        <v>864</v>
      </c>
      <c r="L1465" s="103" t="s">
        <v>153</v>
      </c>
      <c r="M1465" s="103" t="s">
        <v>865</v>
      </c>
      <c r="N1465" s="103" t="s">
        <v>866</v>
      </c>
      <c r="O1465" s="103" t="str">
        <f t="shared" si="82"/>
        <v>CFLscw-Refl(12w)</v>
      </c>
      <c r="P1465" s="103" t="s">
        <v>153</v>
      </c>
      <c r="Q1465" s="103" t="s">
        <v>153</v>
      </c>
      <c r="R1465" s="103" t="s">
        <v>153</v>
      </c>
      <c r="S1465" s="103" t="str">
        <f>INDEX('Measure &amp; Standard CostIDs'!$AK$8:$AK$12,B1465)</f>
        <v>Four+pack</v>
      </c>
      <c r="T1465" s="103" t="s">
        <v>867</v>
      </c>
      <c r="U1465" s="103"/>
      <c r="V1465" s="103"/>
      <c r="W1465" s="103">
        <f>ROUND(IF(LEFT(D1465,3)="Std",VLOOKUP(D1465,'Measure &amp; Standard CostIDs'!$S$5:$X$177,1+B1465,FALSE),VLOOKUP(D1465,'Measure &amp; Standard CostIDs'!$C$5:$H$177,1+B1465,FALSE)),2)</f>
        <v>5.18</v>
      </c>
      <c r="X1465" s="103"/>
      <c r="Y1465" s="103"/>
      <c r="Z1465" s="103" t="s">
        <v>868</v>
      </c>
      <c r="AA1465" s="103" t="s">
        <v>874</v>
      </c>
      <c r="AB1465" s="103" t="s">
        <v>153</v>
      </c>
      <c r="AC1465" s="103">
        <v>0</v>
      </c>
      <c r="AD1465" s="156">
        <v>42005</v>
      </c>
      <c r="AE1465" s="103"/>
      <c r="AF1465" s="103" t="s">
        <v>870</v>
      </c>
      <c r="AG1465" s="103" t="s">
        <v>871</v>
      </c>
      <c r="AH1465" s="103" t="s">
        <v>976</v>
      </c>
      <c r="AI1465" s="103">
        <v>0</v>
      </c>
      <c r="AJ1465" s="103"/>
      <c r="AK1465" s="103"/>
      <c r="AL1465" s="103"/>
      <c r="AM1465" s="103"/>
      <c r="AN1465" s="103"/>
      <c r="AO1465" s="103" t="str">
        <f t="shared" si="83"/>
        <v>CFLscw-Refl(12w)Four+pack</v>
      </c>
    </row>
    <row r="1466" spans="1:41">
      <c r="A1466" s="177">
        <f>IFERROR(MATCH(D1466,'Measure &amp; Standard CostIDs'!C$5:C$177,0),MATCH(D1466,'Measure &amp; Standard CostIDs'!S$5:S$177,0))</f>
        <v>142</v>
      </c>
      <c r="B1466" s="177">
        <f t="shared" si="81"/>
        <v>5</v>
      </c>
      <c r="C1466" s="103" t="s">
        <v>153</v>
      </c>
      <c r="D1466" s="103" t="str">
        <f t="shared" si="80"/>
        <v>CFLscw-Refl(13w)</v>
      </c>
      <c r="E1466" s="103" t="str">
        <f>IF(LEFT(D1466,3)="Std","Base case cost for mix of 60% Incandescent and 40% CFL lamps for CFL TechID: "&amp;INDEX('Measure &amp; Standard CostIDs'!$C$5:$C$177,A1466),"&lt;from TechID&gt;")</f>
        <v>&lt;from TechID&gt;</v>
      </c>
      <c r="F1466" s="103" t="s">
        <v>860</v>
      </c>
      <c r="G1466" s="103" t="s">
        <v>151</v>
      </c>
      <c r="H1466" s="103" t="s">
        <v>861</v>
      </c>
      <c r="I1466" s="103" t="s">
        <v>862</v>
      </c>
      <c r="J1466" s="103" t="s">
        <v>863</v>
      </c>
      <c r="K1466" s="103" t="s">
        <v>864</v>
      </c>
      <c r="L1466" s="103" t="s">
        <v>153</v>
      </c>
      <c r="M1466" s="103" t="s">
        <v>865</v>
      </c>
      <c r="N1466" s="103" t="s">
        <v>866</v>
      </c>
      <c r="O1466" s="103" t="str">
        <f t="shared" si="82"/>
        <v>CFLscw-Refl(13w)</v>
      </c>
      <c r="P1466" s="103" t="s">
        <v>153</v>
      </c>
      <c r="Q1466" s="103" t="s">
        <v>153</v>
      </c>
      <c r="R1466" s="103" t="s">
        <v>153</v>
      </c>
      <c r="S1466" s="103" t="str">
        <f>INDEX('Measure &amp; Standard CostIDs'!$AK$8:$AK$12,B1466)</f>
        <v>Four+pack</v>
      </c>
      <c r="T1466" s="103" t="s">
        <v>867</v>
      </c>
      <c r="U1466" s="103"/>
      <c r="V1466" s="103"/>
      <c r="W1466" s="103">
        <f>ROUND(IF(LEFT(D1466,3)="Std",VLOOKUP(D1466,'Measure &amp; Standard CostIDs'!$S$5:$X$177,1+B1466,FALSE),VLOOKUP(D1466,'Measure &amp; Standard CostIDs'!$C$5:$H$177,1+B1466,FALSE)),2)</f>
        <v>5.32</v>
      </c>
      <c r="X1466" s="103"/>
      <c r="Y1466" s="103"/>
      <c r="Z1466" s="103" t="s">
        <v>868</v>
      </c>
      <c r="AA1466" s="103" t="s">
        <v>874</v>
      </c>
      <c r="AB1466" s="103" t="s">
        <v>153</v>
      </c>
      <c r="AC1466" s="103">
        <v>0</v>
      </c>
      <c r="AD1466" s="156">
        <v>42005</v>
      </c>
      <c r="AE1466" s="103"/>
      <c r="AF1466" s="103" t="s">
        <v>870</v>
      </c>
      <c r="AG1466" s="103" t="s">
        <v>871</v>
      </c>
      <c r="AH1466" s="103" t="s">
        <v>976</v>
      </c>
      <c r="AI1466" s="103">
        <v>0</v>
      </c>
      <c r="AJ1466" s="103"/>
      <c r="AK1466" s="103"/>
      <c r="AL1466" s="103"/>
      <c r="AM1466" s="103"/>
      <c r="AN1466" s="103"/>
      <c r="AO1466" s="103" t="str">
        <f t="shared" si="83"/>
        <v>CFLscw-Refl(13w)Four+pack</v>
      </c>
    </row>
    <row r="1467" spans="1:41">
      <c r="A1467" s="177">
        <f>IFERROR(MATCH(D1467,'Measure &amp; Standard CostIDs'!C$5:C$177,0),MATCH(D1467,'Measure &amp; Standard CostIDs'!S$5:S$177,0))</f>
        <v>143</v>
      </c>
      <c r="B1467" s="177">
        <f t="shared" si="81"/>
        <v>5</v>
      </c>
      <c r="C1467" s="103" t="s">
        <v>153</v>
      </c>
      <c r="D1467" s="103" t="str">
        <f t="shared" si="80"/>
        <v>CFLscw-Refl(14w)</v>
      </c>
      <c r="E1467" s="103" t="str">
        <f>IF(LEFT(D1467,3)="Std","Base case cost for mix of 60% Incandescent and 40% CFL lamps for CFL TechID: "&amp;INDEX('Measure &amp; Standard CostIDs'!$C$5:$C$177,A1467),"&lt;from TechID&gt;")</f>
        <v>&lt;from TechID&gt;</v>
      </c>
      <c r="F1467" s="103" t="s">
        <v>860</v>
      </c>
      <c r="G1467" s="103" t="s">
        <v>151</v>
      </c>
      <c r="H1467" s="103" t="s">
        <v>861</v>
      </c>
      <c r="I1467" s="103" t="s">
        <v>862</v>
      </c>
      <c r="J1467" s="103" t="s">
        <v>863</v>
      </c>
      <c r="K1467" s="103" t="s">
        <v>864</v>
      </c>
      <c r="L1467" s="103" t="s">
        <v>153</v>
      </c>
      <c r="M1467" s="103" t="s">
        <v>865</v>
      </c>
      <c r="N1467" s="103" t="s">
        <v>866</v>
      </c>
      <c r="O1467" s="103" t="str">
        <f t="shared" si="82"/>
        <v>CFLscw-Refl(14w)</v>
      </c>
      <c r="P1467" s="103" t="s">
        <v>153</v>
      </c>
      <c r="Q1467" s="103" t="s">
        <v>153</v>
      </c>
      <c r="R1467" s="103" t="s">
        <v>153</v>
      </c>
      <c r="S1467" s="103" t="str">
        <f>INDEX('Measure &amp; Standard CostIDs'!$AK$8:$AK$12,B1467)</f>
        <v>Four+pack</v>
      </c>
      <c r="T1467" s="103" t="s">
        <v>867</v>
      </c>
      <c r="U1467" s="103"/>
      <c r="V1467" s="103"/>
      <c r="W1467" s="103">
        <f>ROUND(IF(LEFT(D1467,3)="Std",VLOOKUP(D1467,'Measure &amp; Standard CostIDs'!$S$5:$X$177,1+B1467,FALSE),VLOOKUP(D1467,'Measure &amp; Standard CostIDs'!$C$5:$H$177,1+B1467,FALSE)),2)</f>
        <v>5.47</v>
      </c>
      <c r="X1467" s="103"/>
      <c r="Y1467" s="103"/>
      <c r="Z1467" s="103" t="s">
        <v>868</v>
      </c>
      <c r="AA1467" s="103" t="s">
        <v>874</v>
      </c>
      <c r="AB1467" s="103" t="s">
        <v>153</v>
      </c>
      <c r="AC1467" s="103">
        <v>0</v>
      </c>
      <c r="AD1467" s="156">
        <v>42005</v>
      </c>
      <c r="AE1467" s="103"/>
      <c r="AF1467" s="103" t="s">
        <v>870</v>
      </c>
      <c r="AG1467" s="103" t="s">
        <v>871</v>
      </c>
      <c r="AH1467" s="103" t="s">
        <v>976</v>
      </c>
      <c r="AI1467" s="103">
        <v>0</v>
      </c>
      <c r="AJ1467" s="103"/>
      <c r="AK1467" s="103"/>
      <c r="AL1467" s="103"/>
      <c r="AM1467" s="103"/>
      <c r="AN1467" s="103"/>
      <c r="AO1467" s="103" t="str">
        <f t="shared" si="83"/>
        <v>CFLscw-Refl(14w)Four+pack</v>
      </c>
    </row>
    <row r="1468" spans="1:41">
      <c r="A1468" s="177">
        <f>IFERROR(MATCH(D1468,'Measure &amp; Standard CostIDs'!C$5:C$177,0),MATCH(D1468,'Measure &amp; Standard CostIDs'!S$5:S$177,0))</f>
        <v>144</v>
      </c>
      <c r="B1468" s="177">
        <f t="shared" si="81"/>
        <v>5</v>
      </c>
      <c r="C1468" s="103" t="s">
        <v>153</v>
      </c>
      <c r="D1468" s="103" t="str">
        <f t="shared" si="80"/>
        <v>CFLscw-Refl(16w)</v>
      </c>
      <c r="E1468" s="103" t="str">
        <f>IF(LEFT(D1468,3)="Std","Base case cost for mix of 60% Incandescent and 40% CFL lamps for CFL TechID: "&amp;INDEX('Measure &amp; Standard CostIDs'!$C$5:$C$177,A1468),"&lt;from TechID&gt;")</f>
        <v>&lt;from TechID&gt;</v>
      </c>
      <c r="F1468" s="103" t="s">
        <v>860</v>
      </c>
      <c r="G1468" s="103" t="s">
        <v>151</v>
      </c>
      <c r="H1468" s="103" t="s">
        <v>861</v>
      </c>
      <c r="I1468" s="103" t="s">
        <v>862</v>
      </c>
      <c r="J1468" s="103" t="s">
        <v>863</v>
      </c>
      <c r="K1468" s="103" t="s">
        <v>864</v>
      </c>
      <c r="L1468" s="103" t="s">
        <v>153</v>
      </c>
      <c r="M1468" s="103" t="s">
        <v>865</v>
      </c>
      <c r="N1468" s="103" t="s">
        <v>866</v>
      </c>
      <c r="O1468" s="103" t="str">
        <f t="shared" si="82"/>
        <v>CFLscw-Refl(16w)</v>
      </c>
      <c r="P1468" s="103" t="s">
        <v>153</v>
      </c>
      <c r="Q1468" s="103" t="s">
        <v>153</v>
      </c>
      <c r="R1468" s="103" t="s">
        <v>153</v>
      </c>
      <c r="S1468" s="103" t="str">
        <f>INDEX('Measure &amp; Standard CostIDs'!$AK$8:$AK$12,B1468)</f>
        <v>Four+pack</v>
      </c>
      <c r="T1468" s="103" t="s">
        <v>867</v>
      </c>
      <c r="U1468" s="103"/>
      <c r="V1468" s="103"/>
      <c r="W1468" s="103">
        <f>ROUND(IF(LEFT(D1468,3)="Std",VLOOKUP(D1468,'Measure &amp; Standard CostIDs'!$S$5:$X$177,1+B1468,FALSE),VLOOKUP(D1468,'Measure &amp; Standard CostIDs'!$C$5:$H$177,1+B1468,FALSE)),2)</f>
        <v>5.76</v>
      </c>
      <c r="X1468" s="103"/>
      <c r="Y1468" s="103"/>
      <c r="Z1468" s="103" t="s">
        <v>868</v>
      </c>
      <c r="AA1468" s="103" t="s">
        <v>874</v>
      </c>
      <c r="AB1468" s="103" t="s">
        <v>153</v>
      </c>
      <c r="AC1468" s="103">
        <v>0</v>
      </c>
      <c r="AD1468" s="156">
        <v>42005</v>
      </c>
      <c r="AE1468" s="103"/>
      <c r="AF1468" s="103" t="s">
        <v>870</v>
      </c>
      <c r="AG1468" s="103" t="s">
        <v>871</v>
      </c>
      <c r="AH1468" s="103" t="s">
        <v>976</v>
      </c>
      <c r="AI1468" s="103">
        <v>0</v>
      </c>
      <c r="AJ1468" s="103"/>
      <c r="AK1468" s="103"/>
      <c r="AL1468" s="103"/>
      <c r="AM1468" s="103"/>
      <c r="AN1468" s="103"/>
      <c r="AO1468" s="103" t="str">
        <f t="shared" si="83"/>
        <v>CFLscw-Refl(16w)Four+pack</v>
      </c>
    </row>
    <row r="1469" spans="1:41">
      <c r="A1469" s="177">
        <f>IFERROR(MATCH(D1469,'Measure &amp; Standard CostIDs'!C$5:C$177,0),MATCH(D1469,'Measure &amp; Standard CostIDs'!S$5:S$177,0))</f>
        <v>145</v>
      </c>
      <c r="B1469" s="177">
        <f t="shared" si="81"/>
        <v>5</v>
      </c>
      <c r="C1469" s="103" t="s">
        <v>153</v>
      </c>
      <c r="D1469" s="103" t="str">
        <f t="shared" si="80"/>
        <v>CFLscw-Refl(17w)</v>
      </c>
      <c r="E1469" s="103" t="str">
        <f>IF(LEFT(D1469,3)="Std","Base case cost for mix of 60% Incandescent and 40% CFL lamps for CFL TechID: "&amp;INDEX('Measure &amp; Standard CostIDs'!$C$5:$C$177,A1469),"&lt;from TechID&gt;")</f>
        <v>&lt;from TechID&gt;</v>
      </c>
      <c r="F1469" s="103" t="s">
        <v>860</v>
      </c>
      <c r="G1469" s="103" t="s">
        <v>151</v>
      </c>
      <c r="H1469" s="103" t="s">
        <v>861</v>
      </c>
      <c r="I1469" s="103" t="s">
        <v>862</v>
      </c>
      <c r="J1469" s="103" t="s">
        <v>863</v>
      </c>
      <c r="K1469" s="103" t="s">
        <v>864</v>
      </c>
      <c r="L1469" s="103" t="s">
        <v>153</v>
      </c>
      <c r="M1469" s="103" t="s">
        <v>865</v>
      </c>
      <c r="N1469" s="103" t="s">
        <v>866</v>
      </c>
      <c r="O1469" s="103" t="str">
        <f t="shared" si="82"/>
        <v>CFLscw-Refl(17w)</v>
      </c>
      <c r="P1469" s="103" t="s">
        <v>153</v>
      </c>
      <c r="Q1469" s="103" t="s">
        <v>153</v>
      </c>
      <c r="R1469" s="103" t="s">
        <v>153</v>
      </c>
      <c r="S1469" s="103" t="str">
        <f>INDEX('Measure &amp; Standard CostIDs'!$AK$8:$AK$12,B1469)</f>
        <v>Four+pack</v>
      </c>
      <c r="T1469" s="103" t="s">
        <v>867</v>
      </c>
      <c r="U1469" s="103"/>
      <c r="V1469" s="103"/>
      <c r="W1469" s="103">
        <f>ROUND(IF(LEFT(D1469,3)="Std",VLOOKUP(D1469,'Measure &amp; Standard CostIDs'!$S$5:$X$177,1+B1469,FALSE),VLOOKUP(D1469,'Measure &amp; Standard CostIDs'!$C$5:$H$177,1+B1469,FALSE)),2)</f>
        <v>5.91</v>
      </c>
      <c r="X1469" s="103"/>
      <c r="Y1469" s="103"/>
      <c r="Z1469" s="103" t="s">
        <v>868</v>
      </c>
      <c r="AA1469" s="103" t="s">
        <v>874</v>
      </c>
      <c r="AB1469" s="103" t="s">
        <v>153</v>
      </c>
      <c r="AC1469" s="103">
        <v>0</v>
      </c>
      <c r="AD1469" s="156">
        <v>42005</v>
      </c>
      <c r="AE1469" s="103"/>
      <c r="AF1469" s="103" t="s">
        <v>870</v>
      </c>
      <c r="AG1469" s="103" t="s">
        <v>871</v>
      </c>
      <c r="AH1469" s="103" t="s">
        <v>976</v>
      </c>
      <c r="AI1469" s="103">
        <v>0</v>
      </c>
      <c r="AJ1469" s="103"/>
      <c r="AK1469" s="103"/>
      <c r="AL1469" s="103"/>
      <c r="AM1469" s="103"/>
      <c r="AN1469" s="103"/>
      <c r="AO1469" s="103" t="str">
        <f t="shared" si="83"/>
        <v>CFLscw-Refl(17w)Four+pack</v>
      </c>
    </row>
    <row r="1470" spans="1:41">
      <c r="A1470" s="177">
        <f>IFERROR(MATCH(D1470,'Measure &amp; Standard CostIDs'!C$5:C$177,0),MATCH(D1470,'Measure &amp; Standard CostIDs'!S$5:S$177,0))</f>
        <v>146</v>
      </c>
      <c r="B1470" s="177">
        <f t="shared" si="81"/>
        <v>5</v>
      </c>
      <c r="C1470" s="103" t="s">
        <v>153</v>
      </c>
      <c r="D1470" s="103" t="str">
        <f t="shared" si="80"/>
        <v>CFLscw-Refl(18w)</v>
      </c>
      <c r="E1470" s="103" t="str">
        <f>IF(LEFT(D1470,3)="Std","Base case cost for mix of 60% Incandescent and 40% CFL lamps for CFL TechID: "&amp;INDEX('Measure &amp; Standard CostIDs'!$C$5:$C$177,A1470),"&lt;from TechID&gt;")</f>
        <v>&lt;from TechID&gt;</v>
      </c>
      <c r="F1470" s="103" t="s">
        <v>860</v>
      </c>
      <c r="G1470" s="103" t="s">
        <v>151</v>
      </c>
      <c r="H1470" s="103" t="s">
        <v>861</v>
      </c>
      <c r="I1470" s="103" t="s">
        <v>862</v>
      </c>
      <c r="J1470" s="103" t="s">
        <v>863</v>
      </c>
      <c r="K1470" s="103" t="s">
        <v>864</v>
      </c>
      <c r="L1470" s="103" t="s">
        <v>153</v>
      </c>
      <c r="M1470" s="103" t="s">
        <v>865</v>
      </c>
      <c r="N1470" s="103" t="s">
        <v>866</v>
      </c>
      <c r="O1470" s="103" t="str">
        <f t="shared" si="82"/>
        <v>CFLscw-Refl(18w)</v>
      </c>
      <c r="P1470" s="103" t="s">
        <v>153</v>
      </c>
      <c r="Q1470" s="103" t="s">
        <v>153</v>
      </c>
      <c r="R1470" s="103" t="s">
        <v>153</v>
      </c>
      <c r="S1470" s="103" t="str">
        <f>INDEX('Measure &amp; Standard CostIDs'!$AK$8:$AK$12,B1470)</f>
        <v>Four+pack</v>
      </c>
      <c r="T1470" s="103" t="s">
        <v>867</v>
      </c>
      <c r="U1470" s="103"/>
      <c r="V1470" s="103"/>
      <c r="W1470" s="103">
        <f>ROUND(IF(LEFT(D1470,3)="Std",VLOOKUP(D1470,'Measure &amp; Standard CostIDs'!$S$5:$X$177,1+B1470,FALSE),VLOOKUP(D1470,'Measure &amp; Standard CostIDs'!$C$5:$H$177,1+B1470,FALSE)),2)</f>
        <v>6.06</v>
      </c>
      <c r="X1470" s="103"/>
      <c r="Y1470" s="103"/>
      <c r="Z1470" s="103" t="s">
        <v>868</v>
      </c>
      <c r="AA1470" s="103" t="s">
        <v>874</v>
      </c>
      <c r="AB1470" s="103" t="s">
        <v>153</v>
      </c>
      <c r="AC1470" s="103">
        <v>0</v>
      </c>
      <c r="AD1470" s="156">
        <v>42005</v>
      </c>
      <c r="AE1470" s="103"/>
      <c r="AF1470" s="103" t="s">
        <v>870</v>
      </c>
      <c r="AG1470" s="103" t="s">
        <v>871</v>
      </c>
      <c r="AH1470" s="103" t="s">
        <v>976</v>
      </c>
      <c r="AI1470" s="103">
        <v>0</v>
      </c>
      <c r="AJ1470" s="103"/>
      <c r="AK1470" s="103"/>
      <c r="AL1470" s="103"/>
      <c r="AM1470" s="103"/>
      <c r="AN1470" s="103"/>
      <c r="AO1470" s="103" t="str">
        <f t="shared" si="83"/>
        <v>CFLscw-Refl(18w)Four+pack</v>
      </c>
    </row>
    <row r="1471" spans="1:41">
      <c r="A1471" s="177">
        <f>IFERROR(MATCH(D1471,'Measure &amp; Standard CostIDs'!C$5:C$177,0),MATCH(D1471,'Measure &amp; Standard CostIDs'!S$5:S$177,0))</f>
        <v>147</v>
      </c>
      <c r="B1471" s="177">
        <f t="shared" si="81"/>
        <v>5</v>
      </c>
      <c r="C1471" s="103" t="s">
        <v>153</v>
      </c>
      <c r="D1471" s="103" t="str">
        <f t="shared" si="80"/>
        <v>CFLscw-Refl(19w)</v>
      </c>
      <c r="E1471" s="103" t="str">
        <f>IF(LEFT(D1471,3)="Std","Base case cost for mix of 60% Incandescent and 40% CFL lamps for CFL TechID: "&amp;INDEX('Measure &amp; Standard CostIDs'!$C$5:$C$177,A1471),"&lt;from TechID&gt;")</f>
        <v>&lt;from TechID&gt;</v>
      </c>
      <c r="F1471" s="103" t="s">
        <v>860</v>
      </c>
      <c r="G1471" s="103" t="s">
        <v>151</v>
      </c>
      <c r="H1471" s="103" t="s">
        <v>861</v>
      </c>
      <c r="I1471" s="103" t="s">
        <v>862</v>
      </c>
      <c r="J1471" s="103" t="s">
        <v>863</v>
      </c>
      <c r="K1471" s="103" t="s">
        <v>864</v>
      </c>
      <c r="L1471" s="103" t="s">
        <v>153</v>
      </c>
      <c r="M1471" s="103" t="s">
        <v>865</v>
      </c>
      <c r="N1471" s="103" t="s">
        <v>866</v>
      </c>
      <c r="O1471" s="103" t="str">
        <f t="shared" si="82"/>
        <v>CFLscw-Refl(19w)</v>
      </c>
      <c r="P1471" s="103" t="s">
        <v>153</v>
      </c>
      <c r="Q1471" s="103" t="s">
        <v>153</v>
      </c>
      <c r="R1471" s="103" t="s">
        <v>153</v>
      </c>
      <c r="S1471" s="103" t="str">
        <f>INDEX('Measure &amp; Standard CostIDs'!$AK$8:$AK$12,B1471)</f>
        <v>Four+pack</v>
      </c>
      <c r="T1471" s="103" t="s">
        <v>867</v>
      </c>
      <c r="U1471" s="103"/>
      <c r="V1471" s="103"/>
      <c r="W1471" s="103">
        <f>ROUND(IF(LEFT(D1471,3)="Std",VLOOKUP(D1471,'Measure &amp; Standard CostIDs'!$S$5:$X$177,1+B1471,FALSE),VLOOKUP(D1471,'Measure &amp; Standard CostIDs'!$C$5:$H$177,1+B1471,FALSE)),2)</f>
        <v>6.21</v>
      </c>
      <c r="X1471" s="103"/>
      <c r="Y1471" s="103"/>
      <c r="Z1471" s="103" t="s">
        <v>868</v>
      </c>
      <c r="AA1471" s="103" t="s">
        <v>874</v>
      </c>
      <c r="AB1471" s="103" t="s">
        <v>153</v>
      </c>
      <c r="AC1471" s="103">
        <v>0</v>
      </c>
      <c r="AD1471" s="156">
        <v>42005</v>
      </c>
      <c r="AE1471" s="103"/>
      <c r="AF1471" s="103" t="s">
        <v>870</v>
      </c>
      <c r="AG1471" s="103" t="s">
        <v>871</v>
      </c>
      <c r="AH1471" s="103" t="s">
        <v>976</v>
      </c>
      <c r="AI1471" s="103">
        <v>0</v>
      </c>
      <c r="AJ1471" s="103"/>
      <c r="AK1471" s="103"/>
      <c r="AL1471" s="103"/>
      <c r="AM1471" s="103"/>
      <c r="AN1471" s="103"/>
      <c r="AO1471" s="103" t="str">
        <f t="shared" si="83"/>
        <v>CFLscw-Refl(19w)Four+pack</v>
      </c>
    </row>
    <row r="1472" spans="1:41">
      <c r="A1472" s="177">
        <f>IFERROR(MATCH(D1472,'Measure &amp; Standard CostIDs'!C$5:C$177,0),MATCH(D1472,'Measure &amp; Standard CostIDs'!S$5:S$177,0))</f>
        <v>148</v>
      </c>
      <c r="B1472" s="177">
        <f t="shared" si="81"/>
        <v>5</v>
      </c>
      <c r="C1472" s="103" t="s">
        <v>153</v>
      </c>
      <c r="D1472" s="103" t="str">
        <f t="shared" si="80"/>
        <v>CFLscw-Refl(20w)</v>
      </c>
      <c r="E1472" s="103" t="str">
        <f>IF(LEFT(D1472,3)="Std","Base case cost for mix of 60% Incandescent and 40% CFL lamps for CFL TechID: "&amp;INDEX('Measure &amp; Standard CostIDs'!$C$5:$C$177,A1472),"&lt;from TechID&gt;")</f>
        <v>&lt;from TechID&gt;</v>
      </c>
      <c r="F1472" s="103" t="s">
        <v>860</v>
      </c>
      <c r="G1472" s="103" t="s">
        <v>151</v>
      </c>
      <c r="H1472" s="103" t="s">
        <v>861</v>
      </c>
      <c r="I1472" s="103" t="s">
        <v>862</v>
      </c>
      <c r="J1472" s="103" t="s">
        <v>863</v>
      </c>
      <c r="K1472" s="103" t="s">
        <v>864</v>
      </c>
      <c r="L1472" s="103" t="s">
        <v>153</v>
      </c>
      <c r="M1472" s="103" t="s">
        <v>865</v>
      </c>
      <c r="N1472" s="103" t="s">
        <v>866</v>
      </c>
      <c r="O1472" s="103" t="str">
        <f t="shared" si="82"/>
        <v>CFLscw-Refl(20w)</v>
      </c>
      <c r="P1472" s="103" t="s">
        <v>153</v>
      </c>
      <c r="Q1472" s="103" t="s">
        <v>153</v>
      </c>
      <c r="R1472" s="103" t="s">
        <v>153</v>
      </c>
      <c r="S1472" s="103" t="str">
        <f>INDEX('Measure &amp; Standard CostIDs'!$AK$8:$AK$12,B1472)</f>
        <v>Four+pack</v>
      </c>
      <c r="T1472" s="103" t="s">
        <v>867</v>
      </c>
      <c r="U1472" s="103"/>
      <c r="V1472" s="103"/>
      <c r="W1472" s="103">
        <f>ROUND(IF(LEFT(D1472,3)="Std",VLOOKUP(D1472,'Measure &amp; Standard CostIDs'!$S$5:$X$177,1+B1472,FALSE),VLOOKUP(D1472,'Measure &amp; Standard CostIDs'!$C$5:$H$177,1+B1472,FALSE)),2)</f>
        <v>6.35</v>
      </c>
      <c r="X1472" s="103"/>
      <c r="Y1472" s="103"/>
      <c r="Z1472" s="103" t="s">
        <v>868</v>
      </c>
      <c r="AA1472" s="103" t="s">
        <v>874</v>
      </c>
      <c r="AB1472" s="103" t="s">
        <v>153</v>
      </c>
      <c r="AC1472" s="103">
        <v>0</v>
      </c>
      <c r="AD1472" s="156">
        <v>42005</v>
      </c>
      <c r="AE1472" s="103"/>
      <c r="AF1472" s="103" t="s">
        <v>870</v>
      </c>
      <c r="AG1472" s="103" t="s">
        <v>871</v>
      </c>
      <c r="AH1472" s="103" t="s">
        <v>976</v>
      </c>
      <c r="AI1472" s="103">
        <v>0</v>
      </c>
      <c r="AJ1472" s="103"/>
      <c r="AK1472" s="103"/>
      <c r="AL1472" s="103"/>
      <c r="AM1472" s="103"/>
      <c r="AN1472" s="103"/>
      <c r="AO1472" s="103" t="str">
        <f t="shared" si="83"/>
        <v>CFLscw-Refl(20w)Four+pack</v>
      </c>
    </row>
    <row r="1473" spans="1:41">
      <c r="A1473" s="177">
        <f>IFERROR(MATCH(D1473,'Measure &amp; Standard CostIDs'!C$5:C$177,0),MATCH(D1473,'Measure &amp; Standard CostIDs'!S$5:S$177,0))</f>
        <v>149</v>
      </c>
      <c r="B1473" s="177">
        <f t="shared" si="81"/>
        <v>5</v>
      </c>
      <c r="C1473" s="103" t="s">
        <v>153</v>
      </c>
      <c r="D1473" s="103" t="str">
        <f t="shared" si="80"/>
        <v>CFLscw-Refl(21w)</v>
      </c>
      <c r="E1473" s="103" t="str">
        <f>IF(LEFT(D1473,3)="Std","Base case cost for mix of 60% Incandescent and 40% CFL lamps for CFL TechID: "&amp;INDEX('Measure &amp; Standard CostIDs'!$C$5:$C$177,A1473),"&lt;from TechID&gt;")</f>
        <v>&lt;from TechID&gt;</v>
      </c>
      <c r="F1473" s="103" t="s">
        <v>860</v>
      </c>
      <c r="G1473" s="103" t="s">
        <v>151</v>
      </c>
      <c r="H1473" s="103" t="s">
        <v>861</v>
      </c>
      <c r="I1473" s="103" t="s">
        <v>862</v>
      </c>
      <c r="J1473" s="103" t="s">
        <v>863</v>
      </c>
      <c r="K1473" s="103" t="s">
        <v>864</v>
      </c>
      <c r="L1473" s="103" t="s">
        <v>153</v>
      </c>
      <c r="M1473" s="103" t="s">
        <v>865</v>
      </c>
      <c r="N1473" s="103" t="s">
        <v>866</v>
      </c>
      <c r="O1473" s="103" t="str">
        <f t="shared" si="82"/>
        <v>CFLscw-Refl(21w)</v>
      </c>
      <c r="P1473" s="103" t="s">
        <v>153</v>
      </c>
      <c r="Q1473" s="103" t="s">
        <v>153</v>
      </c>
      <c r="R1473" s="103" t="s">
        <v>153</v>
      </c>
      <c r="S1473" s="103" t="str">
        <f>INDEX('Measure &amp; Standard CostIDs'!$AK$8:$AK$12,B1473)</f>
        <v>Four+pack</v>
      </c>
      <c r="T1473" s="103" t="s">
        <v>867</v>
      </c>
      <c r="U1473" s="103"/>
      <c r="V1473" s="103"/>
      <c r="W1473" s="103">
        <f>ROUND(IF(LEFT(D1473,3)="Std",VLOOKUP(D1473,'Measure &amp; Standard CostIDs'!$S$5:$X$177,1+B1473,FALSE),VLOOKUP(D1473,'Measure &amp; Standard CostIDs'!$C$5:$H$177,1+B1473,FALSE)),2)</f>
        <v>6.5</v>
      </c>
      <c r="X1473" s="103"/>
      <c r="Y1473" s="103"/>
      <c r="Z1473" s="103" t="s">
        <v>868</v>
      </c>
      <c r="AA1473" s="103" t="s">
        <v>874</v>
      </c>
      <c r="AB1473" s="103" t="s">
        <v>153</v>
      </c>
      <c r="AC1473" s="103">
        <v>0</v>
      </c>
      <c r="AD1473" s="156">
        <v>42005</v>
      </c>
      <c r="AE1473" s="103"/>
      <c r="AF1473" s="103" t="s">
        <v>870</v>
      </c>
      <c r="AG1473" s="103" t="s">
        <v>871</v>
      </c>
      <c r="AH1473" s="103" t="s">
        <v>976</v>
      </c>
      <c r="AI1473" s="103">
        <v>0</v>
      </c>
      <c r="AJ1473" s="103"/>
      <c r="AK1473" s="103"/>
      <c r="AL1473" s="103"/>
      <c r="AM1473" s="103"/>
      <c r="AN1473" s="103"/>
      <c r="AO1473" s="103" t="str">
        <f t="shared" si="83"/>
        <v>CFLscw-Refl(21w)Four+pack</v>
      </c>
    </row>
    <row r="1474" spans="1:41">
      <c r="A1474" s="177">
        <f>IFERROR(MATCH(D1474,'Measure &amp; Standard CostIDs'!C$5:C$177,0),MATCH(D1474,'Measure &amp; Standard CostIDs'!S$5:S$177,0))</f>
        <v>150</v>
      </c>
      <c r="B1474" s="177">
        <f t="shared" si="81"/>
        <v>5</v>
      </c>
      <c r="C1474" s="103" t="s">
        <v>153</v>
      </c>
      <c r="D1474" s="103" t="str">
        <f t="shared" si="80"/>
        <v>CFLscw-Refl(22w)</v>
      </c>
      <c r="E1474" s="103" t="str">
        <f>IF(LEFT(D1474,3)="Std","Base case cost for mix of 60% Incandescent and 40% CFL lamps for CFL TechID: "&amp;INDEX('Measure &amp; Standard CostIDs'!$C$5:$C$177,A1474),"&lt;from TechID&gt;")</f>
        <v>&lt;from TechID&gt;</v>
      </c>
      <c r="F1474" s="103" t="s">
        <v>860</v>
      </c>
      <c r="G1474" s="103" t="s">
        <v>151</v>
      </c>
      <c r="H1474" s="103" t="s">
        <v>861</v>
      </c>
      <c r="I1474" s="103" t="s">
        <v>862</v>
      </c>
      <c r="J1474" s="103" t="s">
        <v>863</v>
      </c>
      <c r="K1474" s="103" t="s">
        <v>864</v>
      </c>
      <c r="L1474" s="103" t="s">
        <v>153</v>
      </c>
      <c r="M1474" s="103" t="s">
        <v>865</v>
      </c>
      <c r="N1474" s="103" t="s">
        <v>866</v>
      </c>
      <c r="O1474" s="103" t="str">
        <f t="shared" si="82"/>
        <v>CFLscw-Refl(22w)</v>
      </c>
      <c r="P1474" s="103" t="s">
        <v>153</v>
      </c>
      <c r="Q1474" s="103" t="s">
        <v>153</v>
      </c>
      <c r="R1474" s="103" t="s">
        <v>153</v>
      </c>
      <c r="S1474" s="103" t="str">
        <f>INDEX('Measure &amp; Standard CostIDs'!$AK$8:$AK$12,B1474)</f>
        <v>Four+pack</v>
      </c>
      <c r="T1474" s="103" t="s">
        <v>867</v>
      </c>
      <c r="U1474" s="103"/>
      <c r="V1474" s="103"/>
      <c r="W1474" s="103">
        <f>ROUND(IF(LEFT(D1474,3)="Std",VLOOKUP(D1474,'Measure &amp; Standard CostIDs'!$S$5:$X$177,1+B1474,FALSE),VLOOKUP(D1474,'Measure &amp; Standard CostIDs'!$C$5:$H$177,1+B1474,FALSE)),2)</f>
        <v>6.65</v>
      </c>
      <c r="X1474" s="103"/>
      <c r="Y1474" s="103"/>
      <c r="Z1474" s="103" t="s">
        <v>868</v>
      </c>
      <c r="AA1474" s="103" t="s">
        <v>874</v>
      </c>
      <c r="AB1474" s="103" t="s">
        <v>153</v>
      </c>
      <c r="AC1474" s="103">
        <v>0</v>
      </c>
      <c r="AD1474" s="156">
        <v>42005</v>
      </c>
      <c r="AE1474" s="103"/>
      <c r="AF1474" s="103" t="s">
        <v>870</v>
      </c>
      <c r="AG1474" s="103" t="s">
        <v>871</v>
      </c>
      <c r="AH1474" s="103" t="s">
        <v>976</v>
      </c>
      <c r="AI1474" s="103">
        <v>0</v>
      </c>
      <c r="AJ1474" s="103"/>
      <c r="AK1474" s="103"/>
      <c r="AL1474" s="103"/>
      <c r="AM1474" s="103"/>
      <c r="AN1474" s="103"/>
      <c r="AO1474" s="103" t="str">
        <f t="shared" si="83"/>
        <v>CFLscw-Refl(22w)Four+pack</v>
      </c>
    </row>
    <row r="1475" spans="1:41">
      <c r="A1475" s="177">
        <f>IFERROR(MATCH(D1475,'Measure &amp; Standard CostIDs'!C$5:C$177,0),MATCH(D1475,'Measure &amp; Standard CostIDs'!S$5:S$177,0))</f>
        <v>151</v>
      </c>
      <c r="B1475" s="177">
        <f t="shared" si="81"/>
        <v>5</v>
      </c>
      <c r="C1475" s="103" t="s">
        <v>153</v>
      </c>
      <c r="D1475" s="103" t="str">
        <f t="shared" si="80"/>
        <v>CFLscw-Refl(24w)</v>
      </c>
      <c r="E1475" s="103" t="str">
        <f>IF(LEFT(D1475,3)="Std","Base case cost for mix of 60% Incandescent and 40% CFL lamps for CFL TechID: "&amp;INDEX('Measure &amp; Standard CostIDs'!$C$5:$C$177,A1475),"&lt;from TechID&gt;")</f>
        <v>&lt;from TechID&gt;</v>
      </c>
      <c r="F1475" s="103" t="s">
        <v>860</v>
      </c>
      <c r="G1475" s="103" t="s">
        <v>151</v>
      </c>
      <c r="H1475" s="103" t="s">
        <v>861</v>
      </c>
      <c r="I1475" s="103" t="s">
        <v>862</v>
      </c>
      <c r="J1475" s="103" t="s">
        <v>863</v>
      </c>
      <c r="K1475" s="103" t="s">
        <v>864</v>
      </c>
      <c r="L1475" s="103" t="s">
        <v>153</v>
      </c>
      <c r="M1475" s="103" t="s">
        <v>865</v>
      </c>
      <c r="N1475" s="103" t="s">
        <v>866</v>
      </c>
      <c r="O1475" s="103" t="str">
        <f t="shared" si="82"/>
        <v>CFLscw-Refl(24w)</v>
      </c>
      <c r="P1475" s="103" t="s">
        <v>153</v>
      </c>
      <c r="Q1475" s="103" t="s">
        <v>153</v>
      </c>
      <c r="R1475" s="103" t="s">
        <v>153</v>
      </c>
      <c r="S1475" s="103" t="str">
        <f>INDEX('Measure &amp; Standard CostIDs'!$AK$8:$AK$12,B1475)</f>
        <v>Four+pack</v>
      </c>
      <c r="T1475" s="103" t="s">
        <v>867</v>
      </c>
      <c r="U1475" s="103"/>
      <c r="V1475" s="103"/>
      <c r="W1475" s="103">
        <f>ROUND(IF(LEFT(D1475,3)="Std",VLOOKUP(D1475,'Measure &amp; Standard CostIDs'!$S$5:$X$177,1+B1475,FALSE),VLOOKUP(D1475,'Measure &amp; Standard CostIDs'!$C$5:$H$177,1+B1475,FALSE)),2)</f>
        <v>6.94</v>
      </c>
      <c r="X1475" s="103"/>
      <c r="Y1475" s="103"/>
      <c r="Z1475" s="103" t="s">
        <v>868</v>
      </c>
      <c r="AA1475" s="103" t="s">
        <v>874</v>
      </c>
      <c r="AB1475" s="103" t="s">
        <v>153</v>
      </c>
      <c r="AC1475" s="103">
        <v>0</v>
      </c>
      <c r="AD1475" s="156">
        <v>42005</v>
      </c>
      <c r="AE1475" s="103"/>
      <c r="AF1475" s="103" t="s">
        <v>870</v>
      </c>
      <c r="AG1475" s="103" t="s">
        <v>871</v>
      </c>
      <c r="AH1475" s="103" t="s">
        <v>976</v>
      </c>
      <c r="AI1475" s="103">
        <v>0</v>
      </c>
      <c r="AJ1475" s="103"/>
      <c r="AK1475" s="103"/>
      <c r="AL1475" s="103"/>
      <c r="AM1475" s="103"/>
      <c r="AN1475" s="103"/>
      <c r="AO1475" s="103" t="str">
        <f t="shared" si="83"/>
        <v>CFLscw-Refl(24w)Four+pack</v>
      </c>
    </row>
    <row r="1476" spans="1:41">
      <c r="A1476" s="177">
        <f>IFERROR(MATCH(D1476,'Measure &amp; Standard CostIDs'!C$5:C$177,0),MATCH(D1476,'Measure &amp; Standard CostIDs'!S$5:S$177,0))</f>
        <v>152</v>
      </c>
      <c r="B1476" s="177">
        <f t="shared" si="81"/>
        <v>5</v>
      </c>
      <c r="C1476" s="103" t="s">
        <v>153</v>
      </c>
      <c r="D1476" s="103" t="str">
        <f t="shared" si="80"/>
        <v>CFLscw-Refl(25w)</v>
      </c>
      <c r="E1476" s="103" t="str">
        <f>IF(LEFT(D1476,3)="Std","Base case cost for mix of 60% Incandescent and 40% CFL lamps for CFL TechID: "&amp;INDEX('Measure &amp; Standard CostIDs'!$C$5:$C$177,A1476),"&lt;from TechID&gt;")</f>
        <v>&lt;from TechID&gt;</v>
      </c>
      <c r="F1476" s="103" t="s">
        <v>860</v>
      </c>
      <c r="G1476" s="103" t="s">
        <v>151</v>
      </c>
      <c r="H1476" s="103" t="s">
        <v>861</v>
      </c>
      <c r="I1476" s="103" t="s">
        <v>862</v>
      </c>
      <c r="J1476" s="103" t="s">
        <v>863</v>
      </c>
      <c r="K1476" s="103" t="s">
        <v>864</v>
      </c>
      <c r="L1476" s="103" t="s">
        <v>153</v>
      </c>
      <c r="M1476" s="103" t="s">
        <v>865</v>
      </c>
      <c r="N1476" s="103" t="s">
        <v>866</v>
      </c>
      <c r="O1476" s="103" t="str">
        <f t="shared" si="82"/>
        <v>CFLscw-Refl(25w)</v>
      </c>
      <c r="P1476" s="103" t="s">
        <v>153</v>
      </c>
      <c r="Q1476" s="103" t="s">
        <v>153</v>
      </c>
      <c r="R1476" s="103" t="s">
        <v>153</v>
      </c>
      <c r="S1476" s="103" t="str">
        <f>INDEX('Measure &amp; Standard CostIDs'!$AK$8:$AK$12,B1476)</f>
        <v>Four+pack</v>
      </c>
      <c r="T1476" s="103" t="s">
        <v>867</v>
      </c>
      <c r="U1476" s="103"/>
      <c r="V1476" s="103"/>
      <c r="W1476" s="103">
        <f>ROUND(IF(LEFT(D1476,3)="Std",VLOOKUP(D1476,'Measure &amp; Standard CostIDs'!$S$5:$X$177,1+B1476,FALSE),VLOOKUP(D1476,'Measure &amp; Standard CostIDs'!$C$5:$H$177,1+B1476,FALSE)),2)</f>
        <v>7.09</v>
      </c>
      <c r="X1476" s="103"/>
      <c r="Y1476" s="103"/>
      <c r="Z1476" s="103" t="s">
        <v>868</v>
      </c>
      <c r="AA1476" s="103" t="s">
        <v>874</v>
      </c>
      <c r="AB1476" s="103" t="s">
        <v>153</v>
      </c>
      <c r="AC1476" s="103">
        <v>0</v>
      </c>
      <c r="AD1476" s="156">
        <v>42005</v>
      </c>
      <c r="AE1476" s="103"/>
      <c r="AF1476" s="103" t="s">
        <v>870</v>
      </c>
      <c r="AG1476" s="103" t="s">
        <v>871</v>
      </c>
      <c r="AH1476" s="103" t="s">
        <v>976</v>
      </c>
      <c r="AI1476" s="103">
        <v>0</v>
      </c>
      <c r="AJ1476" s="103"/>
      <c r="AK1476" s="103"/>
      <c r="AL1476" s="103"/>
      <c r="AM1476" s="103"/>
      <c r="AN1476" s="103"/>
      <c r="AO1476" s="103" t="str">
        <f t="shared" si="83"/>
        <v>CFLscw-Refl(25w)Four+pack</v>
      </c>
    </row>
    <row r="1477" spans="1:41">
      <c r="A1477" s="177">
        <f>IFERROR(MATCH(D1477,'Measure &amp; Standard CostIDs'!C$5:C$177,0),MATCH(D1477,'Measure &amp; Standard CostIDs'!S$5:S$177,0))</f>
        <v>153</v>
      </c>
      <c r="B1477" s="177">
        <f t="shared" si="81"/>
        <v>5</v>
      </c>
      <c r="C1477" s="103" t="s">
        <v>153</v>
      </c>
      <c r="D1477" s="103" t="str">
        <f t="shared" si="80"/>
        <v>CFLscw-Refl(26w)</v>
      </c>
      <c r="E1477" s="103" t="str">
        <f>IF(LEFT(D1477,3)="Std","Base case cost for mix of 60% Incandescent and 40% CFL lamps for CFL TechID: "&amp;INDEX('Measure &amp; Standard CostIDs'!$C$5:$C$177,A1477),"&lt;from TechID&gt;")</f>
        <v>&lt;from TechID&gt;</v>
      </c>
      <c r="F1477" s="103" t="s">
        <v>860</v>
      </c>
      <c r="G1477" s="103" t="s">
        <v>151</v>
      </c>
      <c r="H1477" s="103" t="s">
        <v>861</v>
      </c>
      <c r="I1477" s="103" t="s">
        <v>862</v>
      </c>
      <c r="J1477" s="103" t="s">
        <v>863</v>
      </c>
      <c r="K1477" s="103" t="s">
        <v>864</v>
      </c>
      <c r="L1477" s="103" t="s">
        <v>153</v>
      </c>
      <c r="M1477" s="103" t="s">
        <v>865</v>
      </c>
      <c r="N1477" s="103" t="s">
        <v>866</v>
      </c>
      <c r="O1477" s="103" t="str">
        <f t="shared" si="82"/>
        <v>CFLscw-Refl(26w)</v>
      </c>
      <c r="P1477" s="103" t="s">
        <v>153</v>
      </c>
      <c r="Q1477" s="103" t="s">
        <v>153</v>
      </c>
      <c r="R1477" s="103" t="s">
        <v>153</v>
      </c>
      <c r="S1477" s="103" t="str">
        <f>INDEX('Measure &amp; Standard CostIDs'!$AK$8:$AK$12,B1477)</f>
        <v>Four+pack</v>
      </c>
      <c r="T1477" s="103" t="s">
        <v>867</v>
      </c>
      <c r="U1477" s="103"/>
      <c r="V1477" s="103"/>
      <c r="W1477" s="103">
        <f>ROUND(IF(LEFT(D1477,3)="Std",VLOOKUP(D1477,'Measure &amp; Standard CostIDs'!$S$5:$X$177,1+B1477,FALSE),VLOOKUP(D1477,'Measure &amp; Standard CostIDs'!$C$5:$H$177,1+B1477,FALSE)),2)</f>
        <v>7.24</v>
      </c>
      <c r="X1477" s="103"/>
      <c r="Y1477" s="103"/>
      <c r="Z1477" s="103" t="s">
        <v>868</v>
      </c>
      <c r="AA1477" s="103" t="s">
        <v>874</v>
      </c>
      <c r="AB1477" s="103" t="s">
        <v>153</v>
      </c>
      <c r="AC1477" s="103">
        <v>0</v>
      </c>
      <c r="AD1477" s="156">
        <v>42005</v>
      </c>
      <c r="AE1477" s="103"/>
      <c r="AF1477" s="103" t="s">
        <v>870</v>
      </c>
      <c r="AG1477" s="103" t="s">
        <v>871</v>
      </c>
      <c r="AH1477" s="103" t="s">
        <v>976</v>
      </c>
      <c r="AI1477" s="103">
        <v>0</v>
      </c>
      <c r="AJ1477" s="103"/>
      <c r="AK1477" s="103"/>
      <c r="AL1477" s="103"/>
      <c r="AM1477" s="103"/>
      <c r="AN1477" s="103"/>
      <c r="AO1477" s="103" t="str">
        <f t="shared" si="83"/>
        <v>CFLscw-Refl(26w)Four+pack</v>
      </c>
    </row>
    <row r="1478" spans="1:41">
      <c r="A1478" s="177">
        <f>IFERROR(MATCH(D1478,'Measure &amp; Standard CostIDs'!C$5:C$177,0),MATCH(D1478,'Measure &amp; Standard CostIDs'!S$5:S$177,0))</f>
        <v>154</v>
      </c>
      <c r="B1478" s="177">
        <f t="shared" si="81"/>
        <v>5</v>
      </c>
      <c r="C1478" s="103" t="s">
        <v>153</v>
      </c>
      <c r="D1478" s="103" t="str">
        <f t="shared" si="80"/>
        <v>CFLscw-Refl(5w)</v>
      </c>
      <c r="E1478" s="103" t="str">
        <f>IF(LEFT(D1478,3)="Std","Base case cost for mix of 60% Incandescent and 40% CFL lamps for CFL TechID: "&amp;INDEX('Measure &amp; Standard CostIDs'!$C$5:$C$177,A1478),"&lt;from TechID&gt;")</f>
        <v>&lt;from TechID&gt;</v>
      </c>
      <c r="F1478" s="103" t="s">
        <v>860</v>
      </c>
      <c r="G1478" s="103" t="s">
        <v>151</v>
      </c>
      <c r="H1478" s="103" t="s">
        <v>861</v>
      </c>
      <c r="I1478" s="103" t="s">
        <v>862</v>
      </c>
      <c r="J1478" s="103" t="s">
        <v>863</v>
      </c>
      <c r="K1478" s="103" t="s">
        <v>864</v>
      </c>
      <c r="L1478" s="103" t="s">
        <v>153</v>
      </c>
      <c r="M1478" s="103" t="s">
        <v>865</v>
      </c>
      <c r="N1478" s="103" t="s">
        <v>866</v>
      </c>
      <c r="O1478" s="103" t="str">
        <f t="shared" si="82"/>
        <v>CFLscw-Refl(5w)</v>
      </c>
      <c r="P1478" s="103" t="s">
        <v>153</v>
      </c>
      <c r="Q1478" s="103" t="s">
        <v>153</v>
      </c>
      <c r="R1478" s="103" t="s">
        <v>153</v>
      </c>
      <c r="S1478" s="103" t="str">
        <f>INDEX('Measure &amp; Standard CostIDs'!$AK$8:$AK$12,B1478)</f>
        <v>Four+pack</v>
      </c>
      <c r="T1478" s="103" t="s">
        <v>867</v>
      </c>
      <c r="U1478" s="103"/>
      <c r="V1478" s="103"/>
      <c r="W1478" s="103">
        <f>ROUND(IF(LEFT(D1478,3)="Std",VLOOKUP(D1478,'Measure &amp; Standard CostIDs'!$S$5:$X$177,1+B1478,FALSE),VLOOKUP(D1478,'Measure &amp; Standard CostIDs'!$C$5:$H$177,1+B1478,FALSE)),2)</f>
        <v>4.1399999999999997</v>
      </c>
      <c r="X1478" s="103"/>
      <c r="Y1478" s="103"/>
      <c r="Z1478" s="103" t="s">
        <v>868</v>
      </c>
      <c r="AA1478" s="103" t="s">
        <v>874</v>
      </c>
      <c r="AB1478" s="103" t="s">
        <v>153</v>
      </c>
      <c r="AC1478" s="103">
        <v>0</v>
      </c>
      <c r="AD1478" s="156">
        <v>42005</v>
      </c>
      <c r="AE1478" s="103"/>
      <c r="AF1478" s="103" t="s">
        <v>870</v>
      </c>
      <c r="AG1478" s="103" t="s">
        <v>871</v>
      </c>
      <c r="AH1478" s="103" t="s">
        <v>976</v>
      </c>
      <c r="AI1478" s="103">
        <v>0</v>
      </c>
      <c r="AJ1478" s="103"/>
      <c r="AK1478" s="103"/>
      <c r="AL1478" s="103"/>
      <c r="AM1478" s="103"/>
      <c r="AN1478" s="103"/>
      <c r="AO1478" s="103" t="str">
        <f t="shared" si="83"/>
        <v>CFLscw-Refl(5w)Four+pack</v>
      </c>
    </row>
    <row r="1479" spans="1:41">
      <c r="A1479" s="177">
        <f>IFERROR(MATCH(D1479,'Measure &amp; Standard CostIDs'!C$5:C$177,0),MATCH(D1479,'Measure &amp; Standard CostIDs'!S$5:S$177,0))</f>
        <v>155</v>
      </c>
      <c r="B1479" s="177">
        <f t="shared" si="81"/>
        <v>5</v>
      </c>
      <c r="C1479" s="103" t="s">
        <v>153</v>
      </c>
      <c r="D1479" s="103" t="str">
        <f t="shared" si="80"/>
        <v>CFLscw-Refl(6w)</v>
      </c>
      <c r="E1479" s="103" t="str">
        <f>IF(LEFT(D1479,3)="Std","Base case cost for mix of 60% Incandescent and 40% CFL lamps for CFL TechID: "&amp;INDEX('Measure &amp; Standard CostIDs'!$C$5:$C$177,A1479),"&lt;from TechID&gt;")</f>
        <v>&lt;from TechID&gt;</v>
      </c>
      <c r="F1479" s="103" t="s">
        <v>860</v>
      </c>
      <c r="G1479" s="103" t="s">
        <v>151</v>
      </c>
      <c r="H1479" s="103" t="s">
        <v>861</v>
      </c>
      <c r="I1479" s="103" t="s">
        <v>862</v>
      </c>
      <c r="J1479" s="103" t="s">
        <v>863</v>
      </c>
      <c r="K1479" s="103" t="s">
        <v>864</v>
      </c>
      <c r="L1479" s="103" t="s">
        <v>153</v>
      </c>
      <c r="M1479" s="103" t="s">
        <v>865</v>
      </c>
      <c r="N1479" s="103" t="s">
        <v>866</v>
      </c>
      <c r="O1479" s="103" t="str">
        <f t="shared" si="82"/>
        <v>CFLscw-Refl(6w)</v>
      </c>
      <c r="P1479" s="103" t="s">
        <v>153</v>
      </c>
      <c r="Q1479" s="103" t="s">
        <v>153</v>
      </c>
      <c r="R1479" s="103" t="s">
        <v>153</v>
      </c>
      <c r="S1479" s="103" t="str">
        <f>INDEX('Measure &amp; Standard CostIDs'!$AK$8:$AK$12,B1479)</f>
        <v>Four+pack</v>
      </c>
      <c r="T1479" s="103" t="s">
        <v>867</v>
      </c>
      <c r="U1479" s="103"/>
      <c r="V1479" s="103"/>
      <c r="W1479" s="103">
        <f>ROUND(IF(LEFT(D1479,3)="Std",VLOOKUP(D1479,'Measure &amp; Standard CostIDs'!$S$5:$X$177,1+B1479,FALSE),VLOOKUP(D1479,'Measure &amp; Standard CostIDs'!$C$5:$H$177,1+B1479,FALSE)),2)</f>
        <v>4.29</v>
      </c>
      <c r="X1479" s="103"/>
      <c r="Y1479" s="103"/>
      <c r="Z1479" s="103" t="s">
        <v>868</v>
      </c>
      <c r="AA1479" s="103" t="s">
        <v>874</v>
      </c>
      <c r="AB1479" s="103" t="s">
        <v>153</v>
      </c>
      <c r="AC1479" s="103">
        <v>0</v>
      </c>
      <c r="AD1479" s="156">
        <v>42005</v>
      </c>
      <c r="AE1479" s="103"/>
      <c r="AF1479" s="103" t="s">
        <v>870</v>
      </c>
      <c r="AG1479" s="103" t="s">
        <v>871</v>
      </c>
      <c r="AH1479" s="103" t="s">
        <v>976</v>
      </c>
      <c r="AI1479" s="103">
        <v>0</v>
      </c>
      <c r="AJ1479" s="103"/>
      <c r="AK1479" s="103"/>
      <c r="AL1479" s="103"/>
      <c r="AM1479" s="103"/>
      <c r="AN1479" s="103"/>
      <c r="AO1479" s="103" t="str">
        <f t="shared" si="83"/>
        <v>CFLscw-Refl(6w)Four+pack</v>
      </c>
    </row>
    <row r="1480" spans="1:41">
      <c r="A1480" s="177">
        <f>IFERROR(MATCH(D1480,'Measure &amp; Standard CostIDs'!C$5:C$177,0),MATCH(D1480,'Measure &amp; Standard CostIDs'!S$5:S$177,0))</f>
        <v>156</v>
      </c>
      <c r="B1480" s="177">
        <f t="shared" si="81"/>
        <v>5</v>
      </c>
      <c r="C1480" s="103" t="s">
        <v>153</v>
      </c>
      <c r="D1480" s="103" t="str">
        <f t="shared" si="80"/>
        <v>CFLscw-Refl(7w)</v>
      </c>
      <c r="E1480" s="103" t="str">
        <f>IF(LEFT(D1480,3)="Std","Base case cost for mix of 60% Incandescent and 40% CFL lamps for CFL TechID: "&amp;INDEX('Measure &amp; Standard CostIDs'!$C$5:$C$177,A1480),"&lt;from TechID&gt;")</f>
        <v>&lt;from TechID&gt;</v>
      </c>
      <c r="F1480" s="103" t="s">
        <v>860</v>
      </c>
      <c r="G1480" s="103" t="s">
        <v>151</v>
      </c>
      <c r="H1480" s="103" t="s">
        <v>861</v>
      </c>
      <c r="I1480" s="103" t="s">
        <v>862</v>
      </c>
      <c r="J1480" s="103" t="s">
        <v>863</v>
      </c>
      <c r="K1480" s="103" t="s">
        <v>864</v>
      </c>
      <c r="L1480" s="103" t="s">
        <v>153</v>
      </c>
      <c r="M1480" s="103" t="s">
        <v>865</v>
      </c>
      <c r="N1480" s="103" t="s">
        <v>866</v>
      </c>
      <c r="O1480" s="103" t="str">
        <f t="shared" si="82"/>
        <v>CFLscw-Refl(7w)</v>
      </c>
      <c r="P1480" s="103" t="s">
        <v>153</v>
      </c>
      <c r="Q1480" s="103" t="s">
        <v>153</v>
      </c>
      <c r="R1480" s="103" t="s">
        <v>153</v>
      </c>
      <c r="S1480" s="103" t="str">
        <f>INDEX('Measure &amp; Standard CostIDs'!$AK$8:$AK$12,B1480)</f>
        <v>Four+pack</v>
      </c>
      <c r="T1480" s="103" t="s">
        <v>867</v>
      </c>
      <c r="U1480" s="103"/>
      <c r="V1480" s="103"/>
      <c r="W1480" s="103">
        <f>ROUND(IF(LEFT(D1480,3)="Std",VLOOKUP(D1480,'Measure &amp; Standard CostIDs'!$S$5:$X$177,1+B1480,FALSE),VLOOKUP(D1480,'Measure &amp; Standard CostIDs'!$C$5:$H$177,1+B1480,FALSE)),2)</f>
        <v>4.4400000000000004</v>
      </c>
      <c r="X1480" s="103"/>
      <c r="Y1480" s="103"/>
      <c r="Z1480" s="103" t="s">
        <v>868</v>
      </c>
      <c r="AA1480" s="103" t="s">
        <v>874</v>
      </c>
      <c r="AB1480" s="103" t="s">
        <v>153</v>
      </c>
      <c r="AC1480" s="103">
        <v>0</v>
      </c>
      <c r="AD1480" s="156">
        <v>42005</v>
      </c>
      <c r="AE1480" s="103"/>
      <c r="AF1480" s="103" t="s">
        <v>870</v>
      </c>
      <c r="AG1480" s="103" t="s">
        <v>871</v>
      </c>
      <c r="AH1480" s="103" t="s">
        <v>976</v>
      </c>
      <c r="AI1480" s="103">
        <v>0</v>
      </c>
      <c r="AJ1480" s="103"/>
      <c r="AK1480" s="103"/>
      <c r="AL1480" s="103"/>
      <c r="AM1480" s="103"/>
      <c r="AN1480" s="103"/>
      <c r="AO1480" s="103" t="str">
        <f t="shared" si="83"/>
        <v>CFLscw-Refl(7w)Four+pack</v>
      </c>
    </row>
    <row r="1481" spans="1:41">
      <c r="A1481" s="177">
        <f>IFERROR(MATCH(D1481,'Measure &amp; Standard CostIDs'!C$5:C$177,0),MATCH(D1481,'Measure &amp; Standard CostIDs'!S$5:S$177,0))</f>
        <v>157</v>
      </c>
      <c r="B1481" s="177">
        <f t="shared" si="81"/>
        <v>5</v>
      </c>
      <c r="C1481" s="103" t="s">
        <v>153</v>
      </c>
      <c r="D1481" s="103" t="str">
        <f t="shared" si="80"/>
        <v>CFLscw-Refl(8w)</v>
      </c>
      <c r="E1481" s="103" t="str">
        <f>IF(LEFT(D1481,3)="Std","Base case cost for mix of 60% Incandescent and 40% CFL lamps for CFL TechID: "&amp;INDEX('Measure &amp; Standard CostIDs'!$C$5:$C$177,A1481),"&lt;from TechID&gt;")</f>
        <v>&lt;from TechID&gt;</v>
      </c>
      <c r="F1481" s="103" t="s">
        <v>860</v>
      </c>
      <c r="G1481" s="103" t="s">
        <v>151</v>
      </c>
      <c r="H1481" s="103" t="s">
        <v>861</v>
      </c>
      <c r="I1481" s="103" t="s">
        <v>862</v>
      </c>
      <c r="J1481" s="103" t="s">
        <v>863</v>
      </c>
      <c r="K1481" s="103" t="s">
        <v>864</v>
      </c>
      <c r="L1481" s="103" t="s">
        <v>153</v>
      </c>
      <c r="M1481" s="103" t="s">
        <v>865</v>
      </c>
      <c r="N1481" s="103" t="s">
        <v>866</v>
      </c>
      <c r="O1481" s="103" t="str">
        <f t="shared" si="82"/>
        <v>CFLscw-Refl(8w)</v>
      </c>
      <c r="P1481" s="103" t="s">
        <v>153</v>
      </c>
      <c r="Q1481" s="103" t="s">
        <v>153</v>
      </c>
      <c r="R1481" s="103" t="s">
        <v>153</v>
      </c>
      <c r="S1481" s="103" t="str">
        <f>INDEX('Measure &amp; Standard CostIDs'!$AK$8:$AK$12,B1481)</f>
        <v>Four+pack</v>
      </c>
      <c r="T1481" s="103" t="s">
        <v>867</v>
      </c>
      <c r="U1481" s="103"/>
      <c r="V1481" s="103"/>
      <c r="W1481" s="103">
        <f>ROUND(IF(LEFT(D1481,3)="Std",VLOOKUP(D1481,'Measure &amp; Standard CostIDs'!$S$5:$X$177,1+B1481,FALSE),VLOOKUP(D1481,'Measure &amp; Standard CostIDs'!$C$5:$H$177,1+B1481,FALSE)),2)</f>
        <v>4.59</v>
      </c>
      <c r="X1481" s="103"/>
      <c r="Y1481" s="103"/>
      <c r="Z1481" s="103" t="s">
        <v>868</v>
      </c>
      <c r="AA1481" s="103" t="s">
        <v>874</v>
      </c>
      <c r="AB1481" s="103" t="s">
        <v>153</v>
      </c>
      <c r="AC1481" s="103">
        <v>0</v>
      </c>
      <c r="AD1481" s="156">
        <v>42005</v>
      </c>
      <c r="AE1481" s="103"/>
      <c r="AF1481" s="103" t="s">
        <v>870</v>
      </c>
      <c r="AG1481" s="103" t="s">
        <v>871</v>
      </c>
      <c r="AH1481" s="103" t="s">
        <v>976</v>
      </c>
      <c r="AI1481" s="103">
        <v>0</v>
      </c>
      <c r="AJ1481" s="103"/>
      <c r="AK1481" s="103"/>
      <c r="AL1481" s="103"/>
      <c r="AM1481" s="103"/>
      <c r="AN1481" s="103"/>
      <c r="AO1481" s="103" t="str">
        <f t="shared" si="83"/>
        <v>CFLscw-Refl(8w)Four+pack</v>
      </c>
    </row>
    <row r="1482" spans="1:41">
      <c r="A1482" s="177">
        <f>IFERROR(MATCH(D1482,'Measure &amp; Standard CostIDs'!C$5:C$177,0),MATCH(D1482,'Measure &amp; Standard CostIDs'!S$5:S$177,0))</f>
        <v>158</v>
      </c>
      <c r="B1482" s="177">
        <f t="shared" si="81"/>
        <v>5</v>
      </c>
      <c r="C1482" s="103" t="s">
        <v>153</v>
      </c>
      <c r="D1482" s="103" t="str">
        <f t="shared" si="80"/>
        <v>CFLscw-Refl(9w)</v>
      </c>
      <c r="E1482" s="103" t="str">
        <f>IF(LEFT(D1482,3)="Std","Base case cost for mix of 60% Incandescent and 40% CFL lamps for CFL TechID: "&amp;INDEX('Measure &amp; Standard CostIDs'!$C$5:$C$177,A1482),"&lt;from TechID&gt;")</f>
        <v>&lt;from TechID&gt;</v>
      </c>
      <c r="F1482" s="103" t="s">
        <v>860</v>
      </c>
      <c r="G1482" s="103" t="s">
        <v>151</v>
      </c>
      <c r="H1482" s="103" t="s">
        <v>861</v>
      </c>
      <c r="I1482" s="103" t="s">
        <v>862</v>
      </c>
      <c r="J1482" s="103" t="s">
        <v>863</v>
      </c>
      <c r="K1482" s="103" t="s">
        <v>864</v>
      </c>
      <c r="L1482" s="103" t="s">
        <v>153</v>
      </c>
      <c r="M1482" s="103" t="s">
        <v>865</v>
      </c>
      <c r="N1482" s="103" t="s">
        <v>866</v>
      </c>
      <c r="O1482" s="103" t="str">
        <f t="shared" si="82"/>
        <v>CFLscw-Refl(9w)</v>
      </c>
      <c r="P1482" s="103" t="s">
        <v>153</v>
      </c>
      <c r="Q1482" s="103" t="s">
        <v>153</v>
      </c>
      <c r="R1482" s="103" t="s">
        <v>153</v>
      </c>
      <c r="S1482" s="103" t="str">
        <f>INDEX('Measure &amp; Standard CostIDs'!$AK$8:$AK$12,B1482)</f>
        <v>Four+pack</v>
      </c>
      <c r="T1482" s="103" t="s">
        <v>867</v>
      </c>
      <c r="U1482" s="103"/>
      <c r="V1482" s="103"/>
      <c r="W1482" s="103">
        <f>ROUND(IF(LEFT(D1482,3)="Std",VLOOKUP(D1482,'Measure &amp; Standard CostIDs'!$S$5:$X$177,1+B1482,FALSE),VLOOKUP(D1482,'Measure &amp; Standard CostIDs'!$C$5:$H$177,1+B1482,FALSE)),2)</f>
        <v>4.7300000000000004</v>
      </c>
      <c r="X1482" s="103"/>
      <c r="Y1482" s="103"/>
      <c r="Z1482" s="103" t="s">
        <v>868</v>
      </c>
      <c r="AA1482" s="103" t="s">
        <v>874</v>
      </c>
      <c r="AB1482" s="103" t="s">
        <v>153</v>
      </c>
      <c r="AC1482" s="103">
        <v>0</v>
      </c>
      <c r="AD1482" s="156">
        <v>42005</v>
      </c>
      <c r="AE1482" s="103"/>
      <c r="AF1482" s="103" t="s">
        <v>870</v>
      </c>
      <c r="AG1482" s="103" t="s">
        <v>871</v>
      </c>
      <c r="AH1482" s="103" t="s">
        <v>976</v>
      </c>
      <c r="AI1482" s="103">
        <v>0</v>
      </c>
      <c r="AJ1482" s="103"/>
      <c r="AK1482" s="103"/>
      <c r="AL1482" s="103"/>
      <c r="AM1482" s="103"/>
      <c r="AN1482" s="103"/>
      <c r="AO1482" s="103" t="str">
        <f t="shared" si="83"/>
        <v>CFLscw-Refl(9w)Four+pack</v>
      </c>
    </row>
    <row r="1483" spans="1:41">
      <c r="A1483" s="177">
        <f>IFERROR(MATCH(D1483,'Measure &amp; Standard CostIDs'!C$5:C$177,0),MATCH(D1483,'Measure &amp; Standard CostIDs'!S$5:S$177,0))</f>
        <v>159</v>
      </c>
      <c r="B1483" s="177">
        <f t="shared" si="81"/>
        <v>5</v>
      </c>
      <c r="C1483" s="103" t="s">
        <v>153</v>
      </c>
      <c r="D1483" s="103" t="str">
        <f t="shared" si="80"/>
        <v>CFLscw-Refl-1(15w)</v>
      </c>
      <c r="E1483" s="103" t="str">
        <f>IF(LEFT(D1483,3)="Std","Base case cost for mix of 60% Incandescent and 40% CFL lamps for CFL TechID: "&amp;INDEX('Measure &amp; Standard CostIDs'!$C$5:$C$177,A1483),"&lt;from TechID&gt;")</f>
        <v>&lt;from TechID&gt;</v>
      </c>
      <c r="F1483" s="103" t="s">
        <v>860</v>
      </c>
      <c r="G1483" s="103" t="s">
        <v>151</v>
      </c>
      <c r="H1483" s="103" t="s">
        <v>861</v>
      </c>
      <c r="I1483" s="103" t="s">
        <v>862</v>
      </c>
      <c r="J1483" s="103" t="s">
        <v>863</v>
      </c>
      <c r="K1483" s="103" t="s">
        <v>864</v>
      </c>
      <c r="L1483" s="103" t="s">
        <v>153</v>
      </c>
      <c r="M1483" s="103" t="s">
        <v>865</v>
      </c>
      <c r="N1483" s="103" t="s">
        <v>866</v>
      </c>
      <c r="O1483" s="103" t="str">
        <f t="shared" si="82"/>
        <v>CFLscw-Refl-1(15w)</v>
      </c>
      <c r="P1483" s="103" t="s">
        <v>153</v>
      </c>
      <c r="Q1483" s="103" t="s">
        <v>153</v>
      </c>
      <c r="R1483" s="103" t="s">
        <v>153</v>
      </c>
      <c r="S1483" s="103" t="str">
        <f>INDEX('Measure &amp; Standard CostIDs'!$AK$8:$AK$12,B1483)</f>
        <v>Four+pack</v>
      </c>
      <c r="T1483" s="103" t="s">
        <v>867</v>
      </c>
      <c r="U1483" s="103"/>
      <c r="V1483" s="103"/>
      <c r="W1483" s="103">
        <f>ROUND(IF(LEFT(D1483,3)="Std",VLOOKUP(D1483,'Measure &amp; Standard CostIDs'!$S$5:$X$177,1+B1483,FALSE),VLOOKUP(D1483,'Measure &amp; Standard CostIDs'!$C$5:$H$177,1+B1483,FALSE)),2)</f>
        <v>5.62</v>
      </c>
      <c r="X1483" s="103"/>
      <c r="Y1483" s="103"/>
      <c r="Z1483" s="103" t="s">
        <v>868</v>
      </c>
      <c r="AA1483" s="103" t="s">
        <v>874</v>
      </c>
      <c r="AB1483" s="103" t="s">
        <v>153</v>
      </c>
      <c r="AC1483" s="103">
        <v>0</v>
      </c>
      <c r="AD1483" s="156">
        <v>42005</v>
      </c>
      <c r="AE1483" s="103"/>
      <c r="AF1483" s="103" t="s">
        <v>870</v>
      </c>
      <c r="AG1483" s="103" t="s">
        <v>871</v>
      </c>
      <c r="AH1483" s="103" t="s">
        <v>976</v>
      </c>
      <c r="AI1483" s="103">
        <v>0</v>
      </c>
      <c r="AJ1483" s="103"/>
      <c r="AK1483" s="103"/>
      <c r="AL1483" s="103"/>
      <c r="AM1483" s="103"/>
      <c r="AN1483" s="103"/>
      <c r="AO1483" s="103" t="str">
        <f t="shared" si="83"/>
        <v>CFLscw-Refl-1(15w)Four+pack</v>
      </c>
    </row>
    <row r="1484" spans="1:41">
      <c r="A1484" s="177">
        <f>IFERROR(MATCH(D1484,'Measure &amp; Standard CostIDs'!C$5:C$177,0),MATCH(D1484,'Measure &amp; Standard CostIDs'!S$5:S$177,0))</f>
        <v>160</v>
      </c>
      <c r="B1484" s="177">
        <f t="shared" si="81"/>
        <v>5</v>
      </c>
      <c r="C1484" s="103" t="s">
        <v>153</v>
      </c>
      <c r="D1484" s="103" t="str">
        <f t="shared" si="80"/>
        <v>CFLscw-Refl-1(23w)</v>
      </c>
      <c r="E1484" s="103" t="str">
        <f>IF(LEFT(D1484,3)="Std","Base case cost for mix of 60% Incandescent and 40% CFL lamps for CFL TechID: "&amp;INDEX('Measure &amp; Standard CostIDs'!$C$5:$C$177,A1484),"&lt;from TechID&gt;")</f>
        <v>&lt;from TechID&gt;</v>
      </c>
      <c r="F1484" s="103" t="s">
        <v>860</v>
      </c>
      <c r="G1484" s="103" t="s">
        <v>151</v>
      </c>
      <c r="H1484" s="103" t="s">
        <v>861</v>
      </c>
      <c r="I1484" s="103" t="s">
        <v>862</v>
      </c>
      <c r="J1484" s="103" t="s">
        <v>863</v>
      </c>
      <c r="K1484" s="103" t="s">
        <v>864</v>
      </c>
      <c r="L1484" s="103" t="s">
        <v>153</v>
      </c>
      <c r="M1484" s="103" t="s">
        <v>865</v>
      </c>
      <c r="N1484" s="103" t="s">
        <v>866</v>
      </c>
      <c r="O1484" s="103" t="str">
        <f t="shared" si="82"/>
        <v>CFLscw-Refl-1(23w)</v>
      </c>
      <c r="P1484" s="103" t="s">
        <v>153</v>
      </c>
      <c r="Q1484" s="103" t="s">
        <v>153</v>
      </c>
      <c r="R1484" s="103" t="s">
        <v>153</v>
      </c>
      <c r="S1484" s="103" t="str">
        <f>INDEX('Measure &amp; Standard CostIDs'!$AK$8:$AK$12,B1484)</f>
        <v>Four+pack</v>
      </c>
      <c r="T1484" s="103" t="s">
        <v>867</v>
      </c>
      <c r="U1484" s="103"/>
      <c r="V1484" s="103"/>
      <c r="W1484" s="103">
        <f>ROUND(IF(LEFT(D1484,3)="Std",VLOOKUP(D1484,'Measure &amp; Standard CostIDs'!$S$5:$X$177,1+B1484,FALSE),VLOOKUP(D1484,'Measure &amp; Standard CostIDs'!$C$5:$H$177,1+B1484,FALSE)),2)</f>
        <v>6.8</v>
      </c>
      <c r="X1484" s="103"/>
      <c r="Y1484" s="103"/>
      <c r="Z1484" s="103" t="s">
        <v>868</v>
      </c>
      <c r="AA1484" s="103" t="s">
        <v>874</v>
      </c>
      <c r="AB1484" s="103" t="s">
        <v>153</v>
      </c>
      <c r="AC1484" s="103">
        <v>0</v>
      </c>
      <c r="AD1484" s="156">
        <v>42005</v>
      </c>
      <c r="AE1484" s="103"/>
      <c r="AF1484" s="103" t="s">
        <v>870</v>
      </c>
      <c r="AG1484" s="103" t="s">
        <v>871</v>
      </c>
      <c r="AH1484" s="103" t="s">
        <v>976</v>
      </c>
      <c r="AI1484" s="103">
        <v>0</v>
      </c>
      <c r="AJ1484" s="103"/>
      <c r="AK1484" s="103"/>
      <c r="AL1484" s="103"/>
      <c r="AM1484" s="103"/>
      <c r="AN1484" s="103"/>
      <c r="AO1484" s="103" t="str">
        <f t="shared" si="83"/>
        <v>CFLscw-Refl-1(23w)Four+pack</v>
      </c>
    </row>
    <row r="1485" spans="1:41">
      <c r="A1485" s="177">
        <f>IFERROR(MATCH(D1485,'Measure &amp; Standard CostIDs'!C$5:C$177,0),MATCH(D1485,'Measure &amp; Standard CostIDs'!S$5:S$177,0))</f>
        <v>161</v>
      </c>
      <c r="B1485" s="177">
        <f t="shared" si="81"/>
        <v>5</v>
      </c>
      <c r="C1485" s="103" t="s">
        <v>153</v>
      </c>
      <c r="D1485" s="103" t="str">
        <f t="shared" si="80"/>
        <v>CFLscw-Refl-2(15w)</v>
      </c>
      <c r="E1485" s="103" t="str">
        <f>IF(LEFT(D1485,3)="Std","Base case cost for mix of 60% Incandescent and 40% CFL lamps for CFL TechID: "&amp;INDEX('Measure &amp; Standard CostIDs'!$C$5:$C$177,A1485),"&lt;from TechID&gt;")</f>
        <v>&lt;from TechID&gt;</v>
      </c>
      <c r="F1485" s="103" t="s">
        <v>860</v>
      </c>
      <c r="G1485" s="103" t="s">
        <v>151</v>
      </c>
      <c r="H1485" s="103" t="s">
        <v>861</v>
      </c>
      <c r="I1485" s="103" t="s">
        <v>862</v>
      </c>
      <c r="J1485" s="103" t="s">
        <v>863</v>
      </c>
      <c r="K1485" s="103" t="s">
        <v>864</v>
      </c>
      <c r="L1485" s="103" t="s">
        <v>153</v>
      </c>
      <c r="M1485" s="103" t="s">
        <v>865</v>
      </c>
      <c r="N1485" s="103" t="s">
        <v>866</v>
      </c>
      <c r="O1485" s="103" t="str">
        <f t="shared" si="82"/>
        <v>CFLscw-Refl-2(15w)</v>
      </c>
      <c r="P1485" s="103" t="s">
        <v>153</v>
      </c>
      <c r="Q1485" s="103" t="s">
        <v>153</v>
      </c>
      <c r="R1485" s="103" t="s">
        <v>153</v>
      </c>
      <c r="S1485" s="103" t="str">
        <f>INDEX('Measure &amp; Standard CostIDs'!$AK$8:$AK$12,B1485)</f>
        <v>Four+pack</v>
      </c>
      <c r="T1485" s="103" t="s">
        <v>867</v>
      </c>
      <c r="U1485" s="103"/>
      <c r="V1485" s="103"/>
      <c r="W1485" s="103">
        <f>ROUND(IF(LEFT(D1485,3)="Std",VLOOKUP(D1485,'Measure &amp; Standard CostIDs'!$S$5:$X$177,1+B1485,FALSE),VLOOKUP(D1485,'Measure &amp; Standard CostIDs'!$C$5:$H$177,1+B1485,FALSE)),2)</f>
        <v>5.62</v>
      </c>
      <c r="X1485" s="103"/>
      <c r="Y1485" s="103"/>
      <c r="Z1485" s="103" t="s">
        <v>868</v>
      </c>
      <c r="AA1485" s="103" t="s">
        <v>874</v>
      </c>
      <c r="AB1485" s="103" t="s">
        <v>153</v>
      </c>
      <c r="AC1485" s="103">
        <v>0</v>
      </c>
      <c r="AD1485" s="156">
        <v>42005</v>
      </c>
      <c r="AE1485" s="103"/>
      <c r="AF1485" s="103" t="s">
        <v>870</v>
      </c>
      <c r="AG1485" s="103" t="s">
        <v>871</v>
      </c>
      <c r="AH1485" s="103" t="s">
        <v>976</v>
      </c>
      <c r="AI1485" s="103">
        <v>0</v>
      </c>
      <c r="AJ1485" s="103"/>
      <c r="AK1485" s="103"/>
      <c r="AL1485" s="103"/>
      <c r="AM1485" s="103"/>
      <c r="AN1485" s="103"/>
      <c r="AO1485" s="103" t="str">
        <f t="shared" si="83"/>
        <v>CFLscw-Refl-2(15w)Four+pack</v>
      </c>
    </row>
    <row r="1486" spans="1:41">
      <c r="A1486" s="177">
        <f>IFERROR(MATCH(D1486,'Measure &amp; Standard CostIDs'!C$5:C$177,0),MATCH(D1486,'Measure &amp; Standard CostIDs'!S$5:S$177,0))</f>
        <v>162</v>
      </c>
      <c r="B1486" s="177">
        <f t="shared" si="81"/>
        <v>5</v>
      </c>
      <c r="C1486" s="103" t="s">
        <v>153</v>
      </c>
      <c r="D1486" s="103" t="str">
        <f t="shared" si="80"/>
        <v>CFLscw-Refl-2(23w)</v>
      </c>
      <c r="E1486" s="103" t="str">
        <f>IF(LEFT(D1486,3)="Std","Base case cost for mix of 60% Incandescent and 40% CFL lamps for CFL TechID: "&amp;INDEX('Measure &amp; Standard CostIDs'!$C$5:$C$177,A1486),"&lt;from TechID&gt;")</f>
        <v>&lt;from TechID&gt;</v>
      </c>
      <c r="F1486" s="103" t="s">
        <v>860</v>
      </c>
      <c r="G1486" s="103" t="s">
        <v>151</v>
      </c>
      <c r="H1486" s="103" t="s">
        <v>861</v>
      </c>
      <c r="I1486" s="103" t="s">
        <v>862</v>
      </c>
      <c r="J1486" s="103" t="s">
        <v>863</v>
      </c>
      <c r="K1486" s="103" t="s">
        <v>864</v>
      </c>
      <c r="L1486" s="103" t="s">
        <v>153</v>
      </c>
      <c r="M1486" s="103" t="s">
        <v>865</v>
      </c>
      <c r="N1486" s="103" t="s">
        <v>866</v>
      </c>
      <c r="O1486" s="103" t="str">
        <f t="shared" si="82"/>
        <v>CFLscw-Refl-2(23w)</v>
      </c>
      <c r="P1486" s="103" t="s">
        <v>153</v>
      </c>
      <c r="Q1486" s="103" t="s">
        <v>153</v>
      </c>
      <c r="R1486" s="103" t="s">
        <v>153</v>
      </c>
      <c r="S1486" s="103" t="str">
        <f>INDEX('Measure &amp; Standard CostIDs'!$AK$8:$AK$12,B1486)</f>
        <v>Four+pack</v>
      </c>
      <c r="T1486" s="103" t="s">
        <v>867</v>
      </c>
      <c r="U1486" s="103"/>
      <c r="V1486" s="103"/>
      <c r="W1486" s="103">
        <f>ROUND(IF(LEFT(D1486,3)="Std",VLOOKUP(D1486,'Measure &amp; Standard CostIDs'!$S$5:$X$177,1+B1486,FALSE),VLOOKUP(D1486,'Measure &amp; Standard CostIDs'!$C$5:$H$177,1+B1486,FALSE)),2)</f>
        <v>6.8</v>
      </c>
      <c r="X1486" s="103"/>
      <c r="Y1486" s="103"/>
      <c r="Z1486" s="103" t="s">
        <v>868</v>
      </c>
      <c r="AA1486" s="103" t="s">
        <v>874</v>
      </c>
      <c r="AB1486" s="103" t="s">
        <v>153</v>
      </c>
      <c r="AC1486" s="103">
        <v>0</v>
      </c>
      <c r="AD1486" s="156">
        <v>42005</v>
      </c>
      <c r="AE1486" s="103"/>
      <c r="AF1486" s="103" t="s">
        <v>870</v>
      </c>
      <c r="AG1486" s="103" t="s">
        <v>871</v>
      </c>
      <c r="AH1486" s="103" t="s">
        <v>976</v>
      </c>
      <c r="AI1486" s="103">
        <v>0</v>
      </c>
      <c r="AJ1486" s="103"/>
      <c r="AK1486" s="103"/>
      <c r="AL1486" s="103"/>
      <c r="AM1486" s="103"/>
      <c r="AN1486" s="103"/>
      <c r="AO1486" s="103" t="str">
        <f t="shared" si="83"/>
        <v>CFLscw-Refl-2(23w)Four+pack</v>
      </c>
    </row>
    <row r="1487" spans="1:41">
      <c r="A1487" s="177">
        <f>IFERROR(MATCH(D1487,'Measure &amp; Standard CostIDs'!C$5:C$177,0),MATCH(D1487,'Measure &amp; Standard CostIDs'!S$5:S$177,0))</f>
        <v>163</v>
      </c>
      <c r="B1487" s="177">
        <f t="shared" si="81"/>
        <v>5</v>
      </c>
      <c r="C1487" s="103" t="s">
        <v>153</v>
      </c>
      <c r="D1487" s="103" t="str">
        <f t="shared" si="80"/>
        <v>CFLscw-Refl-Dim(15w)</v>
      </c>
      <c r="E1487" s="103" t="str">
        <f>IF(LEFT(D1487,3)="Std","Base case cost for mix of 60% Incandescent and 40% CFL lamps for CFL TechID: "&amp;INDEX('Measure &amp; Standard CostIDs'!$C$5:$C$177,A1487),"&lt;from TechID&gt;")</f>
        <v>&lt;from TechID&gt;</v>
      </c>
      <c r="F1487" s="103" t="s">
        <v>860</v>
      </c>
      <c r="G1487" s="103" t="s">
        <v>151</v>
      </c>
      <c r="H1487" s="103" t="s">
        <v>861</v>
      </c>
      <c r="I1487" s="103" t="s">
        <v>862</v>
      </c>
      <c r="J1487" s="103" t="s">
        <v>863</v>
      </c>
      <c r="K1487" s="103" t="s">
        <v>864</v>
      </c>
      <c r="L1487" s="103" t="s">
        <v>153</v>
      </c>
      <c r="M1487" s="103" t="s">
        <v>865</v>
      </c>
      <c r="N1487" s="103" t="s">
        <v>866</v>
      </c>
      <c r="O1487" s="103" t="str">
        <f t="shared" si="82"/>
        <v>CFLscw-Refl-Dim(15w)</v>
      </c>
      <c r="P1487" s="103" t="s">
        <v>153</v>
      </c>
      <c r="Q1487" s="103" t="s">
        <v>153</v>
      </c>
      <c r="R1487" s="103" t="s">
        <v>153</v>
      </c>
      <c r="S1487" s="103" t="str">
        <f>INDEX('Measure &amp; Standard CostIDs'!$AK$8:$AK$12,B1487)</f>
        <v>Four+pack</v>
      </c>
      <c r="T1487" s="103" t="s">
        <v>867</v>
      </c>
      <c r="U1487" s="103"/>
      <c r="V1487" s="103"/>
      <c r="W1487" s="103">
        <f>ROUND(IF(LEFT(D1487,3)="Std",VLOOKUP(D1487,'Measure &amp; Standard CostIDs'!$S$5:$X$177,1+B1487,FALSE),VLOOKUP(D1487,'Measure &amp; Standard CostIDs'!$C$5:$H$177,1+B1487,FALSE)),2)</f>
        <v>9.66</v>
      </c>
      <c r="X1487" s="103"/>
      <c r="Y1487" s="103"/>
      <c r="Z1487" s="103" t="s">
        <v>868</v>
      </c>
      <c r="AA1487" s="103" t="s">
        <v>874</v>
      </c>
      <c r="AB1487" s="103" t="s">
        <v>153</v>
      </c>
      <c r="AC1487" s="103">
        <v>0</v>
      </c>
      <c r="AD1487" s="156">
        <v>42005</v>
      </c>
      <c r="AE1487" s="103"/>
      <c r="AF1487" s="103" t="s">
        <v>870</v>
      </c>
      <c r="AG1487" s="103" t="s">
        <v>871</v>
      </c>
      <c r="AH1487" s="103" t="s">
        <v>976</v>
      </c>
      <c r="AI1487" s="103">
        <v>0</v>
      </c>
      <c r="AJ1487" s="103"/>
      <c r="AK1487" s="103"/>
      <c r="AL1487" s="103"/>
      <c r="AM1487" s="103"/>
      <c r="AN1487" s="103"/>
      <c r="AO1487" s="103" t="str">
        <f t="shared" si="83"/>
        <v>CFLscw-Refl-Dim(15w)Four+pack</v>
      </c>
    </row>
    <row r="1488" spans="1:41">
      <c r="A1488" s="177">
        <f>IFERROR(MATCH(D1488,'Measure &amp; Standard CostIDs'!C$5:C$177,0),MATCH(D1488,'Measure &amp; Standard CostIDs'!S$5:S$177,0))</f>
        <v>164</v>
      </c>
      <c r="B1488" s="177">
        <f t="shared" si="81"/>
        <v>5</v>
      </c>
      <c r="C1488" s="103" t="s">
        <v>153</v>
      </c>
      <c r="D1488" s="103" t="str">
        <f t="shared" ref="D1488:D1551" si="84">+D1158</f>
        <v>CFLscw-Refl-Dim(16w)</v>
      </c>
      <c r="E1488" s="103" t="str">
        <f>IF(LEFT(D1488,3)="Std","Base case cost for mix of 60% Incandescent and 40% CFL lamps for CFL TechID: "&amp;INDEX('Measure &amp; Standard CostIDs'!$C$5:$C$177,A1488),"&lt;from TechID&gt;")</f>
        <v>&lt;from TechID&gt;</v>
      </c>
      <c r="F1488" s="103" t="s">
        <v>860</v>
      </c>
      <c r="G1488" s="103" t="s">
        <v>151</v>
      </c>
      <c r="H1488" s="103" t="s">
        <v>861</v>
      </c>
      <c r="I1488" s="103" t="s">
        <v>862</v>
      </c>
      <c r="J1488" s="103" t="s">
        <v>863</v>
      </c>
      <c r="K1488" s="103" t="s">
        <v>864</v>
      </c>
      <c r="L1488" s="103" t="s">
        <v>153</v>
      </c>
      <c r="M1488" s="103" t="s">
        <v>865</v>
      </c>
      <c r="N1488" s="103" t="s">
        <v>866</v>
      </c>
      <c r="O1488" s="103" t="str">
        <f t="shared" si="82"/>
        <v>CFLscw-Refl-Dim(16w)</v>
      </c>
      <c r="P1488" s="103" t="s">
        <v>153</v>
      </c>
      <c r="Q1488" s="103" t="s">
        <v>153</v>
      </c>
      <c r="R1488" s="103" t="s">
        <v>153</v>
      </c>
      <c r="S1488" s="103" t="str">
        <f>INDEX('Measure &amp; Standard CostIDs'!$AK$8:$AK$12,B1488)</f>
        <v>Four+pack</v>
      </c>
      <c r="T1488" s="103" t="s">
        <v>867</v>
      </c>
      <c r="U1488" s="103"/>
      <c r="V1488" s="103"/>
      <c r="W1488" s="103">
        <f>ROUND(IF(LEFT(D1488,3)="Std",VLOOKUP(D1488,'Measure &amp; Standard CostIDs'!$S$5:$X$177,1+B1488,FALSE),VLOOKUP(D1488,'Measure &amp; Standard CostIDs'!$C$5:$H$177,1+B1488,FALSE)),2)</f>
        <v>9.81</v>
      </c>
      <c r="X1488" s="103"/>
      <c r="Y1488" s="103"/>
      <c r="Z1488" s="103" t="s">
        <v>868</v>
      </c>
      <c r="AA1488" s="103" t="s">
        <v>874</v>
      </c>
      <c r="AB1488" s="103" t="s">
        <v>153</v>
      </c>
      <c r="AC1488" s="103">
        <v>0</v>
      </c>
      <c r="AD1488" s="156">
        <v>42005</v>
      </c>
      <c r="AE1488" s="103"/>
      <c r="AF1488" s="103" t="s">
        <v>870</v>
      </c>
      <c r="AG1488" s="103" t="s">
        <v>871</v>
      </c>
      <c r="AH1488" s="103" t="s">
        <v>976</v>
      </c>
      <c r="AI1488" s="103">
        <v>0</v>
      </c>
      <c r="AJ1488" s="103"/>
      <c r="AK1488" s="103"/>
      <c r="AL1488" s="103"/>
      <c r="AM1488" s="103"/>
      <c r="AN1488" s="103"/>
      <c r="AO1488" s="103" t="str">
        <f t="shared" si="83"/>
        <v>CFLscw-Refl-Dim(16w)Four+pack</v>
      </c>
    </row>
    <row r="1489" spans="1:41">
      <c r="A1489" s="177">
        <f>IFERROR(MATCH(D1489,'Measure &amp; Standard CostIDs'!C$5:C$177,0),MATCH(D1489,'Measure &amp; Standard CostIDs'!S$5:S$177,0))</f>
        <v>165</v>
      </c>
      <c r="B1489" s="177">
        <f t="shared" ref="B1489:B1552" si="85">+B1159+1</f>
        <v>5</v>
      </c>
      <c r="C1489" s="103" t="s">
        <v>153</v>
      </c>
      <c r="D1489" s="103" t="str">
        <f t="shared" si="84"/>
        <v>CFLscw-Refl-Dim(20w)</v>
      </c>
      <c r="E1489" s="103" t="str">
        <f>IF(LEFT(D1489,3)="Std","Base case cost for mix of 60% Incandescent and 40% CFL lamps for CFL TechID: "&amp;INDEX('Measure &amp; Standard CostIDs'!$C$5:$C$177,A1489),"&lt;from TechID&gt;")</f>
        <v>&lt;from TechID&gt;</v>
      </c>
      <c r="F1489" s="103" t="s">
        <v>860</v>
      </c>
      <c r="G1489" s="103" t="s">
        <v>151</v>
      </c>
      <c r="H1489" s="103" t="s">
        <v>861</v>
      </c>
      <c r="I1489" s="103" t="s">
        <v>862</v>
      </c>
      <c r="J1489" s="103" t="s">
        <v>863</v>
      </c>
      <c r="K1489" s="103" t="s">
        <v>864</v>
      </c>
      <c r="L1489" s="103" t="s">
        <v>153</v>
      </c>
      <c r="M1489" s="103" t="s">
        <v>865</v>
      </c>
      <c r="N1489" s="103" t="s">
        <v>866</v>
      </c>
      <c r="O1489" s="103" t="str">
        <f t="shared" si="82"/>
        <v>CFLscw-Refl-Dim(20w)</v>
      </c>
      <c r="P1489" s="103" t="s">
        <v>153</v>
      </c>
      <c r="Q1489" s="103" t="s">
        <v>153</v>
      </c>
      <c r="R1489" s="103" t="s">
        <v>153</v>
      </c>
      <c r="S1489" s="103" t="str">
        <f>INDEX('Measure &amp; Standard CostIDs'!$AK$8:$AK$12,B1489)</f>
        <v>Four+pack</v>
      </c>
      <c r="T1489" s="103" t="s">
        <v>867</v>
      </c>
      <c r="U1489" s="103"/>
      <c r="V1489" s="103"/>
      <c r="W1489" s="103">
        <f>ROUND(IF(LEFT(D1489,3)="Std",VLOOKUP(D1489,'Measure &amp; Standard CostIDs'!$S$5:$X$177,1+B1489,FALSE),VLOOKUP(D1489,'Measure &amp; Standard CostIDs'!$C$5:$H$177,1+B1489,FALSE)),2)</f>
        <v>10.4</v>
      </c>
      <c r="X1489" s="103"/>
      <c r="Y1489" s="103"/>
      <c r="Z1489" s="103" t="s">
        <v>868</v>
      </c>
      <c r="AA1489" s="103" t="s">
        <v>874</v>
      </c>
      <c r="AB1489" s="103" t="s">
        <v>153</v>
      </c>
      <c r="AC1489" s="103">
        <v>0</v>
      </c>
      <c r="AD1489" s="156">
        <v>42005</v>
      </c>
      <c r="AE1489" s="103"/>
      <c r="AF1489" s="103" t="s">
        <v>870</v>
      </c>
      <c r="AG1489" s="103" t="s">
        <v>871</v>
      </c>
      <c r="AH1489" s="103" t="s">
        <v>976</v>
      </c>
      <c r="AI1489" s="103">
        <v>0</v>
      </c>
      <c r="AJ1489" s="103"/>
      <c r="AK1489" s="103"/>
      <c r="AL1489" s="103"/>
      <c r="AM1489" s="103"/>
      <c r="AN1489" s="103"/>
      <c r="AO1489" s="103" t="str">
        <f t="shared" si="83"/>
        <v>CFLscw-Refl-Dim(20w)Four+pack</v>
      </c>
    </row>
    <row r="1490" spans="1:41">
      <c r="A1490" s="177">
        <f>IFERROR(MATCH(D1490,'Measure &amp; Standard CostIDs'!C$5:C$177,0),MATCH(D1490,'Measure &amp; Standard CostIDs'!S$5:S$177,0))</f>
        <v>166</v>
      </c>
      <c r="B1490" s="177">
        <f t="shared" si="85"/>
        <v>5</v>
      </c>
      <c r="C1490" s="103" t="s">
        <v>153</v>
      </c>
      <c r="D1490" s="103" t="str">
        <f t="shared" si="84"/>
        <v>CFLscw-Refl-Dim(26w)</v>
      </c>
      <c r="E1490" s="103" t="str">
        <f>IF(LEFT(D1490,3)="Std","Base case cost for mix of 60% Incandescent and 40% CFL lamps for CFL TechID: "&amp;INDEX('Measure &amp; Standard CostIDs'!$C$5:$C$177,A1490),"&lt;from TechID&gt;")</f>
        <v>&lt;from TechID&gt;</v>
      </c>
      <c r="F1490" s="103" t="s">
        <v>860</v>
      </c>
      <c r="G1490" s="103" t="s">
        <v>151</v>
      </c>
      <c r="H1490" s="103" t="s">
        <v>861</v>
      </c>
      <c r="I1490" s="103" t="s">
        <v>862</v>
      </c>
      <c r="J1490" s="103" t="s">
        <v>863</v>
      </c>
      <c r="K1490" s="103" t="s">
        <v>864</v>
      </c>
      <c r="L1490" s="103" t="s">
        <v>153</v>
      </c>
      <c r="M1490" s="103" t="s">
        <v>865</v>
      </c>
      <c r="N1490" s="103" t="s">
        <v>866</v>
      </c>
      <c r="O1490" s="103" t="str">
        <f t="shared" si="82"/>
        <v>CFLscw-Refl-Dim(26w)</v>
      </c>
      <c r="P1490" s="103" t="s">
        <v>153</v>
      </c>
      <c r="Q1490" s="103" t="s">
        <v>153</v>
      </c>
      <c r="R1490" s="103" t="s">
        <v>153</v>
      </c>
      <c r="S1490" s="103" t="str">
        <f>INDEX('Measure &amp; Standard CostIDs'!$AK$8:$AK$12,B1490)</f>
        <v>Four+pack</v>
      </c>
      <c r="T1490" s="103" t="s">
        <v>867</v>
      </c>
      <c r="U1490" s="103"/>
      <c r="V1490" s="103"/>
      <c r="W1490" s="103">
        <f>ROUND(IF(LEFT(D1490,3)="Std",VLOOKUP(D1490,'Measure &amp; Standard CostIDs'!$S$5:$X$177,1+B1490,FALSE),VLOOKUP(D1490,'Measure &amp; Standard CostIDs'!$C$5:$H$177,1+B1490,FALSE)),2)</f>
        <v>11.28</v>
      </c>
      <c r="X1490" s="103"/>
      <c r="Y1490" s="103"/>
      <c r="Z1490" s="103" t="s">
        <v>868</v>
      </c>
      <c r="AA1490" s="103" t="s">
        <v>874</v>
      </c>
      <c r="AB1490" s="103" t="s">
        <v>153</v>
      </c>
      <c r="AC1490" s="103">
        <v>0</v>
      </c>
      <c r="AD1490" s="156">
        <v>42005</v>
      </c>
      <c r="AE1490" s="103"/>
      <c r="AF1490" s="103" t="s">
        <v>870</v>
      </c>
      <c r="AG1490" s="103" t="s">
        <v>871</v>
      </c>
      <c r="AH1490" s="103" t="s">
        <v>976</v>
      </c>
      <c r="AI1490" s="103">
        <v>0</v>
      </c>
      <c r="AJ1490" s="103"/>
      <c r="AK1490" s="103"/>
      <c r="AL1490" s="103"/>
      <c r="AM1490" s="103"/>
      <c r="AN1490" s="103"/>
      <c r="AO1490" s="103" t="str">
        <f t="shared" si="83"/>
        <v>CFLscw-Refl-Dim(26w)Four+pack</v>
      </c>
    </row>
    <row r="1491" spans="1:41">
      <c r="A1491" s="177">
        <f>IFERROR(MATCH(D1491,'Measure &amp; Standard CostIDs'!C$5:C$177,0),MATCH(D1491,'Measure &amp; Standard CostIDs'!S$5:S$177,0))</f>
        <v>167</v>
      </c>
      <c r="B1491" s="177">
        <f t="shared" si="85"/>
        <v>5</v>
      </c>
      <c r="C1491" s="103" t="s">
        <v>153</v>
      </c>
      <c r="D1491" s="103" t="str">
        <f t="shared" si="84"/>
        <v>CFLscw-Refl-Ext(13w)</v>
      </c>
      <c r="E1491" s="103" t="str">
        <f>IF(LEFT(D1491,3)="Std","Base case cost for mix of 60% Incandescent and 40% CFL lamps for CFL TechID: "&amp;INDEX('Measure &amp; Standard CostIDs'!$C$5:$C$177,A1491),"&lt;from TechID&gt;")</f>
        <v>&lt;from TechID&gt;</v>
      </c>
      <c r="F1491" s="103" t="s">
        <v>860</v>
      </c>
      <c r="G1491" s="103" t="s">
        <v>151</v>
      </c>
      <c r="H1491" s="103" t="s">
        <v>861</v>
      </c>
      <c r="I1491" s="103" t="s">
        <v>862</v>
      </c>
      <c r="J1491" s="103" t="s">
        <v>863</v>
      </c>
      <c r="K1491" s="103" t="s">
        <v>864</v>
      </c>
      <c r="L1491" s="103" t="s">
        <v>153</v>
      </c>
      <c r="M1491" s="103" t="s">
        <v>865</v>
      </c>
      <c r="N1491" s="103" t="s">
        <v>866</v>
      </c>
      <c r="O1491" s="103" t="str">
        <f t="shared" si="82"/>
        <v>CFLscw-Refl-Ext(13w)</v>
      </c>
      <c r="P1491" s="103" t="s">
        <v>153</v>
      </c>
      <c r="Q1491" s="103" t="s">
        <v>153</v>
      </c>
      <c r="R1491" s="103" t="s">
        <v>153</v>
      </c>
      <c r="S1491" s="103" t="str">
        <f>INDEX('Measure &amp; Standard CostIDs'!$AK$8:$AK$12,B1491)</f>
        <v>Four+pack</v>
      </c>
      <c r="T1491" s="103" t="s">
        <v>867</v>
      </c>
      <c r="U1491" s="103"/>
      <c r="V1491" s="103"/>
      <c r="W1491" s="103">
        <f>ROUND(IF(LEFT(D1491,3)="Std",VLOOKUP(D1491,'Measure &amp; Standard CostIDs'!$S$5:$X$177,1+B1491,FALSE),VLOOKUP(D1491,'Measure &amp; Standard CostIDs'!$C$5:$H$177,1+B1491,FALSE)),2)</f>
        <v>5.32</v>
      </c>
      <c r="X1491" s="103"/>
      <c r="Y1491" s="103"/>
      <c r="Z1491" s="103" t="s">
        <v>868</v>
      </c>
      <c r="AA1491" s="103" t="s">
        <v>874</v>
      </c>
      <c r="AB1491" s="103" t="s">
        <v>153</v>
      </c>
      <c r="AC1491" s="103">
        <v>0</v>
      </c>
      <c r="AD1491" s="156">
        <v>42005</v>
      </c>
      <c r="AE1491" s="103"/>
      <c r="AF1491" s="103" t="s">
        <v>870</v>
      </c>
      <c r="AG1491" s="103" t="s">
        <v>871</v>
      </c>
      <c r="AH1491" s="103" t="s">
        <v>976</v>
      </c>
      <c r="AI1491" s="103">
        <v>0</v>
      </c>
      <c r="AJ1491" s="103"/>
      <c r="AK1491" s="103"/>
      <c r="AL1491" s="103"/>
      <c r="AM1491" s="103"/>
      <c r="AN1491" s="103"/>
      <c r="AO1491" s="103" t="str">
        <f t="shared" si="83"/>
        <v>CFLscw-Refl-Ext(13w)Four+pack</v>
      </c>
    </row>
    <row r="1492" spans="1:41">
      <c r="A1492" s="177">
        <f>IFERROR(MATCH(D1492,'Measure &amp; Standard CostIDs'!C$5:C$177,0),MATCH(D1492,'Measure &amp; Standard CostIDs'!S$5:S$177,0))</f>
        <v>168</v>
      </c>
      <c r="B1492" s="177">
        <f t="shared" si="85"/>
        <v>5</v>
      </c>
      <c r="C1492" s="103" t="s">
        <v>153</v>
      </c>
      <c r="D1492" s="103" t="str">
        <f t="shared" si="84"/>
        <v>CFLscw-Refl-Ext(14w)</v>
      </c>
      <c r="E1492" s="103" t="str">
        <f>IF(LEFT(D1492,3)="Std","Base case cost for mix of 60% Incandescent and 40% CFL lamps for CFL TechID: "&amp;INDEX('Measure &amp; Standard CostIDs'!$C$5:$C$177,A1492),"&lt;from TechID&gt;")</f>
        <v>&lt;from TechID&gt;</v>
      </c>
      <c r="F1492" s="103" t="s">
        <v>860</v>
      </c>
      <c r="G1492" s="103" t="s">
        <v>151</v>
      </c>
      <c r="H1492" s="103" t="s">
        <v>861</v>
      </c>
      <c r="I1492" s="103" t="s">
        <v>862</v>
      </c>
      <c r="J1492" s="103" t="s">
        <v>863</v>
      </c>
      <c r="K1492" s="103" t="s">
        <v>864</v>
      </c>
      <c r="L1492" s="103" t="s">
        <v>153</v>
      </c>
      <c r="M1492" s="103" t="s">
        <v>865</v>
      </c>
      <c r="N1492" s="103" t="s">
        <v>866</v>
      </c>
      <c r="O1492" s="103" t="str">
        <f t="shared" si="82"/>
        <v>CFLscw-Refl-Ext(14w)</v>
      </c>
      <c r="P1492" s="103" t="s">
        <v>153</v>
      </c>
      <c r="Q1492" s="103" t="s">
        <v>153</v>
      </c>
      <c r="R1492" s="103" t="s">
        <v>153</v>
      </c>
      <c r="S1492" s="103" t="str">
        <f>INDEX('Measure &amp; Standard CostIDs'!$AK$8:$AK$12,B1492)</f>
        <v>Four+pack</v>
      </c>
      <c r="T1492" s="103" t="s">
        <v>867</v>
      </c>
      <c r="U1492" s="103"/>
      <c r="V1492" s="103"/>
      <c r="W1492" s="103">
        <f>ROUND(IF(LEFT(D1492,3)="Std",VLOOKUP(D1492,'Measure &amp; Standard CostIDs'!$S$5:$X$177,1+B1492,FALSE),VLOOKUP(D1492,'Measure &amp; Standard CostIDs'!$C$5:$H$177,1+B1492,FALSE)),2)</f>
        <v>5.47</v>
      </c>
      <c r="X1492" s="103"/>
      <c r="Y1492" s="103"/>
      <c r="Z1492" s="103" t="s">
        <v>868</v>
      </c>
      <c r="AA1492" s="103" t="s">
        <v>874</v>
      </c>
      <c r="AB1492" s="103" t="s">
        <v>153</v>
      </c>
      <c r="AC1492" s="103">
        <v>0</v>
      </c>
      <c r="AD1492" s="156">
        <v>42005</v>
      </c>
      <c r="AE1492" s="103"/>
      <c r="AF1492" s="103" t="s">
        <v>870</v>
      </c>
      <c r="AG1492" s="103" t="s">
        <v>871</v>
      </c>
      <c r="AH1492" s="103" t="s">
        <v>976</v>
      </c>
      <c r="AI1492" s="103">
        <v>0</v>
      </c>
      <c r="AJ1492" s="103"/>
      <c r="AK1492" s="103"/>
      <c r="AL1492" s="103"/>
      <c r="AM1492" s="103"/>
      <c r="AN1492" s="103"/>
      <c r="AO1492" s="103" t="str">
        <f t="shared" si="83"/>
        <v>CFLscw-Refl-Ext(14w)Four+pack</v>
      </c>
    </row>
    <row r="1493" spans="1:41">
      <c r="A1493" s="177">
        <f>IFERROR(MATCH(D1493,'Measure &amp; Standard CostIDs'!C$5:C$177,0),MATCH(D1493,'Measure &amp; Standard CostIDs'!S$5:S$177,0))</f>
        <v>169</v>
      </c>
      <c r="B1493" s="177">
        <f t="shared" si="85"/>
        <v>5</v>
      </c>
      <c r="C1493" s="103" t="s">
        <v>153</v>
      </c>
      <c r="D1493" s="103" t="str">
        <f t="shared" si="84"/>
        <v>CFLscw-Refl-Ext(15w)</v>
      </c>
      <c r="E1493" s="103" t="str">
        <f>IF(LEFT(D1493,3)="Std","Base case cost for mix of 60% Incandescent and 40% CFL lamps for CFL TechID: "&amp;INDEX('Measure &amp; Standard CostIDs'!$C$5:$C$177,A1493),"&lt;from TechID&gt;")</f>
        <v>&lt;from TechID&gt;</v>
      </c>
      <c r="F1493" s="103" t="s">
        <v>860</v>
      </c>
      <c r="G1493" s="103" t="s">
        <v>151</v>
      </c>
      <c r="H1493" s="103" t="s">
        <v>861</v>
      </c>
      <c r="I1493" s="103" t="s">
        <v>862</v>
      </c>
      <c r="J1493" s="103" t="s">
        <v>863</v>
      </c>
      <c r="K1493" s="103" t="s">
        <v>864</v>
      </c>
      <c r="L1493" s="103" t="s">
        <v>153</v>
      </c>
      <c r="M1493" s="103" t="s">
        <v>865</v>
      </c>
      <c r="N1493" s="103" t="s">
        <v>866</v>
      </c>
      <c r="O1493" s="103" t="str">
        <f t="shared" si="82"/>
        <v>CFLscw-Refl-Ext(15w)</v>
      </c>
      <c r="P1493" s="103" t="s">
        <v>153</v>
      </c>
      <c r="Q1493" s="103" t="s">
        <v>153</v>
      </c>
      <c r="R1493" s="103" t="s">
        <v>153</v>
      </c>
      <c r="S1493" s="103" t="str">
        <f>INDEX('Measure &amp; Standard CostIDs'!$AK$8:$AK$12,B1493)</f>
        <v>Four+pack</v>
      </c>
      <c r="T1493" s="103" t="s">
        <v>867</v>
      </c>
      <c r="U1493" s="103"/>
      <c r="V1493" s="103"/>
      <c r="W1493" s="103">
        <f>ROUND(IF(LEFT(D1493,3)="Std",VLOOKUP(D1493,'Measure &amp; Standard CostIDs'!$S$5:$X$177,1+B1493,FALSE),VLOOKUP(D1493,'Measure &amp; Standard CostIDs'!$C$5:$H$177,1+B1493,FALSE)),2)</f>
        <v>5.62</v>
      </c>
      <c r="X1493" s="103"/>
      <c r="Y1493" s="103"/>
      <c r="Z1493" s="103" t="s">
        <v>868</v>
      </c>
      <c r="AA1493" s="103" t="s">
        <v>874</v>
      </c>
      <c r="AB1493" s="103" t="s">
        <v>153</v>
      </c>
      <c r="AC1493" s="103">
        <v>0</v>
      </c>
      <c r="AD1493" s="156">
        <v>42005</v>
      </c>
      <c r="AE1493" s="103"/>
      <c r="AF1493" s="103" t="s">
        <v>870</v>
      </c>
      <c r="AG1493" s="103" t="s">
        <v>871</v>
      </c>
      <c r="AH1493" s="103" t="s">
        <v>976</v>
      </c>
      <c r="AI1493" s="103">
        <v>0</v>
      </c>
      <c r="AJ1493" s="103"/>
      <c r="AK1493" s="103"/>
      <c r="AL1493" s="103"/>
      <c r="AM1493" s="103"/>
      <c r="AN1493" s="103"/>
      <c r="AO1493" s="103" t="str">
        <f t="shared" si="83"/>
        <v>CFLscw-Refl-Ext(15w)Four+pack</v>
      </c>
    </row>
    <row r="1494" spans="1:41">
      <c r="A1494" s="177">
        <f>IFERROR(MATCH(D1494,'Measure &amp; Standard CostIDs'!C$5:C$177,0),MATCH(D1494,'Measure &amp; Standard CostIDs'!S$5:S$177,0))</f>
        <v>170</v>
      </c>
      <c r="B1494" s="177">
        <f t="shared" si="85"/>
        <v>5</v>
      </c>
      <c r="C1494" s="103" t="s">
        <v>153</v>
      </c>
      <c r="D1494" s="103" t="str">
        <f t="shared" si="84"/>
        <v>CFLscw-Refl-Ext(16w)</v>
      </c>
      <c r="E1494" s="103" t="str">
        <f>IF(LEFT(D1494,3)="Std","Base case cost for mix of 60% Incandescent and 40% CFL lamps for CFL TechID: "&amp;INDEX('Measure &amp; Standard CostIDs'!$C$5:$C$177,A1494),"&lt;from TechID&gt;")</f>
        <v>&lt;from TechID&gt;</v>
      </c>
      <c r="F1494" s="103" t="s">
        <v>860</v>
      </c>
      <c r="G1494" s="103" t="s">
        <v>151</v>
      </c>
      <c r="H1494" s="103" t="s">
        <v>861</v>
      </c>
      <c r="I1494" s="103" t="s">
        <v>862</v>
      </c>
      <c r="J1494" s="103" t="s">
        <v>863</v>
      </c>
      <c r="K1494" s="103" t="s">
        <v>864</v>
      </c>
      <c r="L1494" s="103" t="s">
        <v>153</v>
      </c>
      <c r="M1494" s="103" t="s">
        <v>865</v>
      </c>
      <c r="N1494" s="103" t="s">
        <v>866</v>
      </c>
      <c r="O1494" s="103" t="str">
        <f t="shared" si="82"/>
        <v>CFLscw-Refl-Ext(16w)</v>
      </c>
      <c r="P1494" s="103" t="s">
        <v>153</v>
      </c>
      <c r="Q1494" s="103" t="s">
        <v>153</v>
      </c>
      <c r="R1494" s="103" t="s">
        <v>153</v>
      </c>
      <c r="S1494" s="103" t="str">
        <f>INDEX('Measure &amp; Standard CostIDs'!$AK$8:$AK$12,B1494)</f>
        <v>Four+pack</v>
      </c>
      <c r="T1494" s="103" t="s">
        <v>867</v>
      </c>
      <c r="U1494" s="103"/>
      <c r="V1494" s="103"/>
      <c r="W1494" s="103">
        <f>ROUND(IF(LEFT(D1494,3)="Std",VLOOKUP(D1494,'Measure &amp; Standard CostIDs'!$S$5:$X$177,1+B1494,FALSE),VLOOKUP(D1494,'Measure &amp; Standard CostIDs'!$C$5:$H$177,1+B1494,FALSE)),2)</f>
        <v>5.76</v>
      </c>
      <c r="X1494" s="103"/>
      <c r="Y1494" s="103"/>
      <c r="Z1494" s="103" t="s">
        <v>868</v>
      </c>
      <c r="AA1494" s="103" t="s">
        <v>874</v>
      </c>
      <c r="AB1494" s="103" t="s">
        <v>153</v>
      </c>
      <c r="AC1494" s="103">
        <v>0</v>
      </c>
      <c r="AD1494" s="156">
        <v>42005</v>
      </c>
      <c r="AE1494" s="103"/>
      <c r="AF1494" s="103" t="s">
        <v>870</v>
      </c>
      <c r="AG1494" s="103" t="s">
        <v>871</v>
      </c>
      <c r="AH1494" s="103" t="s">
        <v>976</v>
      </c>
      <c r="AI1494" s="103">
        <v>0</v>
      </c>
      <c r="AJ1494" s="103"/>
      <c r="AK1494" s="103"/>
      <c r="AL1494" s="103"/>
      <c r="AM1494" s="103"/>
      <c r="AN1494" s="103"/>
      <c r="AO1494" s="103" t="str">
        <f t="shared" si="83"/>
        <v>CFLscw-Refl-Ext(16w)Four+pack</v>
      </c>
    </row>
    <row r="1495" spans="1:41">
      <c r="A1495" s="177">
        <f>IFERROR(MATCH(D1495,'Measure &amp; Standard CostIDs'!C$5:C$177,0),MATCH(D1495,'Measure &amp; Standard CostIDs'!S$5:S$177,0))</f>
        <v>171</v>
      </c>
      <c r="B1495" s="177">
        <f t="shared" si="85"/>
        <v>5</v>
      </c>
      <c r="C1495" s="103" t="s">
        <v>153</v>
      </c>
      <c r="D1495" s="103" t="str">
        <f t="shared" si="84"/>
        <v>CFLscw-Refl-Ext(18w)</v>
      </c>
      <c r="E1495" s="103" t="str">
        <f>IF(LEFT(D1495,3)="Std","Base case cost for mix of 60% Incandescent and 40% CFL lamps for CFL TechID: "&amp;INDEX('Measure &amp; Standard CostIDs'!$C$5:$C$177,A1495),"&lt;from TechID&gt;")</f>
        <v>&lt;from TechID&gt;</v>
      </c>
      <c r="F1495" s="103" t="s">
        <v>860</v>
      </c>
      <c r="G1495" s="103" t="s">
        <v>151</v>
      </c>
      <c r="H1495" s="103" t="s">
        <v>861</v>
      </c>
      <c r="I1495" s="103" t="s">
        <v>862</v>
      </c>
      <c r="J1495" s="103" t="s">
        <v>863</v>
      </c>
      <c r="K1495" s="103" t="s">
        <v>864</v>
      </c>
      <c r="L1495" s="103" t="s">
        <v>153</v>
      </c>
      <c r="M1495" s="103" t="s">
        <v>865</v>
      </c>
      <c r="N1495" s="103" t="s">
        <v>866</v>
      </c>
      <c r="O1495" s="103" t="str">
        <f t="shared" si="82"/>
        <v>CFLscw-Refl-Ext(18w)</v>
      </c>
      <c r="P1495" s="103" t="s">
        <v>153</v>
      </c>
      <c r="Q1495" s="103" t="s">
        <v>153</v>
      </c>
      <c r="R1495" s="103" t="s">
        <v>153</v>
      </c>
      <c r="S1495" s="103" t="str">
        <f>INDEX('Measure &amp; Standard CostIDs'!$AK$8:$AK$12,B1495)</f>
        <v>Four+pack</v>
      </c>
      <c r="T1495" s="103" t="s">
        <v>867</v>
      </c>
      <c r="U1495" s="103"/>
      <c r="V1495" s="103"/>
      <c r="W1495" s="103">
        <f>ROUND(IF(LEFT(D1495,3)="Std",VLOOKUP(D1495,'Measure &amp; Standard CostIDs'!$S$5:$X$177,1+B1495,FALSE),VLOOKUP(D1495,'Measure &amp; Standard CostIDs'!$C$5:$H$177,1+B1495,FALSE)),2)</f>
        <v>6.06</v>
      </c>
      <c r="X1495" s="103"/>
      <c r="Y1495" s="103"/>
      <c r="Z1495" s="103" t="s">
        <v>868</v>
      </c>
      <c r="AA1495" s="103" t="s">
        <v>874</v>
      </c>
      <c r="AB1495" s="103" t="s">
        <v>153</v>
      </c>
      <c r="AC1495" s="103">
        <v>0</v>
      </c>
      <c r="AD1495" s="156">
        <v>42005</v>
      </c>
      <c r="AE1495" s="103"/>
      <c r="AF1495" s="103" t="s">
        <v>870</v>
      </c>
      <c r="AG1495" s="103" t="s">
        <v>871</v>
      </c>
      <c r="AH1495" s="103" t="s">
        <v>976</v>
      </c>
      <c r="AI1495" s="103">
        <v>0</v>
      </c>
      <c r="AJ1495" s="103"/>
      <c r="AK1495" s="103"/>
      <c r="AL1495" s="103"/>
      <c r="AM1495" s="103"/>
      <c r="AN1495" s="103"/>
      <c r="AO1495" s="103" t="str">
        <f t="shared" si="83"/>
        <v>CFLscw-Refl-Ext(18w)Four+pack</v>
      </c>
    </row>
    <row r="1496" spans="1:41">
      <c r="A1496" s="177">
        <f>IFERROR(MATCH(D1496,'Measure &amp; Standard CostIDs'!C$5:C$177,0),MATCH(D1496,'Measure &amp; Standard CostIDs'!S$5:S$177,0))</f>
        <v>172</v>
      </c>
      <c r="B1496" s="177">
        <f t="shared" si="85"/>
        <v>5</v>
      </c>
      <c r="C1496" s="103" t="s">
        <v>153</v>
      </c>
      <c r="D1496" s="103" t="str">
        <f t="shared" si="84"/>
        <v>CFLscw-Refl-Ext(20w)</v>
      </c>
      <c r="E1496" s="103" t="str">
        <f>IF(LEFT(D1496,3)="Std","Base case cost for mix of 60% Incandescent and 40% CFL lamps for CFL TechID: "&amp;INDEX('Measure &amp; Standard CostIDs'!$C$5:$C$177,A1496),"&lt;from TechID&gt;")</f>
        <v>&lt;from TechID&gt;</v>
      </c>
      <c r="F1496" s="103" t="s">
        <v>860</v>
      </c>
      <c r="G1496" s="103" t="s">
        <v>151</v>
      </c>
      <c r="H1496" s="103" t="s">
        <v>861</v>
      </c>
      <c r="I1496" s="103" t="s">
        <v>862</v>
      </c>
      <c r="J1496" s="103" t="s">
        <v>863</v>
      </c>
      <c r="K1496" s="103" t="s">
        <v>864</v>
      </c>
      <c r="L1496" s="103" t="s">
        <v>153</v>
      </c>
      <c r="M1496" s="103" t="s">
        <v>865</v>
      </c>
      <c r="N1496" s="103" t="s">
        <v>866</v>
      </c>
      <c r="O1496" s="103" t="str">
        <f t="shared" si="82"/>
        <v>CFLscw-Refl-Ext(20w)</v>
      </c>
      <c r="P1496" s="103" t="s">
        <v>153</v>
      </c>
      <c r="Q1496" s="103" t="s">
        <v>153</v>
      </c>
      <c r="R1496" s="103" t="s">
        <v>153</v>
      </c>
      <c r="S1496" s="103" t="str">
        <f>INDEX('Measure &amp; Standard CostIDs'!$AK$8:$AK$12,B1496)</f>
        <v>Four+pack</v>
      </c>
      <c r="T1496" s="103" t="s">
        <v>867</v>
      </c>
      <c r="U1496" s="103"/>
      <c r="V1496" s="103"/>
      <c r="W1496" s="103">
        <f>ROUND(IF(LEFT(D1496,3)="Std",VLOOKUP(D1496,'Measure &amp; Standard CostIDs'!$S$5:$X$177,1+B1496,FALSE),VLOOKUP(D1496,'Measure &amp; Standard CostIDs'!$C$5:$H$177,1+B1496,FALSE)),2)</f>
        <v>6.35</v>
      </c>
      <c r="X1496" s="103"/>
      <c r="Y1496" s="103"/>
      <c r="Z1496" s="103" t="s">
        <v>868</v>
      </c>
      <c r="AA1496" s="103" t="s">
        <v>874</v>
      </c>
      <c r="AB1496" s="103" t="s">
        <v>153</v>
      </c>
      <c r="AC1496" s="103">
        <v>0</v>
      </c>
      <c r="AD1496" s="156">
        <v>42005</v>
      </c>
      <c r="AE1496" s="103"/>
      <c r="AF1496" s="103" t="s">
        <v>870</v>
      </c>
      <c r="AG1496" s="103" t="s">
        <v>871</v>
      </c>
      <c r="AH1496" s="103" t="s">
        <v>976</v>
      </c>
      <c r="AI1496" s="103">
        <v>0</v>
      </c>
      <c r="AJ1496" s="103"/>
      <c r="AK1496" s="103"/>
      <c r="AL1496" s="103"/>
      <c r="AM1496" s="103"/>
      <c r="AN1496" s="103"/>
      <c r="AO1496" s="103" t="str">
        <f t="shared" si="83"/>
        <v>CFLscw-Refl-Ext(20w)Four+pack</v>
      </c>
    </row>
    <row r="1497" spans="1:41">
      <c r="A1497" s="177">
        <f>IFERROR(MATCH(D1497,'Measure &amp; Standard CostIDs'!C$5:C$177,0),MATCH(D1497,'Measure &amp; Standard CostIDs'!S$5:S$177,0))</f>
        <v>173</v>
      </c>
      <c r="B1497" s="177">
        <f t="shared" si="85"/>
        <v>5</v>
      </c>
      <c r="C1497" s="103" t="s">
        <v>153</v>
      </c>
      <c r="D1497" s="103" t="str">
        <f t="shared" si="84"/>
        <v>CFLscw-Refl-Ext(23w)</v>
      </c>
      <c r="E1497" s="103" t="str">
        <f>IF(LEFT(D1497,3)="Std","Base case cost for mix of 60% Incandescent and 40% CFL lamps for CFL TechID: "&amp;INDEX('Measure &amp; Standard CostIDs'!$C$5:$C$177,A1497),"&lt;from TechID&gt;")</f>
        <v>&lt;from TechID&gt;</v>
      </c>
      <c r="F1497" s="103" t="s">
        <v>860</v>
      </c>
      <c r="G1497" s="103" t="s">
        <v>151</v>
      </c>
      <c r="H1497" s="103" t="s">
        <v>861</v>
      </c>
      <c r="I1497" s="103" t="s">
        <v>862</v>
      </c>
      <c r="J1497" s="103" t="s">
        <v>863</v>
      </c>
      <c r="K1497" s="103" t="s">
        <v>864</v>
      </c>
      <c r="L1497" s="103" t="s">
        <v>153</v>
      </c>
      <c r="M1497" s="103" t="s">
        <v>865</v>
      </c>
      <c r="N1497" s="103" t="s">
        <v>866</v>
      </c>
      <c r="O1497" s="103" t="str">
        <f t="shared" si="82"/>
        <v>CFLscw-Refl-Ext(23w)</v>
      </c>
      <c r="P1497" s="103" t="s">
        <v>153</v>
      </c>
      <c r="Q1497" s="103" t="s">
        <v>153</v>
      </c>
      <c r="R1497" s="103" t="s">
        <v>153</v>
      </c>
      <c r="S1497" s="103" t="str">
        <f>INDEX('Measure &amp; Standard CostIDs'!$AK$8:$AK$12,B1497)</f>
        <v>Four+pack</v>
      </c>
      <c r="T1497" s="103" t="s">
        <v>867</v>
      </c>
      <c r="U1497" s="103"/>
      <c r="V1497" s="103"/>
      <c r="W1497" s="103">
        <f>ROUND(IF(LEFT(D1497,3)="Std",VLOOKUP(D1497,'Measure &amp; Standard CostIDs'!$S$5:$X$177,1+B1497,FALSE),VLOOKUP(D1497,'Measure &amp; Standard CostIDs'!$C$5:$H$177,1+B1497,FALSE)),2)</f>
        <v>6.8</v>
      </c>
      <c r="X1497" s="103"/>
      <c r="Y1497" s="103"/>
      <c r="Z1497" s="103" t="s">
        <v>868</v>
      </c>
      <c r="AA1497" s="103" t="s">
        <v>874</v>
      </c>
      <c r="AB1497" s="103" t="s">
        <v>153</v>
      </c>
      <c r="AC1497" s="103">
        <v>0</v>
      </c>
      <c r="AD1497" s="156">
        <v>42005</v>
      </c>
      <c r="AE1497" s="103"/>
      <c r="AF1497" s="103" t="s">
        <v>870</v>
      </c>
      <c r="AG1497" s="103" t="s">
        <v>871</v>
      </c>
      <c r="AH1497" s="103" t="s">
        <v>976</v>
      </c>
      <c r="AI1497" s="103">
        <v>0</v>
      </c>
      <c r="AJ1497" s="103"/>
      <c r="AK1497" s="103"/>
      <c r="AL1497" s="103"/>
      <c r="AM1497" s="103"/>
      <c r="AN1497" s="103"/>
      <c r="AO1497" s="103" t="str">
        <f t="shared" si="83"/>
        <v>CFLscw-Refl-Ext(23w)Four+pack</v>
      </c>
    </row>
    <row r="1498" spans="1:41">
      <c r="A1498" s="177">
        <f>IFERROR(MATCH(D1498,'Measure &amp; Standard CostIDs'!C$5:C$177,0),MATCH(D1498,'Measure &amp; Standard CostIDs'!S$5:S$177,0))</f>
        <v>1</v>
      </c>
      <c r="B1498" s="177">
        <f t="shared" si="85"/>
        <v>5</v>
      </c>
      <c r="C1498" s="103" t="s">
        <v>153</v>
      </c>
      <c r="D1498" s="103" t="str">
        <f t="shared" si="84"/>
        <v>Std_CFLscw(10w)_60pInc-r0248</v>
      </c>
      <c r="E1498" s="103" t="str">
        <f>IF(LEFT(D1498,3)="Std","Base case cost for mix of 60% Incandescent and 40% CFL lamps for CFL TechID: "&amp;INDEX('Measure &amp; Standard CostIDs'!$C$5:$C$177,A1498),"&lt;from TechID&gt;")</f>
        <v>Base case cost for mix of 60% Incandescent and 40% CFL lamps for CFL TechID: CFLscw(10w)</v>
      </c>
      <c r="F1498" s="103" t="s">
        <v>860</v>
      </c>
      <c r="G1498" s="103" t="s">
        <v>151</v>
      </c>
      <c r="H1498" s="103" t="s">
        <v>861</v>
      </c>
      <c r="I1498" s="103" t="s">
        <v>862</v>
      </c>
      <c r="J1498" s="103" t="s">
        <v>863</v>
      </c>
      <c r="K1498" s="103" t="s">
        <v>864</v>
      </c>
      <c r="L1498" s="103" t="s">
        <v>153</v>
      </c>
      <c r="M1498" s="103" t="s">
        <v>865</v>
      </c>
      <c r="N1498" s="103" t="s">
        <v>866</v>
      </c>
      <c r="O1498" s="103" t="str">
        <f t="shared" si="82"/>
        <v/>
      </c>
      <c r="P1498" s="103" t="s">
        <v>153</v>
      </c>
      <c r="Q1498" s="103" t="s">
        <v>153</v>
      </c>
      <c r="R1498" s="103" t="s">
        <v>153</v>
      </c>
      <c r="S1498" s="103" t="str">
        <f>INDEX('Measure &amp; Standard CostIDs'!$AK$8:$AK$12,B1498)</f>
        <v>Four+pack</v>
      </c>
      <c r="T1498" s="103" t="s">
        <v>867</v>
      </c>
      <c r="U1498" s="103"/>
      <c r="V1498" s="103"/>
      <c r="W1498" s="103">
        <f>ROUND(IF(LEFT(D1498,3)="Std",VLOOKUP(D1498,'Measure &amp; Standard CostIDs'!$S$5:$X$177,1+B1498,FALSE),VLOOKUP(D1498,'Measure &amp; Standard CostIDs'!$C$5:$H$177,1+B1498,FALSE)),2)</f>
        <v>1.02</v>
      </c>
      <c r="X1498" s="103"/>
      <c r="Y1498" s="103"/>
      <c r="Z1498" s="103" t="s">
        <v>868</v>
      </c>
      <c r="AA1498" s="103" t="s">
        <v>874</v>
      </c>
      <c r="AB1498" s="103" t="s">
        <v>153</v>
      </c>
      <c r="AC1498" s="103">
        <v>0</v>
      </c>
      <c r="AD1498" s="156">
        <v>42005</v>
      </c>
      <c r="AE1498" s="103"/>
      <c r="AF1498" s="103" t="s">
        <v>870</v>
      </c>
      <c r="AG1498" s="103" t="s">
        <v>871</v>
      </c>
      <c r="AH1498" s="103" t="s">
        <v>976</v>
      </c>
      <c r="AI1498" s="103">
        <v>0</v>
      </c>
      <c r="AJ1498" s="103"/>
      <c r="AK1498" s="103"/>
      <c r="AL1498" s="103"/>
      <c r="AM1498" s="103"/>
      <c r="AN1498" s="103"/>
      <c r="AO1498" s="103" t="str">
        <f t="shared" si="83"/>
        <v>Std_CFLscw(10w)_60pInc-r0248Four+pack</v>
      </c>
    </row>
    <row r="1499" spans="1:41">
      <c r="A1499" s="177">
        <f>IFERROR(MATCH(D1499,'Measure &amp; Standard CostIDs'!C$5:C$177,0),MATCH(D1499,'Measure &amp; Standard CostIDs'!S$5:S$177,0))</f>
        <v>2</v>
      </c>
      <c r="B1499" s="177">
        <f t="shared" si="85"/>
        <v>5</v>
      </c>
      <c r="C1499" s="103" t="s">
        <v>153</v>
      </c>
      <c r="D1499" s="103" t="str">
        <f t="shared" si="84"/>
        <v>Std_CFLscw(11w)_60pInc-r0248</v>
      </c>
      <c r="E1499" s="103" t="str">
        <f>IF(LEFT(D1499,3)="Std","Base case cost for mix of 60% Incandescent and 40% CFL lamps for CFL TechID: "&amp;INDEX('Measure &amp; Standard CostIDs'!$C$5:$C$177,A1499),"&lt;from TechID&gt;")</f>
        <v>Base case cost for mix of 60% Incandescent and 40% CFL lamps for CFL TechID: CFLscw(11w)</v>
      </c>
      <c r="F1499" s="103" t="s">
        <v>860</v>
      </c>
      <c r="G1499" s="103" t="s">
        <v>151</v>
      </c>
      <c r="H1499" s="103" t="s">
        <v>861</v>
      </c>
      <c r="I1499" s="103" t="s">
        <v>862</v>
      </c>
      <c r="J1499" s="103" t="s">
        <v>863</v>
      </c>
      <c r="K1499" s="103" t="s">
        <v>864</v>
      </c>
      <c r="L1499" s="103" t="s">
        <v>153</v>
      </c>
      <c r="M1499" s="103" t="s">
        <v>865</v>
      </c>
      <c r="N1499" s="103" t="s">
        <v>866</v>
      </c>
      <c r="O1499" s="103" t="str">
        <f t="shared" si="82"/>
        <v/>
      </c>
      <c r="P1499" s="103" t="s">
        <v>153</v>
      </c>
      <c r="Q1499" s="103" t="s">
        <v>153</v>
      </c>
      <c r="R1499" s="103" t="s">
        <v>153</v>
      </c>
      <c r="S1499" s="103" t="str">
        <f>INDEX('Measure &amp; Standard CostIDs'!$AK$8:$AK$12,B1499)</f>
        <v>Four+pack</v>
      </c>
      <c r="T1499" s="103" t="s">
        <v>867</v>
      </c>
      <c r="U1499" s="103"/>
      <c r="V1499" s="103"/>
      <c r="W1499" s="103">
        <f>ROUND(IF(LEFT(D1499,3)="Std",VLOOKUP(D1499,'Measure &amp; Standard CostIDs'!$S$5:$X$177,1+B1499,FALSE),VLOOKUP(D1499,'Measure &amp; Standard CostIDs'!$C$5:$H$177,1+B1499,FALSE)),2)</f>
        <v>1.06</v>
      </c>
      <c r="X1499" s="103"/>
      <c r="Y1499" s="103"/>
      <c r="Z1499" s="103" t="s">
        <v>868</v>
      </c>
      <c r="AA1499" s="103" t="s">
        <v>874</v>
      </c>
      <c r="AB1499" s="103" t="s">
        <v>153</v>
      </c>
      <c r="AC1499" s="103">
        <v>0</v>
      </c>
      <c r="AD1499" s="156">
        <v>42005</v>
      </c>
      <c r="AE1499" s="103"/>
      <c r="AF1499" s="103" t="s">
        <v>870</v>
      </c>
      <c r="AG1499" s="103" t="s">
        <v>871</v>
      </c>
      <c r="AH1499" s="103" t="s">
        <v>976</v>
      </c>
      <c r="AI1499" s="103">
        <v>0</v>
      </c>
      <c r="AJ1499" s="103"/>
      <c r="AK1499" s="103"/>
      <c r="AL1499" s="103"/>
      <c r="AM1499" s="103"/>
      <c r="AN1499" s="103"/>
      <c r="AO1499" s="103" t="str">
        <f t="shared" si="83"/>
        <v>Std_CFLscw(11w)_60pInc-r0248Four+pack</v>
      </c>
    </row>
    <row r="1500" spans="1:41">
      <c r="A1500" s="177">
        <f>IFERROR(MATCH(D1500,'Measure &amp; Standard CostIDs'!C$5:C$177,0),MATCH(D1500,'Measure &amp; Standard CostIDs'!S$5:S$177,0))</f>
        <v>4</v>
      </c>
      <c r="B1500" s="177">
        <f t="shared" si="85"/>
        <v>5</v>
      </c>
      <c r="C1500" s="103" t="s">
        <v>153</v>
      </c>
      <c r="D1500" s="103" t="str">
        <f t="shared" si="84"/>
        <v>Std_CFLscw(12w)_60pInc-r0248</v>
      </c>
      <c r="E1500" s="103" t="str">
        <f>IF(LEFT(D1500,3)="Std","Base case cost for mix of 60% Incandescent and 40% CFL lamps for CFL TechID: "&amp;INDEX('Measure &amp; Standard CostIDs'!$C$5:$C$177,A1500),"&lt;from TechID&gt;")</f>
        <v>Base case cost for mix of 60% Incandescent and 40% CFL lamps for CFL TechID: CFLscw(12w)</v>
      </c>
      <c r="F1500" s="103" t="s">
        <v>860</v>
      </c>
      <c r="G1500" s="103" t="s">
        <v>151</v>
      </c>
      <c r="H1500" s="103" t="s">
        <v>861</v>
      </c>
      <c r="I1500" s="103" t="s">
        <v>862</v>
      </c>
      <c r="J1500" s="103" t="s">
        <v>863</v>
      </c>
      <c r="K1500" s="103" t="s">
        <v>864</v>
      </c>
      <c r="L1500" s="103" t="s">
        <v>153</v>
      </c>
      <c r="M1500" s="103" t="s">
        <v>865</v>
      </c>
      <c r="N1500" s="103" t="s">
        <v>866</v>
      </c>
      <c r="O1500" s="103" t="str">
        <f t="shared" si="82"/>
        <v/>
      </c>
      <c r="P1500" s="103" t="s">
        <v>153</v>
      </c>
      <c r="Q1500" s="103" t="s">
        <v>153</v>
      </c>
      <c r="R1500" s="103" t="s">
        <v>153</v>
      </c>
      <c r="S1500" s="103" t="str">
        <f>INDEX('Measure &amp; Standard CostIDs'!$AK$8:$AK$12,B1500)</f>
        <v>Four+pack</v>
      </c>
      <c r="T1500" s="103" t="s">
        <v>867</v>
      </c>
      <c r="U1500" s="103"/>
      <c r="V1500" s="103"/>
      <c r="W1500" s="103">
        <f>ROUND(IF(LEFT(D1500,3)="Std",VLOOKUP(D1500,'Measure &amp; Standard CostIDs'!$S$5:$X$177,1+B1500,FALSE),VLOOKUP(D1500,'Measure &amp; Standard CostIDs'!$C$5:$H$177,1+B1500,FALSE)),2)</f>
        <v>1.1100000000000001</v>
      </c>
      <c r="X1500" s="103"/>
      <c r="Y1500" s="103"/>
      <c r="Z1500" s="103" t="s">
        <v>868</v>
      </c>
      <c r="AA1500" s="103" t="s">
        <v>874</v>
      </c>
      <c r="AB1500" s="103" t="s">
        <v>153</v>
      </c>
      <c r="AC1500" s="103">
        <v>0</v>
      </c>
      <c r="AD1500" s="156">
        <v>42005</v>
      </c>
      <c r="AE1500" s="103"/>
      <c r="AF1500" s="103" t="s">
        <v>870</v>
      </c>
      <c r="AG1500" s="103" t="s">
        <v>871</v>
      </c>
      <c r="AH1500" s="103" t="s">
        <v>976</v>
      </c>
      <c r="AI1500" s="103">
        <v>0</v>
      </c>
      <c r="AJ1500" s="103"/>
      <c r="AK1500" s="103"/>
      <c r="AL1500" s="103"/>
      <c r="AM1500" s="103"/>
      <c r="AN1500" s="103"/>
      <c r="AO1500" s="103" t="str">
        <f t="shared" si="83"/>
        <v>Std_CFLscw(12w)_60pInc-r0248Four+pack</v>
      </c>
    </row>
    <row r="1501" spans="1:41">
      <c r="A1501" s="177">
        <f>IFERROR(MATCH(D1501,'Measure &amp; Standard CostIDs'!C$5:C$177,0),MATCH(D1501,'Measure &amp; Standard CostIDs'!S$5:S$177,0))</f>
        <v>5</v>
      </c>
      <c r="B1501" s="177">
        <f t="shared" si="85"/>
        <v>5</v>
      </c>
      <c r="C1501" s="103" t="s">
        <v>153</v>
      </c>
      <c r="D1501" s="103" t="str">
        <f t="shared" si="84"/>
        <v>Std_CFLscw(13w)_60pInc-r0248</v>
      </c>
      <c r="E1501" s="103" t="str">
        <f>IF(LEFT(D1501,3)="Std","Base case cost for mix of 60% Incandescent and 40% CFL lamps for CFL TechID: "&amp;INDEX('Measure &amp; Standard CostIDs'!$C$5:$C$177,A1501),"&lt;from TechID&gt;")</f>
        <v>Base case cost for mix of 60% Incandescent and 40% CFL lamps for CFL TechID: CFLscw(13w)</v>
      </c>
      <c r="F1501" s="103" t="s">
        <v>860</v>
      </c>
      <c r="G1501" s="103" t="s">
        <v>151</v>
      </c>
      <c r="H1501" s="103" t="s">
        <v>861</v>
      </c>
      <c r="I1501" s="103" t="s">
        <v>862</v>
      </c>
      <c r="J1501" s="103" t="s">
        <v>863</v>
      </c>
      <c r="K1501" s="103" t="s">
        <v>864</v>
      </c>
      <c r="L1501" s="103" t="s">
        <v>153</v>
      </c>
      <c r="M1501" s="103" t="s">
        <v>865</v>
      </c>
      <c r="N1501" s="103" t="s">
        <v>866</v>
      </c>
      <c r="O1501" s="103" t="str">
        <f t="shared" si="82"/>
        <v/>
      </c>
      <c r="P1501" s="103" t="s">
        <v>153</v>
      </c>
      <c r="Q1501" s="103" t="s">
        <v>153</v>
      </c>
      <c r="R1501" s="103" t="s">
        <v>153</v>
      </c>
      <c r="S1501" s="103" t="str">
        <f>INDEX('Measure &amp; Standard CostIDs'!$AK$8:$AK$12,B1501)</f>
        <v>Four+pack</v>
      </c>
      <c r="T1501" s="103" t="s">
        <v>867</v>
      </c>
      <c r="U1501" s="103"/>
      <c r="V1501" s="103"/>
      <c r="W1501" s="103">
        <f>ROUND(IF(LEFT(D1501,3)="Std",VLOOKUP(D1501,'Measure &amp; Standard CostIDs'!$S$5:$X$177,1+B1501,FALSE),VLOOKUP(D1501,'Measure &amp; Standard CostIDs'!$C$5:$H$177,1+B1501,FALSE)),2)</f>
        <v>1.1499999999999999</v>
      </c>
      <c r="X1501" s="103"/>
      <c r="Y1501" s="103"/>
      <c r="Z1501" s="103" t="s">
        <v>868</v>
      </c>
      <c r="AA1501" s="103" t="s">
        <v>874</v>
      </c>
      <c r="AB1501" s="103" t="s">
        <v>153</v>
      </c>
      <c r="AC1501" s="103">
        <v>0</v>
      </c>
      <c r="AD1501" s="156">
        <v>42005</v>
      </c>
      <c r="AE1501" s="103"/>
      <c r="AF1501" s="103" t="s">
        <v>870</v>
      </c>
      <c r="AG1501" s="103" t="s">
        <v>871</v>
      </c>
      <c r="AH1501" s="103" t="s">
        <v>976</v>
      </c>
      <c r="AI1501" s="103">
        <v>0</v>
      </c>
      <c r="AJ1501" s="103"/>
      <c r="AK1501" s="103"/>
      <c r="AL1501" s="103"/>
      <c r="AM1501" s="103"/>
      <c r="AN1501" s="103"/>
      <c r="AO1501" s="103" t="str">
        <f t="shared" si="83"/>
        <v>Std_CFLscw(13w)_60pInc-r0248Four+pack</v>
      </c>
    </row>
    <row r="1502" spans="1:41">
      <c r="A1502" s="177">
        <f>IFERROR(MATCH(D1502,'Measure &amp; Standard CostIDs'!C$5:C$177,0),MATCH(D1502,'Measure &amp; Standard CostIDs'!S$5:S$177,0))</f>
        <v>6</v>
      </c>
      <c r="B1502" s="177">
        <f t="shared" si="85"/>
        <v>5</v>
      </c>
      <c r="C1502" s="103" t="s">
        <v>153</v>
      </c>
      <c r="D1502" s="103" t="str">
        <f t="shared" si="84"/>
        <v>Std_CFLscw(14w)_60pInc-r0248</v>
      </c>
      <c r="E1502" s="103" t="str">
        <f>IF(LEFT(D1502,3)="Std","Base case cost for mix of 60% Incandescent and 40% CFL lamps for CFL TechID: "&amp;INDEX('Measure &amp; Standard CostIDs'!$C$5:$C$177,A1502),"&lt;from TechID&gt;")</f>
        <v>Base case cost for mix of 60% Incandescent and 40% CFL lamps for CFL TechID: CFLscw(14w)</v>
      </c>
      <c r="F1502" s="103" t="s">
        <v>860</v>
      </c>
      <c r="G1502" s="103" t="s">
        <v>151</v>
      </c>
      <c r="H1502" s="103" t="s">
        <v>861</v>
      </c>
      <c r="I1502" s="103" t="s">
        <v>862</v>
      </c>
      <c r="J1502" s="103" t="s">
        <v>863</v>
      </c>
      <c r="K1502" s="103" t="s">
        <v>864</v>
      </c>
      <c r="L1502" s="103" t="s">
        <v>153</v>
      </c>
      <c r="M1502" s="103" t="s">
        <v>865</v>
      </c>
      <c r="N1502" s="103" t="s">
        <v>866</v>
      </c>
      <c r="O1502" s="103" t="str">
        <f t="shared" si="82"/>
        <v/>
      </c>
      <c r="P1502" s="103" t="s">
        <v>153</v>
      </c>
      <c r="Q1502" s="103" t="s">
        <v>153</v>
      </c>
      <c r="R1502" s="103" t="s">
        <v>153</v>
      </c>
      <c r="S1502" s="103" t="str">
        <f>INDEX('Measure &amp; Standard CostIDs'!$AK$8:$AK$12,B1502)</f>
        <v>Four+pack</v>
      </c>
      <c r="T1502" s="103" t="s">
        <v>867</v>
      </c>
      <c r="U1502" s="103"/>
      <c r="V1502" s="103"/>
      <c r="W1502" s="103">
        <f>ROUND(IF(LEFT(D1502,3)="Std",VLOOKUP(D1502,'Measure &amp; Standard CostIDs'!$S$5:$X$177,1+B1502,FALSE),VLOOKUP(D1502,'Measure &amp; Standard CostIDs'!$C$5:$H$177,1+B1502,FALSE)),2)</f>
        <v>1.2</v>
      </c>
      <c r="X1502" s="103"/>
      <c r="Y1502" s="103"/>
      <c r="Z1502" s="103" t="s">
        <v>868</v>
      </c>
      <c r="AA1502" s="103" t="s">
        <v>874</v>
      </c>
      <c r="AB1502" s="103" t="s">
        <v>153</v>
      </c>
      <c r="AC1502" s="103">
        <v>0</v>
      </c>
      <c r="AD1502" s="156">
        <v>42005</v>
      </c>
      <c r="AE1502" s="103"/>
      <c r="AF1502" s="103" t="s">
        <v>870</v>
      </c>
      <c r="AG1502" s="103" t="s">
        <v>871</v>
      </c>
      <c r="AH1502" s="103" t="s">
        <v>976</v>
      </c>
      <c r="AI1502" s="103">
        <v>0</v>
      </c>
      <c r="AJ1502" s="103"/>
      <c r="AK1502" s="103"/>
      <c r="AL1502" s="103"/>
      <c r="AM1502" s="103"/>
      <c r="AN1502" s="103"/>
      <c r="AO1502" s="103" t="str">
        <f t="shared" si="83"/>
        <v>Std_CFLscw(14w)_60pInc-r0248Four+pack</v>
      </c>
    </row>
    <row r="1503" spans="1:41">
      <c r="A1503" s="177">
        <f>IFERROR(MATCH(D1503,'Measure &amp; Standard CostIDs'!C$5:C$177,0),MATCH(D1503,'Measure &amp; Standard CostIDs'!S$5:S$177,0))</f>
        <v>7</v>
      </c>
      <c r="B1503" s="177">
        <f t="shared" si="85"/>
        <v>5</v>
      </c>
      <c r="C1503" s="103" t="s">
        <v>153</v>
      </c>
      <c r="D1503" s="103" t="str">
        <f t="shared" si="84"/>
        <v>Std_CFLscw(15w)_60pInc-r0248</v>
      </c>
      <c r="E1503" s="103" t="str">
        <f>IF(LEFT(D1503,3)="Std","Base case cost for mix of 60% Incandescent and 40% CFL lamps for CFL TechID: "&amp;INDEX('Measure &amp; Standard CostIDs'!$C$5:$C$177,A1503),"&lt;from TechID&gt;")</f>
        <v>Base case cost for mix of 60% Incandescent and 40% CFL lamps for CFL TechID: CFLscw(15w)</v>
      </c>
      <c r="F1503" s="103" t="s">
        <v>860</v>
      </c>
      <c r="G1503" s="103" t="s">
        <v>151</v>
      </c>
      <c r="H1503" s="103" t="s">
        <v>861</v>
      </c>
      <c r="I1503" s="103" t="s">
        <v>862</v>
      </c>
      <c r="J1503" s="103" t="s">
        <v>863</v>
      </c>
      <c r="K1503" s="103" t="s">
        <v>864</v>
      </c>
      <c r="L1503" s="103" t="s">
        <v>153</v>
      </c>
      <c r="M1503" s="103" t="s">
        <v>865</v>
      </c>
      <c r="N1503" s="103" t="s">
        <v>866</v>
      </c>
      <c r="O1503" s="103" t="str">
        <f t="shared" si="82"/>
        <v/>
      </c>
      <c r="P1503" s="103" t="s">
        <v>153</v>
      </c>
      <c r="Q1503" s="103" t="s">
        <v>153</v>
      </c>
      <c r="R1503" s="103" t="s">
        <v>153</v>
      </c>
      <c r="S1503" s="103" t="str">
        <f>INDEX('Measure &amp; Standard CostIDs'!$AK$8:$AK$12,B1503)</f>
        <v>Four+pack</v>
      </c>
      <c r="T1503" s="103" t="s">
        <v>867</v>
      </c>
      <c r="U1503" s="103"/>
      <c r="V1503" s="103"/>
      <c r="W1503" s="103">
        <f>ROUND(IF(LEFT(D1503,3)="Std",VLOOKUP(D1503,'Measure &amp; Standard CostIDs'!$S$5:$X$177,1+B1503,FALSE),VLOOKUP(D1503,'Measure &amp; Standard CostIDs'!$C$5:$H$177,1+B1503,FALSE)),2)</f>
        <v>1.25</v>
      </c>
      <c r="X1503" s="103"/>
      <c r="Y1503" s="103"/>
      <c r="Z1503" s="103" t="s">
        <v>868</v>
      </c>
      <c r="AA1503" s="103" t="s">
        <v>874</v>
      </c>
      <c r="AB1503" s="103" t="s">
        <v>153</v>
      </c>
      <c r="AC1503" s="103">
        <v>0</v>
      </c>
      <c r="AD1503" s="156">
        <v>42005</v>
      </c>
      <c r="AE1503" s="103"/>
      <c r="AF1503" s="103" t="s">
        <v>870</v>
      </c>
      <c r="AG1503" s="103" t="s">
        <v>871</v>
      </c>
      <c r="AH1503" s="103" t="s">
        <v>976</v>
      </c>
      <c r="AI1503" s="103">
        <v>0</v>
      </c>
      <c r="AJ1503" s="103"/>
      <c r="AK1503" s="103"/>
      <c r="AL1503" s="103"/>
      <c r="AM1503" s="103"/>
      <c r="AN1503" s="103"/>
      <c r="AO1503" s="103" t="str">
        <f t="shared" si="83"/>
        <v>Std_CFLscw(15w)_60pInc-r0248Four+pack</v>
      </c>
    </row>
    <row r="1504" spans="1:41">
      <c r="A1504" s="177">
        <f>IFERROR(MATCH(D1504,'Measure &amp; Standard CostIDs'!C$5:C$177,0),MATCH(D1504,'Measure &amp; Standard CostIDs'!S$5:S$177,0))</f>
        <v>8</v>
      </c>
      <c r="B1504" s="177">
        <f t="shared" si="85"/>
        <v>5</v>
      </c>
      <c r="C1504" s="103" t="s">
        <v>153</v>
      </c>
      <c r="D1504" s="103" t="str">
        <f t="shared" si="84"/>
        <v>Std_CFLscw(16w)_60pInc-r0248</v>
      </c>
      <c r="E1504" s="103" t="str">
        <f>IF(LEFT(D1504,3)="Std","Base case cost for mix of 60% Incandescent and 40% CFL lamps for CFL TechID: "&amp;INDEX('Measure &amp; Standard CostIDs'!$C$5:$C$177,A1504),"&lt;from TechID&gt;")</f>
        <v>Base case cost for mix of 60% Incandescent and 40% CFL lamps for CFL TechID: CFLscw(16w)</v>
      </c>
      <c r="F1504" s="103" t="s">
        <v>860</v>
      </c>
      <c r="G1504" s="103" t="s">
        <v>151</v>
      </c>
      <c r="H1504" s="103" t="s">
        <v>861</v>
      </c>
      <c r="I1504" s="103" t="s">
        <v>862</v>
      </c>
      <c r="J1504" s="103" t="s">
        <v>863</v>
      </c>
      <c r="K1504" s="103" t="s">
        <v>864</v>
      </c>
      <c r="L1504" s="103" t="s">
        <v>153</v>
      </c>
      <c r="M1504" s="103" t="s">
        <v>865</v>
      </c>
      <c r="N1504" s="103" t="s">
        <v>866</v>
      </c>
      <c r="O1504" s="103" t="str">
        <f t="shared" si="82"/>
        <v/>
      </c>
      <c r="P1504" s="103" t="s">
        <v>153</v>
      </c>
      <c r="Q1504" s="103" t="s">
        <v>153</v>
      </c>
      <c r="R1504" s="103" t="s">
        <v>153</v>
      </c>
      <c r="S1504" s="103" t="str">
        <f>INDEX('Measure &amp; Standard CostIDs'!$AK$8:$AK$12,B1504)</f>
        <v>Four+pack</v>
      </c>
      <c r="T1504" s="103" t="s">
        <v>867</v>
      </c>
      <c r="U1504" s="103"/>
      <c r="V1504" s="103"/>
      <c r="W1504" s="103">
        <f>ROUND(IF(LEFT(D1504,3)="Std",VLOOKUP(D1504,'Measure &amp; Standard CostIDs'!$S$5:$X$177,1+B1504,FALSE),VLOOKUP(D1504,'Measure &amp; Standard CostIDs'!$C$5:$H$177,1+B1504,FALSE)),2)</f>
        <v>1.3</v>
      </c>
      <c r="X1504" s="103"/>
      <c r="Y1504" s="103"/>
      <c r="Z1504" s="103" t="s">
        <v>868</v>
      </c>
      <c r="AA1504" s="103" t="s">
        <v>874</v>
      </c>
      <c r="AB1504" s="103" t="s">
        <v>153</v>
      </c>
      <c r="AC1504" s="103">
        <v>0</v>
      </c>
      <c r="AD1504" s="156">
        <v>42005</v>
      </c>
      <c r="AE1504" s="103"/>
      <c r="AF1504" s="103" t="s">
        <v>870</v>
      </c>
      <c r="AG1504" s="103" t="s">
        <v>871</v>
      </c>
      <c r="AH1504" s="103" t="s">
        <v>976</v>
      </c>
      <c r="AI1504" s="103">
        <v>0</v>
      </c>
      <c r="AJ1504" s="103"/>
      <c r="AK1504" s="103"/>
      <c r="AL1504" s="103"/>
      <c r="AM1504" s="103"/>
      <c r="AN1504" s="103"/>
      <c r="AO1504" s="103" t="str">
        <f t="shared" si="83"/>
        <v>Std_CFLscw(16w)_60pInc-r0248Four+pack</v>
      </c>
    </row>
    <row r="1505" spans="1:41">
      <c r="A1505" s="177">
        <f>IFERROR(MATCH(D1505,'Measure &amp; Standard CostIDs'!C$5:C$177,0),MATCH(D1505,'Measure &amp; Standard CostIDs'!S$5:S$177,0))</f>
        <v>9</v>
      </c>
      <c r="B1505" s="177">
        <f t="shared" si="85"/>
        <v>5</v>
      </c>
      <c r="C1505" s="103" t="s">
        <v>153</v>
      </c>
      <c r="D1505" s="103" t="str">
        <f t="shared" si="84"/>
        <v>Std_CFLscw(17w)_60pInc-r0248</v>
      </c>
      <c r="E1505" s="103" t="str">
        <f>IF(LEFT(D1505,3)="Std","Base case cost for mix of 60% Incandescent and 40% CFL lamps for CFL TechID: "&amp;INDEX('Measure &amp; Standard CostIDs'!$C$5:$C$177,A1505),"&lt;from TechID&gt;")</f>
        <v>Base case cost for mix of 60% Incandescent and 40% CFL lamps for CFL TechID: CFLscw(17w)</v>
      </c>
      <c r="F1505" s="103" t="s">
        <v>860</v>
      </c>
      <c r="G1505" s="103" t="s">
        <v>151</v>
      </c>
      <c r="H1505" s="103" t="s">
        <v>861</v>
      </c>
      <c r="I1505" s="103" t="s">
        <v>862</v>
      </c>
      <c r="J1505" s="103" t="s">
        <v>863</v>
      </c>
      <c r="K1505" s="103" t="s">
        <v>864</v>
      </c>
      <c r="L1505" s="103" t="s">
        <v>153</v>
      </c>
      <c r="M1505" s="103" t="s">
        <v>865</v>
      </c>
      <c r="N1505" s="103" t="s">
        <v>866</v>
      </c>
      <c r="O1505" s="103" t="str">
        <f t="shared" si="82"/>
        <v/>
      </c>
      <c r="P1505" s="103" t="s">
        <v>153</v>
      </c>
      <c r="Q1505" s="103" t="s">
        <v>153</v>
      </c>
      <c r="R1505" s="103" t="s">
        <v>153</v>
      </c>
      <c r="S1505" s="103" t="str">
        <f>INDEX('Measure &amp; Standard CostIDs'!$AK$8:$AK$12,B1505)</f>
        <v>Four+pack</v>
      </c>
      <c r="T1505" s="103" t="s">
        <v>867</v>
      </c>
      <c r="U1505" s="103"/>
      <c r="V1505" s="103"/>
      <c r="W1505" s="103">
        <f>ROUND(IF(LEFT(D1505,3)="Std",VLOOKUP(D1505,'Measure &amp; Standard CostIDs'!$S$5:$X$177,1+B1505,FALSE),VLOOKUP(D1505,'Measure &amp; Standard CostIDs'!$C$5:$H$177,1+B1505,FALSE)),2)</f>
        <v>1.34</v>
      </c>
      <c r="X1505" s="103"/>
      <c r="Y1505" s="103"/>
      <c r="Z1505" s="103" t="s">
        <v>868</v>
      </c>
      <c r="AA1505" s="103" t="s">
        <v>874</v>
      </c>
      <c r="AB1505" s="103" t="s">
        <v>153</v>
      </c>
      <c r="AC1505" s="103">
        <v>0</v>
      </c>
      <c r="AD1505" s="156">
        <v>42005</v>
      </c>
      <c r="AE1505" s="103"/>
      <c r="AF1505" s="103" t="s">
        <v>870</v>
      </c>
      <c r="AG1505" s="103" t="s">
        <v>871</v>
      </c>
      <c r="AH1505" s="103" t="s">
        <v>976</v>
      </c>
      <c r="AI1505" s="103">
        <v>0</v>
      </c>
      <c r="AJ1505" s="103"/>
      <c r="AK1505" s="103"/>
      <c r="AL1505" s="103"/>
      <c r="AM1505" s="103"/>
      <c r="AN1505" s="103"/>
      <c r="AO1505" s="103" t="str">
        <f t="shared" si="83"/>
        <v>Std_CFLscw(17w)_60pInc-r0248Four+pack</v>
      </c>
    </row>
    <row r="1506" spans="1:41">
      <c r="A1506" s="177">
        <f>IFERROR(MATCH(D1506,'Measure &amp; Standard CostIDs'!C$5:C$177,0),MATCH(D1506,'Measure &amp; Standard CostIDs'!S$5:S$177,0))</f>
        <v>10</v>
      </c>
      <c r="B1506" s="177">
        <f t="shared" si="85"/>
        <v>5</v>
      </c>
      <c r="C1506" s="103" t="s">
        <v>153</v>
      </c>
      <c r="D1506" s="103" t="str">
        <f t="shared" si="84"/>
        <v>Std_CFLscw(18w)_60pInc-r0248</v>
      </c>
      <c r="E1506" s="103" t="str">
        <f>IF(LEFT(D1506,3)="Std","Base case cost for mix of 60% Incandescent and 40% CFL lamps for CFL TechID: "&amp;INDEX('Measure &amp; Standard CostIDs'!$C$5:$C$177,A1506),"&lt;from TechID&gt;")</f>
        <v>Base case cost for mix of 60% Incandescent and 40% CFL lamps for CFL TechID: CFLscw(18w)</v>
      </c>
      <c r="F1506" s="103" t="s">
        <v>860</v>
      </c>
      <c r="G1506" s="103" t="s">
        <v>151</v>
      </c>
      <c r="H1506" s="103" t="s">
        <v>861</v>
      </c>
      <c r="I1506" s="103" t="s">
        <v>862</v>
      </c>
      <c r="J1506" s="103" t="s">
        <v>863</v>
      </c>
      <c r="K1506" s="103" t="s">
        <v>864</v>
      </c>
      <c r="L1506" s="103" t="s">
        <v>153</v>
      </c>
      <c r="M1506" s="103" t="s">
        <v>865</v>
      </c>
      <c r="N1506" s="103" t="s">
        <v>866</v>
      </c>
      <c r="O1506" s="103" t="str">
        <f t="shared" si="82"/>
        <v/>
      </c>
      <c r="P1506" s="103" t="s">
        <v>153</v>
      </c>
      <c r="Q1506" s="103" t="s">
        <v>153</v>
      </c>
      <c r="R1506" s="103" t="s">
        <v>153</v>
      </c>
      <c r="S1506" s="103" t="str">
        <f>INDEX('Measure &amp; Standard CostIDs'!$AK$8:$AK$12,B1506)</f>
        <v>Four+pack</v>
      </c>
      <c r="T1506" s="103" t="s">
        <v>867</v>
      </c>
      <c r="U1506" s="103"/>
      <c r="V1506" s="103"/>
      <c r="W1506" s="103">
        <f>ROUND(IF(LEFT(D1506,3)="Std",VLOOKUP(D1506,'Measure &amp; Standard CostIDs'!$S$5:$X$177,1+B1506,FALSE),VLOOKUP(D1506,'Measure &amp; Standard CostIDs'!$C$5:$H$177,1+B1506,FALSE)),2)</f>
        <v>1.38</v>
      </c>
      <c r="X1506" s="103"/>
      <c r="Y1506" s="103"/>
      <c r="Z1506" s="103" t="s">
        <v>868</v>
      </c>
      <c r="AA1506" s="103" t="s">
        <v>874</v>
      </c>
      <c r="AB1506" s="103" t="s">
        <v>153</v>
      </c>
      <c r="AC1506" s="103">
        <v>0</v>
      </c>
      <c r="AD1506" s="156">
        <v>42005</v>
      </c>
      <c r="AE1506" s="103"/>
      <c r="AF1506" s="103" t="s">
        <v>870</v>
      </c>
      <c r="AG1506" s="103" t="s">
        <v>871</v>
      </c>
      <c r="AH1506" s="103" t="s">
        <v>976</v>
      </c>
      <c r="AI1506" s="103">
        <v>0</v>
      </c>
      <c r="AJ1506" s="103"/>
      <c r="AK1506" s="103"/>
      <c r="AL1506" s="103"/>
      <c r="AM1506" s="103"/>
      <c r="AN1506" s="103"/>
      <c r="AO1506" s="103" t="str">
        <f t="shared" si="83"/>
        <v>Std_CFLscw(18w)_60pInc-r0248Four+pack</v>
      </c>
    </row>
    <row r="1507" spans="1:41">
      <c r="A1507" s="177">
        <f>IFERROR(MATCH(D1507,'Measure &amp; Standard CostIDs'!C$5:C$177,0),MATCH(D1507,'Measure &amp; Standard CostIDs'!S$5:S$177,0))</f>
        <v>11</v>
      </c>
      <c r="B1507" s="177">
        <f t="shared" si="85"/>
        <v>5</v>
      </c>
      <c r="C1507" s="103" t="s">
        <v>153</v>
      </c>
      <c r="D1507" s="103" t="str">
        <f t="shared" si="84"/>
        <v>Std_CFLscw(19w)_60pInc-r0248</v>
      </c>
      <c r="E1507" s="103" t="str">
        <f>IF(LEFT(D1507,3)="Std","Base case cost for mix of 60% Incandescent and 40% CFL lamps for CFL TechID: "&amp;INDEX('Measure &amp; Standard CostIDs'!$C$5:$C$177,A1507),"&lt;from TechID&gt;")</f>
        <v>Base case cost for mix of 60% Incandescent and 40% CFL lamps for CFL TechID: CFLscw(19w)</v>
      </c>
      <c r="F1507" s="103" t="s">
        <v>860</v>
      </c>
      <c r="G1507" s="103" t="s">
        <v>151</v>
      </c>
      <c r="H1507" s="103" t="s">
        <v>861</v>
      </c>
      <c r="I1507" s="103" t="s">
        <v>862</v>
      </c>
      <c r="J1507" s="103" t="s">
        <v>863</v>
      </c>
      <c r="K1507" s="103" t="s">
        <v>864</v>
      </c>
      <c r="L1507" s="103" t="s">
        <v>153</v>
      </c>
      <c r="M1507" s="103" t="s">
        <v>865</v>
      </c>
      <c r="N1507" s="103" t="s">
        <v>866</v>
      </c>
      <c r="O1507" s="103" t="str">
        <f t="shared" si="82"/>
        <v/>
      </c>
      <c r="P1507" s="103" t="s">
        <v>153</v>
      </c>
      <c r="Q1507" s="103" t="s">
        <v>153</v>
      </c>
      <c r="R1507" s="103" t="s">
        <v>153</v>
      </c>
      <c r="S1507" s="103" t="str">
        <f>INDEX('Measure &amp; Standard CostIDs'!$AK$8:$AK$12,B1507)</f>
        <v>Four+pack</v>
      </c>
      <c r="T1507" s="103" t="s">
        <v>867</v>
      </c>
      <c r="U1507" s="103"/>
      <c r="V1507" s="103"/>
      <c r="W1507" s="103">
        <f>ROUND(IF(LEFT(D1507,3)="Std",VLOOKUP(D1507,'Measure &amp; Standard CostIDs'!$S$5:$X$177,1+B1507,FALSE),VLOOKUP(D1507,'Measure &amp; Standard CostIDs'!$C$5:$H$177,1+B1507,FALSE)),2)</f>
        <v>1.43</v>
      </c>
      <c r="X1507" s="103"/>
      <c r="Y1507" s="103"/>
      <c r="Z1507" s="103" t="s">
        <v>868</v>
      </c>
      <c r="AA1507" s="103" t="s">
        <v>874</v>
      </c>
      <c r="AB1507" s="103" t="s">
        <v>153</v>
      </c>
      <c r="AC1507" s="103">
        <v>0</v>
      </c>
      <c r="AD1507" s="156">
        <v>42005</v>
      </c>
      <c r="AE1507" s="103"/>
      <c r="AF1507" s="103" t="s">
        <v>870</v>
      </c>
      <c r="AG1507" s="103" t="s">
        <v>871</v>
      </c>
      <c r="AH1507" s="103" t="s">
        <v>976</v>
      </c>
      <c r="AI1507" s="103">
        <v>0</v>
      </c>
      <c r="AJ1507" s="103"/>
      <c r="AK1507" s="103"/>
      <c r="AL1507" s="103"/>
      <c r="AM1507" s="103"/>
      <c r="AN1507" s="103"/>
      <c r="AO1507" s="103" t="str">
        <f t="shared" si="83"/>
        <v>Std_CFLscw(19w)_60pInc-r0248Four+pack</v>
      </c>
    </row>
    <row r="1508" spans="1:41">
      <c r="A1508" s="177">
        <f>IFERROR(MATCH(D1508,'Measure &amp; Standard CostIDs'!C$5:C$177,0),MATCH(D1508,'Measure &amp; Standard CostIDs'!S$5:S$177,0))</f>
        <v>12</v>
      </c>
      <c r="B1508" s="177">
        <f t="shared" si="85"/>
        <v>5</v>
      </c>
      <c r="C1508" s="103" t="s">
        <v>153</v>
      </c>
      <c r="D1508" s="103" t="str">
        <f t="shared" si="84"/>
        <v>Std_CFLscw(20w)_60pInc-r0248</v>
      </c>
      <c r="E1508" s="103" t="str">
        <f>IF(LEFT(D1508,3)="Std","Base case cost for mix of 60% Incandescent and 40% CFL lamps for CFL TechID: "&amp;INDEX('Measure &amp; Standard CostIDs'!$C$5:$C$177,A1508),"&lt;from TechID&gt;")</f>
        <v>Base case cost for mix of 60% Incandescent and 40% CFL lamps for CFL TechID: CFLscw(20w)</v>
      </c>
      <c r="F1508" s="103" t="s">
        <v>860</v>
      </c>
      <c r="G1508" s="103" t="s">
        <v>151</v>
      </c>
      <c r="H1508" s="103" t="s">
        <v>861</v>
      </c>
      <c r="I1508" s="103" t="s">
        <v>862</v>
      </c>
      <c r="J1508" s="103" t="s">
        <v>863</v>
      </c>
      <c r="K1508" s="103" t="s">
        <v>864</v>
      </c>
      <c r="L1508" s="103" t="s">
        <v>153</v>
      </c>
      <c r="M1508" s="103" t="s">
        <v>865</v>
      </c>
      <c r="N1508" s="103" t="s">
        <v>866</v>
      </c>
      <c r="O1508" s="103" t="str">
        <f t="shared" si="82"/>
        <v/>
      </c>
      <c r="P1508" s="103" t="s">
        <v>153</v>
      </c>
      <c r="Q1508" s="103" t="s">
        <v>153</v>
      </c>
      <c r="R1508" s="103" t="s">
        <v>153</v>
      </c>
      <c r="S1508" s="103" t="str">
        <f>INDEX('Measure &amp; Standard CostIDs'!$AK$8:$AK$12,B1508)</f>
        <v>Four+pack</v>
      </c>
      <c r="T1508" s="103" t="s">
        <v>867</v>
      </c>
      <c r="U1508" s="103"/>
      <c r="V1508" s="103"/>
      <c r="W1508" s="103">
        <f>ROUND(IF(LEFT(D1508,3)="Std",VLOOKUP(D1508,'Measure &amp; Standard CostIDs'!$S$5:$X$177,1+B1508,FALSE),VLOOKUP(D1508,'Measure &amp; Standard CostIDs'!$C$5:$H$177,1+B1508,FALSE)),2)</f>
        <v>1.47</v>
      </c>
      <c r="X1508" s="103"/>
      <c r="Y1508" s="103"/>
      <c r="Z1508" s="103" t="s">
        <v>868</v>
      </c>
      <c r="AA1508" s="103" t="s">
        <v>874</v>
      </c>
      <c r="AB1508" s="103" t="s">
        <v>153</v>
      </c>
      <c r="AC1508" s="103">
        <v>0</v>
      </c>
      <c r="AD1508" s="156">
        <v>42005</v>
      </c>
      <c r="AE1508" s="103"/>
      <c r="AF1508" s="103" t="s">
        <v>870</v>
      </c>
      <c r="AG1508" s="103" t="s">
        <v>871</v>
      </c>
      <c r="AH1508" s="103" t="s">
        <v>976</v>
      </c>
      <c r="AI1508" s="103">
        <v>0</v>
      </c>
      <c r="AJ1508" s="103"/>
      <c r="AK1508" s="103"/>
      <c r="AL1508" s="103"/>
      <c r="AM1508" s="103"/>
      <c r="AN1508" s="103"/>
      <c r="AO1508" s="103" t="str">
        <f t="shared" si="83"/>
        <v>Std_CFLscw(20w)_60pInc-r0248Four+pack</v>
      </c>
    </row>
    <row r="1509" spans="1:41">
      <c r="A1509" s="177">
        <f>IFERROR(MATCH(D1509,'Measure &amp; Standard CostIDs'!C$5:C$177,0),MATCH(D1509,'Measure &amp; Standard CostIDs'!S$5:S$177,0))</f>
        <v>13</v>
      </c>
      <c r="B1509" s="177">
        <f t="shared" si="85"/>
        <v>5</v>
      </c>
      <c r="C1509" s="103" t="s">
        <v>153</v>
      </c>
      <c r="D1509" s="103" t="str">
        <f t="shared" si="84"/>
        <v>Std_CFLscw(21w)_60pInc-r0248</v>
      </c>
      <c r="E1509" s="103" t="str">
        <f>IF(LEFT(D1509,3)="Std","Base case cost for mix of 60% Incandescent and 40% CFL lamps for CFL TechID: "&amp;INDEX('Measure &amp; Standard CostIDs'!$C$5:$C$177,A1509),"&lt;from TechID&gt;")</f>
        <v>Base case cost for mix of 60% Incandescent and 40% CFL lamps for CFL TechID: CFLscw(21w)</v>
      </c>
      <c r="F1509" s="103" t="s">
        <v>860</v>
      </c>
      <c r="G1509" s="103" t="s">
        <v>151</v>
      </c>
      <c r="H1509" s="103" t="s">
        <v>861</v>
      </c>
      <c r="I1509" s="103" t="s">
        <v>862</v>
      </c>
      <c r="J1509" s="103" t="s">
        <v>863</v>
      </c>
      <c r="K1509" s="103" t="s">
        <v>864</v>
      </c>
      <c r="L1509" s="103" t="s">
        <v>153</v>
      </c>
      <c r="M1509" s="103" t="s">
        <v>865</v>
      </c>
      <c r="N1509" s="103" t="s">
        <v>866</v>
      </c>
      <c r="O1509" s="103" t="str">
        <f t="shared" si="82"/>
        <v/>
      </c>
      <c r="P1509" s="103" t="s">
        <v>153</v>
      </c>
      <c r="Q1509" s="103" t="s">
        <v>153</v>
      </c>
      <c r="R1509" s="103" t="s">
        <v>153</v>
      </c>
      <c r="S1509" s="103" t="str">
        <f>INDEX('Measure &amp; Standard CostIDs'!$AK$8:$AK$12,B1509)</f>
        <v>Four+pack</v>
      </c>
      <c r="T1509" s="103" t="s">
        <v>867</v>
      </c>
      <c r="U1509" s="103"/>
      <c r="V1509" s="103"/>
      <c r="W1509" s="103">
        <f>ROUND(IF(LEFT(D1509,3)="Std",VLOOKUP(D1509,'Measure &amp; Standard CostIDs'!$S$5:$X$177,1+B1509,FALSE),VLOOKUP(D1509,'Measure &amp; Standard CostIDs'!$C$5:$H$177,1+B1509,FALSE)),2)</f>
        <v>1.52</v>
      </c>
      <c r="X1509" s="103"/>
      <c r="Y1509" s="103"/>
      <c r="Z1509" s="103" t="s">
        <v>868</v>
      </c>
      <c r="AA1509" s="103" t="s">
        <v>874</v>
      </c>
      <c r="AB1509" s="103" t="s">
        <v>153</v>
      </c>
      <c r="AC1509" s="103">
        <v>0</v>
      </c>
      <c r="AD1509" s="156">
        <v>42005</v>
      </c>
      <c r="AE1509" s="103"/>
      <c r="AF1509" s="103" t="s">
        <v>870</v>
      </c>
      <c r="AG1509" s="103" t="s">
        <v>871</v>
      </c>
      <c r="AH1509" s="103" t="s">
        <v>976</v>
      </c>
      <c r="AI1509" s="103">
        <v>0</v>
      </c>
      <c r="AJ1509" s="103"/>
      <c r="AK1509" s="103"/>
      <c r="AL1509" s="103"/>
      <c r="AM1509" s="103"/>
      <c r="AN1509" s="103"/>
      <c r="AO1509" s="103" t="str">
        <f t="shared" si="83"/>
        <v>Std_CFLscw(21w)_60pInc-r0248Four+pack</v>
      </c>
    </row>
    <row r="1510" spans="1:41">
      <c r="A1510" s="177">
        <f>IFERROR(MATCH(D1510,'Measure &amp; Standard CostIDs'!C$5:C$177,0),MATCH(D1510,'Measure &amp; Standard CostIDs'!S$5:S$177,0))</f>
        <v>14</v>
      </c>
      <c r="B1510" s="177">
        <f t="shared" si="85"/>
        <v>5</v>
      </c>
      <c r="C1510" s="103" t="s">
        <v>153</v>
      </c>
      <c r="D1510" s="103" t="str">
        <f t="shared" si="84"/>
        <v>Std_CFLscw(22w)_60pInc-r0248</v>
      </c>
      <c r="E1510" s="103" t="str">
        <f>IF(LEFT(D1510,3)="Std","Base case cost for mix of 60% Incandescent and 40% CFL lamps for CFL TechID: "&amp;INDEX('Measure &amp; Standard CostIDs'!$C$5:$C$177,A1510),"&lt;from TechID&gt;")</f>
        <v>Base case cost for mix of 60% Incandescent and 40% CFL lamps for CFL TechID: CFLscw(22w)</v>
      </c>
      <c r="F1510" s="103" t="s">
        <v>860</v>
      </c>
      <c r="G1510" s="103" t="s">
        <v>151</v>
      </c>
      <c r="H1510" s="103" t="s">
        <v>861</v>
      </c>
      <c r="I1510" s="103" t="s">
        <v>862</v>
      </c>
      <c r="J1510" s="103" t="s">
        <v>863</v>
      </c>
      <c r="K1510" s="103" t="s">
        <v>864</v>
      </c>
      <c r="L1510" s="103" t="s">
        <v>153</v>
      </c>
      <c r="M1510" s="103" t="s">
        <v>865</v>
      </c>
      <c r="N1510" s="103" t="s">
        <v>866</v>
      </c>
      <c r="O1510" s="103" t="str">
        <f t="shared" si="82"/>
        <v/>
      </c>
      <c r="P1510" s="103" t="s">
        <v>153</v>
      </c>
      <c r="Q1510" s="103" t="s">
        <v>153</v>
      </c>
      <c r="R1510" s="103" t="s">
        <v>153</v>
      </c>
      <c r="S1510" s="103" t="str">
        <f>INDEX('Measure &amp; Standard CostIDs'!$AK$8:$AK$12,B1510)</f>
        <v>Four+pack</v>
      </c>
      <c r="T1510" s="103" t="s">
        <v>867</v>
      </c>
      <c r="U1510" s="103"/>
      <c r="V1510" s="103"/>
      <c r="W1510" s="103">
        <f>ROUND(IF(LEFT(D1510,3)="Std",VLOOKUP(D1510,'Measure &amp; Standard CostIDs'!$S$5:$X$177,1+B1510,FALSE),VLOOKUP(D1510,'Measure &amp; Standard CostIDs'!$C$5:$H$177,1+B1510,FALSE)),2)</f>
        <v>1.56</v>
      </c>
      <c r="X1510" s="103"/>
      <c r="Y1510" s="103"/>
      <c r="Z1510" s="103" t="s">
        <v>868</v>
      </c>
      <c r="AA1510" s="103" t="s">
        <v>874</v>
      </c>
      <c r="AB1510" s="103" t="s">
        <v>153</v>
      </c>
      <c r="AC1510" s="103">
        <v>0</v>
      </c>
      <c r="AD1510" s="156">
        <v>42005</v>
      </c>
      <c r="AE1510" s="103"/>
      <c r="AF1510" s="103" t="s">
        <v>870</v>
      </c>
      <c r="AG1510" s="103" t="s">
        <v>871</v>
      </c>
      <c r="AH1510" s="103" t="s">
        <v>976</v>
      </c>
      <c r="AI1510" s="103">
        <v>0</v>
      </c>
      <c r="AJ1510" s="103"/>
      <c r="AK1510" s="103"/>
      <c r="AL1510" s="103"/>
      <c r="AM1510" s="103"/>
      <c r="AN1510" s="103"/>
      <c r="AO1510" s="103" t="str">
        <f t="shared" si="83"/>
        <v>Std_CFLscw(22w)_60pInc-r0248Four+pack</v>
      </c>
    </row>
    <row r="1511" spans="1:41">
      <c r="A1511" s="177">
        <f>IFERROR(MATCH(D1511,'Measure &amp; Standard CostIDs'!C$5:C$177,0),MATCH(D1511,'Measure &amp; Standard CostIDs'!S$5:S$177,0))</f>
        <v>15</v>
      </c>
      <c r="B1511" s="177">
        <f t="shared" si="85"/>
        <v>5</v>
      </c>
      <c r="C1511" s="103" t="s">
        <v>153</v>
      </c>
      <c r="D1511" s="103" t="str">
        <f t="shared" si="84"/>
        <v>Std_CFLscw(23w)_60pInc-r0248</v>
      </c>
      <c r="E1511" s="103" t="str">
        <f>IF(LEFT(D1511,3)="Std","Base case cost for mix of 60% Incandescent and 40% CFL lamps for CFL TechID: "&amp;INDEX('Measure &amp; Standard CostIDs'!$C$5:$C$177,A1511),"&lt;from TechID&gt;")</f>
        <v>Base case cost for mix of 60% Incandescent and 40% CFL lamps for CFL TechID: CFLscw(23w)</v>
      </c>
      <c r="F1511" s="103" t="s">
        <v>860</v>
      </c>
      <c r="G1511" s="103" t="s">
        <v>151</v>
      </c>
      <c r="H1511" s="103" t="s">
        <v>861</v>
      </c>
      <c r="I1511" s="103" t="s">
        <v>862</v>
      </c>
      <c r="J1511" s="103" t="s">
        <v>863</v>
      </c>
      <c r="K1511" s="103" t="s">
        <v>864</v>
      </c>
      <c r="L1511" s="103" t="s">
        <v>153</v>
      </c>
      <c r="M1511" s="103" t="s">
        <v>865</v>
      </c>
      <c r="N1511" s="103" t="s">
        <v>866</v>
      </c>
      <c r="O1511" s="103" t="str">
        <f t="shared" si="82"/>
        <v/>
      </c>
      <c r="P1511" s="103" t="s">
        <v>153</v>
      </c>
      <c r="Q1511" s="103" t="s">
        <v>153</v>
      </c>
      <c r="R1511" s="103" t="s">
        <v>153</v>
      </c>
      <c r="S1511" s="103" t="str">
        <f>INDEX('Measure &amp; Standard CostIDs'!$AK$8:$AK$12,B1511)</f>
        <v>Four+pack</v>
      </c>
      <c r="T1511" s="103" t="s">
        <v>867</v>
      </c>
      <c r="U1511" s="103"/>
      <c r="V1511" s="103"/>
      <c r="W1511" s="103">
        <f>ROUND(IF(LEFT(D1511,3)="Std",VLOOKUP(D1511,'Measure &amp; Standard CostIDs'!$S$5:$X$177,1+B1511,FALSE),VLOOKUP(D1511,'Measure &amp; Standard CostIDs'!$C$5:$H$177,1+B1511,FALSE)),2)</f>
        <v>1.59</v>
      </c>
      <c r="X1511" s="103"/>
      <c r="Y1511" s="103"/>
      <c r="Z1511" s="103" t="s">
        <v>868</v>
      </c>
      <c r="AA1511" s="103" t="s">
        <v>874</v>
      </c>
      <c r="AB1511" s="103" t="s">
        <v>153</v>
      </c>
      <c r="AC1511" s="103">
        <v>0</v>
      </c>
      <c r="AD1511" s="156">
        <v>42005</v>
      </c>
      <c r="AE1511" s="103"/>
      <c r="AF1511" s="103" t="s">
        <v>870</v>
      </c>
      <c r="AG1511" s="103" t="s">
        <v>871</v>
      </c>
      <c r="AH1511" s="103" t="s">
        <v>976</v>
      </c>
      <c r="AI1511" s="103">
        <v>0</v>
      </c>
      <c r="AJ1511" s="103"/>
      <c r="AK1511" s="103"/>
      <c r="AL1511" s="103"/>
      <c r="AM1511" s="103"/>
      <c r="AN1511" s="103"/>
      <c r="AO1511" s="103" t="str">
        <f t="shared" si="83"/>
        <v>Std_CFLscw(23w)_60pInc-r0248Four+pack</v>
      </c>
    </row>
    <row r="1512" spans="1:41">
      <c r="A1512" s="177">
        <f>IFERROR(MATCH(D1512,'Measure &amp; Standard CostIDs'!C$5:C$177,0),MATCH(D1512,'Measure &amp; Standard CostIDs'!S$5:S$177,0))</f>
        <v>16</v>
      </c>
      <c r="B1512" s="177">
        <f t="shared" si="85"/>
        <v>5</v>
      </c>
      <c r="C1512" s="103" t="s">
        <v>153</v>
      </c>
      <c r="D1512" s="103" t="str">
        <f t="shared" si="84"/>
        <v>Std_CFLscw(24w)_60pInc-r0248</v>
      </c>
      <c r="E1512" s="103" t="str">
        <f>IF(LEFT(D1512,3)="Std","Base case cost for mix of 60% Incandescent and 40% CFL lamps for CFL TechID: "&amp;INDEX('Measure &amp; Standard CostIDs'!$C$5:$C$177,A1512),"&lt;from TechID&gt;")</f>
        <v>Base case cost for mix of 60% Incandescent and 40% CFL lamps for CFL TechID: CFLscw(24w)</v>
      </c>
      <c r="F1512" s="103" t="s">
        <v>860</v>
      </c>
      <c r="G1512" s="103" t="s">
        <v>151</v>
      </c>
      <c r="H1512" s="103" t="s">
        <v>861</v>
      </c>
      <c r="I1512" s="103" t="s">
        <v>862</v>
      </c>
      <c r="J1512" s="103" t="s">
        <v>863</v>
      </c>
      <c r="K1512" s="103" t="s">
        <v>864</v>
      </c>
      <c r="L1512" s="103" t="s">
        <v>153</v>
      </c>
      <c r="M1512" s="103" t="s">
        <v>865</v>
      </c>
      <c r="N1512" s="103" t="s">
        <v>866</v>
      </c>
      <c r="O1512" s="103" t="str">
        <f t="shared" si="82"/>
        <v/>
      </c>
      <c r="P1512" s="103" t="s">
        <v>153</v>
      </c>
      <c r="Q1512" s="103" t="s">
        <v>153</v>
      </c>
      <c r="R1512" s="103" t="s">
        <v>153</v>
      </c>
      <c r="S1512" s="103" t="str">
        <f>INDEX('Measure &amp; Standard CostIDs'!$AK$8:$AK$12,B1512)</f>
        <v>Four+pack</v>
      </c>
      <c r="T1512" s="103" t="s">
        <v>867</v>
      </c>
      <c r="U1512" s="103"/>
      <c r="V1512" s="103"/>
      <c r="W1512" s="103">
        <f>ROUND(IF(LEFT(D1512,3)="Std",VLOOKUP(D1512,'Measure &amp; Standard CostIDs'!$S$5:$X$177,1+B1512,FALSE),VLOOKUP(D1512,'Measure &amp; Standard CostIDs'!$C$5:$H$177,1+B1512,FALSE)),2)</f>
        <v>1.61</v>
      </c>
      <c r="X1512" s="103"/>
      <c r="Y1512" s="103"/>
      <c r="Z1512" s="103" t="s">
        <v>868</v>
      </c>
      <c r="AA1512" s="103" t="s">
        <v>874</v>
      </c>
      <c r="AB1512" s="103" t="s">
        <v>153</v>
      </c>
      <c r="AC1512" s="103">
        <v>0</v>
      </c>
      <c r="AD1512" s="156">
        <v>42005</v>
      </c>
      <c r="AE1512" s="103"/>
      <c r="AF1512" s="103" t="s">
        <v>870</v>
      </c>
      <c r="AG1512" s="103" t="s">
        <v>871</v>
      </c>
      <c r="AH1512" s="103" t="s">
        <v>976</v>
      </c>
      <c r="AI1512" s="103">
        <v>0</v>
      </c>
      <c r="AJ1512" s="103"/>
      <c r="AK1512" s="103"/>
      <c r="AL1512" s="103"/>
      <c r="AM1512" s="103"/>
      <c r="AN1512" s="103"/>
      <c r="AO1512" s="103" t="str">
        <f t="shared" si="83"/>
        <v>Std_CFLscw(24w)_60pInc-r0248Four+pack</v>
      </c>
    </row>
    <row r="1513" spans="1:41">
      <c r="A1513" s="177">
        <f>IFERROR(MATCH(D1513,'Measure &amp; Standard CostIDs'!C$5:C$177,0),MATCH(D1513,'Measure &amp; Standard CostIDs'!S$5:S$177,0))</f>
        <v>17</v>
      </c>
      <c r="B1513" s="177">
        <f t="shared" si="85"/>
        <v>5</v>
      </c>
      <c r="C1513" s="103" t="s">
        <v>153</v>
      </c>
      <c r="D1513" s="103" t="str">
        <f t="shared" si="84"/>
        <v>Std_CFLscw(25w)_60pInc-r0248</v>
      </c>
      <c r="E1513" s="103" t="str">
        <f>IF(LEFT(D1513,3)="Std","Base case cost for mix of 60% Incandescent and 40% CFL lamps for CFL TechID: "&amp;INDEX('Measure &amp; Standard CostIDs'!$C$5:$C$177,A1513),"&lt;from TechID&gt;")</f>
        <v>Base case cost for mix of 60% Incandescent and 40% CFL lamps for CFL TechID: CFLscw(25w)</v>
      </c>
      <c r="F1513" s="103" t="s">
        <v>860</v>
      </c>
      <c r="G1513" s="103" t="s">
        <v>151</v>
      </c>
      <c r="H1513" s="103" t="s">
        <v>861</v>
      </c>
      <c r="I1513" s="103" t="s">
        <v>862</v>
      </c>
      <c r="J1513" s="103" t="s">
        <v>863</v>
      </c>
      <c r="K1513" s="103" t="s">
        <v>864</v>
      </c>
      <c r="L1513" s="103" t="s">
        <v>153</v>
      </c>
      <c r="M1513" s="103" t="s">
        <v>865</v>
      </c>
      <c r="N1513" s="103" t="s">
        <v>866</v>
      </c>
      <c r="O1513" s="103" t="str">
        <f t="shared" si="82"/>
        <v/>
      </c>
      <c r="P1513" s="103" t="s">
        <v>153</v>
      </c>
      <c r="Q1513" s="103" t="s">
        <v>153</v>
      </c>
      <c r="R1513" s="103" t="s">
        <v>153</v>
      </c>
      <c r="S1513" s="103" t="str">
        <f>INDEX('Measure &amp; Standard CostIDs'!$AK$8:$AK$12,B1513)</f>
        <v>Four+pack</v>
      </c>
      <c r="T1513" s="103" t="s">
        <v>867</v>
      </c>
      <c r="U1513" s="103"/>
      <c r="V1513" s="103"/>
      <c r="W1513" s="103">
        <f>ROUND(IF(LEFT(D1513,3)="Std",VLOOKUP(D1513,'Measure &amp; Standard CostIDs'!$S$5:$X$177,1+B1513,FALSE),VLOOKUP(D1513,'Measure &amp; Standard CostIDs'!$C$5:$H$177,1+B1513,FALSE)),2)</f>
        <v>1.64</v>
      </c>
      <c r="X1513" s="103"/>
      <c r="Y1513" s="103"/>
      <c r="Z1513" s="103" t="s">
        <v>868</v>
      </c>
      <c r="AA1513" s="103" t="s">
        <v>874</v>
      </c>
      <c r="AB1513" s="103" t="s">
        <v>153</v>
      </c>
      <c r="AC1513" s="103">
        <v>0</v>
      </c>
      <c r="AD1513" s="156">
        <v>42005</v>
      </c>
      <c r="AE1513" s="103"/>
      <c r="AF1513" s="103" t="s">
        <v>870</v>
      </c>
      <c r="AG1513" s="103" t="s">
        <v>871</v>
      </c>
      <c r="AH1513" s="103" t="s">
        <v>976</v>
      </c>
      <c r="AI1513" s="103">
        <v>0</v>
      </c>
      <c r="AJ1513" s="103"/>
      <c r="AK1513" s="103"/>
      <c r="AL1513" s="103"/>
      <c r="AM1513" s="103"/>
      <c r="AN1513" s="103"/>
      <c r="AO1513" s="103" t="str">
        <f t="shared" si="83"/>
        <v>Std_CFLscw(25w)_60pInc-r0248Four+pack</v>
      </c>
    </row>
    <row r="1514" spans="1:41">
      <c r="A1514" s="177">
        <f>IFERROR(MATCH(D1514,'Measure &amp; Standard CostIDs'!C$5:C$177,0),MATCH(D1514,'Measure &amp; Standard CostIDs'!S$5:S$177,0))</f>
        <v>18</v>
      </c>
      <c r="B1514" s="177">
        <f t="shared" si="85"/>
        <v>5</v>
      </c>
      <c r="C1514" s="103" t="s">
        <v>153</v>
      </c>
      <c r="D1514" s="103" t="str">
        <f t="shared" si="84"/>
        <v>Std_CFLscw(26w)_60pInc-r0248</v>
      </c>
      <c r="E1514" s="103" t="str">
        <f>IF(LEFT(D1514,3)="Std","Base case cost for mix of 60% Incandescent and 40% CFL lamps for CFL TechID: "&amp;INDEX('Measure &amp; Standard CostIDs'!$C$5:$C$177,A1514),"&lt;from TechID&gt;")</f>
        <v>Base case cost for mix of 60% Incandescent and 40% CFL lamps for CFL TechID: CFLscw(26w)</v>
      </c>
      <c r="F1514" s="103" t="s">
        <v>860</v>
      </c>
      <c r="G1514" s="103" t="s">
        <v>151</v>
      </c>
      <c r="H1514" s="103" t="s">
        <v>861</v>
      </c>
      <c r="I1514" s="103" t="s">
        <v>862</v>
      </c>
      <c r="J1514" s="103" t="s">
        <v>863</v>
      </c>
      <c r="K1514" s="103" t="s">
        <v>864</v>
      </c>
      <c r="L1514" s="103" t="s">
        <v>153</v>
      </c>
      <c r="M1514" s="103" t="s">
        <v>865</v>
      </c>
      <c r="N1514" s="103" t="s">
        <v>866</v>
      </c>
      <c r="O1514" s="103" t="str">
        <f t="shared" si="82"/>
        <v/>
      </c>
      <c r="P1514" s="103" t="s">
        <v>153</v>
      </c>
      <c r="Q1514" s="103" t="s">
        <v>153</v>
      </c>
      <c r="R1514" s="103" t="s">
        <v>153</v>
      </c>
      <c r="S1514" s="103" t="str">
        <f>INDEX('Measure &amp; Standard CostIDs'!$AK$8:$AK$12,B1514)</f>
        <v>Four+pack</v>
      </c>
      <c r="T1514" s="103" t="s">
        <v>867</v>
      </c>
      <c r="U1514" s="103"/>
      <c r="V1514" s="103"/>
      <c r="W1514" s="103">
        <f>ROUND(IF(LEFT(D1514,3)="Std",VLOOKUP(D1514,'Measure &amp; Standard CostIDs'!$S$5:$X$177,1+B1514,FALSE),VLOOKUP(D1514,'Measure &amp; Standard CostIDs'!$C$5:$H$177,1+B1514,FALSE)),2)</f>
        <v>1.71</v>
      </c>
      <c r="X1514" s="103"/>
      <c r="Y1514" s="103"/>
      <c r="Z1514" s="103" t="s">
        <v>868</v>
      </c>
      <c r="AA1514" s="103" t="s">
        <v>874</v>
      </c>
      <c r="AB1514" s="103" t="s">
        <v>153</v>
      </c>
      <c r="AC1514" s="103">
        <v>0</v>
      </c>
      <c r="AD1514" s="156">
        <v>42005</v>
      </c>
      <c r="AE1514" s="103"/>
      <c r="AF1514" s="103" t="s">
        <v>870</v>
      </c>
      <c r="AG1514" s="103" t="s">
        <v>871</v>
      </c>
      <c r="AH1514" s="103" t="s">
        <v>976</v>
      </c>
      <c r="AI1514" s="103">
        <v>0</v>
      </c>
      <c r="AJ1514" s="103"/>
      <c r="AK1514" s="103"/>
      <c r="AL1514" s="103"/>
      <c r="AM1514" s="103"/>
      <c r="AN1514" s="103"/>
      <c r="AO1514" s="103" t="str">
        <f t="shared" si="83"/>
        <v>Std_CFLscw(26w)_60pInc-r0248Four+pack</v>
      </c>
    </row>
    <row r="1515" spans="1:41">
      <c r="A1515" s="177">
        <f>IFERROR(MATCH(D1515,'Measure &amp; Standard CostIDs'!C$5:C$177,0),MATCH(D1515,'Measure &amp; Standard CostIDs'!S$5:S$177,0))</f>
        <v>19</v>
      </c>
      <c r="B1515" s="177">
        <f t="shared" si="85"/>
        <v>5</v>
      </c>
      <c r="C1515" s="103" t="s">
        <v>153</v>
      </c>
      <c r="D1515" s="103" t="str">
        <f t="shared" si="84"/>
        <v>Std_CFLscw(27w)_60pInc-r0248</v>
      </c>
      <c r="E1515" s="103" t="str">
        <f>IF(LEFT(D1515,3)="Std","Base case cost for mix of 60% Incandescent and 40% CFL lamps for CFL TechID: "&amp;INDEX('Measure &amp; Standard CostIDs'!$C$5:$C$177,A1515),"&lt;from TechID&gt;")</f>
        <v>Base case cost for mix of 60% Incandescent and 40% CFL lamps for CFL TechID: CFLscw(27w)</v>
      </c>
      <c r="F1515" s="103" t="s">
        <v>860</v>
      </c>
      <c r="G1515" s="103" t="s">
        <v>151</v>
      </c>
      <c r="H1515" s="103" t="s">
        <v>861</v>
      </c>
      <c r="I1515" s="103" t="s">
        <v>862</v>
      </c>
      <c r="J1515" s="103" t="s">
        <v>863</v>
      </c>
      <c r="K1515" s="103" t="s">
        <v>864</v>
      </c>
      <c r="L1515" s="103" t="s">
        <v>153</v>
      </c>
      <c r="M1515" s="103" t="s">
        <v>865</v>
      </c>
      <c r="N1515" s="103" t="s">
        <v>866</v>
      </c>
      <c r="O1515" s="103" t="str">
        <f t="shared" si="82"/>
        <v/>
      </c>
      <c r="P1515" s="103" t="s">
        <v>153</v>
      </c>
      <c r="Q1515" s="103" t="s">
        <v>153</v>
      </c>
      <c r="R1515" s="103" t="s">
        <v>153</v>
      </c>
      <c r="S1515" s="103" t="str">
        <f>INDEX('Measure &amp; Standard CostIDs'!$AK$8:$AK$12,B1515)</f>
        <v>Four+pack</v>
      </c>
      <c r="T1515" s="103" t="s">
        <v>867</v>
      </c>
      <c r="U1515" s="103"/>
      <c r="V1515" s="103"/>
      <c r="W1515" s="103">
        <f>ROUND(IF(LEFT(D1515,3)="Std",VLOOKUP(D1515,'Measure &amp; Standard CostIDs'!$S$5:$X$177,1+B1515,FALSE),VLOOKUP(D1515,'Measure &amp; Standard CostIDs'!$C$5:$H$177,1+B1515,FALSE)),2)</f>
        <v>1.77</v>
      </c>
      <c r="X1515" s="103"/>
      <c r="Y1515" s="103"/>
      <c r="Z1515" s="103" t="s">
        <v>868</v>
      </c>
      <c r="AA1515" s="103" t="s">
        <v>874</v>
      </c>
      <c r="AB1515" s="103" t="s">
        <v>153</v>
      </c>
      <c r="AC1515" s="103">
        <v>0</v>
      </c>
      <c r="AD1515" s="156">
        <v>42005</v>
      </c>
      <c r="AE1515" s="103"/>
      <c r="AF1515" s="103" t="s">
        <v>870</v>
      </c>
      <c r="AG1515" s="103" t="s">
        <v>871</v>
      </c>
      <c r="AH1515" s="103" t="s">
        <v>976</v>
      </c>
      <c r="AI1515" s="103">
        <v>0</v>
      </c>
      <c r="AJ1515" s="103"/>
      <c r="AK1515" s="103"/>
      <c r="AL1515" s="103"/>
      <c r="AM1515" s="103"/>
      <c r="AN1515" s="103"/>
      <c r="AO1515" s="103" t="str">
        <f t="shared" si="83"/>
        <v>Std_CFLscw(27w)_60pInc-r0248Four+pack</v>
      </c>
    </row>
    <row r="1516" spans="1:41">
      <c r="A1516" s="177">
        <f>IFERROR(MATCH(D1516,'Measure &amp; Standard CostIDs'!C$5:C$177,0),MATCH(D1516,'Measure &amp; Standard CostIDs'!S$5:S$177,0))</f>
        <v>20</v>
      </c>
      <c r="B1516" s="177">
        <f t="shared" si="85"/>
        <v>5</v>
      </c>
      <c r="C1516" s="103" t="s">
        <v>153</v>
      </c>
      <c r="D1516" s="103" t="str">
        <f t="shared" si="84"/>
        <v>Std_CFLscw(28w)_60pInc-r0248</v>
      </c>
      <c r="E1516" s="103" t="str">
        <f>IF(LEFT(D1516,3)="Std","Base case cost for mix of 60% Incandescent and 40% CFL lamps for CFL TechID: "&amp;INDEX('Measure &amp; Standard CostIDs'!$C$5:$C$177,A1516),"&lt;from TechID&gt;")</f>
        <v>Base case cost for mix of 60% Incandescent and 40% CFL lamps for CFL TechID: CFLscw(28w)</v>
      </c>
      <c r="F1516" s="103" t="s">
        <v>860</v>
      </c>
      <c r="G1516" s="103" t="s">
        <v>151</v>
      </c>
      <c r="H1516" s="103" t="s">
        <v>861</v>
      </c>
      <c r="I1516" s="103" t="s">
        <v>862</v>
      </c>
      <c r="J1516" s="103" t="s">
        <v>863</v>
      </c>
      <c r="K1516" s="103" t="s">
        <v>864</v>
      </c>
      <c r="L1516" s="103" t="s">
        <v>153</v>
      </c>
      <c r="M1516" s="103" t="s">
        <v>865</v>
      </c>
      <c r="N1516" s="103" t="s">
        <v>866</v>
      </c>
      <c r="O1516" s="103" t="str">
        <f t="shared" si="82"/>
        <v/>
      </c>
      <c r="P1516" s="103" t="s">
        <v>153</v>
      </c>
      <c r="Q1516" s="103" t="s">
        <v>153</v>
      </c>
      <c r="R1516" s="103" t="s">
        <v>153</v>
      </c>
      <c r="S1516" s="103" t="str">
        <f>INDEX('Measure &amp; Standard CostIDs'!$AK$8:$AK$12,B1516)</f>
        <v>Four+pack</v>
      </c>
      <c r="T1516" s="103" t="s">
        <v>867</v>
      </c>
      <c r="U1516" s="103"/>
      <c r="V1516" s="103"/>
      <c r="W1516" s="103">
        <f>ROUND(IF(LEFT(D1516,3)="Std",VLOOKUP(D1516,'Measure &amp; Standard CostIDs'!$S$5:$X$177,1+B1516,FALSE),VLOOKUP(D1516,'Measure &amp; Standard CostIDs'!$C$5:$H$177,1+B1516,FALSE)),2)</f>
        <v>1.84</v>
      </c>
      <c r="X1516" s="103"/>
      <c r="Y1516" s="103"/>
      <c r="Z1516" s="103" t="s">
        <v>868</v>
      </c>
      <c r="AA1516" s="103" t="s">
        <v>874</v>
      </c>
      <c r="AB1516" s="103" t="s">
        <v>153</v>
      </c>
      <c r="AC1516" s="103">
        <v>0</v>
      </c>
      <c r="AD1516" s="156">
        <v>42005</v>
      </c>
      <c r="AE1516" s="103"/>
      <c r="AF1516" s="103" t="s">
        <v>870</v>
      </c>
      <c r="AG1516" s="103" t="s">
        <v>871</v>
      </c>
      <c r="AH1516" s="103" t="s">
        <v>976</v>
      </c>
      <c r="AI1516" s="103">
        <v>0</v>
      </c>
      <c r="AJ1516" s="103"/>
      <c r="AK1516" s="103"/>
      <c r="AL1516" s="103"/>
      <c r="AM1516" s="103"/>
      <c r="AN1516" s="103"/>
      <c r="AO1516" s="103" t="str">
        <f t="shared" si="83"/>
        <v>Std_CFLscw(28w)_60pInc-r0248Four+pack</v>
      </c>
    </row>
    <row r="1517" spans="1:41">
      <c r="A1517" s="177">
        <f>IFERROR(MATCH(D1517,'Measure &amp; Standard CostIDs'!C$5:C$177,0),MATCH(D1517,'Measure &amp; Standard CostIDs'!S$5:S$177,0))</f>
        <v>21</v>
      </c>
      <c r="B1517" s="177">
        <f t="shared" si="85"/>
        <v>5</v>
      </c>
      <c r="C1517" s="103" t="s">
        <v>153</v>
      </c>
      <c r="D1517" s="103" t="str">
        <f t="shared" si="84"/>
        <v>Std_CFLscw(29w)_60pInc-r0248</v>
      </c>
      <c r="E1517" s="103" t="str">
        <f>IF(LEFT(D1517,3)="Std","Base case cost for mix of 60% Incandescent and 40% CFL lamps for CFL TechID: "&amp;INDEX('Measure &amp; Standard CostIDs'!$C$5:$C$177,A1517),"&lt;from TechID&gt;")</f>
        <v>Base case cost for mix of 60% Incandescent and 40% CFL lamps for CFL TechID: CFLscw(29w)</v>
      </c>
      <c r="F1517" s="103" t="s">
        <v>860</v>
      </c>
      <c r="G1517" s="103" t="s">
        <v>151</v>
      </c>
      <c r="H1517" s="103" t="s">
        <v>861</v>
      </c>
      <c r="I1517" s="103" t="s">
        <v>862</v>
      </c>
      <c r="J1517" s="103" t="s">
        <v>863</v>
      </c>
      <c r="K1517" s="103" t="s">
        <v>864</v>
      </c>
      <c r="L1517" s="103" t="s">
        <v>153</v>
      </c>
      <c r="M1517" s="103" t="s">
        <v>865</v>
      </c>
      <c r="N1517" s="103" t="s">
        <v>866</v>
      </c>
      <c r="O1517" s="103" t="str">
        <f t="shared" ref="O1517:O1580" si="86">IF(LEFT(D1517,3)="Std","",D1517)</f>
        <v/>
      </c>
      <c r="P1517" s="103" t="s">
        <v>153</v>
      </c>
      <c r="Q1517" s="103" t="s">
        <v>153</v>
      </c>
      <c r="R1517" s="103" t="s">
        <v>153</v>
      </c>
      <c r="S1517" s="103" t="str">
        <f>INDEX('Measure &amp; Standard CostIDs'!$AK$8:$AK$12,B1517)</f>
        <v>Four+pack</v>
      </c>
      <c r="T1517" s="103" t="s">
        <v>867</v>
      </c>
      <c r="U1517" s="103"/>
      <c r="V1517" s="103"/>
      <c r="W1517" s="103">
        <f>ROUND(IF(LEFT(D1517,3)="Std",VLOOKUP(D1517,'Measure &amp; Standard CostIDs'!$S$5:$X$177,1+B1517,FALSE),VLOOKUP(D1517,'Measure &amp; Standard CostIDs'!$C$5:$H$177,1+B1517,FALSE)),2)</f>
        <v>1.9</v>
      </c>
      <c r="X1517" s="103"/>
      <c r="Y1517" s="103"/>
      <c r="Z1517" s="103" t="s">
        <v>868</v>
      </c>
      <c r="AA1517" s="103" t="s">
        <v>874</v>
      </c>
      <c r="AB1517" s="103" t="s">
        <v>153</v>
      </c>
      <c r="AC1517" s="103">
        <v>0</v>
      </c>
      <c r="AD1517" s="156">
        <v>42005</v>
      </c>
      <c r="AE1517" s="103"/>
      <c r="AF1517" s="103" t="s">
        <v>870</v>
      </c>
      <c r="AG1517" s="103" t="s">
        <v>871</v>
      </c>
      <c r="AH1517" s="103" t="s">
        <v>976</v>
      </c>
      <c r="AI1517" s="103">
        <v>0</v>
      </c>
      <c r="AJ1517" s="103"/>
      <c r="AK1517" s="103"/>
      <c r="AL1517" s="103"/>
      <c r="AM1517" s="103"/>
      <c r="AN1517" s="103"/>
      <c r="AO1517" s="103" t="str">
        <f t="shared" ref="AO1517:AO1580" si="87">D1517&amp;S1517</f>
        <v>Std_CFLscw(29w)_60pInc-r0248Four+pack</v>
      </c>
    </row>
    <row r="1518" spans="1:41">
      <c r="A1518" s="177">
        <f>IFERROR(MATCH(D1518,'Measure &amp; Standard CostIDs'!C$5:C$177,0),MATCH(D1518,'Measure &amp; Standard CostIDs'!S$5:S$177,0))</f>
        <v>22</v>
      </c>
      <c r="B1518" s="177">
        <f t="shared" si="85"/>
        <v>5</v>
      </c>
      <c r="C1518" s="103" t="s">
        <v>153</v>
      </c>
      <c r="D1518" s="103" t="str">
        <f t="shared" si="84"/>
        <v>Std_CFLscw(30w)_60pInc-r0248</v>
      </c>
      <c r="E1518" s="103" t="str">
        <f>IF(LEFT(D1518,3)="Std","Base case cost for mix of 60% Incandescent and 40% CFL lamps for CFL TechID: "&amp;INDEX('Measure &amp; Standard CostIDs'!$C$5:$C$177,A1518),"&lt;from TechID&gt;")</f>
        <v>Base case cost for mix of 60% Incandescent and 40% CFL lamps for CFL TechID: CFLscw(30w)</v>
      </c>
      <c r="F1518" s="103" t="s">
        <v>860</v>
      </c>
      <c r="G1518" s="103" t="s">
        <v>151</v>
      </c>
      <c r="H1518" s="103" t="s">
        <v>861</v>
      </c>
      <c r="I1518" s="103" t="s">
        <v>862</v>
      </c>
      <c r="J1518" s="103" t="s">
        <v>863</v>
      </c>
      <c r="K1518" s="103" t="s">
        <v>864</v>
      </c>
      <c r="L1518" s="103" t="s">
        <v>153</v>
      </c>
      <c r="M1518" s="103" t="s">
        <v>865</v>
      </c>
      <c r="N1518" s="103" t="s">
        <v>866</v>
      </c>
      <c r="O1518" s="103" t="str">
        <f t="shared" si="86"/>
        <v/>
      </c>
      <c r="P1518" s="103" t="s">
        <v>153</v>
      </c>
      <c r="Q1518" s="103" t="s">
        <v>153</v>
      </c>
      <c r="R1518" s="103" t="s">
        <v>153</v>
      </c>
      <c r="S1518" s="103" t="str">
        <f>INDEX('Measure &amp; Standard CostIDs'!$AK$8:$AK$12,B1518)</f>
        <v>Four+pack</v>
      </c>
      <c r="T1518" s="103" t="s">
        <v>867</v>
      </c>
      <c r="U1518" s="103"/>
      <c r="V1518" s="103"/>
      <c r="W1518" s="103">
        <f>ROUND(IF(LEFT(D1518,3)="Std",VLOOKUP(D1518,'Measure &amp; Standard CostIDs'!$S$5:$X$177,1+B1518,FALSE),VLOOKUP(D1518,'Measure &amp; Standard CostIDs'!$C$5:$H$177,1+B1518,FALSE)),2)</f>
        <v>1.97</v>
      </c>
      <c r="X1518" s="103"/>
      <c r="Y1518" s="103"/>
      <c r="Z1518" s="103" t="s">
        <v>868</v>
      </c>
      <c r="AA1518" s="103" t="s">
        <v>874</v>
      </c>
      <c r="AB1518" s="103" t="s">
        <v>153</v>
      </c>
      <c r="AC1518" s="103">
        <v>0</v>
      </c>
      <c r="AD1518" s="156">
        <v>42005</v>
      </c>
      <c r="AE1518" s="103"/>
      <c r="AF1518" s="103" t="s">
        <v>870</v>
      </c>
      <c r="AG1518" s="103" t="s">
        <v>871</v>
      </c>
      <c r="AH1518" s="103" t="s">
        <v>976</v>
      </c>
      <c r="AI1518" s="103">
        <v>0</v>
      </c>
      <c r="AJ1518" s="103"/>
      <c r="AK1518" s="103"/>
      <c r="AL1518" s="103"/>
      <c r="AM1518" s="103"/>
      <c r="AN1518" s="103"/>
      <c r="AO1518" s="103" t="str">
        <f t="shared" si="87"/>
        <v>Std_CFLscw(30w)_60pInc-r0248Four+pack</v>
      </c>
    </row>
    <row r="1519" spans="1:41">
      <c r="A1519" s="177">
        <f>IFERROR(MATCH(D1519,'Measure &amp; Standard CostIDs'!C$5:C$177,0),MATCH(D1519,'Measure &amp; Standard CostIDs'!S$5:S$177,0))</f>
        <v>23</v>
      </c>
      <c r="B1519" s="177">
        <f t="shared" si="85"/>
        <v>5</v>
      </c>
      <c r="C1519" s="103" t="s">
        <v>153</v>
      </c>
      <c r="D1519" s="103" t="str">
        <f t="shared" si="84"/>
        <v>Std_CFLscw(31w)_60pInc-r0248</v>
      </c>
      <c r="E1519" s="103" t="str">
        <f>IF(LEFT(D1519,3)="Std","Base case cost for mix of 60% Incandescent and 40% CFL lamps for CFL TechID: "&amp;INDEX('Measure &amp; Standard CostIDs'!$C$5:$C$177,A1519),"&lt;from TechID&gt;")</f>
        <v>Base case cost for mix of 60% Incandescent and 40% CFL lamps for CFL TechID: CFLscw(31w)</v>
      </c>
      <c r="F1519" s="103" t="s">
        <v>860</v>
      </c>
      <c r="G1519" s="103" t="s">
        <v>151</v>
      </c>
      <c r="H1519" s="103" t="s">
        <v>861</v>
      </c>
      <c r="I1519" s="103" t="s">
        <v>862</v>
      </c>
      <c r="J1519" s="103" t="s">
        <v>863</v>
      </c>
      <c r="K1519" s="103" t="s">
        <v>864</v>
      </c>
      <c r="L1519" s="103" t="s">
        <v>153</v>
      </c>
      <c r="M1519" s="103" t="s">
        <v>865</v>
      </c>
      <c r="N1519" s="103" t="s">
        <v>866</v>
      </c>
      <c r="O1519" s="103" t="str">
        <f t="shared" si="86"/>
        <v/>
      </c>
      <c r="P1519" s="103" t="s">
        <v>153</v>
      </c>
      <c r="Q1519" s="103" t="s">
        <v>153</v>
      </c>
      <c r="R1519" s="103" t="s">
        <v>153</v>
      </c>
      <c r="S1519" s="103" t="str">
        <f>INDEX('Measure &amp; Standard CostIDs'!$AK$8:$AK$12,B1519)</f>
        <v>Four+pack</v>
      </c>
      <c r="T1519" s="103" t="s">
        <v>867</v>
      </c>
      <c r="U1519" s="103"/>
      <c r="V1519" s="103"/>
      <c r="W1519" s="103">
        <f>ROUND(IF(LEFT(D1519,3)="Std",VLOOKUP(D1519,'Measure &amp; Standard CostIDs'!$S$5:$X$177,1+B1519,FALSE),VLOOKUP(D1519,'Measure &amp; Standard CostIDs'!$C$5:$H$177,1+B1519,FALSE)),2)</f>
        <v>2.0299999999999998</v>
      </c>
      <c r="X1519" s="103"/>
      <c r="Y1519" s="103"/>
      <c r="Z1519" s="103" t="s">
        <v>868</v>
      </c>
      <c r="AA1519" s="103" t="s">
        <v>874</v>
      </c>
      <c r="AB1519" s="103" t="s">
        <v>153</v>
      </c>
      <c r="AC1519" s="103">
        <v>0</v>
      </c>
      <c r="AD1519" s="156">
        <v>42005</v>
      </c>
      <c r="AE1519" s="103"/>
      <c r="AF1519" s="103" t="s">
        <v>870</v>
      </c>
      <c r="AG1519" s="103" t="s">
        <v>871</v>
      </c>
      <c r="AH1519" s="103" t="s">
        <v>976</v>
      </c>
      <c r="AI1519" s="103">
        <v>0</v>
      </c>
      <c r="AJ1519" s="103"/>
      <c r="AK1519" s="103"/>
      <c r="AL1519" s="103"/>
      <c r="AM1519" s="103"/>
      <c r="AN1519" s="103"/>
      <c r="AO1519" s="103" t="str">
        <f t="shared" si="87"/>
        <v>Std_CFLscw(31w)_60pInc-r0248Four+pack</v>
      </c>
    </row>
    <row r="1520" spans="1:41">
      <c r="A1520" s="177">
        <f>IFERROR(MATCH(D1520,'Measure &amp; Standard CostIDs'!C$5:C$177,0),MATCH(D1520,'Measure &amp; Standard CostIDs'!S$5:S$177,0))</f>
        <v>24</v>
      </c>
      <c r="B1520" s="177">
        <f t="shared" si="85"/>
        <v>5</v>
      </c>
      <c r="C1520" s="103" t="s">
        <v>153</v>
      </c>
      <c r="D1520" s="103" t="str">
        <f t="shared" si="84"/>
        <v>Std_CFLscw(32w)_60pInc-r0248</v>
      </c>
      <c r="E1520" s="103" t="str">
        <f>IF(LEFT(D1520,3)="Std","Base case cost for mix of 60% Incandescent and 40% CFL lamps for CFL TechID: "&amp;INDEX('Measure &amp; Standard CostIDs'!$C$5:$C$177,A1520),"&lt;from TechID&gt;")</f>
        <v>Base case cost for mix of 60% Incandescent and 40% CFL lamps for CFL TechID: CFLscw(32w)</v>
      </c>
      <c r="F1520" s="103" t="s">
        <v>860</v>
      </c>
      <c r="G1520" s="103" t="s">
        <v>151</v>
      </c>
      <c r="H1520" s="103" t="s">
        <v>861</v>
      </c>
      <c r="I1520" s="103" t="s">
        <v>862</v>
      </c>
      <c r="J1520" s="103" t="s">
        <v>863</v>
      </c>
      <c r="K1520" s="103" t="s">
        <v>864</v>
      </c>
      <c r="L1520" s="103" t="s">
        <v>153</v>
      </c>
      <c r="M1520" s="103" t="s">
        <v>865</v>
      </c>
      <c r="N1520" s="103" t="s">
        <v>866</v>
      </c>
      <c r="O1520" s="103" t="str">
        <f t="shared" si="86"/>
        <v/>
      </c>
      <c r="P1520" s="103" t="s">
        <v>153</v>
      </c>
      <c r="Q1520" s="103" t="s">
        <v>153</v>
      </c>
      <c r="R1520" s="103" t="s">
        <v>153</v>
      </c>
      <c r="S1520" s="103" t="str">
        <f>INDEX('Measure &amp; Standard CostIDs'!$AK$8:$AK$12,B1520)</f>
        <v>Four+pack</v>
      </c>
      <c r="T1520" s="103" t="s">
        <v>867</v>
      </c>
      <c r="U1520" s="103"/>
      <c r="V1520" s="103"/>
      <c r="W1520" s="103">
        <f>ROUND(IF(LEFT(D1520,3)="Std",VLOOKUP(D1520,'Measure &amp; Standard CostIDs'!$S$5:$X$177,1+B1520,FALSE),VLOOKUP(D1520,'Measure &amp; Standard CostIDs'!$C$5:$H$177,1+B1520,FALSE)),2)</f>
        <v>2.1</v>
      </c>
      <c r="X1520" s="103"/>
      <c r="Y1520" s="103"/>
      <c r="Z1520" s="103" t="s">
        <v>868</v>
      </c>
      <c r="AA1520" s="103" t="s">
        <v>874</v>
      </c>
      <c r="AB1520" s="103" t="s">
        <v>153</v>
      </c>
      <c r="AC1520" s="103">
        <v>0</v>
      </c>
      <c r="AD1520" s="156">
        <v>42005</v>
      </c>
      <c r="AE1520" s="103"/>
      <c r="AF1520" s="103" t="s">
        <v>870</v>
      </c>
      <c r="AG1520" s="103" t="s">
        <v>871</v>
      </c>
      <c r="AH1520" s="103" t="s">
        <v>976</v>
      </c>
      <c r="AI1520" s="103">
        <v>0</v>
      </c>
      <c r="AJ1520" s="103"/>
      <c r="AK1520" s="103"/>
      <c r="AL1520" s="103"/>
      <c r="AM1520" s="103"/>
      <c r="AN1520" s="103"/>
      <c r="AO1520" s="103" t="str">
        <f t="shared" si="87"/>
        <v>Std_CFLscw(32w)_60pInc-r0248Four+pack</v>
      </c>
    </row>
    <row r="1521" spans="1:41">
      <c r="A1521" s="177">
        <f>IFERROR(MATCH(D1521,'Measure &amp; Standard CostIDs'!C$5:C$177,0),MATCH(D1521,'Measure &amp; Standard CostIDs'!S$5:S$177,0))</f>
        <v>25</v>
      </c>
      <c r="B1521" s="177">
        <f t="shared" si="85"/>
        <v>5</v>
      </c>
      <c r="C1521" s="103" t="s">
        <v>153</v>
      </c>
      <c r="D1521" s="103" t="str">
        <f t="shared" si="84"/>
        <v>Std_CFLscw(33w)_60pInc-r0248</v>
      </c>
      <c r="E1521" s="103" t="str">
        <f>IF(LEFT(D1521,3)="Std","Base case cost for mix of 60% Incandescent and 40% CFL lamps for CFL TechID: "&amp;INDEX('Measure &amp; Standard CostIDs'!$C$5:$C$177,A1521),"&lt;from TechID&gt;")</f>
        <v>Base case cost for mix of 60% Incandescent and 40% CFL lamps for CFL TechID: CFLscw(33w)</v>
      </c>
      <c r="F1521" s="103" t="s">
        <v>860</v>
      </c>
      <c r="G1521" s="103" t="s">
        <v>151</v>
      </c>
      <c r="H1521" s="103" t="s">
        <v>861</v>
      </c>
      <c r="I1521" s="103" t="s">
        <v>862</v>
      </c>
      <c r="J1521" s="103" t="s">
        <v>863</v>
      </c>
      <c r="K1521" s="103" t="s">
        <v>864</v>
      </c>
      <c r="L1521" s="103" t="s">
        <v>153</v>
      </c>
      <c r="M1521" s="103" t="s">
        <v>865</v>
      </c>
      <c r="N1521" s="103" t="s">
        <v>866</v>
      </c>
      <c r="O1521" s="103" t="str">
        <f t="shared" si="86"/>
        <v/>
      </c>
      <c r="P1521" s="103" t="s">
        <v>153</v>
      </c>
      <c r="Q1521" s="103" t="s">
        <v>153</v>
      </c>
      <c r="R1521" s="103" t="s">
        <v>153</v>
      </c>
      <c r="S1521" s="103" t="str">
        <f>INDEX('Measure &amp; Standard CostIDs'!$AK$8:$AK$12,B1521)</f>
        <v>Four+pack</v>
      </c>
      <c r="T1521" s="103" t="s">
        <v>867</v>
      </c>
      <c r="U1521" s="103"/>
      <c r="V1521" s="103"/>
      <c r="W1521" s="103">
        <f>ROUND(IF(LEFT(D1521,3)="Std",VLOOKUP(D1521,'Measure &amp; Standard CostIDs'!$S$5:$X$177,1+B1521,FALSE),VLOOKUP(D1521,'Measure &amp; Standard CostIDs'!$C$5:$H$177,1+B1521,FALSE)),2)</f>
        <v>2.16</v>
      </c>
      <c r="X1521" s="103"/>
      <c r="Y1521" s="103"/>
      <c r="Z1521" s="103" t="s">
        <v>868</v>
      </c>
      <c r="AA1521" s="103" t="s">
        <v>874</v>
      </c>
      <c r="AB1521" s="103" t="s">
        <v>153</v>
      </c>
      <c r="AC1521" s="103">
        <v>0</v>
      </c>
      <c r="AD1521" s="156">
        <v>42005</v>
      </c>
      <c r="AE1521" s="103"/>
      <c r="AF1521" s="103" t="s">
        <v>870</v>
      </c>
      <c r="AG1521" s="103" t="s">
        <v>871</v>
      </c>
      <c r="AH1521" s="103" t="s">
        <v>976</v>
      </c>
      <c r="AI1521" s="103">
        <v>0</v>
      </c>
      <c r="AJ1521" s="103"/>
      <c r="AK1521" s="103"/>
      <c r="AL1521" s="103"/>
      <c r="AM1521" s="103"/>
      <c r="AN1521" s="103"/>
      <c r="AO1521" s="103" t="str">
        <f t="shared" si="87"/>
        <v>Std_CFLscw(33w)_60pInc-r0248Four+pack</v>
      </c>
    </row>
    <row r="1522" spans="1:41">
      <c r="A1522" s="177">
        <f>IFERROR(MATCH(D1522,'Measure &amp; Standard CostIDs'!C$5:C$177,0),MATCH(D1522,'Measure &amp; Standard CostIDs'!S$5:S$177,0))</f>
        <v>26</v>
      </c>
      <c r="B1522" s="177">
        <f t="shared" si="85"/>
        <v>5</v>
      </c>
      <c r="C1522" s="103" t="s">
        <v>153</v>
      </c>
      <c r="D1522" s="103" t="str">
        <f t="shared" si="84"/>
        <v>Std_CFLscw(36w)_60pInc-r0248</v>
      </c>
      <c r="E1522" s="103" t="str">
        <f>IF(LEFT(D1522,3)="Std","Base case cost for mix of 60% Incandescent and 40% CFL lamps for CFL TechID: "&amp;INDEX('Measure &amp; Standard CostIDs'!$C$5:$C$177,A1522),"&lt;from TechID&gt;")</f>
        <v>Base case cost for mix of 60% Incandescent and 40% CFL lamps for CFL TechID: CFLscw(36w)</v>
      </c>
      <c r="F1522" s="103" t="s">
        <v>860</v>
      </c>
      <c r="G1522" s="103" t="s">
        <v>151</v>
      </c>
      <c r="H1522" s="103" t="s">
        <v>861</v>
      </c>
      <c r="I1522" s="103" t="s">
        <v>862</v>
      </c>
      <c r="J1522" s="103" t="s">
        <v>863</v>
      </c>
      <c r="K1522" s="103" t="s">
        <v>864</v>
      </c>
      <c r="L1522" s="103" t="s">
        <v>153</v>
      </c>
      <c r="M1522" s="103" t="s">
        <v>865</v>
      </c>
      <c r="N1522" s="103" t="s">
        <v>866</v>
      </c>
      <c r="O1522" s="103" t="str">
        <f t="shared" si="86"/>
        <v/>
      </c>
      <c r="P1522" s="103" t="s">
        <v>153</v>
      </c>
      <c r="Q1522" s="103" t="s">
        <v>153</v>
      </c>
      <c r="R1522" s="103" t="s">
        <v>153</v>
      </c>
      <c r="S1522" s="103" t="str">
        <f>INDEX('Measure &amp; Standard CostIDs'!$AK$8:$AK$12,B1522)</f>
        <v>Four+pack</v>
      </c>
      <c r="T1522" s="103" t="s">
        <v>867</v>
      </c>
      <c r="U1522" s="103"/>
      <c r="V1522" s="103"/>
      <c r="W1522" s="103">
        <f>ROUND(IF(LEFT(D1522,3)="Std",VLOOKUP(D1522,'Measure &amp; Standard CostIDs'!$S$5:$X$177,1+B1522,FALSE),VLOOKUP(D1522,'Measure &amp; Standard CostIDs'!$C$5:$H$177,1+B1522,FALSE)),2)</f>
        <v>2.36</v>
      </c>
      <c r="X1522" s="103"/>
      <c r="Y1522" s="103"/>
      <c r="Z1522" s="103" t="s">
        <v>868</v>
      </c>
      <c r="AA1522" s="103" t="s">
        <v>874</v>
      </c>
      <c r="AB1522" s="103" t="s">
        <v>153</v>
      </c>
      <c r="AC1522" s="103">
        <v>0</v>
      </c>
      <c r="AD1522" s="156">
        <v>42005</v>
      </c>
      <c r="AE1522" s="103"/>
      <c r="AF1522" s="103" t="s">
        <v>870</v>
      </c>
      <c r="AG1522" s="103" t="s">
        <v>871</v>
      </c>
      <c r="AH1522" s="103" t="s">
        <v>976</v>
      </c>
      <c r="AI1522" s="103">
        <v>0</v>
      </c>
      <c r="AJ1522" s="103"/>
      <c r="AK1522" s="103"/>
      <c r="AL1522" s="103"/>
      <c r="AM1522" s="103"/>
      <c r="AN1522" s="103"/>
      <c r="AO1522" s="103" t="str">
        <f t="shared" si="87"/>
        <v>Std_CFLscw(36w)_60pInc-r0248Four+pack</v>
      </c>
    </row>
    <row r="1523" spans="1:41">
      <c r="A1523" s="177">
        <f>IFERROR(MATCH(D1523,'Measure &amp; Standard CostIDs'!C$5:C$177,0),MATCH(D1523,'Measure &amp; Standard CostIDs'!S$5:S$177,0))</f>
        <v>27</v>
      </c>
      <c r="B1523" s="177">
        <f t="shared" si="85"/>
        <v>5</v>
      </c>
      <c r="C1523" s="103" t="s">
        <v>153</v>
      </c>
      <c r="D1523" s="103" t="str">
        <f t="shared" si="84"/>
        <v>Std_CFLscw(38w)_60pInc-r0248</v>
      </c>
      <c r="E1523" s="103" t="str">
        <f>IF(LEFT(D1523,3)="Std","Base case cost for mix of 60% Incandescent and 40% CFL lamps for CFL TechID: "&amp;INDEX('Measure &amp; Standard CostIDs'!$C$5:$C$177,A1523),"&lt;from TechID&gt;")</f>
        <v>Base case cost for mix of 60% Incandescent and 40% CFL lamps for CFL TechID: CFLscw(38w)</v>
      </c>
      <c r="F1523" s="103" t="s">
        <v>860</v>
      </c>
      <c r="G1523" s="103" t="s">
        <v>151</v>
      </c>
      <c r="H1523" s="103" t="s">
        <v>861</v>
      </c>
      <c r="I1523" s="103" t="s">
        <v>862</v>
      </c>
      <c r="J1523" s="103" t="s">
        <v>863</v>
      </c>
      <c r="K1523" s="103" t="s">
        <v>864</v>
      </c>
      <c r="L1523" s="103" t="s">
        <v>153</v>
      </c>
      <c r="M1523" s="103" t="s">
        <v>865</v>
      </c>
      <c r="N1523" s="103" t="s">
        <v>866</v>
      </c>
      <c r="O1523" s="103" t="str">
        <f t="shared" si="86"/>
        <v/>
      </c>
      <c r="P1523" s="103" t="s">
        <v>153</v>
      </c>
      <c r="Q1523" s="103" t="s">
        <v>153</v>
      </c>
      <c r="R1523" s="103" t="s">
        <v>153</v>
      </c>
      <c r="S1523" s="103" t="str">
        <f>INDEX('Measure &amp; Standard CostIDs'!$AK$8:$AK$12,B1523)</f>
        <v>Four+pack</v>
      </c>
      <c r="T1523" s="103" t="s">
        <v>867</v>
      </c>
      <c r="U1523" s="103"/>
      <c r="V1523" s="103"/>
      <c r="W1523" s="103">
        <f>ROUND(IF(LEFT(D1523,3)="Std",VLOOKUP(D1523,'Measure &amp; Standard CostIDs'!$S$5:$X$177,1+B1523,FALSE),VLOOKUP(D1523,'Measure &amp; Standard CostIDs'!$C$5:$H$177,1+B1523,FALSE)),2)</f>
        <v>2.4900000000000002</v>
      </c>
      <c r="X1523" s="103"/>
      <c r="Y1523" s="103"/>
      <c r="Z1523" s="103" t="s">
        <v>868</v>
      </c>
      <c r="AA1523" s="103" t="s">
        <v>874</v>
      </c>
      <c r="AB1523" s="103" t="s">
        <v>153</v>
      </c>
      <c r="AC1523" s="103">
        <v>0</v>
      </c>
      <c r="AD1523" s="156">
        <v>42005</v>
      </c>
      <c r="AE1523" s="103"/>
      <c r="AF1523" s="103" t="s">
        <v>870</v>
      </c>
      <c r="AG1523" s="103" t="s">
        <v>871</v>
      </c>
      <c r="AH1523" s="103" t="s">
        <v>976</v>
      </c>
      <c r="AI1523" s="103">
        <v>0</v>
      </c>
      <c r="AJ1523" s="103"/>
      <c r="AK1523" s="103"/>
      <c r="AL1523" s="103"/>
      <c r="AM1523" s="103"/>
      <c r="AN1523" s="103"/>
      <c r="AO1523" s="103" t="str">
        <f t="shared" si="87"/>
        <v>Std_CFLscw(38w)_60pInc-r0248Four+pack</v>
      </c>
    </row>
    <row r="1524" spans="1:41">
      <c r="A1524" s="177">
        <f>IFERROR(MATCH(D1524,'Measure &amp; Standard CostIDs'!C$5:C$177,0),MATCH(D1524,'Measure &amp; Standard CostIDs'!S$5:S$177,0))</f>
        <v>28</v>
      </c>
      <c r="B1524" s="177">
        <f t="shared" si="85"/>
        <v>5</v>
      </c>
      <c r="C1524" s="103" t="s">
        <v>153</v>
      </c>
      <c r="D1524" s="103" t="str">
        <f t="shared" si="84"/>
        <v>Std_CFLscw(39w)_60pInc-r0248</v>
      </c>
      <c r="E1524" s="103" t="str">
        <f>IF(LEFT(D1524,3)="Std","Base case cost for mix of 60% Incandescent and 40% CFL lamps for CFL TechID: "&amp;INDEX('Measure &amp; Standard CostIDs'!$C$5:$C$177,A1524),"&lt;from TechID&gt;")</f>
        <v>Base case cost for mix of 60% Incandescent and 40% CFL lamps for CFL TechID: CFLscw(39w)</v>
      </c>
      <c r="F1524" s="103" t="s">
        <v>860</v>
      </c>
      <c r="G1524" s="103" t="s">
        <v>151</v>
      </c>
      <c r="H1524" s="103" t="s">
        <v>861</v>
      </c>
      <c r="I1524" s="103" t="s">
        <v>862</v>
      </c>
      <c r="J1524" s="103" t="s">
        <v>863</v>
      </c>
      <c r="K1524" s="103" t="s">
        <v>864</v>
      </c>
      <c r="L1524" s="103" t="s">
        <v>153</v>
      </c>
      <c r="M1524" s="103" t="s">
        <v>865</v>
      </c>
      <c r="N1524" s="103" t="s">
        <v>866</v>
      </c>
      <c r="O1524" s="103" t="str">
        <f t="shared" si="86"/>
        <v/>
      </c>
      <c r="P1524" s="103" t="s">
        <v>153</v>
      </c>
      <c r="Q1524" s="103" t="s">
        <v>153</v>
      </c>
      <c r="R1524" s="103" t="s">
        <v>153</v>
      </c>
      <c r="S1524" s="103" t="str">
        <f>INDEX('Measure &amp; Standard CostIDs'!$AK$8:$AK$12,B1524)</f>
        <v>Four+pack</v>
      </c>
      <c r="T1524" s="103" t="s">
        <v>867</v>
      </c>
      <c r="U1524" s="103"/>
      <c r="V1524" s="103"/>
      <c r="W1524" s="103">
        <f>ROUND(IF(LEFT(D1524,3)="Std",VLOOKUP(D1524,'Measure &amp; Standard CostIDs'!$S$5:$X$177,1+B1524,FALSE),VLOOKUP(D1524,'Measure &amp; Standard CostIDs'!$C$5:$H$177,1+B1524,FALSE)),2)</f>
        <v>2.5499999999999998</v>
      </c>
      <c r="X1524" s="103"/>
      <c r="Y1524" s="103"/>
      <c r="Z1524" s="103" t="s">
        <v>868</v>
      </c>
      <c r="AA1524" s="103" t="s">
        <v>874</v>
      </c>
      <c r="AB1524" s="103" t="s">
        <v>153</v>
      </c>
      <c r="AC1524" s="103">
        <v>0</v>
      </c>
      <c r="AD1524" s="156">
        <v>42005</v>
      </c>
      <c r="AE1524" s="103"/>
      <c r="AF1524" s="103" t="s">
        <v>870</v>
      </c>
      <c r="AG1524" s="103" t="s">
        <v>871</v>
      </c>
      <c r="AH1524" s="103" t="s">
        <v>976</v>
      </c>
      <c r="AI1524" s="103">
        <v>0</v>
      </c>
      <c r="AJ1524" s="103"/>
      <c r="AK1524" s="103"/>
      <c r="AL1524" s="103"/>
      <c r="AM1524" s="103"/>
      <c r="AN1524" s="103"/>
      <c r="AO1524" s="103" t="str">
        <f t="shared" si="87"/>
        <v>Std_CFLscw(39w)_60pInc-r0248Four+pack</v>
      </c>
    </row>
    <row r="1525" spans="1:41">
      <c r="A1525" s="177">
        <f>IFERROR(MATCH(D1525,'Measure &amp; Standard CostIDs'!C$5:C$177,0),MATCH(D1525,'Measure &amp; Standard CostIDs'!S$5:S$177,0))</f>
        <v>29</v>
      </c>
      <c r="B1525" s="177">
        <f t="shared" si="85"/>
        <v>5</v>
      </c>
      <c r="C1525" s="103" t="s">
        <v>153</v>
      </c>
      <c r="D1525" s="103" t="str">
        <f t="shared" si="84"/>
        <v>Std_CFLscw(3w)_60pInc-r0248</v>
      </c>
      <c r="E1525" s="103" t="str">
        <f>IF(LEFT(D1525,3)="Std","Base case cost for mix of 60% Incandescent and 40% CFL lamps for CFL TechID: "&amp;INDEX('Measure &amp; Standard CostIDs'!$C$5:$C$177,A1525),"&lt;from TechID&gt;")</f>
        <v>Base case cost for mix of 60% Incandescent and 40% CFL lamps for CFL TechID: CFLscw(3w)</v>
      </c>
      <c r="F1525" s="103" t="s">
        <v>860</v>
      </c>
      <c r="G1525" s="103" t="s">
        <v>151</v>
      </c>
      <c r="H1525" s="103" t="s">
        <v>861</v>
      </c>
      <c r="I1525" s="103" t="s">
        <v>862</v>
      </c>
      <c r="J1525" s="103" t="s">
        <v>863</v>
      </c>
      <c r="K1525" s="103" t="s">
        <v>864</v>
      </c>
      <c r="L1525" s="103" t="s">
        <v>153</v>
      </c>
      <c r="M1525" s="103" t="s">
        <v>865</v>
      </c>
      <c r="N1525" s="103" t="s">
        <v>866</v>
      </c>
      <c r="O1525" s="103" t="str">
        <f t="shared" si="86"/>
        <v/>
      </c>
      <c r="P1525" s="103" t="s">
        <v>153</v>
      </c>
      <c r="Q1525" s="103" t="s">
        <v>153</v>
      </c>
      <c r="R1525" s="103" t="s">
        <v>153</v>
      </c>
      <c r="S1525" s="103" t="str">
        <f>INDEX('Measure &amp; Standard CostIDs'!$AK$8:$AK$12,B1525)</f>
        <v>Four+pack</v>
      </c>
      <c r="T1525" s="103" t="s">
        <v>867</v>
      </c>
      <c r="U1525" s="103"/>
      <c r="V1525" s="103"/>
      <c r="W1525" s="103">
        <f>ROUND(IF(LEFT(D1525,3)="Std",VLOOKUP(D1525,'Measure &amp; Standard CostIDs'!$S$5:$X$177,1+B1525,FALSE),VLOOKUP(D1525,'Measure &amp; Standard CostIDs'!$C$5:$H$177,1+B1525,FALSE)),2)</f>
        <v>0.81</v>
      </c>
      <c r="X1525" s="103"/>
      <c r="Y1525" s="103"/>
      <c r="Z1525" s="103" t="s">
        <v>868</v>
      </c>
      <c r="AA1525" s="103" t="s">
        <v>874</v>
      </c>
      <c r="AB1525" s="103" t="s">
        <v>153</v>
      </c>
      <c r="AC1525" s="103">
        <v>0</v>
      </c>
      <c r="AD1525" s="156">
        <v>42005</v>
      </c>
      <c r="AE1525" s="103"/>
      <c r="AF1525" s="103" t="s">
        <v>870</v>
      </c>
      <c r="AG1525" s="103" t="s">
        <v>871</v>
      </c>
      <c r="AH1525" s="103" t="s">
        <v>976</v>
      </c>
      <c r="AI1525" s="103">
        <v>0</v>
      </c>
      <c r="AJ1525" s="103"/>
      <c r="AK1525" s="103"/>
      <c r="AL1525" s="103"/>
      <c r="AM1525" s="103"/>
      <c r="AN1525" s="103"/>
      <c r="AO1525" s="103" t="str">
        <f t="shared" si="87"/>
        <v>Std_CFLscw(3w)_60pInc-r0248Four+pack</v>
      </c>
    </row>
    <row r="1526" spans="1:41">
      <c r="A1526" s="177">
        <f>IFERROR(MATCH(D1526,'Measure &amp; Standard CostIDs'!C$5:C$177,0),MATCH(D1526,'Measure &amp; Standard CostIDs'!S$5:S$177,0))</f>
        <v>30</v>
      </c>
      <c r="B1526" s="177">
        <f t="shared" si="85"/>
        <v>5</v>
      </c>
      <c r="C1526" s="103" t="s">
        <v>153</v>
      </c>
      <c r="D1526" s="103" t="str">
        <f t="shared" si="84"/>
        <v>Std_CFLscw(40w)_60pInc-r0248</v>
      </c>
      <c r="E1526" s="103" t="str">
        <f>IF(LEFT(D1526,3)="Std","Base case cost for mix of 60% Incandescent and 40% CFL lamps for CFL TechID: "&amp;INDEX('Measure &amp; Standard CostIDs'!$C$5:$C$177,A1526),"&lt;from TechID&gt;")</f>
        <v>Base case cost for mix of 60% Incandescent and 40% CFL lamps for CFL TechID: CFLscw(40w)</v>
      </c>
      <c r="F1526" s="103" t="s">
        <v>860</v>
      </c>
      <c r="G1526" s="103" t="s">
        <v>151</v>
      </c>
      <c r="H1526" s="103" t="s">
        <v>861</v>
      </c>
      <c r="I1526" s="103" t="s">
        <v>862</v>
      </c>
      <c r="J1526" s="103" t="s">
        <v>863</v>
      </c>
      <c r="K1526" s="103" t="s">
        <v>864</v>
      </c>
      <c r="L1526" s="103" t="s">
        <v>153</v>
      </c>
      <c r="M1526" s="103" t="s">
        <v>865</v>
      </c>
      <c r="N1526" s="103" t="s">
        <v>866</v>
      </c>
      <c r="O1526" s="103" t="str">
        <f t="shared" si="86"/>
        <v/>
      </c>
      <c r="P1526" s="103" t="s">
        <v>153</v>
      </c>
      <c r="Q1526" s="103" t="s">
        <v>153</v>
      </c>
      <c r="R1526" s="103" t="s">
        <v>153</v>
      </c>
      <c r="S1526" s="103" t="str">
        <f>INDEX('Measure &amp; Standard CostIDs'!$AK$8:$AK$12,B1526)</f>
        <v>Four+pack</v>
      </c>
      <c r="T1526" s="103" t="s">
        <v>867</v>
      </c>
      <c r="U1526" s="103"/>
      <c r="V1526" s="103"/>
      <c r="W1526" s="103">
        <f>ROUND(IF(LEFT(D1526,3)="Std",VLOOKUP(D1526,'Measure &amp; Standard CostIDs'!$S$5:$X$177,1+B1526,FALSE),VLOOKUP(D1526,'Measure &amp; Standard CostIDs'!$C$5:$H$177,1+B1526,FALSE)),2)</f>
        <v>2.61</v>
      </c>
      <c r="X1526" s="103"/>
      <c r="Y1526" s="103"/>
      <c r="Z1526" s="103" t="s">
        <v>868</v>
      </c>
      <c r="AA1526" s="103" t="s">
        <v>874</v>
      </c>
      <c r="AB1526" s="103" t="s">
        <v>153</v>
      </c>
      <c r="AC1526" s="103">
        <v>0</v>
      </c>
      <c r="AD1526" s="156">
        <v>42005</v>
      </c>
      <c r="AE1526" s="103"/>
      <c r="AF1526" s="103" t="s">
        <v>870</v>
      </c>
      <c r="AG1526" s="103" t="s">
        <v>871</v>
      </c>
      <c r="AH1526" s="103" t="s">
        <v>976</v>
      </c>
      <c r="AI1526" s="103">
        <v>0</v>
      </c>
      <c r="AJ1526" s="103"/>
      <c r="AK1526" s="103"/>
      <c r="AL1526" s="103"/>
      <c r="AM1526" s="103"/>
      <c r="AN1526" s="103"/>
      <c r="AO1526" s="103" t="str">
        <f t="shared" si="87"/>
        <v>Std_CFLscw(40w)_60pInc-r0248Four+pack</v>
      </c>
    </row>
    <row r="1527" spans="1:41">
      <c r="A1527" s="177">
        <f>IFERROR(MATCH(D1527,'Measure &amp; Standard CostIDs'!C$5:C$177,0),MATCH(D1527,'Measure &amp; Standard CostIDs'!S$5:S$177,0))</f>
        <v>31</v>
      </c>
      <c r="B1527" s="177">
        <f t="shared" si="85"/>
        <v>5</v>
      </c>
      <c r="C1527" s="103" t="s">
        <v>153</v>
      </c>
      <c r="D1527" s="103" t="str">
        <f t="shared" si="84"/>
        <v>Std_CFLscw(42w)_60pInc-r0248</v>
      </c>
      <c r="E1527" s="103" t="str">
        <f>IF(LEFT(D1527,3)="Std","Base case cost for mix of 60% Incandescent and 40% CFL lamps for CFL TechID: "&amp;INDEX('Measure &amp; Standard CostIDs'!$C$5:$C$177,A1527),"&lt;from TechID&gt;")</f>
        <v>Base case cost for mix of 60% Incandescent and 40% CFL lamps for CFL TechID: CFLscw(42w)</v>
      </c>
      <c r="F1527" s="103" t="s">
        <v>860</v>
      </c>
      <c r="G1527" s="103" t="s">
        <v>151</v>
      </c>
      <c r="H1527" s="103" t="s">
        <v>861</v>
      </c>
      <c r="I1527" s="103" t="s">
        <v>862</v>
      </c>
      <c r="J1527" s="103" t="s">
        <v>863</v>
      </c>
      <c r="K1527" s="103" t="s">
        <v>864</v>
      </c>
      <c r="L1527" s="103" t="s">
        <v>153</v>
      </c>
      <c r="M1527" s="103" t="s">
        <v>865</v>
      </c>
      <c r="N1527" s="103" t="s">
        <v>866</v>
      </c>
      <c r="O1527" s="103" t="str">
        <f t="shared" si="86"/>
        <v/>
      </c>
      <c r="P1527" s="103" t="s">
        <v>153</v>
      </c>
      <c r="Q1527" s="103" t="s">
        <v>153</v>
      </c>
      <c r="R1527" s="103" t="s">
        <v>153</v>
      </c>
      <c r="S1527" s="103" t="str">
        <f>INDEX('Measure &amp; Standard CostIDs'!$AK$8:$AK$12,B1527)</f>
        <v>Four+pack</v>
      </c>
      <c r="T1527" s="103" t="s">
        <v>867</v>
      </c>
      <c r="U1527" s="103"/>
      <c r="V1527" s="103"/>
      <c r="W1527" s="103">
        <f>ROUND(IF(LEFT(D1527,3)="Std",VLOOKUP(D1527,'Measure &amp; Standard CostIDs'!$S$5:$X$177,1+B1527,FALSE),VLOOKUP(D1527,'Measure &amp; Standard CostIDs'!$C$5:$H$177,1+B1527,FALSE)),2)</f>
        <v>2.74</v>
      </c>
      <c r="X1527" s="103"/>
      <c r="Y1527" s="103"/>
      <c r="Z1527" s="103" t="s">
        <v>868</v>
      </c>
      <c r="AA1527" s="103" t="s">
        <v>874</v>
      </c>
      <c r="AB1527" s="103" t="s">
        <v>153</v>
      </c>
      <c r="AC1527" s="103">
        <v>0</v>
      </c>
      <c r="AD1527" s="156">
        <v>42005</v>
      </c>
      <c r="AE1527" s="103"/>
      <c r="AF1527" s="103" t="s">
        <v>870</v>
      </c>
      <c r="AG1527" s="103" t="s">
        <v>871</v>
      </c>
      <c r="AH1527" s="103" t="s">
        <v>976</v>
      </c>
      <c r="AI1527" s="103">
        <v>0</v>
      </c>
      <c r="AJ1527" s="103"/>
      <c r="AK1527" s="103"/>
      <c r="AL1527" s="103"/>
      <c r="AM1527" s="103"/>
      <c r="AN1527" s="103"/>
      <c r="AO1527" s="103" t="str">
        <f t="shared" si="87"/>
        <v>Std_CFLscw(42w)_60pInc-r0248Four+pack</v>
      </c>
    </row>
    <row r="1528" spans="1:41">
      <c r="A1528" s="177">
        <f>IFERROR(MATCH(D1528,'Measure &amp; Standard CostIDs'!C$5:C$177,0),MATCH(D1528,'Measure &amp; Standard CostIDs'!S$5:S$177,0))</f>
        <v>35</v>
      </c>
      <c r="B1528" s="177">
        <f t="shared" si="85"/>
        <v>5</v>
      </c>
      <c r="C1528" s="103" t="s">
        <v>153</v>
      </c>
      <c r="D1528" s="103" t="str">
        <f t="shared" si="84"/>
        <v>Std_CFLscw(4w)_60pInc-r0248</v>
      </c>
      <c r="E1528" s="103" t="str">
        <f>IF(LEFT(D1528,3)="Std","Base case cost for mix of 60% Incandescent and 40% CFL lamps for CFL TechID: "&amp;INDEX('Measure &amp; Standard CostIDs'!$C$5:$C$177,A1528),"&lt;from TechID&gt;")</f>
        <v>Base case cost for mix of 60% Incandescent and 40% CFL lamps for CFL TechID: CFLscw(4w)</v>
      </c>
      <c r="F1528" s="103" t="s">
        <v>860</v>
      </c>
      <c r="G1528" s="103" t="s">
        <v>151</v>
      </c>
      <c r="H1528" s="103" t="s">
        <v>861</v>
      </c>
      <c r="I1528" s="103" t="s">
        <v>862</v>
      </c>
      <c r="J1528" s="103" t="s">
        <v>863</v>
      </c>
      <c r="K1528" s="103" t="s">
        <v>864</v>
      </c>
      <c r="L1528" s="103" t="s">
        <v>153</v>
      </c>
      <c r="M1528" s="103" t="s">
        <v>865</v>
      </c>
      <c r="N1528" s="103" t="s">
        <v>866</v>
      </c>
      <c r="O1528" s="103" t="str">
        <f t="shared" si="86"/>
        <v/>
      </c>
      <c r="P1528" s="103" t="s">
        <v>153</v>
      </c>
      <c r="Q1528" s="103" t="s">
        <v>153</v>
      </c>
      <c r="R1528" s="103" t="s">
        <v>153</v>
      </c>
      <c r="S1528" s="103" t="str">
        <f>INDEX('Measure &amp; Standard CostIDs'!$AK$8:$AK$12,B1528)</f>
        <v>Four+pack</v>
      </c>
      <c r="T1528" s="103" t="s">
        <v>867</v>
      </c>
      <c r="U1528" s="103"/>
      <c r="V1528" s="103"/>
      <c r="W1528" s="103">
        <f>ROUND(IF(LEFT(D1528,3)="Std",VLOOKUP(D1528,'Measure &amp; Standard CostIDs'!$S$5:$X$177,1+B1528,FALSE),VLOOKUP(D1528,'Measure &amp; Standard CostIDs'!$C$5:$H$177,1+B1528,FALSE)),2)</f>
        <v>0.83</v>
      </c>
      <c r="X1528" s="103"/>
      <c r="Y1528" s="103"/>
      <c r="Z1528" s="103" t="s">
        <v>868</v>
      </c>
      <c r="AA1528" s="103" t="s">
        <v>874</v>
      </c>
      <c r="AB1528" s="103" t="s">
        <v>153</v>
      </c>
      <c r="AC1528" s="103">
        <v>0</v>
      </c>
      <c r="AD1528" s="156">
        <v>42005</v>
      </c>
      <c r="AE1528" s="103"/>
      <c r="AF1528" s="103" t="s">
        <v>870</v>
      </c>
      <c r="AG1528" s="103" t="s">
        <v>871</v>
      </c>
      <c r="AH1528" s="103" t="s">
        <v>976</v>
      </c>
      <c r="AI1528" s="103">
        <v>0</v>
      </c>
      <c r="AJ1528" s="103"/>
      <c r="AK1528" s="103"/>
      <c r="AL1528" s="103"/>
      <c r="AM1528" s="103"/>
      <c r="AN1528" s="103"/>
      <c r="AO1528" s="103" t="str">
        <f t="shared" si="87"/>
        <v>Std_CFLscw(4w)_60pInc-r0248Four+pack</v>
      </c>
    </row>
    <row r="1529" spans="1:41">
      <c r="A1529" s="177">
        <f>IFERROR(MATCH(D1529,'Measure &amp; Standard CostIDs'!C$5:C$177,0),MATCH(D1529,'Measure &amp; Standard CostIDs'!S$5:S$177,0))</f>
        <v>39</v>
      </c>
      <c r="B1529" s="177">
        <f t="shared" si="85"/>
        <v>5</v>
      </c>
      <c r="C1529" s="103" t="s">
        <v>153</v>
      </c>
      <c r="D1529" s="103" t="str">
        <f t="shared" si="84"/>
        <v>Std_CFLscw(5w)_60pInc-r0248</v>
      </c>
      <c r="E1529" s="103" t="str">
        <f>IF(LEFT(D1529,3)="Std","Base case cost for mix of 60% Incandescent and 40% CFL lamps for CFL TechID: "&amp;INDEX('Measure &amp; Standard CostIDs'!$C$5:$C$177,A1529),"&lt;from TechID&gt;")</f>
        <v>Base case cost for mix of 60% Incandescent and 40% CFL lamps for CFL TechID: CFLscw(5w)</v>
      </c>
      <c r="F1529" s="103" t="s">
        <v>860</v>
      </c>
      <c r="G1529" s="103" t="s">
        <v>151</v>
      </c>
      <c r="H1529" s="103" t="s">
        <v>861</v>
      </c>
      <c r="I1529" s="103" t="s">
        <v>862</v>
      </c>
      <c r="J1529" s="103" t="s">
        <v>863</v>
      </c>
      <c r="K1529" s="103" t="s">
        <v>864</v>
      </c>
      <c r="L1529" s="103" t="s">
        <v>153</v>
      </c>
      <c r="M1529" s="103" t="s">
        <v>865</v>
      </c>
      <c r="N1529" s="103" t="s">
        <v>866</v>
      </c>
      <c r="O1529" s="103" t="str">
        <f t="shared" si="86"/>
        <v/>
      </c>
      <c r="P1529" s="103" t="s">
        <v>153</v>
      </c>
      <c r="Q1529" s="103" t="s">
        <v>153</v>
      </c>
      <c r="R1529" s="103" t="s">
        <v>153</v>
      </c>
      <c r="S1529" s="103" t="str">
        <f>INDEX('Measure &amp; Standard CostIDs'!$AK$8:$AK$12,B1529)</f>
        <v>Four+pack</v>
      </c>
      <c r="T1529" s="103" t="s">
        <v>867</v>
      </c>
      <c r="U1529" s="103"/>
      <c r="V1529" s="103"/>
      <c r="W1529" s="103">
        <f>ROUND(IF(LEFT(D1529,3)="Std",VLOOKUP(D1529,'Measure &amp; Standard CostIDs'!$S$5:$X$177,1+B1529,FALSE),VLOOKUP(D1529,'Measure &amp; Standard CostIDs'!$C$5:$H$177,1+B1529,FALSE)),2)</f>
        <v>0.86</v>
      </c>
      <c r="X1529" s="103"/>
      <c r="Y1529" s="103"/>
      <c r="Z1529" s="103" t="s">
        <v>868</v>
      </c>
      <c r="AA1529" s="103" t="s">
        <v>874</v>
      </c>
      <c r="AB1529" s="103" t="s">
        <v>153</v>
      </c>
      <c r="AC1529" s="103">
        <v>0</v>
      </c>
      <c r="AD1529" s="156">
        <v>42005</v>
      </c>
      <c r="AE1529" s="103"/>
      <c r="AF1529" s="103" t="s">
        <v>870</v>
      </c>
      <c r="AG1529" s="103" t="s">
        <v>871</v>
      </c>
      <c r="AH1529" s="103" t="s">
        <v>976</v>
      </c>
      <c r="AI1529" s="103">
        <v>0</v>
      </c>
      <c r="AJ1529" s="103"/>
      <c r="AK1529" s="103"/>
      <c r="AL1529" s="103"/>
      <c r="AM1529" s="103"/>
      <c r="AN1529" s="103"/>
      <c r="AO1529" s="103" t="str">
        <f t="shared" si="87"/>
        <v>Std_CFLscw(5w)_60pInc-r0248Four+pack</v>
      </c>
    </row>
    <row r="1530" spans="1:41">
      <c r="A1530" s="177">
        <f>IFERROR(MATCH(D1530,'Measure &amp; Standard CostIDs'!C$5:C$177,0),MATCH(D1530,'Measure &amp; Standard CostIDs'!S$5:S$177,0))</f>
        <v>42</v>
      </c>
      <c r="B1530" s="177">
        <f t="shared" si="85"/>
        <v>5</v>
      </c>
      <c r="C1530" s="103" t="s">
        <v>153</v>
      </c>
      <c r="D1530" s="103" t="str">
        <f t="shared" si="84"/>
        <v>Std_CFLscw(6w)_60pInc-r0248</v>
      </c>
      <c r="E1530" s="103" t="str">
        <f>IF(LEFT(D1530,3)="Std","Base case cost for mix of 60% Incandescent and 40% CFL lamps for CFL TechID: "&amp;INDEX('Measure &amp; Standard CostIDs'!$C$5:$C$177,A1530),"&lt;from TechID&gt;")</f>
        <v>Base case cost for mix of 60% Incandescent and 40% CFL lamps for CFL TechID: CFLscw(6w)</v>
      </c>
      <c r="F1530" s="103" t="s">
        <v>860</v>
      </c>
      <c r="G1530" s="103" t="s">
        <v>151</v>
      </c>
      <c r="H1530" s="103" t="s">
        <v>861</v>
      </c>
      <c r="I1530" s="103" t="s">
        <v>862</v>
      </c>
      <c r="J1530" s="103" t="s">
        <v>863</v>
      </c>
      <c r="K1530" s="103" t="s">
        <v>864</v>
      </c>
      <c r="L1530" s="103" t="s">
        <v>153</v>
      </c>
      <c r="M1530" s="103" t="s">
        <v>865</v>
      </c>
      <c r="N1530" s="103" t="s">
        <v>866</v>
      </c>
      <c r="O1530" s="103" t="str">
        <f t="shared" si="86"/>
        <v/>
      </c>
      <c r="P1530" s="103" t="s">
        <v>153</v>
      </c>
      <c r="Q1530" s="103" t="s">
        <v>153</v>
      </c>
      <c r="R1530" s="103" t="s">
        <v>153</v>
      </c>
      <c r="S1530" s="103" t="str">
        <f>INDEX('Measure &amp; Standard CostIDs'!$AK$8:$AK$12,B1530)</f>
        <v>Four+pack</v>
      </c>
      <c r="T1530" s="103" t="s">
        <v>867</v>
      </c>
      <c r="U1530" s="103"/>
      <c r="V1530" s="103"/>
      <c r="W1530" s="103">
        <f>ROUND(IF(LEFT(D1530,3)="Std",VLOOKUP(D1530,'Measure &amp; Standard CostIDs'!$S$5:$X$177,1+B1530,FALSE),VLOOKUP(D1530,'Measure &amp; Standard CostIDs'!$C$5:$H$177,1+B1530,FALSE)),2)</f>
        <v>0.89</v>
      </c>
      <c r="X1530" s="103"/>
      <c r="Y1530" s="103"/>
      <c r="Z1530" s="103" t="s">
        <v>868</v>
      </c>
      <c r="AA1530" s="103" t="s">
        <v>874</v>
      </c>
      <c r="AB1530" s="103" t="s">
        <v>153</v>
      </c>
      <c r="AC1530" s="103">
        <v>0</v>
      </c>
      <c r="AD1530" s="156">
        <v>42005</v>
      </c>
      <c r="AE1530" s="103"/>
      <c r="AF1530" s="103" t="s">
        <v>870</v>
      </c>
      <c r="AG1530" s="103" t="s">
        <v>871</v>
      </c>
      <c r="AH1530" s="103" t="s">
        <v>976</v>
      </c>
      <c r="AI1530" s="103">
        <v>0</v>
      </c>
      <c r="AJ1530" s="103"/>
      <c r="AK1530" s="103"/>
      <c r="AL1530" s="103"/>
      <c r="AM1530" s="103"/>
      <c r="AN1530" s="103"/>
      <c r="AO1530" s="103" t="str">
        <f t="shared" si="87"/>
        <v>Std_CFLscw(6w)_60pInc-r0248Four+pack</v>
      </c>
    </row>
    <row r="1531" spans="1:41">
      <c r="A1531" s="177">
        <f>IFERROR(MATCH(D1531,'Measure &amp; Standard CostIDs'!C$5:C$177,0),MATCH(D1531,'Measure &amp; Standard CostIDs'!S$5:S$177,0))</f>
        <v>43</v>
      </c>
      <c r="B1531" s="177">
        <f t="shared" si="85"/>
        <v>5</v>
      </c>
      <c r="C1531" s="103" t="s">
        <v>153</v>
      </c>
      <c r="D1531" s="103" t="str">
        <f t="shared" si="84"/>
        <v>Std_CFLscw(7w)_60pInc-r0248</v>
      </c>
      <c r="E1531" s="103" t="str">
        <f>IF(LEFT(D1531,3)="Std","Base case cost for mix of 60% Incandescent and 40% CFL lamps for CFL TechID: "&amp;INDEX('Measure &amp; Standard CostIDs'!$C$5:$C$177,A1531),"&lt;from TechID&gt;")</f>
        <v>Base case cost for mix of 60% Incandescent and 40% CFL lamps for CFL TechID: CFLscw(7w)</v>
      </c>
      <c r="F1531" s="103" t="s">
        <v>860</v>
      </c>
      <c r="G1531" s="103" t="s">
        <v>151</v>
      </c>
      <c r="H1531" s="103" t="s">
        <v>861</v>
      </c>
      <c r="I1531" s="103" t="s">
        <v>862</v>
      </c>
      <c r="J1531" s="103" t="s">
        <v>863</v>
      </c>
      <c r="K1531" s="103" t="s">
        <v>864</v>
      </c>
      <c r="L1531" s="103" t="s">
        <v>153</v>
      </c>
      <c r="M1531" s="103" t="s">
        <v>865</v>
      </c>
      <c r="N1531" s="103" t="s">
        <v>866</v>
      </c>
      <c r="O1531" s="103" t="str">
        <f t="shared" si="86"/>
        <v/>
      </c>
      <c r="P1531" s="103" t="s">
        <v>153</v>
      </c>
      <c r="Q1531" s="103" t="s">
        <v>153</v>
      </c>
      <c r="R1531" s="103" t="s">
        <v>153</v>
      </c>
      <c r="S1531" s="103" t="str">
        <f>INDEX('Measure &amp; Standard CostIDs'!$AK$8:$AK$12,B1531)</f>
        <v>Four+pack</v>
      </c>
      <c r="T1531" s="103" t="s">
        <v>867</v>
      </c>
      <c r="U1531" s="103"/>
      <c r="V1531" s="103"/>
      <c r="W1531" s="103">
        <f>ROUND(IF(LEFT(D1531,3)="Std",VLOOKUP(D1531,'Measure &amp; Standard CostIDs'!$S$5:$X$177,1+B1531,FALSE),VLOOKUP(D1531,'Measure &amp; Standard CostIDs'!$C$5:$H$177,1+B1531,FALSE)),2)</f>
        <v>0.91</v>
      </c>
      <c r="X1531" s="103"/>
      <c r="Y1531" s="103"/>
      <c r="Z1531" s="103" t="s">
        <v>868</v>
      </c>
      <c r="AA1531" s="103" t="s">
        <v>874</v>
      </c>
      <c r="AB1531" s="103" t="s">
        <v>153</v>
      </c>
      <c r="AC1531" s="103">
        <v>0</v>
      </c>
      <c r="AD1531" s="156">
        <v>42005</v>
      </c>
      <c r="AE1531" s="103"/>
      <c r="AF1531" s="103" t="s">
        <v>870</v>
      </c>
      <c r="AG1531" s="103" t="s">
        <v>871</v>
      </c>
      <c r="AH1531" s="103" t="s">
        <v>976</v>
      </c>
      <c r="AI1531" s="103">
        <v>0</v>
      </c>
      <c r="AJ1531" s="103"/>
      <c r="AK1531" s="103"/>
      <c r="AL1531" s="103"/>
      <c r="AM1531" s="103"/>
      <c r="AN1531" s="103"/>
      <c r="AO1531" s="103" t="str">
        <f t="shared" si="87"/>
        <v>Std_CFLscw(7w)_60pInc-r0248Four+pack</v>
      </c>
    </row>
    <row r="1532" spans="1:41">
      <c r="A1532" s="177">
        <f>IFERROR(MATCH(D1532,'Measure &amp; Standard CostIDs'!C$5:C$177,0),MATCH(D1532,'Measure &amp; Standard CostIDs'!S$5:S$177,0))</f>
        <v>46</v>
      </c>
      <c r="B1532" s="177">
        <f t="shared" si="85"/>
        <v>5</v>
      </c>
      <c r="C1532" s="103" t="s">
        <v>153</v>
      </c>
      <c r="D1532" s="103" t="str">
        <f t="shared" si="84"/>
        <v>Std_CFLscw(8w)_60pInc-r0248</v>
      </c>
      <c r="E1532" s="103" t="str">
        <f>IF(LEFT(D1532,3)="Std","Base case cost for mix of 60% Incandescent and 40% CFL lamps for CFL TechID: "&amp;INDEX('Measure &amp; Standard CostIDs'!$C$5:$C$177,A1532),"&lt;from TechID&gt;")</f>
        <v>Base case cost for mix of 60% Incandescent and 40% CFL lamps for CFL TechID: CFLscw(8w)</v>
      </c>
      <c r="F1532" s="103" t="s">
        <v>860</v>
      </c>
      <c r="G1532" s="103" t="s">
        <v>151</v>
      </c>
      <c r="H1532" s="103" t="s">
        <v>861</v>
      </c>
      <c r="I1532" s="103" t="s">
        <v>862</v>
      </c>
      <c r="J1532" s="103" t="s">
        <v>863</v>
      </c>
      <c r="K1532" s="103" t="s">
        <v>864</v>
      </c>
      <c r="L1532" s="103" t="s">
        <v>153</v>
      </c>
      <c r="M1532" s="103" t="s">
        <v>865</v>
      </c>
      <c r="N1532" s="103" t="s">
        <v>866</v>
      </c>
      <c r="O1532" s="103" t="str">
        <f t="shared" si="86"/>
        <v/>
      </c>
      <c r="P1532" s="103" t="s">
        <v>153</v>
      </c>
      <c r="Q1532" s="103" t="s">
        <v>153</v>
      </c>
      <c r="R1532" s="103" t="s">
        <v>153</v>
      </c>
      <c r="S1532" s="103" t="str">
        <f>INDEX('Measure &amp; Standard CostIDs'!$AK$8:$AK$12,B1532)</f>
        <v>Four+pack</v>
      </c>
      <c r="T1532" s="103" t="s">
        <v>867</v>
      </c>
      <c r="U1532" s="103"/>
      <c r="V1532" s="103"/>
      <c r="W1532" s="103">
        <f>ROUND(IF(LEFT(D1532,3)="Std",VLOOKUP(D1532,'Measure &amp; Standard CostIDs'!$S$5:$X$177,1+B1532,FALSE),VLOOKUP(D1532,'Measure &amp; Standard CostIDs'!$C$5:$H$177,1+B1532,FALSE)),2)</f>
        <v>0.94</v>
      </c>
      <c r="X1532" s="103"/>
      <c r="Y1532" s="103"/>
      <c r="Z1532" s="103" t="s">
        <v>868</v>
      </c>
      <c r="AA1532" s="103" t="s">
        <v>874</v>
      </c>
      <c r="AB1532" s="103" t="s">
        <v>153</v>
      </c>
      <c r="AC1532" s="103">
        <v>0</v>
      </c>
      <c r="AD1532" s="156">
        <v>42005</v>
      </c>
      <c r="AE1532" s="103"/>
      <c r="AF1532" s="103" t="s">
        <v>870</v>
      </c>
      <c r="AG1532" s="103" t="s">
        <v>871</v>
      </c>
      <c r="AH1532" s="103" t="s">
        <v>976</v>
      </c>
      <c r="AI1532" s="103">
        <v>0</v>
      </c>
      <c r="AJ1532" s="103"/>
      <c r="AK1532" s="103"/>
      <c r="AL1532" s="103"/>
      <c r="AM1532" s="103"/>
      <c r="AN1532" s="103"/>
      <c r="AO1532" s="103" t="str">
        <f t="shared" si="87"/>
        <v>Std_CFLscw(8w)_60pInc-r0248Four+pack</v>
      </c>
    </row>
    <row r="1533" spans="1:41">
      <c r="A1533" s="177">
        <f>IFERROR(MATCH(D1533,'Measure &amp; Standard CostIDs'!C$5:C$177,0),MATCH(D1533,'Measure &amp; Standard CostIDs'!S$5:S$177,0))</f>
        <v>47</v>
      </c>
      <c r="B1533" s="177">
        <f t="shared" si="85"/>
        <v>5</v>
      </c>
      <c r="C1533" s="103" t="s">
        <v>153</v>
      </c>
      <c r="D1533" s="103" t="str">
        <f t="shared" si="84"/>
        <v>Std_CFLscw(9w)_60pInc-r0248</v>
      </c>
      <c r="E1533" s="103" t="str">
        <f>IF(LEFT(D1533,3)="Std","Base case cost for mix of 60% Incandescent and 40% CFL lamps for CFL TechID: "&amp;INDEX('Measure &amp; Standard CostIDs'!$C$5:$C$177,A1533),"&lt;from TechID&gt;")</f>
        <v>Base case cost for mix of 60% Incandescent and 40% CFL lamps for CFL TechID: CFLscw(9w)</v>
      </c>
      <c r="F1533" s="103" t="s">
        <v>860</v>
      </c>
      <c r="G1533" s="103" t="s">
        <v>151</v>
      </c>
      <c r="H1533" s="103" t="s">
        <v>861</v>
      </c>
      <c r="I1533" s="103" t="s">
        <v>862</v>
      </c>
      <c r="J1533" s="103" t="s">
        <v>863</v>
      </c>
      <c r="K1533" s="103" t="s">
        <v>864</v>
      </c>
      <c r="L1533" s="103" t="s">
        <v>153</v>
      </c>
      <c r="M1533" s="103" t="s">
        <v>865</v>
      </c>
      <c r="N1533" s="103" t="s">
        <v>866</v>
      </c>
      <c r="O1533" s="103" t="str">
        <f t="shared" si="86"/>
        <v/>
      </c>
      <c r="P1533" s="103" t="s">
        <v>153</v>
      </c>
      <c r="Q1533" s="103" t="s">
        <v>153</v>
      </c>
      <c r="R1533" s="103" t="s">
        <v>153</v>
      </c>
      <c r="S1533" s="103" t="str">
        <f>INDEX('Measure &amp; Standard CostIDs'!$AK$8:$AK$12,B1533)</f>
        <v>Four+pack</v>
      </c>
      <c r="T1533" s="103" t="s">
        <v>867</v>
      </c>
      <c r="U1533" s="103"/>
      <c r="V1533" s="103"/>
      <c r="W1533" s="103">
        <f>ROUND(IF(LEFT(D1533,3)="Std",VLOOKUP(D1533,'Measure &amp; Standard CostIDs'!$S$5:$X$177,1+B1533,FALSE),VLOOKUP(D1533,'Measure &amp; Standard CostIDs'!$C$5:$H$177,1+B1533,FALSE)),2)</f>
        <v>0.97</v>
      </c>
      <c r="X1533" s="103"/>
      <c r="Y1533" s="103"/>
      <c r="Z1533" s="103" t="s">
        <v>868</v>
      </c>
      <c r="AA1533" s="103" t="s">
        <v>874</v>
      </c>
      <c r="AB1533" s="103" t="s">
        <v>153</v>
      </c>
      <c r="AC1533" s="103">
        <v>0</v>
      </c>
      <c r="AD1533" s="156">
        <v>42005</v>
      </c>
      <c r="AE1533" s="103"/>
      <c r="AF1533" s="103" t="s">
        <v>870</v>
      </c>
      <c r="AG1533" s="103" t="s">
        <v>871</v>
      </c>
      <c r="AH1533" s="103" t="s">
        <v>976</v>
      </c>
      <c r="AI1533" s="103">
        <v>0</v>
      </c>
      <c r="AJ1533" s="103"/>
      <c r="AK1533" s="103"/>
      <c r="AL1533" s="103"/>
      <c r="AM1533" s="103"/>
      <c r="AN1533" s="103"/>
      <c r="AO1533" s="103" t="str">
        <f t="shared" si="87"/>
        <v>Std_CFLscw(9w)_60pInc-r0248Four+pack</v>
      </c>
    </row>
    <row r="1534" spans="1:41">
      <c r="A1534" s="177">
        <f>IFERROR(MATCH(D1534,'Measure &amp; Standard CostIDs'!C$5:C$177,0),MATCH(D1534,'Measure &amp; Standard CostIDs'!S$5:S$177,0))</f>
        <v>48</v>
      </c>
      <c r="B1534" s="177">
        <f t="shared" si="85"/>
        <v>5</v>
      </c>
      <c r="C1534" s="103" t="s">
        <v>153</v>
      </c>
      <c r="D1534" s="103" t="str">
        <f t="shared" si="84"/>
        <v>Std_CFLscw-3way(13w)_60pInc-r0248</v>
      </c>
      <c r="E1534" s="103" t="str">
        <f>IF(LEFT(D1534,3)="Std","Base case cost for mix of 60% Incandescent and 40% CFL lamps for CFL TechID: "&amp;INDEX('Measure &amp; Standard CostIDs'!$C$5:$C$177,A1534),"&lt;from TechID&gt;")</f>
        <v>Base case cost for mix of 60% Incandescent and 40% CFL lamps for CFL TechID: CFLscw-3way(13w)</v>
      </c>
      <c r="F1534" s="103" t="s">
        <v>860</v>
      </c>
      <c r="G1534" s="103" t="s">
        <v>151</v>
      </c>
      <c r="H1534" s="103" t="s">
        <v>861</v>
      </c>
      <c r="I1534" s="103" t="s">
        <v>862</v>
      </c>
      <c r="J1534" s="103" t="s">
        <v>863</v>
      </c>
      <c r="K1534" s="103" t="s">
        <v>864</v>
      </c>
      <c r="L1534" s="103" t="s">
        <v>153</v>
      </c>
      <c r="M1534" s="103" t="s">
        <v>865</v>
      </c>
      <c r="N1534" s="103" t="s">
        <v>866</v>
      </c>
      <c r="O1534" s="103" t="str">
        <f t="shared" si="86"/>
        <v/>
      </c>
      <c r="P1534" s="103" t="s">
        <v>153</v>
      </c>
      <c r="Q1534" s="103" t="s">
        <v>153</v>
      </c>
      <c r="R1534" s="103" t="s">
        <v>153</v>
      </c>
      <c r="S1534" s="103" t="str">
        <f>INDEX('Measure &amp; Standard CostIDs'!$AK$8:$AK$12,B1534)</f>
        <v>Four+pack</v>
      </c>
      <c r="T1534" s="103" t="s">
        <v>867</v>
      </c>
      <c r="U1534" s="103"/>
      <c r="V1534" s="103"/>
      <c r="W1534" s="103">
        <f>ROUND(IF(LEFT(D1534,3)="Std",VLOOKUP(D1534,'Measure &amp; Standard CostIDs'!$S$5:$X$177,1+B1534,FALSE),VLOOKUP(D1534,'Measure &amp; Standard CostIDs'!$C$5:$H$177,1+B1534,FALSE)),2)</f>
        <v>4.13</v>
      </c>
      <c r="X1534" s="103"/>
      <c r="Y1534" s="103"/>
      <c r="Z1534" s="103" t="s">
        <v>868</v>
      </c>
      <c r="AA1534" s="103" t="s">
        <v>874</v>
      </c>
      <c r="AB1534" s="103" t="s">
        <v>153</v>
      </c>
      <c r="AC1534" s="103">
        <v>0</v>
      </c>
      <c r="AD1534" s="156">
        <v>42005</v>
      </c>
      <c r="AE1534" s="103"/>
      <c r="AF1534" s="103" t="s">
        <v>870</v>
      </c>
      <c r="AG1534" s="103" t="s">
        <v>871</v>
      </c>
      <c r="AH1534" s="103" t="s">
        <v>976</v>
      </c>
      <c r="AI1534" s="103">
        <v>0</v>
      </c>
      <c r="AJ1534" s="103"/>
      <c r="AK1534" s="103"/>
      <c r="AL1534" s="103"/>
      <c r="AM1534" s="103"/>
      <c r="AN1534" s="103"/>
      <c r="AO1534" s="103" t="str">
        <f t="shared" si="87"/>
        <v>Std_CFLscw-3way(13w)_60pInc-r0248Four+pack</v>
      </c>
    </row>
    <row r="1535" spans="1:41">
      <c r="A1535" s="177">
        <f>IFERROR(MATCH(D1535,'Measure &amp; Standard CostIDs'!C$5:C$177,0),MATCH(D1535,'Measure &amp; Standard CostIDs'!S$5:S$177,0))</f>
        <v>49</v>
      </c>
      <c r="B1535" s="177">
        <f t="shared" si="85"/>
        <v>5</v>
      </c>
      <c r="C1535" s="103" t="s">
        <v>153</v>
      </c>
      <c r="D1535" s="103" t="str">
        <f t="shared" si="84"/>
        <v>Std_CFLscw-3way(15w)_60pInc-r0248</v>
      </c>
      <c r="E1535" s="103" t="str">
        <f>IF(LEFT(D1535,3)="Std","Base case cost for mix of 60% Incandescent and 40% CFL lamps for CFL TechID: "&amp;INDEX('Measure &amp; Standard CostIDs'!$C$5:$C$177,A1535),"&lt;from TechID&gt;")</f>
        <v>Base case cost for mix of 60% Incandescent and 40% CFL lamps for CFL TechID: CFLscw-3way(15w)</v>
      </c>
      <c r="F1535" s="103" t="s">
        <v>860</v>
      </c>
      <c r="G1535" s="103" t="s">
        <v>151</v>
      </c>
      <c r="H1535" s="103" t="s">
        <v>861</v>
      </c>
      <c r="I1535" s="103" t="s">
        <v>862</v>
      </c>
      <c r="J1535" s="103" t="s">
        <v>863</v>
      </c>
      <c r="K1535" s="103" t="s">
        <v>864</v>
      </c>
      <c r="L1535" s="103" t="s">
        <v>153</v>
      </c>
      <c r="M1535" s="103" t="s">
        <v>865</v>
      </c>
      <c r="N1535" s="103" t="s">
        <v>866</v>
      </c>
      <c r="O1535" s="103" t="str">
        <f t="shared" si="86"/>
        <v/>
      </c>
      <c r="P1535" s="103" t="s">
        <v>153</v>
      </c>
      <c r="Q1535" s="103" t="s">
        <v>153</v>
      </c>
      <c r="R1535" s="103" t="s">
        <v>153</v>
      </c>
      <c r="S1535" s="103" t="str">
        <f>INDEX('Measure &amp; Standard CostIDs'!$AK$8:$AK$12,B1535)</f>
        <v>Four+pack</v>
      </c>
      <c r="T1535" s="103" t="s">
        <v>867</v>
      </c>
      <c r="U1535" s="103"/>
      <c r="V1535" s="103"/>
      <c r="W1535" s="103">
        <f>ROUND(IF(LEFT(D1535,3)="Std",VLOOKUP(D1535,'Measure &amp; Standard CostIDs'!$S$5:$X$177,1+B1535,FALSE),VLOOKUP(D1535,'Measure &amp; Standard CostIDs'!$C$5:$H$177,1+B1535,FALSE)),2)</f>
        <v>4.22</v>
      </c>
      <c r="X1535" s="103"/>
      <c r="Y1535" s="103"/>
      <c r="Z1535" s="103" t="s">
        <v>868</v>
      </c>
      <c r="AA1535" s="103" t="s">
        <v>874</v>
      </c>
      <c r="AB1535" s="103" t="s">
        <v>153</v>
      </c>
      <c r="AC1535" s="103">
        <v>0</v>
      </c>
      <c r="AD1535" s="156">
        <v>42005</v>
      </c>
      <c r="AE1535" s="103"/>
      <c r="AF1535" s="103" t="s">
        <v>870</v>
      </c>
      <c r="AG1535" s="103" t="s">
        <v>871</v>
      </c>
      <c r="AH1535" s="103" t="s">
        <v>976</v>
      </c>
      <c r="AI1535" s="103">
        <v>0</v>
      </c>
      <c r="AJ1535" s="103"/>
      <c r="AK1535" s="103"/>
      <c r="AL1535" s="103"/>
      <c r="AM1535" s="103"/>
      <c r="AN1535" s="103"/>
      <c r="AO1535" s="103" t="str">
        <f t="shared" si="87"/>
        <v>Std_CFLscw-3way(15w)_60pInc-r0248Four+pack</v>
      </c>
    </row>
    <row r="1536" spans="1:41">
      <c r="A1536" s="177">
        <f>IFERROR(MATCH(D1536,'Measure &amp; Standard CostIDs'!C$5:C$177,0),MATCH(D1536,'Measure &amp; Standard CostIDs'!S$5:S$177,0))</f>
        <v>50</v>
      </c>
      <c r="B1536" s="177">
        <f t="shared" si="85"/>
        <v>5</v>
      </c>
      <c r="C1536" s="103" t="s">
        <v>153</v>
      </c>
      <c r="D1536" s="103" t="str">
        <f t="shared" si="84"/>
        <v>Std_CFLscw-3way(16w)_60pInc-r0248</v>
      </c>
      <c r="E1536" s="103" t="str">
        <f>IF(LEFT(D1536,3)="Std","Base case cost for mix of 60% Incandescent and 40% CFL lamps for CFL TechID: "&amp;INDEX('Measure &amp; Standard CostIDs'!$C$5:$C$177,A1536),"&lt;from TechID&gt;")</f>
        <v>Base case cost for mix of 60% Incandescent and 40% CFL lamps for CFL TechID: CFLscw-3way(16w)</v>
      </c>
      <c r="F1536" s="103" t="s">
        <v>860</v>
      </c>
      <c r="G1536" s="103" t="s">
        <v>151</v>
      </c>
      <c r="H1536" s="103" t="s">
        <v>861</v>
      </c>
      <c r="I1536" s="103" t="s">
        <v>862</v>
      </c>
      <c r="J1536" s="103" t="s">
        <v>863</v>
      </c>
      <c r="K1536" s="103" t="s">
        <v>864</v>
      </c>
      <c r="L1536" s="103" t="s">
        <v>153</v>
      </c>
      <c r="M1536" s="103" t="s">
        <v>865</v>
      </c>
      <c r="N1536" s="103" t="s">
        <v>866</v>
      </c>
      <c r="O1536" s="103" t="str">
        <f t="shared" si="86"/>
        <v/>
      </c>
      <c r="P1536" s="103" t="s">
        <v>153</v>
      </c>
      <c r="Q1536" s="103" t="s">
        <v>153</v>
      </c>
      <c r="R1536" s="103" t="s">
        <v>153</v>
      </c>
      <c r="S1536" s="103" t="str">
        <f>INDEX('Measure &amp; Standard CostIDs'!$AK$8:$AK$12,B1536)</f>
        <v>Four+pack</v>
      </c>
      <c r="T1536" s="103" t="s">
        <v>867</v>
      </c>
      <c r="U1536" s="103"/>
      <c r="V1536" s="103"/>
      <c r="W1536" s="103">
        <f>ROUND(IF(LEFT(D1536,3)="Std",VLOOKUP(D1536,'Measure &amp; Standard CostIDs'!$S$5:$X$177,1+B1536,FALSE),VLOOKUP(D1536,'Measure &amp; Standard CostIDs'!$C$5:$H$177,1+B1536,FALSE)),2)</f>
        <v>4.2699999999999996</v>
      </c>
      <c r="X1536" s="103"/>
      <c r="Y1536" s="103"/>
      <c r="Z1536" s="103" t="s">
        <v>868</v>
      </c>
      <c r="AA1536" s="103" t="s">
        <v>874</v>
      </c>
      <c r="AB1536" s="103" t="s">
        <v>153</v>
      </c>
      <c r="AC1536" s="103">
        <v>0</v>
      </c>
      <c r="AD1536" s="156">
        <v>42005</v>
      </c>
      <c r="AE1536" s="103"/>
      <c r="AF1536" s="103" t="s">
        <v>870</v>
      </c>
      <c r="AG1536" s="103" t="s">
        <v>871</v>
      </c>
      <c r="AH1536" s="103" t="s">
        <v>976</v>
      </c>
      <c r="AI1536" s="103">
        <v>0</v>
      </c>
      <c r="AJ1536" s="103"/>
      <c r="AK1536" s="103"/>
      <c r="AL1536" s="103"/>
      <c r="AM1536" s="103"/>
      <c r="AN1536" s="103"/>
      <c r="AO1536" s="103" t="str">
        <f t="shared" si="87"/>
        <v>Std_CFLscw-3way(16w)_60pInc-r0248Four+pack</v>
      </c>
    </row>
    <row r="1537" spans="1:41">
      <c r="A1537" s="177">
        <f>IFERROR(MATCH(D1537,'Measure &amp; Standard CostIDs'!C$5:C$177,0),MATCH(D1537,'Measure &amp; Standard CostIDs'!S$5:S$177,0))</f>
        <v>51</v>
      </c>
      <c r="B1537" s="177">
        <f t="shared" si="85"/>
        <v>5</v>
      </c>
      <c r="C1537" s="103" t="s">
        <v>153</v>
      </c>
      <c r="D1537" s="103" t="str">
        <f t="shared" si="84"/>
        <v>Std_CFLscw-3way(17w)_60pInc-r0248</v>
      </c>
      <c r="E1537" s="103" t="str">
        <f>IF(LEFT(D1537,3)="Std","Base case cost for mix of 60% Incandescent and 40% CFL lamps for CFL TechID: "&amp;INDEX('Measure &amp; Standard CostIDs'!$C$5:$C$177,A1537),"&lt;from TechID&gt;")</f>
        <v>Base case cost for mix of 60% Incandescent and 40% CFL lamps for CFL TechID: CFLscw-3way(17w)</v>
      </c>
      <c r="F1537" s="103" t="s">
        <v>860</v>
      </c>
      <c r="G1537" s="103" t="s">
        <v>151</v>
      </c>
      <c r="H1537" s="103" t="s">
        <v>861</v>
      </c>
      <c r="I1537" s="103" t="s">
        <v>862</v>
      </c>
      <c r="J1537" s="103" t="s">
        <v>863</v>
      </c>
      <c r="K1537" s="103" t="s">
        <v>864</v>
      </c>
      <c r="L1537" s="103" t="s">
        <v>153</v>
      </c>
      <c r="M1537" s="103" t="s">
        <v>865</v>
      </c>
      <c r="N1537" s="103" t="s">
        <v>866</v>
      </c>
      <c r="O1537" s="103" t="str">
        <f t="shared" si="86"/>
        <v/>
      </c>
      <c r="P1537" s="103" t="s">
        <v>153</v>
      </c>
      <c r="Q1537" s="103" t="s">
        <v>153</v>
      </c>
      <c r="R1537" s="103" t="s">
        <v>153</v>
      </c>
      <c r="S1537" s="103" t="str">
        <f>INDEX('Measure &amp; Standard CostIDs'!$AK$8:$AK$12,B1537)</f>
        <v>Four+pack</v>
      </c>
      <c r="T1537" s="103" t="s">
        <v>867</v>
      </c>
      <c r="U1537" s="103"/>
      <c r="V1537" s="103"/>
      <c r="W1537" s="103">
        <f>ROUND(IF(LEFT(D1537,3)="Std",VLOOKUP(D1537,'Measure &amp; Standard CostIDs'!$S$5:$X$177,1+B1537,FALSE),VLOOKUP(D1537,'Measure &amp; Standard CostIDs'!$C$5:$H$177,1+B1537,FALSE)),2)</f>
        <v>4.32</v>
      </c>
      <c r="X1537" s="103"/>
      <c r="Y1537" s="103"/>
      <c r="Z1537" s="103" t="s">
        <v>868</v>
      </c>
      <c r="AA1537" s="103" t="s">
        <v>874</v>
      </c>
      <c r="AB1537" s="103" t="s">
        <v>153</v>
      </c>
      <c r="AC1537" s="103">
        <v>0</v>
      </c>
      <c r="AD1537" s="156">
        <v>42005</v>
      </c>
      <c r="AE1537" s="103"/>
      <c r="AF1537" s="103" t="s">
        <v>870</v>
      </c>
      <c r="AG1537" s="103" t="s">
        <v>871</v>
      </c>
      <c r="AH1537" s="103" t="s">
        <v>976</v>
      </c>
      <c r="AI1537" s="103">
        <v>0</v>
      </c>
      <c r="AJ1537" s="103"/>
      <c r="AK1537" s="103"/>
      <c r="AL1537" s="103"/>
      <c r="AM1537" s="103"/>
      <c r="AN1537" s="103"/>
      <c r="AO1537" s="103" t="str">
        <f t="shared" si="87"/>
        <v>Std_CFLscw-3way(17w)_60pInc-r0248Four+pack</v>
      </c>
    </row>
    <row r="1538" spans="1:41">
      <c r="A1538" s="177">
        <f>IFERROR(MATCH(D1538,'Measure &amp; Standard CostIDs'!C$5:C$177,0),MATCH(D1538,'Measure &amp; Standard CostIDs'!S$5:S$177,0))</f>
        <v>52</v>
      </c>
      <c r="B1538" s="177">
        <f t="shared" si="85"/>
        <v>5</v>
      </c>
      <c r="C1538" s="103" t="s">
        <v>153</v>
      </c>
      <c r="D1538" s="103" t="str">
        <f t="shared" si="84"/>
        <v>Std_CFLscw-3way(18w)_60pInc-r0248</v>
      </c>
      <c r="E1538" s="103" t="str">
        <f>IF(LEFT(D1538,3)="Std","Base case cost for mix of 60% Incandescent and 40% CFL lamps for CFL TechID: "&amp;INDEX('Measure &amp; Standard CostIDs'!$C$5:$C$177,A1538),"&lt;from TechID&gt;")</f>
        <v>Base case cost for mix of 60% Incandescent and 40% CFL lamps for CFL TechID: CFLscw-3way(18w)</v>
      </c>
      <c r="F1538" s="103" t="s">
        <v>860</v>
      </c>
      <c r="G1538" s="103" t="s">
        <v>151</v>
      </c>
      <c r="H1538" s="103" t="s">
        <v>861</v>
      </c>
      <c r="I1538" s="103" t="s">
        <v>862</v>
      </c>
      <c r="J1538" s="103" t="s">
        <v>863</v>
      </c>
      <c r="K1538" s="103" t="s">
        <v>864</v>
      </c>
      <c r="L1538" s="103" t="s">
        <v>153</v>
      </c>
      <c r="M1538" s="103" t="s">
        <v>865</v>
      </c>
      <c r="N1538" s="103" t="s">
        <v>866</v>
      </c>
      <c r="O1538" s="103" t="str">
        <f t="shared" si="86"/>
        <v/>
      </c>
      <c r="P1538" s="103" t="s">
        <v>153</v>
      </c>
      <c r="Q1538" s="103" t="s">
        <v>153</v>
      </c>
      <c r="R1538" s="103" t="s">
        <v>153</v>
      </c>
      <c r="S1538" s="103" t="str">
        <f>INDEX('Measure &amp; Standard CostIDs'!$AK$8:$AK$12,B1538)</f>
        <v>Four+pack</v>
      </c>
      <c r="T1538" s="103" t="s">
        <v>867</v>
      </c>
      <c r="U1538" s="103"/>
      <c r="V1538" s="103"/>
      <c r="W1538" s="103">
        <f>ROUND(IF(LEFT(D1538,3)="Std",VLOOKUP(D1538,'Measure &amp; Standard CostIDs'!$S$5:$X$177,1+B1538,FALSE),VLOOKUP(D1538,'Measure &amp; Standard CostIDs'!$C$5:$H$177,1+B1538,FALSE)),2)</f>
        <v>4.3600000000000003</v>
      </c>
      <c r="X1538" s="103"/>
      <c r="Y1538" s="103"/>
      <c r="Z1538" s="103" t="s">
        <v>868</v>
      </c>
      <c r="AA1538" s="103" t="s">
        <v>874</v>
      </c>
      <c r="AB1538" s="103" t="s">
        <v>153</v>
      </c>
      <c r="AC1538" s="103">
        <v>0</v>
      </c>
      <c r="AD1538" s="156">
        <v>42005</v>
      </c>
      <c r="AE1538" s="103"/>
      <c r="AF1538" s="103" t="s">
        <v>870</v>
      </c>
      <c r="AG1538" s="103" t="s">
        <v>871</v>
      </c>
      <c r="AH1538" s="103" t="s">
        <v>976</v>
      </c>
      <c r="AI1538" s="103">
        <v>0</v>
      </c>
      <c r="AJ1538" s="103"/>
      <c r="AK1538" s="103"/>
      <c r="AL1538" s="103"/>
      <c r="AM1538" s="103"/>
      <c r="AN1538" s="103"/>
      <c r="AO1538" s="103" t="str">
        <f t="shared" si="87"/>
        <v>Std_CFLscw-3way(18w)_60pInc-r0248Four+pack</v>
      </c>
    </row>
    <row r="1539" spans="1:41">
      <c r="A1539" s="177">
        <f>IFERROR(MATCH(D1539,'Measure &amp; Standard CostIDs'!C$5:C$177,0),MATCH(D1539,'Measure &amp; Standard CostIDs'!S$5:S$177,0))</f>
        <v>53</v>
      </c>
      <c r="B1539" s="177">
        <f t="shared" si="85"/>
        <v>5</v>
      </c>
      <c r="C1539" s="103" t="s">
        <v>153</v>
      </c>
      <c r="D1539" s="103" t="str">
        <f t="shared" si="84"/>
        <v>Std_CFLscw-3way(19w)_60pInc-r0248</v>
      </c>
      <c r="E1539" s="103" t="str">
        <f>IF(LEFT(D1539,3)="Std","Base case cost for mix of 60% Incandescent and 40% CFL lamps for CFL TechID: "&amp;INDEX('Measure &amp; Standard CostIDs'!$C$5:$C$177,A1539),"&lt;from TechID&gt;")</f>
        <v>Base case cost for mix of 60% Incandescent and 40% CFL lamps for CFL TechID: CFLscw-3way(19w)</v>
      </c>
      <c r="F1539" s="103" t="s">
        <v>860</v>
      </c>
      <c r="G1539" s="103" t="s">
        <v>151</v>
      </c>
      <c r="H1539" s="103" t="s">
        <v>861</v>
      </c>
      <c r="I1539" s="103" t="s">
        <v>862</v>
      </c>
      <c r="J1539" s="103" t="s">
        <v>863</v>
      </c>
      <c r="K1539" s="103" t="s">
        <v>864</v>
      </c>
      <c r="L1539" s="103" t="s">
        <v>153</v>
      </c>
      <c r="M1539" s="103" t="s">
        <v>865</v>
      </c>
      <c r="N1539" s="103" t="s">
        <v>866</v>
      </c>
      <c r="O1539" s="103" t="str">
        <f t="shared" si="86"/>
        <v/>
      </c>
      <c r="P1539" s="103" t="s">
        <v>153</v>
      </c>
      <c r="Q1539" s="103" t="s">
        <v>153</v>
      </c>
      <c r="R1539" s="103" t="s">
        <v>153</v>
      </c>
      <c r="S1539" s="103" t="str">
        <f>INDEX('Measure &amp; Standard CostIDs'!$AK$8:$AK$12,B1539)</f>
        <v>Four+pack</v>
      </c>
      <c r="T1539" s="103" t="s">
        <v>867</v>
      </c>
      <c r="U1539" s="103"/>
      <c r="V1539" s="103"/>
      <c r="W1539" s="103">
        <f>ROUND(IF(LEFT(D1539,3)="Std",VLOOKUP(D1539,'Measure &amp; Standard CostIDs'!$S$5:$X$177,1+B1539,FALSE),VLOOKUP(D1539,'Measure &amp; Standard CostIDs'!$C$5:$H$177,1+B1539,FALSE)),2)</f>
        <v>4.41</v>
      </c>
      <c r="X1539" s="103"/>
      <c r="Y1539" s="103"/>
      <c r="Z1539" s="103" t="s">
        <v>868</v>
      </c>
      <c r="AA1539" s="103" t="s">
        <v>874</v>
      </c>
      <c r="AB1539" s="103" t="s">
        <v>153</v>
      </c>
      <c r="AC1539" s="103">
        <v>0</v>
      </c>
      <c r="AD1539" s="156">
        <v>42005</v>
      </c>
      <c r="AE1539" s="103"/>
      <c r="AF1539" s="103" t="s">
        <v>870</v>
      </c>
      <c r="AG1539" s="103" t="s">
        <v>871</v>
      </c>
      <c r="AH1539" s="103" t="s">
        <v>976</v>
      </c>
      <c r="AI1539" s="103">
        <v>0</v>
      </c>
      <c r="AJ1539" s="103"/>
      <c r="AK1539" s="103"/>
      <c r="AL1539" s="103"/>
      <c r="AM1539" s="103"/>
      <c r="AN1539" s="103"/>
      <c r="AO1539" s="103" t="str">
        <f t="shared" si="87"/>
        <v>Std_CFLscw-3way(19w)_60pInc-r0248Four+pack</v>
      </c>
    </row>
    <row r="1540" spans="1:41">
      <c r="A1540" s="177">
        <f>IFERROR(MATCH(D1540,'Measure &amp; Standard CostIDs'!C$5:C$177,0),MATCH(D1540,'Measure &amp; Standard CostIDs'!S$5:S$177,0))</f>
        <v>54</v>
      </c>
      <c r="B1540" s="177">
        <f t="shared" si="85"/>
        <v>5</v>
      </c>
      <c r="C1540" s="103" t="s">
        <v>153</v>
      </c>
      <c r="D1540" s="103" t="str">
        <f t="shared" si="84"/>
        <v>Std_CFLscw-3way(20w)_60pInc-r0248</v>
      </c>
      <c r="E1540" s="103" t="str">
        <f>IF(LEFT(D1540,3)="Std","Base case cost for mix of 60% Incandescent and 40% CFL lamps for CFL TechID: "&amp;INDEX('Measure &amp; Standard CostIDs'!$C$5:$C$177,A1540),"&lt;from TechID&gt;")</f>
        <v>Base case cost for mix of 60% Incandescent and 40% CFL lamps for CFL TechID: CFLscw-3way(20w)</v>
      </c>
      <c r="F1540" s="103" t="s">
        <v>860</v>
      </c>
      <c r="G1540" s="103" t="s">
        <v>151</v>
      </c>
      <c r="H1540" s="103" t="s">
        <v>861</v>
      </c>
      <c r="I1540" s="103" t="s">
        <v>862</v>
      </c>
      <c r="J1540" s="103" t="s">
        <v>863</v>
      </c>
      <c r="K1540" s="103" t="s">
        <v>864</v>
      </c>
      <c r="L1540" s="103" t="s">
        <v>153</v>
      </c>
      <c r="M1540" s="103" t="s">
        <v>865</v>
      </c>
      <c r="N1540" s="103" t="s">
        <v>866</v>
      </c>
      <c r="O1540" s="103" t="str">
        <f t="shared" si="86"/>
        <v/>
      </c>
      <c r="P1540" s="103" t="s">
        <v>153</v>
      </c>
      <c r="Q1540" s="103" t="s">
        <v>153</v>
      </c>
      <c r="R1540" s="103" t="s">
        <v>153</v>
      </c>
      <c r="S1540" s="103" t="str">
        <f>INDEX('Measure &amp; Standard CostIDs'!$AK$8:$AK$12,B1540)</f>
        <v>Four+pack</v>
      </c>
      <c r="T1540" s="103" t="s">
        <v>867</v>
      </c>
      <c r="U1540" s="103"/>
      <c r="V1540" s="103"/>
      <c r="W1540" s="103">
        <f>ROUND(IF(LEFT(D1540,3)="Std",VLOOKUP(D1540,'Measure &amp; Standard CostIDs'!$S$5:$X$177,1+B1540,FALSE),VLOOKUP(D1540,'Measure &amp; Standard CostIDs'!$C$5:$H$177,1+B1540,FALSE)),2)</f>
        <v>4.45</v>
      </c>
      <c r="X1540" s="103"/>
      <c r="Y1540" s="103"/>
      <c r="Z1540" s="103" t="s">
        <v>868</v>
      </c>
      <c r="AA1540" s="103" t="s">
        <v>874</v>
      </c>
      <c r="AB1540" s="103" t="s">
        <v>153</v>
      </c>
      <c r="AC1540" s="103">
        <v>0</v>
      </c>
      <c r="AD1540" s="156">
        <v>42005</v>
      </c>
      <c r="AE1540" s="103"/>
      <c r="AF1540" s="103" t="s">
        <v>870</v>
      </c>
      <c r="AG1540" s="103" t="s">
        <v>871</v>
      </c>
      <c r="AH1540" s="103" t="s">
        <v>976</v>
      </c>
      <c r="AI1540" s="103">
        <v>0</v>
      </c>
      <c r="AJ1540" s="103"/>
      <c r="AK1540" s="103"/>
      <c r="AL1540" s="103"/>
      <c r="AM1540" s="103"/>
      <c r="AN1540" s="103"/>
      <c r="AO1540" s="103" t="str">
        <f t="shared" si="87"/>
        <v>Std_CFLscw-3way(20w)_60pInc-r0248Four+pack</v>
      </c>
    </row>
    <row r="1541" spans="1:41">
      <c r="A1541" s="177">
        <f>IFERROR(MATCH(D1541,'Measure &amp; Standard CostIDs'!C$5:C$177,0),MATCH(D1541,'Measure &amp; Standard CostIDs'!S$5:S$177,0))</f>
        <v>55</v>
      </c>
      <c r="B1541" s="177">
        <f t="shared" si="85"/>
        <v>5</v>
      </c>
      <c r="C1541" s="103" t="s">
        <v>153</v>
      </c>
      <c r="D1541" s="103" t="str">
        <f t="shared" si="84"/>
        <v>Std_CFLscw-3way(21w)_60pInc-r0248</v>
      </c>
      <c r="E1541" s="103" t="str">
        <f>IF(LEFT(D1541,3)="Std","Base case cost for mix of 60% Incandescent and 40% CFL lamps for CFL TechID: "&amp;INDEX('Measure &amp; Standard CostIDs'!$C$5:$C$177,A1541),"&lt;from TechID&gt;")</f>
        <v>Base case cost for mix of 60% Incandescent and 40% CFL lamps for CFL TechID: CFLscw-3way(21w)</v>
      </c>
      <c r="F1541" s="103" t="s">
        <v>860</v>
      </c>
      <c r="G1541" s="103" t="s">
        <v>151</v>
      </c>
      <c r="H1541" s="103" t="s">
        <v>861</v>
      </c>
      <c r="I1541" s="103" t="s">
        <v>862</v>
      </c>
      <c r="J1541" s="103" t="s">
        <v>863</v>
      </c>
      <c r="K1541" s="103" t="s">
        <v>864</v>
      </c>
      <c r="L1541" s="103" t="s">
        <v>153</v>
      </c>
      <c r="M1541" s="103" t="s">
        <v>865</v>
      </c>
      <c r="N1541" s="103" t="s">
        <v>866</v>
      </c>
      <c r="O1541" s="103" t="str">
        <f t="shared" si="86"/>
        <v/>
      </c>
      <c r="P1541" s="103" t="s">
        <v>153</v>
      </c>
      <c r="Q1541" s="103" t="s">
        <v>153</v>
      </c>
      <c r="R1541" s="103" t="s">
        <v>153</v>
      </c>
      <c r="S1541" s="103" t="str">
        <f>INDEX('Measure &amp; Standard CostIDs'!$AK$8:$AK$12,B1541)</f>
        <v>Four+pack</v>
      </c>
      <c r="T1541" s="103" t="s">
        <v>867</v>
      </c>
      <c r="U1541" s="103"/>
      <c r="V1541" s="103"/>
      <c r="W1541" s="103">
        <f>ROUND(IF(LEFT(D1541,3)="Std",VLOOKUP(D1541,'Measure &amp; Standard CostIDs'!$S$5:$X$177,1+B1541,FALSE),VLOOKUP(D1541,'Measure &amp; Standard CostIDs'!$C$5:$H$177,1+B1541,FALSE)),2)</f>
        <v>4.5</v>
      </c>
      <c r="X1541" s="103"/>
      <c r="Y1541" s="103"/>
      <c r="Z1541" s="103" t="s">
        <v>868</v>
      </c>
      <c r="AA1541" s="103" t="s">
        <v>874</v>
      </c>
      <c r="AB1541" s="103" t="s">
        <v>153</v>
      </c>
      <c r="AC1541" s="103">
        <v>0</v>
      </c>
      <c r="AD1541" s="156">
        <v>42005</v>
      </c>
      <c r="AE1541" s="103"/>
      <c r="AF1541" s="103" t="s">
        <v>870</v>
      </c>
      <c r="AG1541" s="103" t="s">
        <v>871</v>
      </c>
      <c r="AH1541" s="103" t="s">
        <v>976</v>
      </c>
      <c r="AI1541" s="103">
        <v>0</v>
      </c>
      <c r="AJ1541" s="103"/>
      <c r="AK1541" s="103"/>
      <c r="AL1541" s="103"/>
      <c r="AM1541" s="103"/>
      <c r="AN1541" s="103"/>
      <c r="AO1541" s="103" t="str">
        <f t="shared" si="87"/>
        <v>Std_CFLscw-3way(21w)_60pInc-r0248Four+pack</v>
      </c>
    </row>
    <row r="1542" spans="1:41">
      <c r="A1542" s="177">
        <f>IFERROR(MATCH(D1542,'Measure &amp; Standard CostIDs'!C$5:C$177,0),MATCH(D1542,'Measure &amp; Standard CostIDs'!S$5:S$177,0))</f>
        <v>56</v>
      </c>
      <c r="B1542" s="177">
        <f t="shared" si="85"/>
        <v>5</v>
      </c>
      <c r="C1542" s="103" t="s">
        <v>153</v>
      </c>
      <c r="D1542" s="103" t="str">
        <f t="shared" si="84"/>
        <v>Std_CFLscw-3way(22w)_60pInc-r0248</v>
      </c>
      <c r="E1542" s="103" t="str">
        <f>IF(LEFT(D1542,3)="Std","Base case cost for mix of 60% Incandescent and 40% CFL lamps for CFL TechID: "&amp;INDEX('Measure &amp; Standard CostIDs'!$C$5:$C$177,A1542),"&lt;from TechID&gt;")</f>
        <v>Base case cost for mix of 60% Incandescent and 40% CFL lamps for CFL TechID: CFLscw-3way(22w)</v>
      </c>
      <c r="F1542" s="103" t="s">
        <v>860</v>
      </c>
      <c r="G1542" s="103" t="s">
        <v>151</v>
      </c>
      <c r="H1542" s="103" t="s">
        <v>861</v>
      </c>
      <c r="I1542" s="103" t="s">
        <v>862</v>
      </c>
      <c r="J1542" s="103" t="s">
        <v>863</v>
      </c>
      <c r="K1542" s="103" t="s">
        <v>864</v>
      </c>
      <c r="L1542" s="103" t="s">
        <v>153</v>
      </c>
      <c r="M1542" s="103" t="s">
        <v>865</v>
      </c>
      <c r="N1542" s="103" t="s">
        <v>866</v>
      </c>
      <c r="O1542" s="103" t="str">
        <f t="shared" si="86"/>
        <v/>
      </c>
      <c r="P1542" s="103" t="s">
        <v>153</v>
      </c>
      <c r="Q1542" s="103" t="s">
        <v>153</v>
      </c>
      <c r="R1542" s="103" t="s">
        <v>153</v>
      </c>
      <c r="S1542" s="103" t="str">
        <f>INDEX('Measure &amp; Standard CostIDs'!$AK$8:$AK$12,B1542)</f>
        <v>Four+pack</v>
      </c>
      <c r="T1542" s="103" t="s">
        <v>867</v>
      </c>
      <c r="U1542" s="103"/>
      <c r="V1542" s="103"/>
      <c r="W1542" s="103">
        <f>ROUND(IF(LEFT(D1542,3)="Std",VLOOKUP(D1542,'Measure &amp; Standard CostIDs'!$S$5:$X$177,1+B1542,FALSE),VLOOKUP(D1542,'Measure &amp; Standard CostIDs'!$C$5:$H$177,1+B1542,FALSE)),2)</f>
        <v>4.54</v>
      </c>
      <c r="X1542" s="103"/>
      <c r="Y1542" s="103"/>
      <c r="Z1542" s="103" t="s">
        <v>868</v>
      </c>
      <c r="AA1542" s="103" t="s">
        <v>874</v>
      </c>
      <c r="AB1542" s="103" t="s">
        <v>153</v>
      </c>
      <c r="AC1542" s="103">
        <v>0</v>
      </c>
      <c r="AD1542" s="156">
        <v>42005</v>
      </c>
      <c r="AE1542" s="103"/>
      <c r="AF1542" s="103" t="s">
        <v>870</v>
      </c>
      <c r="AG1542" s="103" t="s">
        <v>871</v>
      </c>
      <c r="AH1542" s="103" t="s">
        <v>976</v>
      </c>
      <c r="AI1542" s="103">
        <v>0</v>
      </c>
      <c r="AJ1542" s="103"/>
      <c r="AK1542" s="103"/>
      <c r="AL1542" s="103"/>
      <c r="AM1542" s="103"/>
      <c r="AN1542" s="103"/>
      <c r="AO1542" s="103" t="str">
        <f t="shared" si="87"/>
        <v>Std_CFLscw-3way(22w)_60pInc-r0248Four+pack</v>
      </c>
    </row>
    <row r="1543" spans="1:41">
      <c r="A1543" s="177">
        <f>IFERROR(MATCH(D1543,'Measure &amp; Standard CostIDs'!C$5:C$177,0),MATCH(D1543,'Measure &amp; Standard CostIDs'!S$5:S$177,0))</f>
        <v>57</v>
      </c>
      <c r="B1543" s="177">
        <f t="shared" si="85"/>
        <v>5</v>
      </c>
      <c r="C1543" s="103" t="s">
        <v>153</v>
      </c>
      <c r="D1543" s="103" t="str">
        <f t="shared" si="84"/>
        <v>Std_CFLscw-3way(23w)_60pInc-r0248</v>
      </c>
      <c r="E1543" s="103" t="str">
        <f>IF(LEFT(D1543,3)="Std","Base case cost for mix of 60% Incandescent and 40% CFL lamps for CFL TechID: "&amp;INDEX('Measure &amp; Standard CostIDs'!$C$5:$C$177,A1543),"&lt;from TechID&gt;")</f>
        <v>Base case cost for mix of 60% Incandescent and 40% CFL lamps for CFL TechID: CFLscw-3way(23w)</v>
      </c>
      <c r="F1543" s="103" t="s">
        <v>860</v>
      </c>
      <c r="G1543" s="103" t="s">
        <v>151</v>
      </c>
      <c r="H1543" s="103" t="s">
        <v>861</v>
      </c>
      <c r="I1543" s="103" t="s">
        <v>862</v>
      </c>
      <c r="J1543" s="103" t="s">
        <v>863</v>
      </c>
      <c r="K1543" s="103" t="s">
        <v>864</v>
      </c>
      <c r="L1543" s="103" t="s">
        <v>153</v>
      </c>
      <c r="M1543" s="103" t="s">
        <v>865</v>
      </c>
      <c r="N1543" s="103" t="s">
        <v>866</v>
      </c>
      <c r="O1543" s="103" t="str">
        <f t="shared" si="86"/>
        <v/>
      </c>
      <c r="P1543" s="103" t="s">
        <v>153</v>
      </c>
      <c r="Q1543" s="103" t="s">
        <v>153</v>
      </c>
      <c r="R1543" s="103" t="s">
        <v>153</v>
      </c>
      <c r="S1543" s="103" t="str">
        <f>INDEX('Measure &amp; Standard CostIDs'!$AK$8:$AK$12,B1543)</f>
        <v>Four+pack</v>
      </c>
      <c r="T1543" s="103" t="s">
        <v>867</v>
      </c>
      <c r="U1543" s="103"/>
      <c r="V1543" s="103"/>
      <c r="W1543" s="103">
        <f>ROUND(IF(LEFT(D1543,3)="Std",VLOOKUP(D1543,'Measure &amp; Standard CostIDs'!$S$5:$X$177,1+B1543,FALSE),VLOOKUP(D1543,'Measure &amp; Standard CostIDs'!$C$5:$H$177,1+B1543,FALSE)),2)</f>
        <v>4.5599999999999996</v>
      </c>
      <c r="X1543" s="103"/>
      <c r="Y1543" s="103"/>
      <c r="Z1543" s="103" t="s">
        <v>868</v>
      </c>
      <c r="AA1543" s="103" t="s">
        <v>874</v>
      </c>
      <c r="AB1543" s="103" t="s">
        <v>153</v>
      </c>
      <c r="AC1543" s="103">
        <v>0</v>
      </c>
      <c r="AD1543" s="156">
        <v>42005</v>
      </c>
      <c r="AE1543" s="103"/>
      <c r="AF1543" s="103" t="s">
        <v>870</v>
      </c>
      <c r="AG1543" s="103" t="s">
        <v>871</v>
      </c>
      <c r="AH1543" s="103" t="s">
        <v>976</v>
      </c>
      <c r="AI1543" s="103">
        <v>0</v>
      </c>
      <c r="AJ1543" s="103"/>
      <c r="AK1543" s="103"/>
      <c r="AL1543" s="103"/>
      <c r="AM1543" s="103"/>
      <c r="AN1543" s="103"/>
      <c r="AO1543" s="103" t="str">
        <f t="shared" si="87"/>
        <v>Std_CFLscw-3way(23w)_60pInc-r0248Four+pack</v>
      </c>
    </row>
    <row r="1544" spans="1:41">
      <c r="A1544" s="177">
        <f>IFERROR(MATCH(D1544,'Measure &amp; Standard CostIDs'!C$5:C$177,0),MATCH(D1544,'Measure &amp; Standard CostIDs'!S$5:S$177,0))</f>
        <v>58</v>
      </c>
      <c r="B1544" s="177">
        <f t="shared" si="85"/>
        <v>5</v>
      </c>
      <c r="C1544" s="103" t="s">
        <v>153</v>
      </c>
      <c r="D1544" s="103" t="str">
        <f t="shared" si="84"/>
        <v>Std_CFLscw-3way(24w)_60pInc-r0248</v>
      </c>
      <c r="E1544" s="103" t="str">
        <f>IF(LEFT(D1544,3)="Std","Base case cost for mix of 60% Incandescent and 40% CFL lamps for CFL TechID: "&amp;INDEX('Measure &amp; Standard CostIDs'!$C$5:$C$177,A1544),"&lt;from TechID&gt;")</f>
        <v>Base case cost for mix of 60% Incandescent and 40% CFL lamps for CFL TechID: CFLscw-3way(24w)</v>
      </c>
      <c r="F1544" s="103" t="s">
        <v>860</v>
      </c>
      <c r="G1544" s="103" t="s">
        <v>151</v>
      </c>
      <c r="H1544" s="103" t="s">
        <v>861</v>
      </c>
      <c r="I1544" s="103" t="s">
        <v>862</v>
      </c>
      <c r="J1544" s="103" t="s">
        <v>863</v>
      </c>
      <c r="K1544" s="103" t="s">
        <v>864</v>
      </c>
      <c r="L1544" s="103" t="s">
        <v>153</v>
      </c>
      <c r="M1544" s="103" t="s">
        <v>865</v>
      </c>
      <c r="N1544" s="103" t="s">
        <v>866</v>
      </c>
      <c r="O1544" s="103" t="str">
        <f t="shared" si="86"/>
        <v/>
      </c>
      <c r="P1544" s="103" t="s">
        <v>153</v>
      </c>
      <c r="Q1544" s="103" t="s">
        <v>153</v>
      </c>
      <c r="R1544" s="103" t="s">
        <v>153</v>
      </c>
      <c r="S1544" s="103" t="str">
        <f>INDEX('Measure &amp; Standard CostIDs'!$AK$8:$AK$12,B1544)</f>
        <v>Four+pack</v>
      </c>
      <c r="T1544" s="103" t="s">
        <v>867</v>
      </c>
      <c r="U1544" s="103"/>
      <c r="V1544" s="103"/>
      <c r="W1544" s="103">
        <f>ROUND(IF(LEFT(D1544,3)="Std",VLOOKUP(D1544,'Measure &amp; Standard CostIDs'!$S$5:$X$177,1+B1544,FALSE),VLOOKUP(D1544,'Measure &amp; Standard CostIDs'!$C$5:$H$177,1+B1544,FALSE)),2)</f>
        <v>4.59</v>
      </c>
      <c r="X1544" s="103"/>
      <c r="Y1544" s="103"/>
      <c r="Z1544" s="103" t="s">
        <v>868</v>
      </c>
      <c r="AA1544" s="103" t="s">
        <v>874</v>
      </c>
      <c r="AB1544" s="103" t="s">
        <v>153</v>
      </c>
      <c r="AC1544" s="103">
        <v>0</v>
      </c>
      <c r="AD1544" s="156">
        <v>42005</v>
      </c>
      <c r="AE1544" s="103"/>
      <c r="AF1544" s="103" t="s">
        <v>870</v>
      </c>
      <c r="AG1544" s="103" t="s">
        <v>871</v>
      </c>
      <c r="AH1544" s="103" t="s">
        <v>976</v>
      </c>
      <c r="AI1544" s="103">
        <v>0</v>
      </c>
      <c r="AJ1544" s="103"/>
      <c r="AK1544" s="103"/>
      <c r="AL1544" s="103"/>
      <c r="AM1544" s="103"/>
      <c r="AN1544" s="103"/>
      <c r="AO1544" s="103" t="str">
        <f t="shared" si="87"/>
        <v>Std_CFLscw-3way(24w)_60pInc-r0248Four+pack</v>
      </c>
    </row>
    <row r="1545" spans="1:41">
      <c r="A1545" s="177">
        <f>IFERROR(MATCH(D1545,'Measure &amp; Standard CostIDs'!C$5:C$177,0),MATCH(D1545,'Measure &amp; Standard CostIDs'!S$5:S$177,0))</f>
        <v>59</v>
      </c>
      <c r="B1545" s="177">
        <f t="shared" si="85"/>
        <v>5</v>
      </c>
      <c r="C1545" s="103" t="s">
        <v>153</v>
      </c>
      <c r="D1545" s="103" t="str">
        <f t="shared" si="84"/>
        <v>Std_CFLscw-3way(25w)_60pInc-r0248</v>
      </c>
      <c r="E1545" s="103" t="str">
        <f>IF(LEFT(D1545,3)="Std","Base case cost for mix of 60% Incandescent and 40% CFL lamps for CFL TechID: "&amp;INDEX('Measure &amp; Standard CostIDs'!$C$5:$C$177,A1545),"&lt;from TechID&gt;")</f>
        <v>Base case cost for mix of 60% Incandescent and 40% CFL lamps for CFL TechID: CFLscw-3way(25w)</v>
      </c>
      <c r="F1545" s="103" t="s">
        <v>860</v>
      </c>
      <c r="G1545" s="103" t="s">
        <v>151</v>
      </c>
      <c r="H1545" s="103" t="s">
        <v>861</v>
      </c>
      <c r="I1545" s="103" t="s">
        <v>862</v>
      </c>
      <c r="J1545" s="103" t="s">
        <v>863</v>
      </c>
      <c r="K1545" s="103" t="s">
        <v>864</v>
      </c>
      <c r="L1545" s="103" t="s">
        <v>153</v>
      </c>
      <c r="M1545" s="103" t="s">
        <v>865</v>
      </c>
      <c r="N1545" s="103" t="s">
        <v>866</v>
      </c>
      <c r="O1545" s="103" t="str">
        <f t="shared" si="86"/>
        <v/>
      </c>
      <c r="P1545" s="103" t="s">
        <v>153</v>
      </c>
      <c r="Q1545" s="103" t="s">
        <v>153</v>
      </c>
      <c r="R1545" s="103" t="s">
        <v>153</v>
      </c>
      <c r="S1545" s="103" t="str">
        <f>INDEX('Measure &amp; Standard CostIDs'!$AK$8:$AK$12,B1545)</f>
        <v>Four+pack</v>
      </c>
      <c r="T1545" s="103" t="s">
        <v>867</v>
      </c>
      <c r="U1545" s="103"/>
      <c r="V1545" s="103"/>
      <c r="W1545" s="103">
        <f>ROUND(IF(LEFT(D1545,3)="Std",VLOOKUP(D1545,'Measure &amp; Standard CostIDs'!$S$5:$X$177,1+B1545,FALSE),VLOOKUP(D1545,'Measure &amp; Standard CostIDs'!$C$5:$H$177,1+B1545,FALSE)),2)</f>
        <v>4.62</v>
      </c>
      <c r="X1545" s="103"/>
      <c r="Y1545" s="103"/>
      <c r="Z1545" s="103" t="s">
        <v>868</v>
      </c>
      <c r="AA1545" s="103" t="s">
        <v>874</v>
      </c>
      <c r="AB1545" s="103" t="s">
        <v>153</v>
      </c>
      <c r="AC1545" s="103">
        <v>0</v>
      </c>
      <c r="AD1545" s="156">
        <v>42005</v>
      </c>
      <c r="AE1545" s="103"/>
      <c r="AF1545" s="103" t="s">
        <v>870</v>
      </c>
      <c r="AG1545" s="103" t="s">
        <v>871</v>
      </c>
      <c r="AH1545" s="103" t="s">
        <v>976</v>
      </c>
      <c r="AI1545" s="103">
        <v>0</v>
      </c>
      <c r="AJ1545" s="103"/>
      <c r="AK1545" s="103"/>
      <c r="AL1545" s="103"/>
      <c r="AM1545" s="103"/>
      <c r="AN1545" s="103"/>
      <c r="AO1545" s="103" t="str">
        <f t="shared" si="87"/>
        <v>Std_CFLscw-3way(25w)_60pInc-r0248Four+pack</v>
      </c>
    </row>
    <row r="1546" spans="1:41">
      <c r="A1546" s="177">
        <f>IFERROR(MATCH(D1546,'Measure &amp; Standard CostIDs'!C$5:C$177,0),MATCH(D1546,'Measure &amp; Standard CostIDs'!S$5:S$177,0))</f>
        <v>60</v>
      </c>
      <c r="B1546" s="177">
        <f t="shared" si="85"/>
        <v>5</v>
      </c>
      <c r="C1546" s="103" t="s">
        <v>153</v>
      </c>
      <c r="D1546" s="103" t="str">
        <f t="shared" si="84"/>
        <v>Std_CFLscw-3way(26w)_60pInc-r0248</v>
      </c>
      <c r="E1546" s="103" t="str">
        <f>IF(LEFT(D1546,3)="Std","Base case cost for mix of 60% Incandescent and 40% CFL lamps for CFL TechID: "&amp;INDEX('Measure &amp; Standard CostIDs'!$C$5:$C$177,A1546),"&lt;from TechID&gt;")</f>
        <v>Base case cost for mix of 60% Incandescent and 40% CFL lamps for CFL TechID: CFLscw-3way(26w)</v>
      </c>
      <c r="F1546" s="103" t="s">
        <v>860</v>
      </c>
      <c r="G1546" s="103" t="s">
        <v>151</v>
      </c>
      <c r="H1546" s="103" t="s">
        <v>861</v>
      </c>
      <c r="I1546" s="103" t="s">
        <v>862</v>
      </c>
      <c r="J1546" s="103" t="s">
        <v>863</v>
      </c>
      <c r="K1546" s="103" t="s">
        <v>864</v>
      </c>
      <c r="L1546" s="103" t="s">
        <v>153</v>
      </c>
      <c r="M1546" s="103" t="s">
        <v>865</v>
      </c>
      <c r="N1546" s="103" t="s">
        <v>866</v>
      </c>
      <c r="O1546" s="103" t="str">
        <f t="shared" si="86"/>
        <v/>
      </c>
      <c r="P1546" s="103" t="s">
        <v>153</v>
      </c>
      <c r="Q1546" s="103" t="s">
        <v>153</v>
      </c>
      <c r="R1546" s="103" t="s">
        <v>153</v>
      </c>
      <c r="S1546" s="103" t="str">
        <f>INDEX('Measure &amp; Standard CostIDs'!$AK$8:$AK$12,B1546)</f>
        <v>Four+pack</v>
      </c>
      <c r="T1546" s="103" t="s">
        <v>867</v>
      </c>
      <c r="U1546" s="103"/>
      <c r="V1546" s="103"/>
      <c r="W1546" s="103">
        <f>ROUND(IF(LEFT(D1546,3)="Std",VLOOKUP(D1546,'Measure &amp; Standard CostIDs'!$S$5:$X$177,1+B1546,FALSE),VLOOKUP(D1546,'Measure &amp; Standard CostIDs'!$C$5:$H$177,1+B1546,FALSE)),2)</f>
        <v>4.68</v>
      </c>
      <c r="X1546" s="103"/>
      <c r="Y1546" s="103"/>
      <c r="Z1546" s="103" t="s">
        <v>868</v>
      </c>
      <c r="AA1546" s="103" t="s">
        <v>874</v>
      </c>
      <c r="AB1546" s="103" t="s">
        <v>153</v>
      </c>
      <c r="AC1546" s="103">
        <v>0</v>
      </c>
      <c r="AD1546" s="156">
        <v>42005</v>
      </c>
      <c r="AE1546" s="103"/>
      <c r="AF1546" s="103" t="s">
        <v>870</v>
      </c>
      <c r="AG1546" s="103" t="s">
        <v>871</v>
      </c>
      <c r="AH1546" s="103" t="s">
        <v>976</v>
      </c>
      <c r="AI1546" s="103">
        <v>0</v>
      </c>
      <c r="AJ1546" s="103"/>
      <c r="AK1546" s="103"/>
      <c r="AL1546" s="103"/>
      <c r="AM1546" s="103"/>
      <c r="AN1546" s="103"/>
      <c r="AO1546" s="103" t="str">
        <f t="shared" si="87"/>
        <v>Std_CFLscw-3way(26w)_60pInc-r0248Four+pack</v>
      </c>
    </row>
    <row r="1547" spans="1:41">
      <c r="A1547" s="177">
        <f>IFERROR(MATCH(D1547,'Measure &amp; Standard CostIDs'!C$5:C$177,0),MATCH(D1547,'Measure &amp; Standard CostIDs'!S$5:S$177,0))</f>
        <v>61</v>
      </c>
      <c r="B1547" s="177">
        <f t="shared" si="85"/>
        <v>5</v>
      </c>
      <c r="C1547" s="103" t="s">
        <v>153</v>
      </c>
      <c r="D1547" s="103" t="str">
        <f t="shared" si="84"/>
        <v>Std_CFLscw-3way(27w)_60pInc-r0248</v>
      </c>
      <c r="E1547" s="103" t="str">
        <f>IF(LEFT(D1547,3)="Std","Base case cost for mix of 60% Incandescent and 40% CFL lamps for CFL TechID: "&amp;INDEX('Measure &amp; Standard CostIDs'!$C$5:$C$177,A1547),"&lt;from TechID&gt;")</f>
        <v>Base case cost for mix of 60% Incandescent and 40% CFL lamps for CFL TechID: CFLscw-3way(27w)</v>
      </c>
      <c r="F1547" s="103" t="s">
        <v>860</v>
      </c>
      <c r="G1547" s="103" t="s">
        <v>151</v>
      </c>
      <c r="H1547" s="103" t="s">
        <v>861</v>
      </c>
      <c r="I1547" s="103" t="s">
        <v>862</v>
      </c>
      <c r="J1547" s="103" t="s">
        <v>863</v>
      </c>
      <c r="K1547" s="103" t="s">
        <v>864</v>
      </c>
      <c r="L1547" s="103" t="s">
        <v>153</v>
      </c>
      <c r="M1547" s="103" t="s">
        <v>865</v>
      </c>
      <c r="N1547" s="103" t="s">
        <v>866</v>
      </c>
      <c r="O1547" s="103" t="str">
        <f t="shared" si="86"/>
        <v/>
      </c>
      <c r="P1547" s="103" t="s">
        <v>153</v>
      </c>
      <c r="Q1547" s="103" t="s">
        <v>153</v>
      </c>
      <c r="R1547" s="103" t="s">
        <v>153</v>
      </c>
      <c r="S1547" s="103" t="str">
        <f>INDEX('Measure &amp; Standard CostIDs'!$AK$8:$AK$12,B1547)</f>
        <v>Four+pack</v>
      </c>
      <c r="T1547" s="103" t="s">
        <v>867</v>
      </c>
      <c r="U1547" s="103"/>
      <c r="V1547" s="103"/>
      <c r="W1547" s="103">
        <f>ROUND(IF(LEFT(D1547,3)="Std",VLOOKUP(D1547,'Measure &amp; Standard CostIDs'!$S$5:$X$177,1+B1547,FALSE),VLOOKUP(D1547,'Measure &amp; Standard CostIDs'!$C$5:$H$177,1+B1547,FALSE)),2)</f>
        <v>4.75</v>
      </c>
      <c r="X1547" s="103"/>
      <c r="Y1547" s="103"/>
      <c r="Z1547" s="103" t="s">
        <v>868</v>
      </c>
      <c r="AA1547" s="103" t="s">
        <v>874</v>
      </c>
      <c r="AB1547" s="103" t="s">
        <v>153</v>
      </c>
      <c r="AC1547" s="103">
        <v>0</v>
      </c>
      <c r="AD1547" s="156">
        <v>42005</v>
      </c>
      <c r="AE1547" s="103"/>
      <c r="AF1547" s="103" t="s">
        <v>870</v>
      </c>
      <c r="AG1547" s="103" t="s">
        <v>871</v>
      </c>
      <c r="AH1547" s="103" t="s">
        <v>976</v>
      </c>
      <c r="AI1547" s="103">
        <v>0</v>
      </c>
      <c r="AJ1547" s="103"/>
      <c r="AK1547" s="103"/>
      <c r="AL1547" s="103"/>
      <c r="AM1547" s="103"/>
      <c r="AN1547" s="103"/>
      <c r="AO1547" s="103" t="str">
        <f t="shared" si="87"/>
        <v>Std_CFLscw-3way(27w)_60pInc-r0248Four+pack</v>
      </c>
    </row>
    <row r="1548" spans="1:41">
      <c r="A1548" s="177">
        <f>IFERROR(MATCH(D1548,'Measure &amp; Standard CostIDs'!C$5:C$177,0),MATCH(D1548,'Measure &amp; Standard CostIDs'!S$5:S$177,0))</f>
        <v>62</v>
      </c>
      <c r="B1548" s="177">
        <f t="shared" si="85"/>
        <v>5</v>
      </c>
      <c r="C1548" s="103" t="s">
        <v>153</v>
      </c>
      <c r="D1548" s="103" t="str">
        <f t="shared" si="84"/>
        <v>Std_CFLscw-3way(28w)_60pInc-r0248</v>
      </c>
      <c r="E1548" s="103" t="str">
        <f>IF(LEFT(D1548,3)="Std","Base case cost for mix of 60% Incandescent and 40% CFL lamps for CFL TechID: "&amp;INDEX('Measure &amp; Standard CostIDs'!$C$5:$C$177,A1548),"&lt;from TechID&gt;")</f>
        <v>Base case cost for mix of 60% Incandescent and 40% CFL lamps for CFL TechID: CFLscw-3way(28w)</v>
      </c>
      <c r="F1548" s="103" t="s">
        <v>860</v>
      </c>
      <c r="G1548" s="103" t="s">
        <v>151</v>
      </c>
      <c r="H1548" s="103" t="s">
        <v>861</v>
      </c>
      <c r="I1548" s="103" t="s">
        <v>862</v>
      </c>
      <c r="J1548" s="103" t="s">
        <v>863</v>
      </c>
      <c r="K1548" s="103" t="s">
        <v>864</v>
      </c>
      <c r="L1548" s="103" t="s">
        <v>153</v>
      </c>
      <c r="M1548" s="103" t="s">
        <v>865</v>
      </c>
      <c r="N1548" s="103" t="s">
        <v>866</v>
      </c>
      <c r="O1548" s="103" t="str">
        <f t="shared" si="86"/>
        <v/>
      </c>
      <c r="P1548" s="103" t="s">
        <v>153</v>
      </c>
      <c r="Q1548" s="103" t="s">
        <v>153</v>
      </c>
      <c r="R1548" s="103" t="s">
        <v>153</v>
      </c>
      <c r="S1548" s="103" t="str">
        <f>INDEX('Measure &amp; Standard CostIDs'!$AK$8:$AK$12,B1548)</f>
        <v>Four+pack</v>
      </c>
      <c r="T1548" s="103" t="s">
        <v>867</v>
      </c>
      <c r="U1548" s="103"/>
      <c r="V1548" s="103"/>
      <c r="W1548" s="103">
        <f>ROUND(IF(LEFT(D1548,3)="Std",VLOOKUP(D1548,'Measure &amp; Standard CostIDs'!$S$5:$X$177,1+B1548,FALSE),VLOOKUP(D1548,'Measure &amp; Standard CostIDs'!$C$5:$H$177,1+B1548,FALSE)),2)</f>
        <v>4.8099999999999996</v>
      </c>
      <c r="X1548" s="103"/>
      <c r="Y1548" s="103"/>
      <c r="Z1548" s="103" t="s">
        <v>868</v>
      </c>
      <c r="AA1548" s="103" t="s">
        <v>874</v>
      </c>
      <c r="AB1548" s="103" t="s">
        <v>153</v>
      </c>
      <c r="AC1548" s="103">
        <v>0</v>
      </c>
      <c r="AD1548" s="156">
        <v>42005</v>
      </c>
      <c r="AE1548" s="103"/>
      <c r="AF1548" s="103" t="s">
        <v>870</v>
      </c>
      <c r="AG1548" s="103" t="s">
        <v>871</v>
      </c>
      <c r="AH1548" s="103" t="s">
        <v>976</v>
      </c>
      <c r="AI1548" s="103">
        <v>0</v>
      </c>
      <c r="AJ1548" s="103"/>
      <c r="AK1548" s="103"/>
      <c r="AL1548" s="103"/>
      <c r="AM1548" s="103"/>
      <c r="AN1548" s="103"/>
      <c r="AO1548" s="103" t="str">
        <f t="shared" si="87"/>
        <v>Std_CFLscw-3way(28w)_60pInc-r0248Four+pack</v>
      </c>
    </row>
    <row r="1549" spans="1:41">
      <c r="A1549" s="177">
        <f>IFERROR(MATCH(D1549,'Measure &amp; Standard CostIDs'!C$5:C$177,0),MATCH(D1549,'Measure &amp; Standard CostIDs'!S$5:S$177,0))</f>
        <v>63</v>
      </c>
      <c r="B1549" s="177">
        <f t="shared" si="85"/>
        <v>5</v>
      </c>
      <c r="C1549" s="103" t="s">
        <v>153</v>
      </c>
      <c r="D1549" s="103" t="str">
        <f t="shared" si="84"/>
        <v>Std_CFLscw-3way(29w)_60pInc-r0248</v>
      </c>
      <c r="E1549" s="103" t="str">
        <f>IF(LEFT(D1549,3)="Std","Base case cost for mix of 60% Incandescent and 40% CFL lamps for CFL TechID: "&amp;INDEX('Measure &amp; Standard CostIDs'!$C$5:$C$177,A1549),"&lt;from TechID&gt;")</f>
        <v>Base case cost for mix of 60% Incandescent and 40% CFL lamps for CFL TechID: CFLscw-3way(29w)</v>
      </c>
      <c r="F1549" s="103" t="s">
        <v>860</v>
      </c>
      <c r="G1549" s="103" t="s">
        <v>151</v>
      </c>
      <c r="H1549" s="103" t="s">
        <v>861</v>
      </c>
      <c r="I1549" s="103" t="s">
        <v>862</v>
      </c>
      <c r="J1549" s="103" t="s">
        <v>863</v>
      </c>
      <c r="K1549" s="103" t="s">
        <v>864</v>
      </c>
      <c r="L1549" s="103" t="s">
        <v>153</v>
      </c>
      <c r="M1549" s="103" t="s">
        <v>865</v>
      </c>
      <c r="N1549" s="103" t="s">
        <v>866</v>
      </c>
      <c r="O1549" s="103" t="str">
        <f t="shared" si="86"/>
        <v/>
      </c>
      <c r="P1549" s="103" t="s">
        <v>153</v>
      </c>
      <c r="Q1549" s="103" t="s">
        <v>153</v>
      </c>
      <c r="R1549" s="103" t="s">
        <v>153</v>
      </c>
      <c r="S1549" s="103" t="str">
        <f>INDEX('Measure &amp; Standard CostIDs'!$AK$8:$AK$12,B1549)</f>
        <v>Four+pack</v>
      </c>
      <c r="T1549" s="103" t="s">
        <v>867</v>
      </c>
      <c r="U1549" s="103"/>
      <c r="V1549" s="103"/>
      <c r="W1549" s="103">
        <f>ROUND(IF(LEFT(D1549,3)="Std",VLOOKUP(D1549,'Measure &amp; Standard CostIDs'!$S$5:$X$177,1+B1549,FALSE),VLOOKUP(D1549,'Measure &amp; Standard CostIDs'!$C$5:$H$177,1+B1549,FALSE)),2)</f>
        <v>4.88</v>
      </c>
      <c r="X1549" s="103"/>
      <c r="Y1549" s="103"/>
      <c r="Z1549" s="103" t="s">
        <v>868</v>
      </c>
      <c r="AA1549" s="103" t="s">
        <v>874</v>
      </c>
      <c r="AB1549" s="103" t="s">
        <v>153</v>
      </c>
      <c r="AC1549" s="103">
        <v>0</v>
      </c>
      <c r="AD1549" s="156">
        <v>42005</v>
      </c>
      <c r="AE1549" s="103"/>
      <c r="AF1549" s="103" t="s">
        <v>870</v>
      </c>
      <c r="AG1549" s="103" t="s">
        <v>871</v>
      </c>
      <c r="AH1549" s="103" t="s">
        <v>976</v>
      </c>
      <c r="AI1549" s="103">
        <v>0</v>
      </c>
      <c r="AJ1549" s="103"/>
      <c r="AK1549" s="103"/>
      <c r="AL1549" s="103"/>
      <c r="AM1549" s="103"/>
      <c r="AN1549" s="103"/>
      <c r="AO1549" s="103" t="str">
        <f t="shared" si="87"/>
        <v>Std_CFLscw-3way(29w)_60pInc-r0248Four+pack</v>
      </c>
    </row>
    <row r="1550" spans="1:41">
      <c r="A1550" s="177">
        <f>IFERROR(MATCH(D1550,'Measure &amp; Standard CostIDs'!C$5:C$177,0),MATCH(D1550,'Measure &amp; Standard CostIDs'!S$5:S$177,0))</f>
        <v>64</v>
      </c>
      <c r="B1550" s="177">
        <f t="shared" si="85"/>
        <v>5</v>
      </c>
      <c r="C1550" s="103" t="s">
        <v>153</v>
      </c>
      <c r="D1550" s="103" t="str">
        <f t="shared" si="84"/>
        <v>Std_CFLscw-3way(30w)_60pInc-r0248</v>
      </c>
      <c r="E1550" s="103" t="str">
        <f>IF(LEFT(D1550,3)="Std","Base case cost for mix of 60% Incandescent and 40% CFL lamps for CFL TechID: "&amp;INDEX('Measure &amp; Standard CostIDs'!$C$5:$C$177,A1550),"&lt;from TechID&gt;")</f>
        <v>Base case cost for mix of 60% Incandescent and 40% CFL lamps for CFL TechID: CFLscw-3way(30w)</v>
      </c>
      <c r="F1550" s="103" t="s">
        <v>860</v>
      </c>
      <c r="G1550" s="103" t="s">
        <v>151</v>
      </c>
      <c r="H1550" s="103" t="s">
        <v>861</v>
      </c>
      <c r="I1550" s="103" t="s">
        <v>862</v>
      </c>
      <c r="J1550" s="103" t="s">
        <v>863</v>
      </c>
      <c r="K1550" s="103" t="s">
        <v>864</v>
      </c>
      <c r="L1550" s="103" t="s">
        <v>153</v>
      </c>
      <c r="M1550" s="103" t="s">
        <v>865</v>
      </c>
      <c r="N1550" s="103" t="s">
        <v>866</v>
      </c>
      <c r="O1550" s="103" t="str">
        <f t="shared" si="86"/>
        <v/>
      </c>
      <c r="P1550" s="103" t="s">
        <v>153</v>
      </c>
      <c r="Q1550" s="103" t="s">
        <v>153</v>
      </c>
      <c r="R1550" s="103" t="s">
        <v>153</v>
      </c>
      <c r="S1550" s="103" t="str">
        <f>INDEX('Measure &amp; Standard CostIDs'!$AK$8:$AK$12,B1550)</f>
        <v>Four+pack</v>
      </c>
      <c r="T1550" s="103" t="s">
        <v>867</v>
      </c>
      <c r="U1550" s="103"/>
      <c r="V1550" s="103"/>
      <c r="W1550" s="103">
        <f>ROUND(IF(LEFT(D1550,3)="Std",VLOOKUP(D1550,'Measure &amp; Standard CostIDs'!$S$5:$X$177,1+B1550,FALSE),VLOOKUP(D1550,'Measure &amp; Standard CostIDs'!$C$5:$H$177,1+B1550,FALSE)),2)</f>
        <v>4.9400000000000004</v>
      </c>
      <c r="X1550" s="103"/>
      <c r="Y1550" s="103"/>
      <c r="Z1550" s="103" t="s">
        <v>868</v>
      </c>
      <c r="AA1550" s="103" t="s">
        <v>874</v>
      </c>
      <c r="AB1550" s="103" t="s">
        <v>153</v>
      </c>
      <c r="AC1550" s="103">
        <v>0</v>
      </c>
      <c r="AD1550" s="156">
        <v>42005</v>
      </c>
      <c r="AE1550" s="103"/>
      <c r="AF1550" s="103" t="s">
        <v>870</v>
      </c>
      <c r="AG1550" s="103" t="s">
        <v>871</v>
      </c>
      <c r="AH1550" s="103" t="s">
        <v>976</v>
      </c>
      <c r="AI1550" s="103">
        <v>0</v>
      </c>
      <c r="AJ1550" s="103"/>
      <c r="AK1550" s="103"/>
      <c r="AL1550" s="103"/>
      <c r="AM1550" s="103"/>
      <c r="AN1550" s="103"/>
      <c r="AO1550" s="103" t="str">
        <f t="shared" si="87"/>
        <v>Std_CFLscw-3way(30w)_60pInc-r0248Four+pack</v>
      </c>
    </row>
    <row r="1551" spans="1:41">
      <c r="A1551" s="177">
        <f>IFERROR(MATCH(D1551,'Measure &amp; Standard CostIDs'!C$5:C$177,0),MATCH(D1551,'Measure &amp; Standard CostIDs'!S$5:S$177,0))</f>
        <v>65</v>
      </c>
      <c r="B1551" s="177">
        <f t="shared" si="85"/>
        <v>5</v>
      </c>
      <c r="C1551" s="103" t="s">
        <v>153</v>
      </c>
      <c r="D1551" s="103" t="str">
        <f t="shared" si="84"/>
        <v>Std_CFLscw-3way(31w)_60pInc-r0248</v>
      </c>
      <c r="E1551" s="103" t="str">
        <f>IF(LEFT(D1551,3)="Std","Base case cost for mix of 60% Incandescent and 40% CFL lamps for CFL TechID: "&amp;INDEX('Measure &amp; Standard CostIDs'!$C$5:$C$177,A1551),"&lt;from TechID&gt;")</f>
        <v>Base case cost for mix of 60% Incandescent and 40% CFL lamps for CFL TechID: CFLscw-3way(31w)</v>
      </c>
      <c r="F1551" s="103" t="s">
        <v>860</v>
      </c>
      <c r="G1551" s="103" t="s">
        <v>151</v>
      </c>
      <c r="H1551" s="103" t="s">
        <v>861</v>
      </c>
      <c r="I1551" s="103" t="s">
        <v>862</v>
      </c>
      <c r="J1551" s="103" t="s">
        <v>863</v>
      </c>
      <c r="K1551" s="103" t="s">
        <v>864</v>
      </c>
      <c r="L1551" s="103" t="s">
        <v>153</v>
      </c>
      <c r="M1551" s="103" t="s">
        <v>865</v>
      </c>
      <c r="N1551" s="103" t="s">
        <v>866</v>
      </c>
      <c r="O1551" s="103" t="str">
        <f t="shared" si="86"/>
        <v/>
      </c>
      <c r="P1551" s="103" t="s">
        <v>153</v>
      </c>
      <c r="Q1551" s="103" t="s">
        <v>153</v>
      </c>
      <c r="R1551" s="103" t="s">
        <v>153</v>
      </c>
      <c r="S1551" s="103" t="str">
        <f>INDEX('Measure &amp; Standard CostIDs'!$AK$8:$AK$12,B1551)</f>
        <v>Four+pack</v>
      </c>
      <c r="T1551" s="103" t="s">
        <v>867</v>
      </c>
      <c r="U1551" s="103"/>
      <c r="V1551" s="103"/>
      <c r="W1551" s="103">
        <f>ROUND(IF(LEFT(D1551,3)="Std",VLOOKUP(D1551,'Measure &amp; Standard CostIDs'!$S$5:$X$177,1+B1551,FALSE),VLOOKUP(D1551,'Measure &amp; Standard CostIDs'!$C$5:$H$177,1+B1551,FALSE)),2)</f>
        <v>5.01</v>
      </c>
      <c r="X1551" s="103"/>
      <c r="Y1551" s="103"/>
      <c r="Z1551" s="103" t="s">
        <v>868</v>
      </c>
      <c r="AA1551" s="103" t="s">
        <v>874</v>
      </c>
      <c r="AB1551" s="103" t="s">
        <v>153</v>
      </c>
      <c r="AC1551" s="103">
        <v>0</v>
      </c>
      <c r="AD1551" s="156">
        <v>42005</v>
      </c>
      <c r="AE1551" s="103"/>
      <c r="AF1551" s="103" t="s">
        <v>870</v>
      </c>
      <c r="AG1551" s="103" t="s">
        <v>871</v>
      </c>
      <c r="AH1551" s="103" t="s">
        <v>976</v>
      </c>
      <c r="AI1551" s="103">
        <v>0</v>
      </c>
      <c r="AJ1551" s="103"/>
      <c r="AK1551" s="103"/>
      <c r="AL1551" s="103"/>
      <c r="AM1551" s="103"/>
      <c r="AN1551" s="103"/>
      <c r="AO1551" s="103" t="str">
        <f t="shared" si="87"/>
        <v>Std_CFLscw-3way(31w)_60pInc-r0248Four+pack</v>
      </c>
    </row>
    <row r="1552" spans="1:41">
      <c r="A1552" s="177">
        <f>IFERROR(MATCH(D1552,'Measure &amp; Standard CostIDs'!C$5:C$177,0),MATCH(D1552,'Measure &amp; Standard CostIDs'!S$5:S$177,0))</f>
        <v>66</v>
      </c>
      <c r="B1552" s="177">
        <f t="shared" si="85"/>
        <v>5</v>
      </c>
      <c r="C1552" s="103" t="s">
        <v>153</v>
      </c>
      <c r="D1552" s="103" t="str">
        <f t="shared" ref="D1552:D1615" si="88">+D1222</f>
        <v>Std_CFLscw-3way(32w)_60pInc-r0248</v>
      </c>
      <c r="E1552" s="103" t="str">
        <f>IF(LEFT(D1552,3)="Std","Base case cost for mix of 60% Incandescent and 40% CFL lamps for CFL TechID: "&amp;INDEX('Measure &amp; Standard CostIDs'!$C$5:$C$177,A1552),"&lt;from TechID&gt;")</f>
        <v>Base case cost for mix of 60% Incandescent and 40% CFL lamps for CFL TechID: CFLscw-3way(32w)</v>
      </c>
      <c r="F1552" s="103" t="s">
        <v>860</v>
      </c>
      <c r="G1552" s="103" t="s">
        <v>151</v>
      </c>
      <c r="H1552" s="103" t="s">
        <v>861</v>
      </c>
      <c r="I1552" s="103" t="s">
        <v>862</v>
      </c>
      <c r="J1552" s="103" t="s">
        <v>863</v>
      </c>
      <c r="K1552" s="103" t="s">
        <v>864</v>
      </c>
      <c r="L1552" s="103" t="s">
        <v>153</v>
      </c>
      <c r="M1552" s="103" t="s">
        <v>865</v>
      </c>
      <c r="N1552" s="103" t="s">
        <v>866</v>
      </c>
      <c r="O1552" s="103" t="str">
        <f t="shared" si="86"/>
        <v/>
      </c>
      <c r="P1552" s="103" t="s">
        <v>153</v>
      </c>
      <c r="Q1552" s="103" t="s">
        <v>153</v>
      </c>
      <c r="R1552" s="103" t="s">
        <v>153</v>
      </c>
      <c r="S1552" s="103" t="str">
        <f>INDEX('Measure &amp; Standard CostIDs'!$AK$8:$AK$12,B1552)</f>
        <v>Four+pack</v>
      </c>
      <c r="T1552" s="103" t="s">
        <v>867</v>
      </c>
      <c r="U1552" s="103"/>
      <c r="V1552" s="103"/>
      <c r="W1552" s="103">
        <f>ROUND(IF(LEFT(D1552,3)="Std",VLOOKUP(D1552,'Measure &amp; Standard CostIDs'!$S$5:$X$177,1+B1552,FALSE),VLOOKUP(D1552,'Measure &amp; Standard CostIDs'!$C$5:$H$177,1+B1552,FALSE)),2)</f>
        <v>5.07</v>
      </c>
      <c r="X1552" s="103"/>
      <c r="Y1552" s="103"/>
      <c r="Z1552" s="103" t="s">
        <v>868</v>
      </c>
      <c r="AA1552" s="103" t="s">
        <v>874</v>
      </c>
      <c r="AB1552" s="103" t="s">
        <v>153</v>
      </c>
      <c r="AC1552" s="103">
        <v>0</v>
      </c>
      <c r="AD1552" s="156">
        <v>42005</v>
      </c>
      <c r="AE1552" s="103"/>
      <c r="AF1552" s="103" t="s">
        <v>870</v>
      </c>
      <c r="AG1552" s="103" t="s">
        <v>871</v>
      </c>
      <c r="AH1552" s="103" t="s">
        <v>976</v>
      </c>
      <c r="AI1552" s="103">
        <v>0</v>
      </c>
      <c r="AJ1552" s="103"/>
      <c r="AK1552" s="103"/>
      <c r="AL1552" s="103"/>
      <c r="AM1552" s="103"/>
      <c r="AN1552" s="103"/>
      <c r="AO1552" s="103" t="str">
        <f t="shared" si="87"/>
        <v>Std_CFLscw-3way(32w)_60pInc-r0248Four+pack</v>
      </c>
    </row>
    <row r="1553" spans="1:41">
      <c r="A1553" s="177">
        <f>IFERROR(MATCH(D1553,'Measure &amp; Standard CostIDs'!C$5:C$177,0),MATCH(D1553,'Measure &amp; Standard CostIDs'!S$5:S$177,0))</f>
        <v>67</v>
      </c>
      <c r="B1553" s="177">
        <f t="shared" ref="B1553:B1616" si="89">+B1223+1</f>
        <v>5</v>
      </c>
      <c r="C1553" s="103" t="s">
        <v>153</v>
      </c>
      <c r="D1553" s="103" t="str">
        <f t="shared" si="88"/>
        <v>Std_CFLscw-3way(33w)_60pInc-r0248</v>
      </c>
      <c r="E1553" s="103" t="str">
        <f>IF(LEFT(D1553,3)="Std","Base case cost for mix of 60% Incandescent and 40% CFL lamps for CFL TechID: "&amp;INDEX('Measure &amp; Standard CostIDs'!$C$5:$C$177,A1553),"&lt;from TechID&gt;")</f>
        <v>Base case cost for mix of 60% Incandescent and 40% CFL lamps for CFL TechID: CFLscw-3way(33w)</v>
      </c>
      <c r="F1553" s="103" t="s">
        <v>860</v>
      </c>
      <c r="G1553" s="103" t="s">
        <v>151</v>
      </c>
      <c r="H1553" s="103" t="s">
        <v>861</v>
      </c>
      <c r="I1553" s="103" t="s">
        <v>862</v>
      </c>
      <c r="J1553" s="103" t="s">
        <v>863</v>
      </c>
      <c r="K1553" s="103" t="s">
        <v>864</v>
      </c>
      <c r="L1553" s="103" t="s">
        <v>153</v>
      </c>
      <c r="M1553" s="103" t="s">
        <v>865</v>
      </c>
      <c r="N1553" s="103" t="s">
        <v>866</v>
      </c>
      <c r="O1553" s="103" t="str">
        <f t="shared" si="86"/>
        <v/>
      </c>
      <c r="P1553" s="103" t="s">
        <v>153</v>
      </c>
      <c r="Q1553" s="103" t="s">
        <v>153</v>
      </c>
      <c r="R1553" s="103" t="s">
        <v>153</v>
      </c>
      <c r="S1553" s="103" t="str">
        <f>INDEX('Measure &amp; Standard CostIDs'!$AK$8:$AK$12,B1553)</f>
        <v>Four+pack</v>
      </c>
      <c r="T1553" s="103" t="s">
        <v>867</v>
      </c>
      <c r="U1553" s="103"/>
      <c r="V1553" s="103"/>
      <c r="W1553" s="103">
        <f>ROUND(IF(LEFT(D1553,3)="Std",VLOOKUP(D1553,'Measure &amp; Standard CostIDs'!$S$5:$X$177,1+B1553,FALSE),VLOOKUP(D1553,'Measure &amp; Standard CostIDs'!$C$5:$H$177,1+B1553,FALSE)),2)</f>
        <v>5.14</v>
      </c>
      <c r="X1553" s="103"/>
      <c r="Y1553" s="103"/>
      <c r="Z1553" s="103" t="s">
        <v>868</v>
      </c>
      <c r="AA1553" s="103" t="s">
        <v>874</v>
      </c>
      <c r="AB1553" s="103" t="s">
        <v>153</v>
      </c>
      <c r="AC1553" s="103">
        <v>0</v>
      </c>
      <c r="AD1553" s="156">
        <v>42005</v>
      </c>
      <c r="AE1553" s="103"/>
      <c r="AF1553" s="103" t="s">
        <v>870</v>
      </c>
      <c r="AG1553" s="103" t="s">
        <v>871</v>
      </c>
      <c r="AH1553" s="103" t="s">
        <v>976</v>
      </c>
      <c r="AI1553" s="103">
        <v>0</v>
      </c>
      <c r="AJ1553" s="103"/>
      <c r="AK1553" s="103"/>
      <c r="AL1553" s="103"/>
      <c r="AM1553" s="103"/>
      <c r="AN1553" s="103"/>
      <c r="AO1553" s="103" t="str">
        <f t="shared" si="87"/>
        <v>Std_CFLscw-3way(33w)_60pInc-r0248Four+pack</v>
      </c>
    </row>
    <row r="1554" spans="1:41">
      <c r="A1554" s="177">
        <f>IFERROR(MATCH(D1554,'Measure &amp; Standard CostIDs'!C$5:C$177,0),MATCH(D1554,'Measure &amp; Standard CostIDs'!S$5:S$177,0))</f>
        <v>68</v>
      </c>
      <c r="B1554" s="177">
        <f t="shared" si="89"/>
        <v>5</v>
      </c>
      <c r="C1554" s="103" t="s">
        <v>153</v>
      </c>
      <c r="D1554" s="103" t="str">
        <f t="shared" si="88"/>
        <v>Std_CFLscw-3way(40w)_60pInc-r0248</v>
      </c>
      <c r="E1554" s="103" t="str">
        <f>IF(LEFT(D1554,3)="Std","Base case cost for mix of 60% Incandescent and 40% CFL lamps for CFL TechID: "&amp;INDEX('Measure &amp; Standard CostIDs'!$C$5:$C$177,A1554),"&lt;from TechID&gt;")</f>
        <v>Base case cost for mix of 60% Incandescent and 40% CFL lamps for CFL TechID: CFLscw-3way(40w)</v>
      </c>
      <c r="F1554" s="103" t="s">
        <v>860</v>
      </c>
      <c r="G1554" s="103" t="s">
        <v>151</v>
      </c>
      <c r="H1554" s="103" t="s">
        <v>861</v>
      </c>
      <c r="I1554" s="103" t="s">
        <v>862</v>
      </c>
      <c r="J1554" s="103" t="s">
        <v>863</v>
      </c>
      <c r="K1554" s="103" t="s">
        <v>864</v>
      </c>
      <c r="L1554" s="103" t="s">
        <v>153</v>
      </c>
      <c r="M1554" s="103" t="s">
        <v>865</v>
      </c>
      <c r="N1554" s="103" t="s">
        <v>866</v>
      </c>
      <c r="O1554" s="103" t="str">
        <f t="shared" si="86"/>
        <v/>
      </c>
      <c r="P1554" s="103" t="s">
        <v>153</v>
      </c>
      <c r="Q1554" s="103" t="s">
        <v>153</v>
      </c>
      <c r="R1554" s="103" t="s">
        <v>153</v>
      </c>
      <c r="S1554" s="103" t="str">
        <f>INDEX('Measure &amp; Standard CostIDs'!$AK$8:$AK$12,B1554)</f>
        <v>Four+pack</v>
      </c>
      <c r="T1554" s="103" t="s">
        <v>867</v>
      </c>
      <c r="U1554" s="103"/>
      <c r="V1554" s="103"/>
      <c r="W1554" s="103">
        <f>ROUND(IF(LEFT(D1554,3)="Std",VLOOKUP(D1554,'Measure &amp; Standard CostIDs'!$S$5:$X$177,1+B1554,FALSE),VLOOKUP(D1554,'Measure &amp; Standard CostIDs'!$C$5:$H$177,1+B1554,FALSE)),2)</f>
        <v>5.59</v>
      </c>
      <c r="X1554" s="103"/>
      <c r="Y1554" s="103"/>
      <c r="Z1554" s="103" t="s">
        <v>868</v>
      </c>
      <c r="AA1554" s="103" t="s">
        <v>874</v>
      </c>
      <c r="AB1554" s="103" t="s">
        <v>153</v>
      </c>
      <c r="AC1554" s="103">
        <v>0</v>
      </c>
      <c r="AD1554" s="156">
        <v>42005</v>
      </c>
      <c r="AE1554" s="103"/>
      <c r="AF1554" s="103" t="s">
        <v>870</v>
      </c>
      <c r="AG1554" s="103" t="s">
        <v>871</v>
      </c>
      <c r="AH1554" s="103" t="s">
        <v>976</v>
      </c>
      <c r="AI1554" s="103">
        <v>0</v>
      </c>
      <c r="AJ1554" s="103"/>
      <c r="AK1554" s="103"/>
      <c r="AL1554" s="103"/>
      <c r="AM1554" s="103"/>
      <c r="AN1554" s="103"/>
      <c r="AO1554" s="103" t="str">
        <f t="shared" si="87"/>
        <v>Std_CFLscw-3way(40w)_60pInc-r0248Four+pack</v>
      </c>
    </row>
    <row r="1555" spans="1:41">
      <c r="A1555" s="177">
        <f>IFERROR(MATCH(D1555,'Measure &amp; Standard CostIDs'!C$5:C$177,0),MATCH(D1555,'Measure &amp; Standard CostIDs'!S$5:S$177,0))</f>
        <v>69</v>
      </c>
      <c r="B1555" s="177">
        <f t="shared" si="89"/>
        <v>5</v>
      </c>
      <c r="C1555" s="103" t="s">
        <v>153</v>
      </c>
      <c r="D1555" s="103" t="str">
        <f t="shared" si="88"/>
        <v>Std_CFLscw-3way(42w)_60pInc-r0248</v>
      </c>
      <c r="E1555" s="103" t="str">
        <f>IF(LEFT(D1555,3)="Std","Base case cost for mix of 60% Incandescent and 40% CFL lamps for CFL TechID: "&amp;INDEX('Measure &amp; Standard CostIDs'!$C$5:$C$177,A1555),"&lt;from TechID&gt;")</f>
        <v>Base case cost for mix of 60% Incandescent and 40% CFL lamps for CFL TechID: CFLscw-3way(42w)</v>
      </c>
      <c r="F1555" s="103" t="s">
        <v>860</v>
      </c>
      <c r="G1555" s="103" t="s">
        <v>151</v>
      </c>
      <c r="H1555" s="103" t="s">
        <v>861</v>
      </c>
      <c r="I1555" s="103" t="s">
        <v>862</v>
      </c>
      <c r="J1555" s="103" t="s">
        <v>863</v>
      </c>
      <c r="K1555" s="103" t="s">
        <v>864</v>
      </c>
      <c r="L1555" s="103" t="s">
        <v>153</v>
      </c>
      <c r="M1555" s="103" t="s">
        <v>865</v>
      </c>
      <c r="N1555" s="103" t="s">
        <v>866</v>
      </c>
      <c r="O1555" s="103" t="str">
        <f t="shared" si="86"/>
        <v/>
      </c>
      <c r="P1555" s="103" t="s">
        <v>153</v>
      </c>
      <c r="Q1555" s="103" t="s">
        <v>153</v>
      </c>
      <c r="R1555" s="103" t="s">
        <v>153</v>
      </c>
      <c r="S1555" s="103" t="str">
        <f>INDEX('Measure &amp; Standard CostIDs'!$AK$8:$AK$12,B1555)</f>
        <v>Four+pack</v>
      </c>
      <c r="T1555" s="103" t="s">
        <v>867</v>
      </c>
      <c r="U1555" s="103"/>
      <c r="V1555" s="103"/>
      <c r="W1555" s="103">
        <f>ROUND(IF(LEFT(D1555,3)="Std",VLOOKUP(D1555,'Measure &amp; Standard CostIDs'!$S$5:$X$177,1+B1555,FALSE),VLOOKUP(D1555,'Measure &amp; Standard CostIDs'!$C$5:$H$177,1+B1555,FALSE)),2)</f>
        <v>5.72</v>
      </c>
      <c r="X1555" s="103"/>
      <c r="Y1555" s="103"/>
      <c r="Z1555" s="103" t="s">
        <v>868</v>
      </c>
      <c r="AA1555" s="103" t="s">
        <v>874</v>
      </c>
      <c r="AB1555" s="103" t="s">
        <v>153</v>
      </c>
      <c r="AC1555" s="103">
        <v>0</v>
      </c>
      <c r="AD1555" s="156">
        <v>42005</v>
      </c>
      <c r="AE1555" s="103"/>
      <c r="AF1555" s="103" t="s">
        <v>870</v>
      </c>
      <c r="AG1555" s="103" t="s">
        <v>871</v>
      </c>
      <c r="AH1555" s="103" t="s">
        <v>976</v>
      </c>
      <c r="AI1555" s="103">
        <v>0</v>
      </c>
      <c r="AJ1555" s="103"/>
      <c r="AK1555" s="103"/>
      <c r="AL1555" s="103"/>
      <c r="AM1555" s="103"/>
      <c r="AN1555" s="103"/>
      <c r="AO1555" s="103" t="str">
        <f t="shared" si="87"/>
        <v>Std_CFLscw-3way(42w)_60pInc-r0248Four+pack</v>
      </c>
    </row>
    <row r="1556" spans="1:41">
      <c r="A1556" s="177">
        <f>IFERROR(MATCH(D1556,'Measure &amp; Standard CostIDs'!C$5:C$177,0),MATCH(D1556,'Measure &amp; Standard CostIDs'!S$5:S$177,0))</f>
        <v>70</v>
      </c>
      <c r="B1556" s="177">
        <f t="shared" si="89"/>
        <v>5</v>
      </c>
      <c r="C1556" s="103" t="s">
        <v>153</v>
      </c>
      <c r="D1556" s="103" t="str">
        <f t="shared" si="88"/>
        <v>Std_CFLscw-A(10w)_60pInc-r0248</v>
      </c>
      <c r="E1556" s="103" t="str">
        <f>IF(LEFT(D1556,3)="Std","Base case cost for mix of 60% Incandescent and 40% CFL lamps for CFL TechID: "&amp;INDEX('Measure &amp; Standard CostIDs'!$C$5:$C$177,A1556),"&lt;from TechID&gt;")</f>
        <v>Base case cost for mix of 60% Incandescent and 40% CFL lamps for CFL TechID: CFLscw-A(10w)</v>
      </c>
      <c r="F1556" s="103" t="s">
        <v>860</v>
      </c>
      <c r="G1556" s="103" t="s">
        <v>151</v>
      </c>
      <c r="H1556" s="103" t="s">
        <v>861</v>
      </c>
      <c r="I1556" s="103" t="s">
        <v>862</v>
      </c>
      <c r="J1556" s="103" t="s">
        <v>863</v>
      </c>
      <c r="K1556" s="103" t="s">
        <v>864</v>
      </c>
      <c r="L1556" s="103" t="s">
        <v>153</v>
      </c>
      <c r="M1556" s="103" t="s">
        <v>865</v>
      </c>
      <c r="N1556" s="103" t="s">
        <v>866</v>
      </c>
      <c r="O1556" s="103" t="str">
        <f t="shared" si="86"/>
        <v/>
      </c>
      <c r="P1556" s="103" t="s">
        <v>153</v>
      </c>
      <c r="Q1556" s="103" t="s">
        <v>153</v>
      </c>
      <c r="R1556" s="103" t="s">
        <v>153</v>
      </c>
      <c r="S1556" s="103" t="str">
        <f>INDEX('Measure &amp; Standard CostIDs'!$AK$8:$AK$12,B1556)</f>
        <v>Four+pack</v>
      </c>
      <c r="T1556" s="103" t="s">
        <v>867</v>
      </c>
      <c r="U1556" s="103"/>
      <c r="V1556" s="103"/>
      <c r="W1556" s="103">
        <f>ROUND(IF(LEFT(D1556,3)="Std",VLOOKUP(D1556,'Measure &amp; Standard CostIDs'!$S$5:$X$177,1+B1556,FALSE),VLOOKUP(D1556,'Measure &amp; Standard CostIDs'!$C$5:$H$177,1+B1556,FALSE)),2)</f>
        <v>1.76</v>
      </c>
      <c r="X1556" s="103"/>
      <c r="Y1556" s="103"/>
      <c r="Z1556" s="103" t="s">
        <v>868</v>
      </c>
      <c r="AA1556" s="103" t="s">
        <v>874</v>
      </c>
      <c r="AB1556" s="103" t="s">
        <v>153</v>
      </c>
      <c r="AC1556" s="103">
        <v>0</v>
      </c>
      <c r="AD1556" s="156">
        <v>42005</v>
      </c>
      <c r="AE1556" s="103"/>
      <c r="AF1556" s="103" t="s">
        <v>870</v>
      </c>
      <c r="AG1556" s="103" t="s">
        <v>871</v>
      </c>
      <c r="AH1556" s="103" t="s">
        <v>976</v>
      </c>
      <c r="AI1556" s="103">
        <v>0</v>
      </c>
      <c r="AJ1556" s="103"/>
      <c r="AK1556" s="103"/>
      <c r="AL1556" s="103"/>
      <c r="AM1556" s="103"/>
      <c r="AN1556" s="103"/>
      <c r="AO1556" s="103" t="str">
        <f t="shared" si="87"/>
        <v>Std_CFLscw-A(10w)_60pInc-r0248Four+pack</v>
      </c>
    </row>
    <row r="1557" spans="1:41">
      <c r="A1557" s="177">
        <f>IFERROR(MATCH(D1557,'Measure &amp; Standard CostIDs'!C$5:C$177,0),MATCH(D1557,'Measure &amp; Standard CostIDs'!S$5:S$177,0))</f>
        <v>71</v>
      </c>
      <c r="B1557" s="177">
        <f t="shared" si="89"/>
        <v>5</v>
      </c>
      <c r="C1557" s="103" t="s">
        <v>153</v>
      </c>
      <c r="D1557" s="103" t="str">
        <f t="shared" si="88"/>
        <v>Std_CFLscw-A(11w)_60pInc-r0248</v>
      </c>
      <c r="E1557" s="103" t="str">
        <f>IF(LEFT(D1557,3)="Std","Base case cost for mix of 60% Incandescent and 40% CFL lamps for CFL TechID: "&amp;INDEX('Measure &amp; Standard CostIDs'!$C$5:$C$177,A1557),"&lt;from TechID&gt;")</f>
        <v>Base case cost for mix of 60% Incandescent and 40% CFL lamps for CFL TechID: CFLscw-A(11w)</v>
      </c>
      <c r="F1557" s="103" t="s">
        <v>860</v>
      </c>
      <c r="G1557" s="103" t="s">
        <v>151</v>
      </c>
      <c r="H1557" s="103" t="s">
        <v>861</v>
      </c>
      <c r="I1557" s="103" t="s">
        <v>862</v>
      </c>
      <c r="J1557" s="103" t="s">
        <v>863</v>
      </c>
      <c r="K1557" s="103" t="s">
        <v>864</v>
      </c>
      <c r="L1557" s="103" t="s">
        <v>153</v>
      </c>
      <c r="M1557" s="103" t="s">
        <v>865</v>
      </c>
      <c r="N1557" s="103" t="s">
        <v>866</v>
      </c>
      <c r="O1557" s="103" t="str">
        <f t="shared" si="86"/>
        <v/>
      </c>
      <c r="P1557" s="103" t="s">
        <v>153</v>
      </c>
      <c r="Q1557" s="103" t="s">
        <v>153</v>
      </c>
      <c r="R1557" s="103" t="s">
        <v>153</v>
      </c>
      <c r="S1557" s="103" t="str">
        <f>INDEX('Measure &amp; Standard CostIDs'!$AK$8:$AK$12,B1557)</f>
        <v>Four+pack</v>
      </c>
      <c r="T1557" s="103" t="s">
        <v>867</v>
      </c>
      <c r="U1557" s="103"/>
      <c r="V1557" s="103"/>
      <c r="W1557" s="103">
        <f>ROUND(IF(LEFT(D1557,3)="Std",VLOOKUP(D1557,'Measure &amp; Standard CostIDs'!$S$5:$X$177,1+B1557,FALSE),VLOOKUP(D1557,'Measure &amp; Standard CostIDs'!$C$5:$H$177,1+B1557,FALSE)),2)</f>
        <v>1.8</v>
      </c>
      <c r="X1557" s="103"/>
      <c r="Y1557" s="103"/>
      <c r="Z1557" s="103" t="s">
        <v>868</v>
      </c>
      <c r="AA1557" s="103" t="s">
        <v>874</v>
      </c>
      <c r="AB1557" s="103" t="s">
        <v>153</v>
      </c>
      <c r="AC1557" s="103">
        <v>0</v>
      </c>
      <c r="AD1557" s="156">
        <v>42005</v>
      </c>
      <c r="AE1557" s="103"/>
      <c r="AF1557" s="103" t="s">
        <v>870</v>
      </c>
      <c r="AG1557" s="103" t="s">
        <v>871</v>
      </c>
      <c r="AH1557" s="103" t="s">
        <v>976</v>
      </c>
      <c r="AI1557" s="103">
        <v>0</v>
      </c>
      <c r="AJ1557" s="103"/>
      <c r="AK1557" s="103"/>
      <c r="AL1557" s="103"/>
      <c r="AM1557" s="103"/>
      <c r="AN1557" s="103"/>
      <c r="AO1557" s="103" t="str">
        <f t="shared" si="87"/>
        <v>Std_CFLscw-A(11w)_60pInc-r0248Four+pack</v>
      </c>
    </row>
    <row r="1558" spans="1:41">
      <c r="A1558" s="177">
        <f>IFERROR(MATCH(D1558,'Measure &amp; Standard CostIDs'!C$5:C$177,0),MATCH(D1558,'Measure &amp; Standard CostIDs'!S$5:S$177,0))</f>
        <v>72</v>
      </c>
      <c r="B1558" s="177">
        <f t="shared" si="89"/>
        <v>5</v>
      </c>
      <c r="C1558" s="103" t="s">
        <v>153</v>
      </c>
      <c r="D1558" s="103" t="str">
        <f t="shared" si="88"/>
        <v>Std_CFLscw-A(12w)_60pInc-r0248</v>
      </c>
      <c r="E1558" s="103" t="str">
        <f>IF(LEFT(D1558,3)="Std","Base case cost for mix of 60% Incandescent and 40% CFL lamps for CFL TechID: "&amp;INDEX('Measure &amp; Standard CostIDs'!$C$5:$C$177,A1558),"&lt;from TechID&gt;")</f>
        <v>Base case cost for mix of 60% Incandescent and 40% CFL lamps for CFL TechID: CFLscw-A(12w)</v>
      </c>
      <c r="F1558" s="103" t="s">
        <v>860</v>
      </c>
      <c r="G1558" s="103" t="s">
        <v>151</v>
      </c>
      <c r="H1558" s="103" t="s">
        <v>861</v>
      </c>
      <c r="I1558" s="103" t="s">
        <v>862</v>
      </c>
      <c r="J1558" s="103" t="s">
        <v>863</v>
      </c>
      <c r="K1558" s="103" t="s">
        <v>864</v>
      </c>
      <c r="L1558" s="103" t="s">
        <v>153</v>
      </c>
      <c r="M1558" s="103" t="s">
        <v>865</v>
      </c>
      <c r="N1558" s="103" t="s">
        <v>866</v>
      </c>
      <c r="O1558" s="103" t="str">
        <f t="shared" si="86"/>
        <v/>
      </c>
      <c r="P1558" s="103" t="s">
        <v>153</v>
      </c>
      <c r="Q1558" s="103" t="s">
        <v>153</v>
      </c>
      <c r="R1558" s="103" t="s">
        <v>153</v>
      </c>
      <c r="S1558" s="103" t="str">
        <f>INDEX('Measure &amp; Standard CostIDs'!$AK$8:$AK$12,B1558)</f>
        <v>Four+pack</v>
      </c>
      <c r="T1558" s="103" t="s">
        <v>867</v>
      </c>
      <c r="U1558" s="103"/>
      <c r="V1558" s="103"/>
      <c r="W1558" s="103">
        <f>ROUND(IF(LEFT(D1558,3)="Std",VLOOKUP(D1558,'Measure &amp; Standard CostIDs'!$S$5:$X$177,1+B1558,FALSE),VLOOKUP(D1558,'Measure &amp; Standard CostIDs'!$C$5:$H$177,1+B1558,FALSE)),2)</f>
        <v>1.85</v>
      </c>
      <c r="X1558" s="103"/>
      <c r="Y1558" s="103"/>
      <c r="Z1558" s="103" t="s">
        <v>868</v>
      </c>
      <c r="AA1558" s="103" t="s">
        <v>874</v>
      </c>
      <c r="AB1558" s="103" t="s">
        <v>153</v>
      </c>
      <c r="AC1558" s="103">
        <v>0</v>
      </c>
      <c r="AD1558" s="156">
        <v>42005</v>
      </c>
      <c r="AE1558" s="103"/>
      <c r="AF1558" s="103" t="s">
        <v>870</v>
      </c>
      <c r="AG1558" s="103" t="s">
        <v>871</v>
      </c>
      <c r="AH1558" s="103" t="s">
        <v>976</v>
      </c>
      <c r="AI1558" s="103">
        <v>0</v>
      </c>
      <c r="AJ1558" s="103"/>
      <c r="AK1558" s="103"/>
      <c r="AL1558" s="103"/>
      <c r="AM1558" s="103"/>
      <c r="AN1558" s="103"/>
      <c r="AO1558" s="103" t="str">
        <f t="shared" si="87"/>
        <v>Std_CFLscw-A(12w)_60pInc-r0248Four+pack</v>
      </c>
    </row>
    <row r="1559" spans="1:41">
      <c r="A1559" s="177">
        <f>IFERROR(MATCH(D1559,'Measure &amp; Standard CostIDs'!C$5:C$177,0),MATCH(D1559,'Measure &amp; Standard CostIDs'!S$5:S$177,0))</f>
        <v>73</v>
      </c>
      <c r="B1559" s="177">
        <f t="shared" si="89"/>
        <v>5</v>
      </c>
      <c r="C1559" s="103" t="s">
        <v>153</v>
      </c>
      <c r="D1559" s="103" t="str">
        <f t="shared" si="88"/>
        <v>Std_CFLscw-A(13w)_60pInc-r0248</v>
      </c>
      <c r="E1559" s="103" t="str">
        <f>IF(LEFT(D1559,3)="Std","Base case cost for mix of 60% Incandescent and 40% CFL lamps for CFL TechID: "&amp;INDEX('Measure &amp; Standard CostIDs'!$C$5:$C$177,A1559),"&lt;from TechID&gt;")</f>
        <v>Base case cost for mix of 60% Incandescent and 40% CFL lamps for CFL TechID: CFLscw-A(13w)</v>
      </c>
      <c r="F1559" s="103" t="s">
        <v>860</v>
      </c>
      <c r="G1559" s="103" t="s">
        <v>151</v>
      </c>
      <c r="H1559" s="103" t="s">
        <v>861</v>
      </c>
      <c r="I1559" s="103" t="s">
        <v>862</v>
      </c>
      <c r="J1559" s="103" t="s">
        <v>863</v>
      </c>
      <c r="K1559" s="103" t="s">
        <v>864</v>
      </c>
      <c r="L1559" s="103" t="s">
        <v>153</v>
      </c>
      <c r="M1559" s="103" t="s">
        <v>865</v>
      </c>
      <c r="N1559" s="103" t="s">
        <v>866</v>
      </c>
      <c r="O1559" s="103" t="str">
        <f t="shared" si="86"/>
        <v/>
      </c>
      <c r="P1559" s="103" t="s">
        <v>153</v>
      </c>
      <c r="Q1559" s="103" t="s">
        <v>153</v>
      </c>
      <c r="R1559" s="103" t="s">
        <v>153</v>
      </c>
      <c r="S1559" s="103" t="str">
        <f>INDEX('Measure &amp; Standard CostIDs'!$AK$8:$AK$12,B1559)</f>
        <v>Four+pack</v>
      </c>
      <c r="T1559" s="103" t="s">
        <v>867</v>
      </c>
      <c r="U1559" s="103"/>
      <c r="V1559" s="103"/>
      <c r="W1559" s="103">
        <f>ROUND(IF(LEFT(D1559,3)="Std",VLOOKUP(D1559,'Measure &amp; Standard CostIDs'!$S$5:$X$177,1+B1559,FALSE),VLOOKUP(D1559,'Measure &amp; Standard CostIDs'!$C$5:$H$177,1+B1559,FALSE)),2)</f>
        <v>1.89</v>
      </c>
      <c r="X1559" s="103"/>
      <c r="Y1559" s="103"/>
      <c r="Z1559" s="103" t="s">
        <v>868</v>
      </c>
      <c r="AA1559" s="103" t="s">
        <v>874</v>
      </c>
      <c r="AB1559" s="103" t="s">
        <v>153</v>
      </c>
      <c r="AC1559" s="103">
        <v>0</v>
      </c>
      <c r="AD1559" s="156">
        <v>42005</v>
      </c>
      <c r="AE1559" s="103"/>
      <c r="AF1559" s="103" t="s">
        <v>870</v>
      </c>
      <c r="AG1559" s="103" t="s">
        <v>871</v>
      </c>
      <c r="AH1559" s="103" t="s">
        <v>976</v>
      </c>
      <c r="AI1559" s="103">
        <v>0</v>
      </c>
      <c r="AJ1559" s="103"/>
      <c r="AK1559" s="103"/>
      <c r="AL1559" s="103"/>
      <c r="AM1559" s="103"/>
      <c r="AN1559" s="103"/>
      <c r="AO1559" s="103" t="str">
        <f t="shared" si="87"/>
        <v>Std_CFLscw-A(13w)_60pInc-r0248Four+pack</v>
      </c>
    </row>
    <row r="1560" spans="1:41">
      <c r="A1560" s="177">
        <f>IFERROR(MATCH(D1560,'Measure &amp; Standard CostIDs'!C$5:C$177,0),MATCH(D1560,'Measure &amp; Standard CostIDs'!S$5:S$177,0))</f>
        <v>74</v>
      </c>
      <c r="B1560" s="177">
        <f t="shared" si="89"/>
        <v>5</v>
      </c>
      <c r="C1560" s="103" t="s">
        <v>153</v>
      </c>
      <c r="D1560" s="103" t="str">
        <f t="shared" si="88"/>
        <v>Std_CFLscw-A(14w)_60pInc-r0248</v>
      </c>
      <c r="E1560" s="103" t="str">
        <f>IF(LEFT(D1560,3)="Std","Base case cost for mix of 60% Incandescent and 40% CFL lamps for CFL TechID: "&amp;INDEX('Measure &amp; Standard CostIDs'!$C$5:$C$177,A1560),"&lt;from TechID&gt;")</f>
        <v>Base case cost for mix of 60% Incandescent and 40% CFL lamps for CFL TechID: CFLscw-A(14w)</v>
      </c>
      <c r="F1560" s="103" t="s">
        <v>860</v>
      </c>
      <c r="G1560" s="103" t="s">
        <v>151</v>
      </c>
      <c r="H1560" s="103" t="s">
        <v>861</v>
      </c>
      <c r="I1560" s="103" t="s">
        <v>862</v>
      </c>
      <c r="J1560" s="103" t="s">
        <v>863</v>
      </c>
      <c r="K1560" s="103" t="s">
        <v>864</v>
      </c>
      <c r="L1560" s="103" t="s">
        <v>153</v>
      </c>
      <c r="M1560" s="103" t="s">
        <v>865</v>
      </c>
      <c r="N1560" s="103" t="s">
        <v>866</v>
      </c>
      <c r="O1560" s="103" t="str">
        <f t="shared" si="86"/>
        <v/>
      </c>
      <c r="P1560" s="103" t="s">
        <v>153</v>
      </c>
      <c r="Q1560" s="103" t="s">
        <v>153</v>
      </c>
      <c r="R1560" s="103" t="s">
        <v>153</v>
      </c>
      <c r="S1560" s="103" t="str">
        <f>INDEX('Measure &amp; Standard CostIDs'!$AK$8:$AK$12,B1560)</f>
        <v>Four+pack</v>
      </c>
      <c r="T1560" s="103" t="s">
        <v>867</v>
      </c>
      <c r="U1560" s="103"/>
      <c r="V1560" s="103"/>
      <c r="W1560" s="103">
        <f>ROUND(IF(LEFT(D1560,3)="Std",VLOOKUP(D1560,'Measure &amp; Standard CostIDs'!$S$5:$X$177,1+B1560,FALSE),VLOOKUP(D1560,'Measure &amp; Standard CostIDs'!$C$5:$H$177,1+B1560,FALSE)),2)</f>
        <v>1.94</v>
      </c>
      <c r="X1560" s="103"/>
      <c r="Y1560" s="103"/>
      <c r="Z1560" s="103" t="s">
        <v>868</v>
      </c>
      <c r="AA1560" s="103" t="s">
        <v>874</v>
      </c>
      <c r="AB1560" s="103" t="s">
        <v>153</v>
      </c>
      <c r="AC1560" s="103">
        <v>0</v>
      </c>
      <c r="AD1560" s="156">
        <v>42005</v>
      </c>
      <c r="AE1560" s="103"/>
      <c r="AF1560" s="103" t="s">
        <v>870</v>
      </c>
      <c r="AG1560" s="103" t="s">
        <v>871</v>
      </c>
      <c r="AH1560" s="103" t="s">
        <v>976</v>
      </c>
      <c r="AI1560" s="103">
        <v>0</v>
      </c>
      <c r="AJ1560" s="103"/>
      <c r="AK1560" s="103"/>
      <c r="AL1560" s="103"/>
      <c r="AM1560" s="103"/>
      <c r="AN1560" s="103"/>
      <c r="AO1560" s="103" t="str">
        <f t="shared" si="87"/>
        <v>Std_CFLscw-A(14w)_60pInc-r0248Four+pack</v>
      </c>
    </row>
    <row r="1561" spans="1:41">
      <c r="A1561" s="177">
        <f>IFERROR(MATCH(D1561,'Measure &amp; Standard CostIDs'!C$5:C$177,0),MATCH(D1561,'Measure &amp; Standard CostIDs'!S$5:S$177,0))</f>
        <v>75</v>
      </c>
      <c r="B1561" s="177">
        <f t="shared" si="89"/>
        <v>5</v>
      </c>
      <c r="C1561" s="103" t="s">
        <v>153</v>
      </c>
      <c r="D1561" s="103" t="str">
        <f t="shared" si="88"/>
        <v>Std_CFLscw-A(15w)_60pInc-r0248</v>
      </c>
      <c r="E1561" s="103" t="str">
        <f>IF(LEFT(D1561,3)="Std","Base case cost for mix of 60% Incandescent and 40% CFL lamps for CFL TechID: "&amp;INDEX('Measure &amp; Standard CostIDs'!$C$5:$C$177,A1561),"&lt;from TechID&gt;")</f>
        <v>Base case cost for mix of 60% Incandescent and 40% CFL lamps for CFL TechID: CFLscw-A(15w)</v>
      </c>
      <c r="F1561" s="103" t="s">
        <v>860</v>
      </c>
      <c r="G1561" s="103" t="s">
        <v>151</v>
      </c>
      <c r="H1561" s="103" t="s">
        <v>861</v>
      </c>
      <c r="I1561" s="103" t="s">
        <v>862</v>
      </c>
      <c r="J1561" s="103" t="s">
        <v>863</v>
      </c>
      <c r="K1561" s="103" t="s">
        <v>864</v>
      </c>
      <c r="L1561" s="103" t="s">
        <v>153</v>
      </c>
      <c r="M1561" s="103" t="s">
        <v>865</v>
      </c>
      <c r="N1561" s="103" t="s">
        <v>866</v>
      </c>
      <c r="O1561" s="103" t="str">
        <f t="shared" si="86"/>
        <v/>
      </c>
      <c r="P1561" s="103" t="s">
        <v>153</v>
      </c>
      <c r="Q1561" s="103" t="s">
        <v>153</v>
      </c>
      <c r="R1561" s="103" t="s">
        <v>153</v>
      </c>
      <c r="S1561" s="103" t="str">
        <f>INDEX('Measure &amp; Standard CostIDs'!$AK$8:$AK$12,B1561)</f>
        <v>Four+pack</v>
      </c>
      <c r="T1561" s="103" t="s">
        <v>867</v>
      </c>
      <c r="U1561" s="103"/>
      <c r="V1561" s="103"/>
      <c r="W1561" s="103">
        <f>ROUND(IF(LEFT(D1561,3)="Std",VLOOKUP(D1561,'Measure &amp; Standard CostIDs'!$S$5:$X$177,1+B1561,FALSE),VLOOKUP(D1561,'Measure &amp; Standard CostIDs'!$C$5:$H$177,1+B1561,FALSE)),2)</f>
        <v>1.98</v>
      </c>
      <c r="X1561" s="103"/>
      <c r="Y1561" s="103"/>
      <c r="Z1561" s="103" t="s">
        <v>868</v>
      </c>
      <c r="AA1561" s="103" t="s">
        <v>874</v>
      </c>
      <c r="AB1561" s="103" t="s">
        <v>153</v>
      </c>
      <c r="AC1561" s="103">
        <v>0</v>
      </c>
      <c r="AD1561" s="156">
        <v>42005</v>
      </c>
      <c r="AE1561" s="103"/>
      <c r="AF1561" s="103" t="s">
        <v>870</v>
      </c>
      <c r="AG1561" s="103" t="s">
        <v>871</v>
      </c>
      <c r="AH1561" s="103" t="s">
        <v>976</v>
      </c>
      <c r="AI1561" s="103">
        <v>0</v>
      </c>
      <c r="AJ1561" s="103"/>
      <c r="AK1561" s="103"/>
      <c r="AL1561" s="103"/>
      <c r="AM1561" s="103"/>
      <c r="AN1561" s="103"/>
      <c r="AO1561" s="103" t="str">
        <f t="shared" si="87"/>
        <v>Std_CFLscw-A(15w)_60pInc-r0248Four+pack</v>
      </c>
    </row>
    <row r="1562" spans="1:41">
      <c r="A1562" s="177">
        <f>IFERROR(MATCH(D1562,'Measure &amp; Standard CostIDs'!C$5:C$177,0),MATCH(D1562,'Measure &amp; Standard CostIDs'!S$5:S$177,0))</f>
        <v>76</v>
      </c>
      <c r="B1562" s="177">
        <f t="shared" si="89"/>
        <v>5</v>
      </c>
      <c r="C1562" s="103" t="s">
        <v>153</v>
      </c>
      <c r="D1562" s="103" t="str">
        <f t="shared" si="88"/>
        <v>Std_CFLscw-A(16w)_60pInc-r0248</v>
      </c>
      <c r="E1562" s="103" t="str">
        <f>IF(LEFT(D1562,3)="Std","Base case cost for mix of 60% Incandescent and 40% CFL lamps for CFL TechID: "&amp;INDEX('Measure &amp; Standard CostIDs'!$C$5:$C$177,A1562),"&lt;from TechID&gt;")</f>
        <v>Base case cost for mix of 60% Incandescent and 40% CFL lamps for CFL TechID: CFLscw-A(16w)</v>
      </c>
      <c r="F1562" s="103" t="s">
        <v>860</v>
      </c>
      <c r="G1562" s="103" t="s">
        <v>151</v>
      </c>
      <c r="H1562" s="103" t="s">
        <v>861</v>
      </c>
      <c r="I1562" s="103" t="s">
        <v>862</v>
      </c>
      <c r="J1562" s="103" t="s">
        <v>863</v>
      </c>
      <c r="K1562" s="103" t="s">
        <v>864</v>
      </c>
      <c r="L1562" s="103" t="s">
        <v>153</v>
      </c>
      <c r="M1562" s="103" t="s">
        <v>865</v>
      </c>
      <c r="N1562" s="103" t="s">
        <v>866</v>
      </c>
      <c r="O1562" s="103" t="str">
        <f t="shared" si="86"/>
        <v/>
      </c>
      <c r="P1562" s="103" t="s">
        <v>153</v>
      </c>
      <c r="Q1562" s="103" t="s">
        <v>153</v>
      </c>
      <c r="R1562" s="103" t="s">
        <v>153</v>
      </c>
      <c r="S1562" s="103" t="str">
        <f>INDEX('Measure &amp; Standard CostIDs'!$AK$8:$AK$12,B1562)</f>
        <v>Four+pack</v>
      </c>
      <c r="T1562" s="103" t="s">
        <v>867</v>
      </c>
      <c r="U1562" s="103"/>
      <c r="V1562" s="103"/>
      <c r="W1562" s="103">
        <f>ROUND(IF(LEFT(D1562,3)="Std",VLOOKUP(D1562,'Measure &amp; Standard CostIDs'!$S$5:$X$177,1+B1562,FALSE),VLOOKUP(D1562,'Measure &amp; Standard CostIDs'!$C$5:$H$177,1+B1562,FALSE)),2)</f>
        <v>2.0299999999999998</v>
      </c>
      <c r="X1562" s="103"/>
      <c r="Y1562" s="103"/>
      <c r="Z1562" s="103" t="s">
        <v>868</v>
      </c>
      <c r="AA1562" s="103" t="s">
        <v>874</v>
      </c>
      <c r="AB1562" s="103" t="s">
        <v>153</v>
      </c>
      <c r="AC1562" s="103">
        <v>0</v>
      </c>
      <c r="AD1562" s="156">
        <v>42005</v>
      </c>
      <c r="AE1562" s="103"/>
      <c r="AF1562" s="103" t="s">
        <v>870</v>
      </c>
      <c r="AG1562" s="103" t="s">
        <v>871</v>
      </c>
      <c r="AH1562" s="103" t="s">
        <v>976</v>
      </c>
      <c r="AI1562" s="103">
        <v>0</v>
      </c>
      <c r="AJ1562" s="103"/>
      <c r="AK1562" s="103"/>
      <c r="AL1562" s="103"/>
      <c r="AM1562" s="103"/>
      <c r="AN1562" s="103"/>
      <c r="AO1562" s="103" t="str">
        <f t="shared" si="87"/>
        <v>Std_CFLscw-A(16w)_60pInc-r0248Four+pack</v>
      </c>
    </row>
    <row r="1563" spans="1:41">
      <c r="A1563" s="177">
        <f>IFERROR(MATCH(D1563,'Measure &amp; Standard CostIDs'!C$5:C$177,0),MATCH(D1563,'Measure &amp; Standard CostIDs'!S$5:S$177,0))</f>
        <v>77</v>
      </c>
      <c r="B1563" s="177">
        <f t="shared" si="89"/>
        <v>5</v>
      </c>
      <c r="C1563" s="103" t="s">
        <v>153</v>
      </c>
      <c r="D1563" s="103" t="str">
        <f t="shared" si="88"/>
        <v>Std_CFLscw-A(18w)_60pInc-r0248</v>
      </c>
      <c r="E1563" s="103" t="str">
        <f>IF(LEFT(D1563,3)="Std","Base case cost for mix of 60% Incandescent and 40% CFL lamps for CFL TechID: "&amp;INDEX('Measure &amp; Standard CostIDs'!$C$5:$C$177,A1563),"&lt;from TechID&gt;")</f>
        <v>Base case cost for mix of 60% Incandescent and 40% CFL lamps for CFL TechID: CFLscw-A(18w)</v>
      </c>
      <c r="F1563" s="103" t="s">
        <v>860</v>
      </c>
      <c r="G1563" s="103" t="s">
        <v>151</v>
      </c>
      <c r="H1563" s="103" t="s">
        <v>861</v>
      </c>
      <c r="I1563" s="103" t="s">
        <v>862</v>
      </c>
      <c r="J1563" s="103" t="s">
        <v>863</v>
      </c>
      <c r="K1563" s="103" t="s">
        <v>864</v>
      </c>
      <c r="L1563" s="103" t="s">
        <v>153</v>
      </c>
      <c r="M1563" s="103" t="s">
        <v>865</v>
      </c>
      <c r="N1563" s="103" t="s">
        <v>866</v>
      </c>
      <c r="O1563" s="103" t="str">
        <f t="shared" si="86"/>
        <v/>
      </c>
      <c r="P1563" s="103" t="s">
        <v>153</v>
      </c>
      <c r="Q1563" s="103" t="s">
        <v>153</v>
      </c>
      <c r="R1563" s="103" t="s">
        <v>153</v>
      </c>
      <c r="S1563" s="103" t="str">
        <f>INDEX('Measure &amp; Standard CostIDs'!$AK$8:$AK$12,B1563)</f>
        <v>Four+pack</v>
      </c>
      <c r="T1563" s="103" t="s">
        <v>867</v>
      </c>
      <c r="U1563" s="103"/>
      <c r="V1563" s="103"/>
      <c r="W1563" s="103">
        <f>ROUND(IF(LEFT(D1563,3)="Std",VLOOKUP(D1563,'Measure &amp; Standard CostIDs'!$S$5:$X$177,1+B1563,FALSE),VLOOKUP(D1563,'Measure &amp; Standard CostIDs'!$C$5:$H$177,1+B1563,FALSE)),2)</f>
        <v>2.12</v>
      </c>
      <c r="X1563" s="103"/>
      <c r="Y1563" s="103"/>
      <c r="Z1563" s="103" t="s">
        <v>868</v>
      </c>
      <c r="AA1563" s="103" t="s">
        <v>874</v>
      </c>
      <c r="AB1563" s="103" t="s">
        <v>153</v>
      </c>
      <c r="AC1563" s="103">
        <v>0</v>
      </c>
      <c r="AD1563" s="156">
        <v>42005</v>
      </c>
      <c r="AE1563" s="103"/>
      <c r="AF1563" s="103" t="s">
        <v>870</v>
      </c>
      <c r="AG1563" s="103" t="s">
        <v>871</v>
      </c>
      <c r="AH1563" s="103" t="s">
        <v>976</v>
      </c>
      <c r="AI1563" s="103">
        <v>0</v>
      </c>
      <c r="AJ1563" s="103"/>
      <c r="AK1563" s="103"/>
      <c r="AL1563" s="103"/>
      <c r="AM1563" s="103"/>
      <c r="AN1563" s="103"/>
      <c r="AO1563" s="103" t="str">
        <f t="shared" si="87"/>
        <v>Std_CFLscw-A(18w)_60pInc-r0248Four+pack</v>
      </c>
    </row>
    <row r="1564" spans="1:41">
      <c r="A1564" s="177">
        <f>IFERROR(MATCH(D1564,'Measure &amp; Standard CostIDs'!C$5:C$177,0),MATCH(D1564,'Measure &amp; Standard CostIDs'!S$5:S$177,0))</f>
        <v>78</v>
      </c>
      <c r="B1564" s="177">
        <f t="shared" si="89"/>
        <v>5</v>
      </c>
      <c r="C1564" s="103" t="s">
        <v>153</v>
      </c>
      <c r="D1564" s="103" t="str">
        <f t="shared" si="88"/>
        <v>Std_CFLscw-A(19w)_60pInc-r0248</v>
      </c>
      <c r="E1564" s="103" t="str">
        <f>IF(LEFT(D1564,3)="Std","Base case cost for mix of 60% Incandescent and 40% CFL lamps for CFL TechID: "&amp;INDEX('Measure &amp; Standard CostIDs'!$C$5:$C$177,A1564),"&lt;from TechID&gt;")</f>
        <v>Base case cost for mix of 60% Incandescent and 40% CFL lamps for CFL TechID: CFLscw-A(19w)</v>
      </c>
      <c r="F1564" s="103" t="s">
        <v>860</v>
      </c>
      <c r="G1564" s="103" t="s">
        <v>151</v>
      </c>
      <c r="H1564" s="103" t="s">
        <v>861</v>
      </c>
      <c r="I1564" s="103" t="s">
        <v>862</v>
      </c>
      <c r="J1564" s="103" t="s">
        <v>863</v>
      </c>
      <c r="K1564" s="103" t="s">
        <v>864</v>
      </c>
      <c r="L1564" s="103" t="s">
        <v>153</v>
      </c>
      <c r="M1564" s="103" t="s">
        <v>865</v>
      </c>
      <c r="N1564" s="103" t="s">
        <v>866</v>
      </c>
      <c r="O1564" s="103" t="str">
        <f t="shared" si="86"/>
        <v/>
      </c>
      <c r="P1564" s="103" t="s">
        <v>153</v>
      </c>
      <c r="Q1564" s="103" t="s">
        <v>153</v>
      </c>
      <c r="R1564" s="103" t="s">
        <v>153</v>
      </c>
      <c r="S1564" s="103" t="str">
        <f>INDEX('Measure &amp; Standard CostIDs'!$AK$8:$AK$12,B1564)</f>
        <v>Four+pack</v>
      </c>
      <c r="T1564" s="103" t="s">
        <v>867</v>
      </c>
      <c r="U1564" s="103"/>
      <c r="V1564" s="103"/>
      <c r="W1564" s="103">
        <f>ROUND(IF(LEFT(D1564,3)="Std",VLOOKUP(D1564,'Measure &amp; Standard CostIDs'!$S$5:$X$177,1+B1564,FALSE),VLOOKUP(D1564,'Measure &amp; Standard CostIDs'!$C$5:$H$177,1+B1564,FALSE)),2)</f>
        <v>2.17</v>
      </c>
      <c r="X1564" s="103"/>
      <c r="Y1564" s="103"/>
      <c r="Z1564" s="103" t="s">
        <v>868</v>
      </c>
      <c r="AA1564" s="103" t="s">
        <v>874</v>
      </c>
      <c r="AB1564" s="103" t="s">
        <v>153</v>
      </c>
      <c r="AC1564" s="103">
        <v>0</v>
      </c>
      <c r="AD1564" s="156">
        <v>42005</v>
      </c>
      <c r="AE1564" s="103"/>
      <c r="AF1564" s="103" t="s">
        <v>870</v>
      </c>
      <c r="AG1564" s="103" t="s">
        <v>871</v>
      </c>
      <c r="AH1564" s="103" t="s">
        <v>976</v>
      </c>
      <c r="AI1564" s="103">
        <v>0</v>
      </c>
      <c r="AJ1564" s="103"/>
      <c r="AK1564" s="103"/>
      <c r="AL1564" s="103"/>
      <c r="AM1564" s="103"/>
      <c r="AN1564" s="103"/>
      <c r="AO1564" s="103" t="str">
        <f t="shared" si="87"/>
        <v>Std_CFLscw-A(19w)_60pInc-r0248Four+pack</v>
      </c>
    </row>
    <row r="1565" spans="1:41">
      <c r="A1565" s="177">
        <f>IFERROR(MATCH(D1565,'Measure &amp; Standard CostIDs'!C$5:C$177,0),MATCH(D1565,'Measure &amp; Standard CostIDs'!S$5:S$177,0))</f>
        <v>79</v>
      </c>
      <c r="B1565" s="177">
        <f t="shared" si="89"/>
        <v>5</v>
      </c>
      <c r="C1565" s="103" t="s">
        <v>153</v>
      </c>
      <c r="D1565" s="103" t="str">
        <f t="shared" si="88"/>
        <v>Std_CFLscw-A(20w)_60pInc-r0248</v>
      </c>
      <c r="E1565" s="103" t="str">
        <f>IF(LEFT(D1565,3)="Std","Base case cost for mix of 60% Incandescent and 40% CFL lamps for CFL TechID: "&amp;INDEX('Measure &amp; Standard CostIDs'!$C$5:$C$177,A1565),"&lt;from TechID&gt;")</f>
        <v>Base case cost for mix of 60% Incandescent and 40% CFL lamps for CFL TechID: CFLscw-A(20w)</v>
      </c>
      <c r="F1565" s="103" t="s">
        <v>860</v>
      </c>
      <c r="G1565" s="103" t="s">
        <v>151</v>
      </c>
      <c r="H1565" s="103" t="s">
        <v>861</v>
      </c>
      <c r="I1565" s="103" t="s">
        <v>862</v>
      </c>
      <c r="J1565" s="103" t="s">
        <v>863</v>
      </c>
      <c r="K1565" s="103" t="s">
        <v>864</v>
      </c>
      <c r="L1565" s="103" t="s">
        <v>153</v>
      </c>
      <c r="M1565" s="103" t="s">
        <v>865</v>
      </c>
      <c r="N1565" s="103" t="s">
        <v>866</v>
      </c>
      <c r="O1565" s="103" t="str">
        <f t="shared" si="86"/>
        <v/>
      </c>
      <c r="P1565" s="103" t="s">
        <v>153</v>
      </c>
      <c r="Q1565" s="103" t="s">
        <v>153</v>
      </c>
      <c r="R1565" s="103" t="s">
        <v>153</v>
      </c>
      <c r="S1565" s="103" t="str">
        <f>INDEX('Measure &amp; Standard CostIDs'!$AK$8:$AK$12,B1565)</f>
        <v>Four+pack</v>
      </c>
      <c r="T1565" s="103" t="s">
        <v>867</v>
      </c>
      <c r="U1565" s="103"/>
      <c r="V1565" s="103"/>
      <c r="W1565" s="103">
        <f>ROUND(IF(LEFT(D1565,3)="Std",VLOOKUP(D1565,'Measure &amp; Standard CostIDs'!$S$5:$X$177,1+B1565,FALSE),VLOOKUP(D1565,'Measure &amp; Standard CostIDs'!$C$5:$H$177,1+B1565,FALSE)),2)</f>
        <v>2.21</v>
      </c>
      <c r="X1565" s="103"/>
      <c r="Y1565" s="103"/>
      <c r="Z1565" s="103" t="s">
        <v>868</v>
      </c>
      <c r="AA1565" s="103" t="s">
        <v>874</v>
      </c>
      <c r="AB1565" s="103" t="s">
        <v>153</v>
      </c>
      <c r="AC1565" s="103">
        <v>0</v>
      </c>
      <c r="AD1565" s="156">
        <v>42005</v>
      </c>
      <c r="AE1565" s="103"/>
      <c r="AF1565" s="103" t="s">
        <v>870</v>
      </c>
      <c r="AG1565" s="103" t="s">
        <v>871</v>
      </c>
      <c r="AH1565" s="103" t="s">
        <v>976</v>
      </c>
      <c r="AI1565" s="103">
        <v>0</v>
      </c>
      <c r="AJ1565" s="103"/>
      <c r="AK1565" s="103"/>
      <c r="AL1565" s="103"/>
      <c r="AM1565" s="103"/>
      <c r="AN1565" s="103"/>
      <c r="AO1565" s="103" t="str">
        <f t="shared" si="87"/>
        <v>Std_CFLscw-A(20w)_60pInc-r0248Four+pack</v>
      </c>
    </row>
    <row r="1566" spans="1:41">
      <c r="A1566" s="177">
        <f>IFERROR(MATCH(D1566,'Measure &amp; Standard CostIDs'!C$5:C$177,0),MATCH(D1566,'Measure &amp; Standard CostIDs'!S$5:S$177,0))</f>
        <v>80</v>
      </c>
      <c r="B1566" s="177">
        <f t="shared" si="89"/>
        <v>5</v>
      </c>
      <c r="C1566" s="103" t="s">
        <v>153</v>
      </c>
      <c r="D1566" s="103" t="str">
        <f t="shared" si="88"/>
        <v>Std_CFLscw-A(22w)_60pInc-r0248</v>
      </c>
      <c r="E1566" s="103" t="str">
        <f>IF(LEFT(D1566,3)="Std","Base case cost for mix of 60% Incandescent and 40% CFL lamps for CFL TechID: "&amp;INDEX('Measure &amp; Standard CostIDs'!$C$5:$C$177,A1566),"&lt;from TechID&gt;")</f>
        <v>Base case cost for mix of 60% Incandescent and 40% CFL lamps for CFL TechID: CFLscw-A(22w)</v>
      </c>
      <c r="F1566" s="103" t="s">
        <v>860</v>
      </c>
      <c r="G1566" s="103" t="s">
        <v>151</v>
      </c>
      <c r="H1566" s="103" t="s">
        <v>861</v>
      </c>
      <c r="I1566" s="103" t="s">
        <v>862</v>
      </c>
      <c r="J1566" s="103" t="s">
        <v>863</v>
      </c>
      <c r="K1566" s="103" t="s">
        <v>864</v>
      </c>
      <c r="L1566" s="103" t="s">
        <v>153</v>
      </c>
      <c r="M1566" s="103" t="s">
        <v>865</v>
      </c>
      <c r="N1566" s="103" t="s">
        <v>866</v>
      </c>
      <c r="O1566" s="103" t="str">
        <f t="shared" si="86"/>
        <v/>
      </c>
      <c r="P1566" s="103" t="s">
        <v>153</v>
      </c>
      <c r="Q1566" s="103" t="s">
        <v>153</v>
      </c>
      <c r="R1566" s="103" t="s">
        <v>153</v>
      </c>
      <c r="S1566" s="103" t="str">
        <f>INDEX('Measure &amp; Standard CostIDs'!$AK$8:$AK$12,B1566)</f>
        <v>Four+pack</v>
      </c>
      <c r="T1566" s="103" t="s">
        <v>867</v>
      </c>
      <c r="U1566" s="103"/>
      <c r="V1566" s="103"/>
      <c r="W1566" s="103">
        <f>ROUND(IF(LEFT(D1566,3)="Std",VLOOKUP(D1566,'Measure &amp; Standard CostIDs'!$S$5:$X$177,1+B1566,FALSE),VLOOKUP(D1566,'Measure &amp; Standard CostIDs'!$C$5:$H$177,1+B1566,FALSE)),2)</f>
        <v>2.2999999999999998</v>
      </c>
      <c r="X1566" s="103"/>
      <c r="Y1566" s="103"/>
      <c r="Z1566" s="103" t="s">
        <v>868</v>
      </c>
      <c r="AA1566" s="103" t="s">
        <v>874</v>
      </c>
      <c r="AB1566" s="103" t="s">
        <v>153</v>
      </c>
      <c r="AC1566" s="103">
        <v>0</v>
      </c>
      <c r="AD1566" s="156">
        <v>42005</v>
      </c>
      <c r="AE1566" s="103"/>
      <c r="AF1566" s="103" t="s">
        <v>870</v>
      </c>
      <c r="AG1566" s="103" t="s">
        <v>871</v>
      </c>
      <c r="AH1566" s="103" t="s">
        <v>976</v>
      </c>
      <c r="AI1566" s="103">
        <v>0</v>
      </c>
      <c r="AJ1566" s="103"/>
      <c r="AK1566" s="103"/>
      <c r="AL1566" s="103"/>
      <c r="AM1566" s="103"/>
      <c r="AN1566" s="103"/>
      <c r="AO1566" s="103" t="str">
        <f t="shared" si="87"/>
        <v>Std_CFLscw-A(22w)_60pInc-r0248Four+pack</v>
      </c>
    </row>
    <row r="1567" spans="1:41">
      <c r="A1567" s="177">
        <f>IFERROR(MATCH(D1567,'Measure &amp; Standard CostIDs'!C$5:C$177,0),MATCH(D1567,'Measure &amp; Standard CostIDs'!S$5:S$177,0))</f>
        <v>81</v>
      </c>
      <c r="B1567" s="177">
        <f t="shared" si="89"/>
        <v>5</v>
      </c>
      <c r="C1567" s="103" t="s">
        <v>153</v>
      </c>
      <c r="D1567" s="103" t="str">
        <f t="shared" si="88"/>
        <v>Std_CFLscw-A(23w)_60pInc-r0248</v>
      </c>
      <c r="E1567" s="103" t="str">
        <f>IF(LEFT(D1567,3)="Std","Base case cost for mix of 60% Incandescent and 40% CFL lamps for CFL TechID: "&amp;INDEX('Measure &amp; Standard CostIDs'!$C$5:$C$177,A1567),"&lt;from TechID&gt;")</f>
        <v>Base case cost for mix of 60% Incandescent and 40% CFL lamps for CFL TechID: CFLscw-A(23w)</v>
      </c>
      <c r="F1567" s="103" t="s">
        <v>860</v>
      </c>
      <c r="G1567" s="103" t="s">
        <v>151</v>
      </c>
      <c r="H1567" s="103" t="s">
        <v>861</v>
      </c>
      <c r="I1567" s="103" t="s">
        <v>862</v>
      </c>
      <c r="J1567" s="103" t="s">
        <v>863</v>
      </c>
      <c r="K1567" s="103" t="s">
        <v>864</v>
      </c>
      <c r="L1567" s="103" t="s">
        <v>153</v>
      </c>
      <c r="M1567" s="103" t="s">
        <v>865</v>
      </c>
      <c r="N1567" s="103" t="s">
        <v>866</v>
      </c>
      <c r="O1567" s="103" t="str">
        <f t="shared" si="86"/>
        <v/>
      </c>
      <c r="P1567" s="103" t="s">
        <v>153</v>
      </c>
      <c r="Q1567" s="103" t="s">
        <v>153</v>
      </c>
      <c r="R1567" s="103" t="s">
        <v>153</v>
      </c>
      <c r="S1567" s="103" t="str">
        <f>INDEX('Measure &amp; Standard CostIDs'!$AK$8:$AK$12,B1567)</f>
        <v>Four+pack</v>
      </c>
      <c r="T1567" s="103" t="s">
        <v>867</v>
      </c>
      <c r="U1567" s="103"/>
      <c r="V1567" s="103"/>
      <c r="W1567" s="103">
        <f>ROUND(IF(LEFT(D1567,3)="Std",VLOOKUP(D1567,'Measure &amp; Standard CostIDs'!$S$5:$X$177,1+B1567,FALSE),VLOOKUP(D1567,'Measure &amp; Standard CostIDs'!$C$5:$H$177,1+B1567,FALSE)),2)</f>
        <v>2.3199999999999998</v>
      </c>
      <c r="X1567" s="103"/>
      <c r="Y1567" s="103"/>
      <c r="Z1567" s="103" t="s">
        <v>868</v>
      </c>
      <c r="AA1567" s="103" t="s">
        <v>874</v>
      </c>
      <c r="AB1567" s="103" t="s">
        <v>153</v>
      </c>
      <c r="AC1567" s="103">
        <v>0</v>
      </c>
      <c r="AD1567" s="156">
        <v>42005</v>
      </c>
      <c r="AE1567" s="103"/>
      <c r="AF1567" s="103" t="s">
        <v>870</v>
      </c>
      <c r="AG1567" s="103" t="s">
        <v>871</v>
      </c>
      <c r="AH1567" s="103" t="s">
        <v>976</v>
      </c>
      <c r="AI1567" s="103">
        <v>0</v>
      </c>
      <c r="AJ1567" s="103"/>
      <c r="AK1567" s="103"/>
      <c r="AL1567" s="103"/>
      <c r="AM1567" s="103"/>
      <c r="AN1567" s="103"/>
      <c r="AO1567" s="103" t="str">
        <f t="shared" si="87"/>
        <v>Std_CFLscw-A(23w)_60pInc-r0248Four+pack</v>
      </c>
    </row>
    <row r="1568" spans="1:41">
      <c r="A1568" s="177">
        <f>IFERROR(MATCH(D1568,'Measure &amp; Standard CostIDs'!C$5:C$177,0),MATCH(D1568,'Measure &amp; Standard CostIDs'!S$5:S$177,0))</f>
        <v>82</v>
      </c>
      <c r="B1568" s="177">
        <f t="shared" si="89"/>
        <v>5</v>
      </c>
      <c r="C1568" s="103" t="s">
        <v>153</v>
      </c>
      <c r="D1568" s="103" t="str">
        <f t="shared" si="88"/>
        <v>Std_CFLscw-A(24w)_60pInc-r0248</v>
      </c>
      <c r="E1568" s="103" t="str">
        <f>IF(LEFT(D1568,3)="Std","Base case cost for mix of 60% Incandescent and 40% CFL lamps for CFL TechID: "&amp;INDEX('Measure &amp; Standard CostIDs'!$C$5:$C$177,A1568),"&lt;from TechID&gt;")</f>
        <v>Base case cost for mix of 60% Incandescent and 40% CFL lamps for CFL TechID: CFLscw-A(24w)</v>
      </c>
      <c r="F1568" s="103" t="s">
        <v>860</v>
      </c>
      <c r="G1568" s="103" t="s">
        <v>151</v>
      </c>
      <c r="H1568" s="103" t="s">
        <v>861</v>
      </c>
      <c r="I1568" s="103" t="s">
        <v>862</v>
      </c>
      <c r="J1568" s="103" t="s">
        <v>863</v>
      </c>
      <c r="K1568" s="103" t="s">
        <v>864</v>
      </c>
      <c r="L1568" s="103" t="s">
        <v>153</v>
      </c>
      <c r="M1568" s="103" t="s">
        <v>865</v>
      </c>
      <c r="N1568" s="103" t="s">
        <v>866</v>
      </c>
      <c r="O1568" s="103" t="str">
        <f t="shared" si="86"/>
        <v/>
      </c>
      <c r="P1568" s="103" t="s">
        <v>153</v>
      </c>
      <c r="Q1568" s="103" t="s">
        <v>153</v>
      </c>
      <c r="R1568" s="103" t="s">
        <v>153</v>
      </c>
      <c r="S1568" s="103" t="str">
        <f>INDEX('Measure &amp; Standard CostIDs'!$AK$8:$AK$12,B1568)</f>
        <v>Four+pack</v>
      </c>
      <c r="T1568" s="103" t="s">
        <v>867</v>
      </c>
      <c r="U1568" s="103"/>
      <c r="V1568" s="103"/>
      <c r="W1568" s="103">
        <f>ROUND(IF(LEFT(D1568,3)="Std",VLOOKUP(D1568,'Measure &amp; Standard CostIDs'!$S$5:$X$177,1+B1568,FALSE),VLOOKUP(D1568,'Measure &amp; Standard CostIDs'!$C$5:$H$177,1+B1568,FALSE)),2)</f>
        <v>2.35</v>
      </c>
      <c r="X1568" s="103"/>
      <c r="Y1568" s="103"/>
      <c r="Z1568" s="103" t="s">
        <v>868</v>
      </c>
      <c r="AA1568" s="103" t="s">
        <v>874</v>
      </c>
      <c r="AB1568" s="103" t="s">
        <v>153</v>
      </c>
      <c r="AC1568" s="103">
        <v>0</v>
      </c>
      <c r="AD1568" s="156">
        <v>42005</v>
      </c>
      <c r="AE1568" s="103"/>
      <c r="AF1568" s="103" t="s">
        <v>870</v>
      </c>
      <c r="AG1568" s="103" t="s">
        <v>871</v>
      </c>
      <c r="AH1568" s="103" t="s">
        <v>976</v>
      </c>
      <c r="AI1568" s="103">
        <v>0</v>
      </c>
      <c r="AJ1568" s="103"/>
      <c r="AK1568" s="103"/>
      <c r="AL1568" s="103"/>
      <c r="AM1568" s="103"/>
      <c r="AN1568" s="103"/>
      <c r="AO1568" s="103" t="str">
        <f t="shared" si="87"/>
        <v>Std_CFLscw-A(24w)_60pInc-r0248Four+pack</v>
      </c>
    </row>
    <row r="1569" spans="1:41">
      <c r="A1569" s="177">
        <f>IFERROR(MATCH(D1569,'Measure &amp; Standard CostIDs'!C$5:C$177,0),MATCH(D1569,'Measure &amp; Standard CostIDs'!S$5:S$177,0))</f>
        <v>83</v>
      </c>
      <c r="B1569" s="177">
        <f t="shared" si="89"/>
        <v>5</v>
      </c>
      <c r="C1569" s="103" t="s">
        <v>153</v>
      </c>
      <c r="D1569" s="103" t="str">
        <f t="shared" si="88"/>
        <v>Std_CFLscw-A(25w)_60pInc-r0248</v>
      </c>
      <c r="E1569" s="103" t="str">
        <f>IF(LEFT(D1569,3)="Std","Base case cost for mix of 60% Incandescent and 40% CFL lamps for CFL TechID: "&amp;INDEX('Measure &amp; Standard CostIDs'!$C$5:$C$177,A1569),"&lt;from TechID&gt;")</f>
        <v>Base case cost for mix of 60% Incandescent and 40% CFL lamps for CFL TechID: CFLscw-A(25w)</v>
      </c>
      <c r="F1569" s="103" t="s">
        <v>860</v>
      </c>
      <c r="G1569" s="103" t="s">
        <v>151</v>
      </c>
      <c r="H1569" s="103" t="s">
        <v>861</v>
      </c>
      <c r="I1569" s="103" t="s">
        <v>862</v>
      </c>
      <c r="J1569" s="103" t="s">
        <v>863</v>
      </c>
      <c r="K1569" s="103" t="s">
        <v>864</v>
      </c>
      <c r="L1569" s="103" t="s">
        <v>153</v>
      </c>
      <c r="M1569" s="103" t="s">
        <v>865</v>
      </c>
      <c r="N1569" s="103" t="s">
        <v>866</v>
      </c>
      <c r="O1569" s="103" t="str">
        <f t="shared" si="86"/>
        <v/>
      </c>
      <c r="P1569" s="103" t="s">
        <v>153</v>
      </c>
      <c r="Q1569" s="103" t="s">
        <v>153</v>
      </c>
      <c r="R1569" s="103" t="s">
        <v>153</v>
      </c>
      <c r="S1569" s="103" t="str">
        <f>INDEX('Measure &amp; Standard CostIDs'!$AK$8:$AK$12,B1569)</f>
        <v>Four+pack</v>
      </c>
      <c r="T1569" s="103" t="s">
        <v>867</v>
      </c>
      <c r="U1569" s="103"/>
      <c r="V1569" s="103"/>
      <c r="W1569" s="103">
        <f>ROUND(IF(LEFT(D1569,3)="Std",VLOOKUP(D1569,'Measure &amp; Standard CostIDs'!$S$5:$X$177,1+B1569,FALSE),VLOOKUP(D1569,'Measure &amp; Standard CostIDs'!$C$5:$H$177,1+B1569,FALSE)),2)</f>
        <v>2.38</v>
      </c>
      <c r="X1569" s="103"/>
      <c r="Y1569" s="103"/>
      <c r="Z1569" s="103" t="s">
        <v>868</v>
      </c>
      <c r="AA1569" s="103" t="s">
        <v>874</v>
      </c>
      <c r="AB1569" s="103" t="s">
        <v>153</v>
      </c>
      <c r="AC1569" s="103">
        <v>0</v>
      </c>
      <c r="AD1569" s="156">
        <v>42005</v>
      </c>
      <c r="AE1569" s="103"/>
      <c r="AF1569" s="103" t="s">
        <v>870</v>
      </c>
      <c r="AG1569" s="103" t="s">
        <v>871</v>
      </c>
      <c r="AH1569" s="103" t="s">
        <v>976</v>
      </c>
      <c r="AI1569" s="103">
        <v>0</v>
      </c>
      <c r="AJ1569" s="103"/>
      <c r="AK1569" s="103"/>
      <c r="AL1569" s="103"/>
      <c r="AM1569" s="103"/>
      <c r="AN1569" s="103"/>
      <c r="AO1569" s="103" t="str">
        <f t="shared" si="87"/>
        <v>Std_CFLscw-A(25w)_60pInc-r0248Four+pack</v>
      </c>
    </row>
    <row r="1570" spans="1:41">
      <c r="A1570" s="177">
        <f>IFERROR(MATCH(D1570,'Measure &amp; Standard CostIDs'!C$5:C$177,0),MATCH(D1570,'Measure &amp; Standard CostIDs'!S$5:S$177,0))</f>
        <v>84</v>
      </c>
      <c r="B1570" s="177">
        <f t="shared" si="89"/>
        <v>5</v>
      </c>
      <c r="C1570" s="103" t="s">
        <v>153</v>
      </c>
      <c r="D1570" s="103" t="str">
        <f t="shared" si="88"/>
        <v>Std_CFLscw-A(26w)_60pInc-r0248</v>
      </c>
      <c r="E1570" s="103" t="str">
        <f>IF(LEFT(D1570,3)="Std","Base case cost for mix of 60% Incandescent and 40% CFL lamps for CFL TechID: "&amp;INDEX('Measure &amp; Standard CostIDs'!$C$5:$C$177,A1570),"&lt;from TechID&gt;")</f>
        <v>Base case cost for mix of 60% Incandescent and 40% CFL lamps for CFL TechID: CFLscw-A(26w)</v>
      </c>
      <c r="F1570" s="103" t="s">
        <v>860</v>
      </c>
      <c r="G1570" s="103" t="s">
        <v>151</v>
      </c>
      <c r="H1570" s="103" t="s">
        <v>861</v>
      </c>
      <c r="I1570" s="103" t="s">
        <v>862</v>
      </c>
      <c r="J1570" s="103" t="s">
        <v>863</v>
      </c>
      <c r="K1570" s="103" t="s">
        <v>864</v>
      </c>
      <c r="L1570" s="103" t="s">
        <v>153</v>
      </c>
      <c r="M1570" s="103" t="s">
        <v>865</v>
      </c>
      <c r="N1570" s="103" t="s">
        <v>866</v>
      </c>
      <c r="O1570" s="103" t="str">
        <f t="shared" si="86"/>
        <v/>
      </c>
      <c r="P1570" s="103" t="s">
        <v>153</v>
      </c>
      <c r="Q1570" s="103" t="s">
        <v>153</v>
      </c>
      <c r="R1570" s="103" t="s">
        <v>153</v>
      </c>
      <c r="S1570" s="103" t="str">
        <f>INDEX('Measure &amp; Standard CostIDs'!$AK$8:$AK$12,B1570)</f>
        <v>Four+pack</v>
      </c>
      <c r="T1570" s="103" t="s">
        <v>867</v>
      </c>
      <c r="U1570" s="103"/>
      <c r="V1570" s="103"/>
      <c r="W1570" s="103">
        <f>ROUND(IF(LEFT(D1570,3)="Std",VLOOKUP(D1570,'Measure &amp; Standard CostIDs'!$S$5:$X$177,1+B1570,FALSE),VLOOKUP(D1570,'Measure &amp; Standard CostIDs'!$C$5:$H$177,1+B1570,FALSE)),2)</f>
        <v>2.44</v>
      </c>
      <c r="X1570" s="103"/>
      <c r="Y1570" s="103"/>
      <c r="Z1570" s="103" t="s">
        <v>868</v>
      </c>
      <c r="AA1570" s="103" t="s">
        <v>874</v>
      </c>
      <c r="AB1570" s="103" t="s">
        <v>153</v>
      </c>
      <c r="AC1570" s="103">
        <v>0</v>
      </c>
      <c r="AD1570" s="156">
        <v>42005</v>
      </c>
      <c r="AE1570" s="103"/>
      <c r="AF1570" s="103" t="s">
        <v>870</v>
      </c>
      <c r="AG1570" s="103" t="s">
        <v>871</v>
      </c>
      <c r="AH1570" s="103" t="s">
        <v>976</v>
      </c>
      <c r="AI1570" s="103">
        <v>0</v>
      </c>
      <c r="AJ1570" s="103"/>
      <c r="AK1570" s="103"/>
      <c r="AL1570" s="103"/>
      <c r="AM1570" s="103"/>
      <c r="AN1570" s="103"/>
      <c r="AO1570" s="103" t="str">
        <f t="shared" si="87"/>
        <v>Std_CFLscw-A(26w)_60pInc-r0248Four+pack</v>
      </c>
    </row>
    <row r="1571" spans="1:41">
      <c r="A1571" s="177">
        <f>IFERROR(MATCH(D1571,'Measure &amp; Standard CostIDs'!C$5:C$177,0),MATCH(D1571,'Measure &amp; Standard CostIDs'!S$5:S$177,0))</f>
        <v>85</v>
      </c>
      <c r="B1571" s="177">
        <f t="shared" si="89"/>
        <v>5</v>
      </c>
      <c r="C1571" s="103" t="s">
        <v>153</v>
      </c>
      <c r="D1571" s="103" t="str">
        <f t="shared" si="88"/>
        <v>Std_CFLscw-A(27w)_60pInc-r0248</v>
      </c>
      <c r="E1571" s="103" t="str">
        <f>IF(LEFT(D1571,3)="Std","Base case cost for mix of 60% Incandescent and 40% CFL lamps for CFL TechID: "&amp;INDEX('Measure &amp; Standard CostIDs'!$C$5:$C$177,A1571),"&lt;from TechID&gt;")</f>
        <v>Base case cost for mix of 60% Incandescent and 40% CFL lamps for CFL TechID: CFLscw-A(27w)</v>
      </c>
      <c r="F1571" s="103" t="s">
        <v>860</v>
      </c>
      <c r="G1571" s="103" t="s">
        <v>151</v>
      </c>
      <c r="H1571" s="103" t="s">
        <v>861</v>
      </c>
      <c r="I1571" s="103" t="s">
        <v>862</v>
      </c>
      <c r="J1571" s="103" t="s">
        <v>863</v>
      </c>
      <c r="K1571" s="103" t="s">
        <v>864</v>
      </c>
      <c r="L1571" s="103" t="s">
        <v>153</v>
      </c>
      <c r="M1571" s="103" t="s">
        <v>865</v>
      </c>
      <c r="N1571" s="103" t="s">
        <v>866</v>
      </c>
      <c r="O1571" s="103" t="str">
        <f t="shared" si="86"/>
        <v/>
      </c>
      <c r="P1571" s="103" t="s">
        <v>153</v>
      </c>
      <c r="Q1571" s="103" t="s">
        <v>153</v>
      </c>
      <c r="R1571" s="103" t="s">
        <v>153</v>
      </c>
      <c r="S1571" s="103" t="str">
        <f>INDEX('Measure &amp; Standard CostIDs'!$AK$8:$AK$12,B1571)</f>
        <v>Four+pack</v>
      </c>
      <c r="T1571" s="103" t="s">
        <v>867</v>
      </c>
      <c r="U1571" s="103"/>
      <c r="V1571" s="103"/>
      <c r="W1571" s="103">
        <f>ROUND(IF(LEFT(D1571,3)="Std",VLOOKUP(D1571,'Measure &amp; Standard CostIDs'!$S$5:$X$177,1+B1571,FALSE),VLOOKUP(D1571,'Measure &amp; Standard CostIDs'!$C$5:$H$177,1+B1571,FALSE)),2)</f>
        <v>2.5099999999999998</v>
      </c>
      <c r="X1571" s="103"/>
      <c r="Y1571" s="103"/>
      <c r="Z1571" s="103" t="s">
        <v>868</v>
      </c>
      <c r="AA1571" s="103" t="s">
        <v>874</v>
      </c>
      <c r="AB1571" s="103" t="s">
        <v>153</v>
      </c>
      <c r="AC1571" s="103">
        <v>0</v>
      </c>
      <c r="AD1571" s="156">
        <v>42005</v>
      </c>
      <c r="AE1571" s="103"/>
      <c r="AF1571" s="103" t="s">
        <v>870</v>
      </c>
      <c r="AG1571" s="103" t="s">
        <v>871</v>
      </c>
      <c r="AH1571" s="103" t="s">
        <v>976</v>
      </c>
      <c r="AI1571" s="103">
        <v>0</v>
      </c>
      <c r="AJ1571" s="103"/>
      <c r="AK1571" s="103"/>
      <c r="AL1571" s="103"/>
      <c r="AM1571" s="103"/>
      <c r="AN1571" s="103"/>
      <c r="AO1571" s="103" t="str">
        <f t="shared" si="87"/>
        <v>Std_CFLscw-A(27w)_60pInc-r0248Four+pack</v>
      </c>
    </row>
    <row r="1572" spans="1:41">
      <c r="A1572" s="177">
        <f>IFERROR(MATCH(D1572,'Measure &amp; Standard CostIDs'!C$5:C$177,0),MATCH(D1572,'Measure &amp; Standard CostIDs'!S$5:S$177,0))</f>
        <v>86</v>
      </c>
      <c r="B1572" s="177">
        <f t="shared" si="89"/>
        <v>5</v>
      </c>
      <c r="C1572" s="103" t="s">
        <v>153</v>
      </c>
      <c r="D1572" s="103" t="str">
        <f t="shared" si="88"/>
        <v>Std_CFLscw-A(28w)_60pInc-r0248</v>
      </c>
      <c r="E1572" s="103" t="str">
        <f>IF(LEFT(D1572,3)="Std","Base case cost for mix of 60% Incandescent and 40% CFL lamps for CFL TechID: "&amp;INDEX('Measure &amp; Standard CostIDs'!$C$5:$C$177,A1572),"&lt;from TechID&gt;")</f>
        <v>Base case cost for mix of 60% Incandescent and 40% CFL lamps for CFL TechID: CFLscw-A(28w)</v>
      </c>
      <c r="F1572" s="103" t="s">
        <v>860</v>
      </c>
      <c r="G1572" s="103" t="s">
        <v>151</v>
      </c>
      <c r="H1572" s="103" t="s">
        <v>861</v>
      </c>
      <c r="I1572" s="103" t="s">
        <v>862</v>
      </c>
      <c r="J1572" s="103" t="s">
        <v>863</v>
      </c>
      <c r="K1572" s="103" t="s">
        <v>864</v>
      </c>
      <c r="L1572" s="103" t="s">
        <v>153</v>
      </c>
      <c r="M1572" s="103" t="s">
        <v>865</v>
      </c>
      <c r="N1572" s="103" t="s">
        <v>866</v>
      </c>
      <c r="O1572" s="103" t="str">
        <f t="shared" si="86"/>
        <v/>
      </c>
      <c r="P1572" s="103" t="s">
        <v>153</v>
      </c>
      <c r="Q1572" s="103" t="s">
        <v>153</v>
      </c>
      <c r="R1572" s="103" t="s">
        <v>153</v>
      </c>
      <c r="S1572" s="103" t="str">
        <f>INDEX('Measure &amp; Standard CostIDs'!$AK$8:$AK$12,B1572)</f>
        <v>Four+pack</v>
      </c>
      <c r="T1572" s="103" t="s">
        <v>867</v>
      </c>
      <c r="U1572" s="103"/>
      <c r="V1572" s="103"/>
      <c r="W1572" s="103">
        <f>ROUND(IF(LEFT(D1572,3)="Std",VLOOKUP(D1572,'Measure &amp; Standard CostIDs'!$S$5:$X$177,1+B1572,FALSE),VLOOKUP(D1572,'Measure &amp; Standard CostIDs'!$C$5:$H$177,1+B1572,FALSE)),2)</f>
        <v>2.57</v>
      </c>
      <c r="X1572" s="103"/>
      <c r="Y1572" s="103"/>
      <c r="Z1572" s="103" t="s">
        <v>868</v>
      </c>
      <c r="AA1572" s="103" t="s">
        <v>874</v>
      </c>
      <c r="AB1572" s="103" t="s">
        <v>153</v>
      </c>
      <c r="AC1572" s="103">
        <v>0</v>
      </c>
      <c r="AD1572" s="156">
        <v>42005</v>
      </c>
      <c r="AE1572" s="103"/>
      <c r="AF1572" s="103" t="s">
        <v>870</v>
      </c>
      <c r="AG1572" s="103" t="s">
        <v>871</v>
      </c>
      <c r="AH1572" s="103" t="s">
        <v>976</v>
      </c>
      <c r="AI1572" s="103">
        <v>0</v>
      </c>
      <c r="AJ1572" s="103"/>
      <c r="AK1572" s="103"/>
      <c r="AL1572" s="103"/>
      <c r="AM1572" s="103"/>
      <c r="AN1572" s="103"/>
      <c r="AO1572" s="103" t="str">
        <f t="shared" si="87"/>
        <v>Std_CFLscw-A(28w)_60pInc-r0248Four+pack</v>
      </c>
    </row>
    <row r="1573" spans="1:41">
      <c r="A1573" s="177">
        <f>IFERROR(MATCH(D1573,'Measure &amp; Standard CostIDs'!C$5:C$177,0),MATCH(D1573,'Measure &amp; Standard CostIDs'!S$5:S$177,0))</f>
        <v>87</v>
      </c>
      <c r="B1573" s="177">
        <f t="shared" si="89"/>
        <v>5</v>
      </c>
      <c r="C1573" s="103" t="s">
        <v>153</v>
      </c>
      <c r="D1573" s="103" t="str">
        <f t="shared" si="88"/>
        <v>Std_CFLscw-A(30w)_60pInc-r0248</v>
      </c>
      <c r="E1573" s="103" t="str">
        <f>IF(LEFT(D1573,3)="Std","Base case cost for mix of 60% Incandescent and 40% CFL lamps for CFL TechID: "&amp;INDEX('Measure &amp; Standard CostIDs'!$C$5:$C$177,A1573),"&lt;from TechID&gt;")</f>
        <v>Base case cost for mix of 60% Incandescent and 40% CFL lamps for CFL TechID: CFLscw-A(30w)</v>
      </c>
      <c r="F1573" s="103" t="s">
        <v>860</v>
      </c>
      <c r="G1573" s="103" t="s">
        <v>151</v>
      </c>
      <c r="H1573" s="103" t="s">
        <v>861</v>
      </c>
      <c r="I1573" s="103" t="s">
        <v>862</v>
      </c>
      <c r="J1573" s="103" t="s">
        <v>863</v>
      </c>
      <c r="K1573" s="103" t="s">
        <v>864</v>
      </c>
      <c r="L1573" s="103" t="s">
        <v>153</v>
      </c>
      <c r="M1573" s="103" t="s">
        <v>865</v>
      </c>
      <c r="N1573" s="103" t="s">
        <v>866</v>
      </c>
      <c r="O1573" s="103" t="str">
        <f t="shared" si="86"/>
        <v/>
      </c>
      <c r="P1573" s="103" t="s">
        <v>153</v>
      </c>
      <c r="Q1573" s="103" t="s">
        <v>153</v>
      </c>
      <c r="R1573" s="103" t="s">
        <v>153</v>
      </c>
      <c r="S1573" s="103" t="str">
        <f>INDEX('Measure &amp; Standard CostIDs'!$AK$8:$AK$12,B1573)</f>
        <v>Four+pack</v>
      </c>
      <c r="T1573" s="103" t="s">
        <v>867</v>
      </c>
      <c r="U1573" s="103"/>
      <c r="V1573" s="103"/>
      <c r="W1573" s="103">
        <f>ROUND(IF(LEFT(D1573,3)="Std",VLOOKUP(D1573,'Measure &amp; Standard CostIDs'!$S$5:$X$177,1+B1573,FALSE),VLOOKUP(D1573,'Measure &amp; Standard CostIDs'!$C$5:$H$177,1+B1573,FALSE)),2)</f>
        <v>2.7</v>
      </c>
      <c r="X1573" s="103"/>
      <c r="Y1573" s="103"/>
      <c r="Z1573" s="103" t="s">
        <v>868</v>
      </c>
      <c r="AA1573" s="103" t="s">
        <v>874</v>
      </c>
      <c r="AB1573" s="103" t="s">
        <v>153</v>
      </c>
      <c r="AC1573" s="103">
        <v>0</v>
      </c>
      <c r="AD1573" s="156">
        <v>42005</v>
      </c>
      <c r="AE1573" s="103"/>
      <c r="AF1573" s="103" t="s">
        <v>870</v>
      </c>
      <c r="AG1573" s="103" t="s">
        <v>871</v>
      </c>
      <c r="AH1573" s="103" t="s">
        <v>976</v>
      </c>
      <c r="AI1573" s="103">
        <v>0</v>
      </c>
      <c r="AJ1573" s="103"/>
      <c r="AK1573" s="103"/>
      <c r="AL1573" s="103"/>
      <c r="AM1573" s="103"/>
      <c r="AN1573" s="103"/>
      <c r="AO1573" s="103" t="str">
        <f t="shared" si="87"/>
        <v>Std_CFLscw-A(30w)_60pInc-r0248Four+pack</v>
      </c>
    </row>
    <row r="1574" spans="1:41">
      <c r="A1574" s="177">
        <f>IFERROR(MATCH(D1574,'Measure &amp; Standard CostIDs'!C$5:C$177,0),MATCH(D1574,'Measure &amp; Standard CostIDs'!S$5:S$177,0))</f>
        <v>88</v>
      </c>
      <c r="B1574" s="177">
        <f t="shared" si="89"/>
        <v>5</v>
      </c>
      <c r="C1574" s="103" t="s">
        <v>153</v>
      </c>
      <c r="D1574" s="103" t="str">
        <f t="shared" si="88"/>
        <v>Std_CFLscw-A(32w)_60pInc-r0248</v>
      </c>
      <c r="E1574" s="103" t="str">
        <f>IF(LEFT(D1574,3)="Std","Base case cost for mix of 60% Incandescent and 40% CFL lamps for CFL TechID: "&amp;INDEX('Measure &amp; Standard CostIDs'!$C$5:$C$177,A1574),"&lt;from TechID&gt;")</f>
        <v>Base case cost for mix of 60% Incandescent and 40% CFL lamps for CFL TechID: CFLscw-A(32w)</v>
      </c>
      <c r="F1574" s="103" t="s">
        <v>860</v>
      </c>
      <c r="G1574" s="103" t="s">
        <v>151</v>
      </c>
      <c r="H1574" s="103" t="s">
        <v>861</v>
      </c>
      <c r="I1574" s="103" t="s">
        <v>862</v>
      </c>
      <c r="J1574" s="103" t="s">
        <v>863</v>
      </c>
      <c r="K1574" s="103" t="s">
        <v>864</v>
      </c>
      <c r="L1574" s="103" t="s">
        <v>153</v>
      </c>
      <c r="M1574" s="103" t="s">
        <v>865</v>
      </c>
      <c r="N1574" s="103" t="s">
        <v>866</v>
      </c>
      <c r="O1574" s="103" t="str">
        <f t="shared" si="86"/>
        <v/>
      </c>
      <c r="P1574" s="103" t="s">
        <v>153</v>
      </c>
      <c r="Q1574" s="103" t="s">
        <v>153</v>
      </c>
      <c r="R1574" s="103" t="s">
        <v>153</v>
      </c>
      <c r="S1574" s="103" t="str">
        <f>INDEX('Measure &amp; Standard CostIDs'!$AK$8:$AK$12,B1574)</f>
        <v>Four+pack</v>
      </c>
      <c r="T1574" s="103" t="s">
        <v>867</v>
      </c>
      <c r="U1574" s="103"/>
      <c r="V1574" s="103"/>
      <c r="W1574" s="103">
        <f>ROUND(IF(LEFT(D1574,3)="Std",VLOOKUP(D1574,'Measure &amp; Standard CostIDs'!$S$5:$X$177,1+B1574,FALSE),VLOOKUP(D1574,'Measure &amp; Standard CostIDs'!$C$5:$H$177,1+B1574,FALSE)),2)</f>
        <v>2.83</v>
      </c>
      <c r="X1574" s="103"/>
      <c r="Y1574" s="103"/>
      <c r="Z1574" s="103" t="s">
        <v>868</v>
      </c>
      <c r="AA1574" s="103" t="s">
        <v>874</v>
      </c>
      <c r="AB1574" s="103" t="s">
        <v>153</v>
      </c>
      <c r="AC1574" s="103">
        <v>0</v>
      </c>
      <c r="AD1574" s="156">
        <v>42005</v>
      </c>
      <c r="AE1574" s="103"/>
      <c r="AF1574" s="103" t="s">
        <v>870</v>
      </c>
      <c r="AG1574" s="103" t="s">
        <v>871</v>
      </c>
      <c r="AH1574" s="103" t="s">
        <v>976</v>
      </c>
      <c r="AI1574" s="103">
        <v>0</v>
      </c>
      <c r="AJ1574" s="103"/>
      <c r="AK1574" s="103"/>
      <c r="AL1574" s="103"/>
      <c r="AM1574" s="103"/>
      <c r="AN1574" s="103"/>
      <c r="AO1574" s="103" t="str">
        <f t="shared" si="87"/>
        <v>Std_CFLscw-A(32w)_60pInc-r0248Four+pack</v>
      </c>
    </row>
    <row r="1575" spans="1:41">
      <c r="A1575" s="177">
        <f>IFERROR(MATCH(D1575,'Measure &amp; Standard CostIDs'!C$5:C$177,0),MATCH(D1575,'Measure &amp; Standard CostIDs'!S$5:S$177,0))</f>
        <v>89</v>
      </c>
      <c r="B1575" s="177">
        <f t="shared" si="89"/>
        <v>5</v>
      </c>
      <c r="C1575" s="103" t="s">
        <v>153</v>
      </c>
      <c r="D1575" s="103" t="str">
        <f t="shared" si="88"/>
        <v>Std_CFLscw-A(40w)_60pInc-r0248</v>
      </c>
      <c r="E1575" s="103" t="str">
        <f>IF(LEFT(D1575,3)="Std","Base case cost for mix of 60% Incandescent and 40% CFL lamps for CFL TechID: "&amp;INDEX('Measure &amp; Standard CostIDs'!$C$5:$C$177,A1575),"&lt;from TechID&gt;")</f>
        <v>Base case cost for mix of 60% Incandescent and 40% CFL lamps for CFL TechID: CFLscw-A(40w)</v>
      </c>
      <c r="F1575" s="103" t="s">
        <v>860</v>
      </c>
      <c r="G1575" s="103" t="s">
        <v>151</v>
      </c>
      <c r="H1575" s="103" t="s">
        <v>861</v>
      </c>
      <c r="I1575" s="103" t="s">
        <v>862</v>
      </c>
      <c r="J1575" s="103" t="s">
        <v>863</v>
      </c>
      <c r="K1575" s="103" t="s">
        <v>864</v>
      </c>
      <c r="L1575" s="103" t="s">
        <v>153</v>
      </c>
      <c r="M1575" s="103" t="s">
        <v>865</v>
      </c>
      <c r="N1575" s="103" t="s">
        <v>866</v>
      </c>
      <c r="O1575" s="103" t="str">
        <f t="shared" si="86"/>
        <v/>
      </c>
      <c r="P1575" s="103" t="s">
        <v>153</v>
      </c>
      <c r="Q1575" s="103" t="s">
        <v>153</v>
      </c>
      <c r="R1575" s="103" t="s">
        <v>153</v>
      </c>
      <c r="S1575" s="103" t="str">
        <f>INDEX('Measure &amp; Standard CostIDs'!$AK$8:$AK$12,B1575)</f>
        <v>Four+pack</v>
      </c>
      <c r="T1575" s="103" t="s">
        <v>867</v>
      </c>
      <c r="U1575" s="103"/>
      <c r="V1575" s="103"/>
      <c r="W1575" s="103">
        <f>ROUND(IF(LEFT(D1575,3)="Std",VLOOKUP(D1575,'Measure &amp; Standard CostIDs'!$S$5:$X$177,1+B1575,FALSE),VLOOKUP(D1575,'Measure &amp; Standard CostIDs'!$C$5:$H$177,1+B1575,FALSE)),2)</f>
        <v>3.35</v>
      </c>
      <c r="X1575" s="103"/>
      <c r="Y1575" s="103"/>
      <c r="Z1575" s="103" t="s">
        <v>868</v>
      </c>
      <c r="AA1575" s="103" t="s">
        <v>874</v>
      </c>
      <c r="AB1575" s="103" t="s">
        <v>153</v>
      </c>
      <c r="AC1575" s="103">
        <v>0</v>
      </c>
      <c r="AD1575" s="156">
        <v>42005</v>
      </c>
      <c r="AE1575" s="103"/>
      <c r="AF1575" s="103" t="s">
        <v>870</v>
      </c>
      <c r="AG1575" s="103" t="s">
        <v>871</v>
      </c>
      <c r="AH1575" s="103" t="s">
        <v>976</v>
      </c>
      <c r="AI1575" s="103">
        <v>0</v>
      </c>
      <c r="AJ1575" s="103"/>
      <c r="AK1575" s="103"/>
      <c r="AL1575" s="103"/>
      <c r="AM1575" s="103"/>
      <c r="AN1575" s="103"/>
      <c r="AO1575" s="103" t="str">
        <f t="shared" si="87"/>
        <v>Std_CFLscw-A(40w)_60pInc-r0248Four+pack</v>
      </c>
    </row>
    <row r="1576" spans="1:41">
      <c r="A1576" s="177">
        <f>IFERROR(MATCH(D1576,'Measure &amp; Standard CostIDs'!C$5:C$177,0),MATCH(D1576,'Measure &amp; Standard CostIDs'!S$5:S$177,0))</f>
        <v>90</v>
      </c>
      <c r="B1576" s="177">
        <f t="shared" si="89"/>
        <v>5</v>
      </c>
      <c r="C1576" s="103" t="s">
        <v>153</v>
      </c>
      <c r="D1576" s="103" t="str">
        <f t="shared" si="88"/>
        <v>Std_CFLscw-A(42w)_60pInc-r0248</v>
      </c>
      <c r="E1576" s="103" t="str">
        <f>IF(LEFT(D1576,3)="Std","Base case cost for mix of 60% Incandescent and 40% CFL lamps for CFL TechID: "&amp;INDEX('Measure &amp; Standard CostIDs'!$C$5:$C$177,A1576),"&lt;from TechID&gt;")</f>
        <v>Base case cost for mix of 60% Incandescent and 40% CFL lamps for CFL TechID: CFLscw-A(42w)</v>
      </c>
      <c r="F1576" s="103" t="s">
        <v>860</v>
      </c>
      <c r="G1576" s="103" t="s">
        <v>151</v>
      </c>
      <c r="H1576" s="103" t="s">
        <v>861</v>
      </c>
      <c r="I1576" s="103" t="s">
        <v>862</v>
      </c>
      <c r="J1576" s="103" t="s">
        <v>863</v>
      </c>
      <c r="K1576" s="103" t="s">
        <v>864</v>
      </c>
      <c r="L1576" s="103" t="s">
        <v>153</v>
      </c>
      <c r="M1576" s="103" t="s">
        <v>865</v>
      </c>
      <c r="N1576" s="103" t="s">
        <v>866</v>
      </c>
      <c r="O1576" s="103" t="str">
        <f t="shared" si="86"/>
        <v/>
      </c>
      <c r="P1576" s="103" t="s">
        <v>153</v>
      </c>
      <c r="Q1576" s="103" t="s">
        <v>153</v>
      </c>
      <c r="R1576" s="103" t="s">
        <v>153</v>
      </c>
      <c r="S1576" s="103" t="str">
        <f>INDEX('Measure &amp; Standard CostIDs'!$AK$8:$AK$12,B1576)</f>
        <v>Four+pack</v>
      </c>
      <c r="T1576" s="103" t="s">
        <v>867</v>
      </c>
      <c r="U1576" s="103"/>
      <c r="V1576" s="103"/>
      <c r="W1576" s="103">
        <f>ROUND(IF(LEFT(D1576,3)="Std",VLOOKUP(D1576,'Measure &amp; Standard CostIDs'!$S$5:$X$177,1+B1576,FALSE),VLOOKUP(D1576,'Measure &amp; Standard CostIDs'!$C$5:$H$177,1+B1576,FALSE)),2)</f>
        <v>3.48</v>
      </c>
      <c r="X1576" s="103"/>
      <c r="Y1576" s="103"/>
      <c r="Z1576" s="103" t="s">
        <v>868</v>
      </c>
      <c r="AA1576" s="103" t="s">
        <v>874</v>
      </c>
      <c r="AB1576" s="103" t="s">
        <v>153</v>
      </c>
      <c r="AC1576" s="103">
        <v>0</v>
      </c>
      <c r="AD1576" s="156">
        <v>42005</v>
      </c>
      <c r="AE1576" s="103"/>
      <c r="AF1576" s="103" t="s">
        <v>870</v>
      </c>
      <c r="AG1576" s="103" t="s">
        <v>871</v>
      </c>
      <c r="AH1576" s="103" t="s">
        <v>976</v>
      </c>
      <c r="AI1576" s="103">
        <v>0</v>
      </c>
      <c r="AJ1576" s="103"/>
      <c r="AK1576" s="103"/>
      <c r="AL1576" s="103"/>
      <c r="AM1576" s="103"/>
      <c r="AN1576" s="103"/>
      <c r="AO1576" s="103" t="str">
        <f t="shared" si="87"/>
        <v>Std_CFLscw-A(42w)_60pInc-r0248Four+pack</v>
      </c>
    </row>
    <row r="1577" spans="1:41">
      <c r="A1577" s="177">
        <f>IFERROR(MATCH(D1577,'Measure &amp; Standard CostIDs'!C$5:C$177,0),MATCH(D1577,'Measure &amp; Standard CostIDs'!S$5:S$177,0))</f>
        <v>93</v>
      </c>
      <c r="B1577" s="177">
        <f t="shared" si="89"/>
        <v>5</v>
      </c>
      <c r="C1577" s="103" t="s">
        <v>153</v>
      </c>
      <c r="D1577" s="103" t="str">
        <f t="shared" si="88"/>
        <v>Std_CFLscw-A(7w)_60pInc-r0248</v>
      </c>
      <c r="E1577" s="103" t="str">
        <f>IF(LEFT(D1577,3)="Std","Base case cost for mix of 60% Incandescent and 40% CFL lamps for CFL TechID: "&amp;INDEX('Measure &amp; Standard CostIDs'!$C$5:$C$177,A1577),"&lt;from TechID&gt;")</f>
        <v>Base case cost for mix of 60% Incandescent and 40% CFL lamps for CFL TechID: CFLscw-A(7w)</v>
      </c>
      <c r="F1577" s="103" t="s">
        <v>860</v>
      </c>
      <c r="G1577" s="103" t="s">
        <v>151</v>
      </c>
      <c r="H1577" s="103" t="s">
        <v>861</v>
      </c>
      <c r="I1577" s="103" t="s">
        <v>862</v>
      </c>
      <c r="J1577" s="103" t="s">
        <v>863</v>
      </c>
      <c r="K1577" s="103" t="s">
        <v>864</v>
      </c>
      <c r="L1577" s="103" t="s">
        <v>153</v>
      </c>
      <c r="M1577" s="103" t="s">
        <v>865</v>
      </c>
      <c r="N1577" s="103" t="s">
        <v>866</v>
      </c>
      <c r="O1577" s="103" t="str">
        <f t="shared" si="86"/>
        <v/>
      </c>
      <c r="P1577" s="103" t="s">
        <v>153</v>
      </c>
      <c r="Q1577" s="103" t="s">
        <v>153</v>
      </c>
      <c r="R1577" s="103" t="s">
        <v>153</v>
      </c>
      <c r="S1577" s="103" t="str">
        <f>INDEX('Measure &amp; Standard CostIDs'!$AK$8:$AK$12,B1577)</f>
        <v>Four+pack</v>
      </c>
      <c r="T1577" s="103" t="s">
        <v>867</v>
      </c>
      <c r="U1577" s="103"/>
      <c r="V1577" s="103"/>
      <c r="W1577" s="103">
        <f>ROUND(IF(LEFT(D1577,3)="Std",VLOOKUP(D1577,'Measure &amp; Standard CostIDs'!$S$5:$X$177,1+B1577,FALSE),VLOOKUP(D1577,'Measure &amp; Standard CostIDs'!$C$5:$H$177,1+B1577,FALSE)),2)</f>
        <v>1.65</v>
      </c>
      <c r="X1577" s="103"/>
      <c r="Y1577" s="103"/>
      <c r="Z1577" s="103" t="s">
        <v>868</v>
      </c>
      <c r="AA1577" s="103" t="s">
        <v>874</v>
      </c>
      <c r="AB1577" s="103" t="s">
        <v>153</v>
      </c>
      <c r="AC1577" s="103">
        <v>0</v>
      </c>
      <c r="AD1577" s="156">
        <v>42005</v>
      </c>
      <c r="AE1577" s="103"/>
      <c r="AF1577" s="103" t="s">
        <v>870</v>
      </c>
      <c r="AG1577" s="103" t="s">
        <v>871</v>
      </c>
      <c r="AH1577" s="103" t="s">
        <v>976</v>
      </c>
      <c r="AI1577" s="103">
        <v>0</v>
      </c>
      <c r="AJ1577" s="103"/>
      <c r="AK1577" s="103"/>
      <c r="AL1577" s="103"/>
      <c r="AM1577" s="103"/>
      <c r="AN1577" s="103"/>
      <c r="AO1577" s="103" t="str">
        <f t="shared" si="87"/>
        <v>Std_CFLscw-A(7w)_60pInc-r0248Four+pack</v>
      </c>
    </row>
    <row r="1578" spans="1:41">
      <c r="A1578" s="177">
        <f>IFERROR(MATCH(D1578,'Measure &amp; Standard CostIDs'!C$5:C$177,0),MATCH(D1578,'Measure &amp; Standard CostIDs'!S$5:S$177,0))</f>
        <v>94</v>
      </c>
      <c r="B1578" s="177">
        <f t="shared" si="89"/>
        <v>5</v>
      </c>
      <c r="C1578" s="103" t="s">
        <v>153</v>
      </c>
      <c r="D1578" s="103" t="str">
        <f t="shared" si="88"/>
        <v>Std_CFLscw-A(8w)_60pInc-r0248</v>
      </c>
      <c r="E1578" s="103" t="str">
        <f>IF(LEFT(D1578,3)="Std","Base case cost for mix of 60% Incandescent and 40% CFL lamps for CFL TechID: "&amp;INDEX('Measure &amp; Standard CostIDs'!$C$5:$C$177,A1578),"&lt;from TechID&gt;")</f>
        <v>Base case cost for mix of 60% Incandescent and 40% CFL lamps for CFL TechID: CFLscw-A(8w)</v>
      </c>
      <c r="F1578" s="103" t="s">
        <v>860</v>
      </c>
      <c r="G1578" s="103" t="s">
        <v>151</v>
      </c>
      <c r="H1578" s="103" t="s">
        <v>861</v>
      </c>
      <c r="I1578" s="103" t="s">
        <v>862</v>
      </c>
      <c r="J1578" s="103" t="s">
        <v>863</v>
      </c>
      <c r="K1578" s="103" t="s">
        <v>864</v>
      </c>
      <c r="L1578" s="103" t="s">
        <v>153</v>
      </c>
      <c r="M1578" s="103" t="s">
        <v>865</v>
      </c>
      <c r="N1578" s="103" t="s">
        <v>866</v>
      </c>
      <c r="O1578" s="103" t="str">
        <f t="shared" si="86"/>
        <v/>
      </c>
      <c r="P1578" s="103" t="s">
        <v>153</v>
      </c>
      <c r="Q1578" s="103" t="s">
        <v>153</v>
      </c>
      <c r="R1578" s="103" t="s">
        <v>153</v>
      </c>
      <c r="S1578" s="103" t="str">
        <f>INDEX('Measure &amp; Standard CostIDs'!$AK$8:$AK$12,B1578)</f>
        <v>Four+pack</v>
      </c>
      <c r="T1578" s="103" t="s">
        <v>867</v>
      </c>
      <c r="U1578" s="103"/>
      <c r="V1578" s="103"/>
      <c r="W1578" s="103">
        <f>ROUND(IF(LEFT(D1578,3)="Std",VLOOKUP(D1578,'Measure &amp; Standard CostIDs'!$S$5:$X$177,1+B1578,FALSE),VLOOKUP(D1578,'Measure &amp; Standard CostIDs'!$C$5:$H$177,1+B1578,FALSE)),2)</f>
        <v>1.68</v>
      </c>
      <c r="X1578" s="103"/>
      <c r="Y1578" s="103"/>
      <c r="Z1578" s="103" t="s">
        <v>868</v>
      </c>
      <c r="AA1578" s="103" t="s">
        <v>874</v>
      </c>
      <c r="AB1578" s="103" t="s">
        <v>153</v>
      </c>
      <c r="AC1578" s="103">
        <v>0</v>
      </c>
      <c r="AD1578" s="156">
        <v>42005</v>
      </c>
      <c r="AE1578" s="103"/>
      <c r="AF1578" s="103" t="s">
        <v>870</v>
      </c>
      <c r="AG1578" s="103" t="s">
        <v>871</v>
      </c>
      <c r="AH1578" s="103" t="s">
        <v>976</v>
      </c>
      <c r="AI1578" s="103">
        <v>0</v>
      </c>
      <c r="AJ1578" s="103"/>
      <c r="AK1578" s="103"/>
      <c r="AL1578" s="103"/>
      <c r="AM1578" s="103"/>
      <c r="AN1578" s="103"/>
      <c r="AO1578" s="103" t="str">
        <f t="shared" si="87"/>
        <v>Std_CFLscw-A(8w)_60pInc-r0248Four+pack</v>
      </c>
    </row>
    <row r="1579" spans="1:41">
      <c r="A1579" s="177">
        <f>IFERROR(MATCH(D1579,'Measure &amp; Standard CostIDs'!C$5:C$177,0),MATCH(D1579,'Measure &amp; Standard CostIDs'!S$5:S$177,0))</f>
        <v>95</v>
      </c>
      <c r="B1579" s="177">
        <f t="shared" si="89"/>
        <v>5</v>
      </c>
      <c r="C1579" s="103" t="s">
        <v>153</v>
      </c>
      <c r="D1579" s="103" t="str">
        <f t="shared" si="88"/>
        <v>Std_CFLscw-A(9w)_60pInc-r0248</v>
      </c>
      <c r="E1579" s="103" t="str">
        <f>IF(LEFT(D1579,3)="Std","Base case cost for mix of 60% Incandescent and 40% CFL lamps for CFL TechID: "&amp;INDEX('Measure &amp; Standard CostIDs'!$C$5:$C$177,A1579),"&lt;from TechID&gt;")</f>
        <v>Base case cost for mix of 60% Incandescent and 40% CFL lamps for CFL TechID: CFLscw-A(9w)</v>
      </c>
      <c r="F1579" s="103" t="s">
        <v>860</v>
      </c>
      <c r="G1579" s="103" t="s">
        <v>151</v>
      </c>
      <c r="H1579" s="103" t="s">
        <v>861</v>
      </c>
      <c r="I1579" s="103" t="s">
        <v>862</v>
      </c>
      <c r="J1579" s="103" t="s">
        <v>863</v>
      </c>
      <c r="K1579" s="103" t="s">
        <v>864</v>
      </c>
      <c r="L1579" s="103" t="s">
        <v>153</v>
      </c>
      <c r="M1579" s="103" t="s">
        <v>865</v>
      </c>
      <c r="N1579" s="103" t="s">
        <v>866</v>
      </c>
      <c r="O1579" s="103" t="str">
        <f t="shared" si="86"/>
        <v/>
      </c>
      <c r="P1579" s="103" t="s">
        <v>153</v>
      </c>
      <c r="Q1579" s="103" t="s">
        <v>153</v>
      </c>
      <c r="R1579" s="103" t="s">
        <v>153</v>
      </c>
      <c r="S1579" s="103" t="str">
        <f>INDEX('Measure &amp; Standard CostIDs'!$AK$8:$AK$12,B1579)</f>
        <v>Four+pack</v>
      </c>
      <c r="T1579" s="103" t="s">
        <v>867</v>
      </c>
      <c r="U1579" s="103"/>
      <c r="V1579" s="103"/>
      <c r="W1579" s="103">
        <f>ROUND(IF(LEFT(D1579,3)="Std",VLOOKUP(D1579,'Measure &amp; Standard CostIDs'!$S$5:$X$177,1+B1579,FALSE),VLOOKUP(D1579,'Measure &amp; Standard CostIDs'!$C$5:$H$177,1+B1579,FALSE)),2)</f>
        <v>1.71</v>
      </c>
      <c r="X1579" s="103"/>
      <c r="Y1579" s="103"/>
      <c r="Z1579" s="103" t="s">
        <v>868</v>
      </c>
      <c r="AA1579" s="103" t="s">
        <v>874</v>
      </c>
      <c r="AB1579" s="103" t="s">
        <v>153</v>
      </c>
      <c r="AC1579" s="103">
        <v>0</v>
      </c>
      <c r="AD1579" s="156">
        <v>42005</v>
      </c>
      <c r="AE1579" s="103"/>
      <c r="AF1579" s="103" t="s">
        <v>870</v>
      </c>
      <c r="AG1579" s="103" t="s">
        <v>871</v>
      </c>
      <c r="AH1579" s="103" t="s">
        <v>976</v>
      </c>
      <c r="AI1579" s="103">
        <v>0</v>
      </c>
      <c r="AJ1579" s="103"/>
      <c r="AK1579" s="103"/>
      <c r="AL1579" s="103"/>
      <c r="AM1579" s="103"/>
      <c r="AN1579" s="103"/>
      <c r="AO1579" s="103" t="str">
        <f t="shared" si="87"/>
        <v>Std_CFLscw-A(9w)_60pInc-r0248Four+pack</v>
      </c>
    </row>
    <row r="1580" spans="1:41">
      <c r="A1580" s="177">
        <f>IFERROR(MATCH(D1580,'Measure &amp; Standard CostIDs'!C$5:C$177,0),MATCH(D1580,'Measure &amp; Standard CostIDs'!S$5:S$177,0))</f>
        <v>96</v>
      </c>
      <c r="B1580" s="177">
        <f t="shared" si="89"/>
        <v>5</v>
      </c>
      <c r="C1580" s="103" t="s">
        <v>153</v>
      </c>
      <c r="D1580" s="103" t="str">
        <f t="shared" si="88"/>
        <v>Std_CFLscw-Candle(10w)_60pInc-r0248</v>
      </c>
      <c r="E1580" s="103" t="str">
        <f>IF(LEFT(D1580,3)="Std","Base case cost for mix of 60% Incandescent and 40% CFL lamps for CFL TechID: "&amp;INDEX('Measure &amp; Standard CostIDs'!$C$5:$C$177,A1580),"&lt;from TechID&gt;")</f>
        <v>Base case cost for mix of 60% Incandescent and 40% CFL lamps for CFL TechID: CFLscw-Candle(10w)</v>
      </c>
      <c r="F1580" s="103" t="s">
        <v>860</v>
      </c>
      <c r="G1580" s="103" t="s">
        <v>151</v>
      </c>
      <c r="H1580" s="103" t="s">
        <v>861</v>
      </c>
      <c r="I1580" s="103" t="s">
        <v>862</v>
      </c>
      <c r="J1580" s="103" t="s">
        <v>863</v>
      </c>
      <c r="K1580" s="103" t="s">
        <v>864</v>
      </c>
      <c r="L1580" s="103" t="s">
        <v>153</v>
      </c>
      <c r="M1580" s="103" t="s">
        <v>865</v>
      </c>
      <c r="N1580" s="103" t="s">
        <v>866</v>
      </c>
      <c r="O1580" s="103" t="str">
        <f t="shared" si="86"/>
        <v/>
      </c>
      <c r="P1580" s="103" t="s">
        <v>153</v>
      </c>
      <c r="Q1580" s="103" t="s">
        <v>153</v>
      </c>
      <c r="R1580" s="103" t="s">
        <v>153</v>
      </c>
      <c r="S1580" s="103" t="str">
        <f>INDEX('Measure &amp; Standard CostIDs'!$AK$8:$AK$12,B1580)</f>
        <v>Four+pack</v>
      </c>
      <c r="T1580" s="103" t="s">
        <v>867</v>
      </c>
      <c r="U1580" s="103"/>
      <c r="V1580" s="103"/>
      <c r="W1580" s="103">
        <f>ROUND(IF(LEFT(D1580,3)="Std",VLOOKUP(D1580,'Measure &amp; Standard CostIDs'!$S$5:$X$177,1+B1580,FALSE),VLOOKUP(D1580,'Measure &amp; Standard CostIDs'!$C$5:$H$177,1+B1580,FALSE)),2)</f>
        <v>3.23</v>
      </c>
      <c r="X1580" s="103"/>
      <c r="Y1580" s="103"/>
      <c r="Z1580" s="103" t="s">
        <v>868</v>
      </c>
      <c r="AA1580" s="103" t="s">
        <v>874</v>
      </c>
      <c r="AB1580" s="103" t="s">
        <v>153</v>
      </c>
      <c r="AC1580" s="103">
        <v>0</v>
      </c>
      <c r="AD1580" s="156">
        <v>42005</v>
      </c>
      <c r="AE1580" s="103"/>
      <c r="AF1580" s="103" t="s">
        <v>870</v>
      </c>
      <c r="AG1580" s="103" t="s">
        <v>871</v>
      </c>
      <c r="AH1580" s="103" t="s">
        <v>976</v>
      </c>
      <c r="AI1580" s="103">
        <v>0</v>
      </c>
      <c r="AJ1580" s="103"/>
      <c r="AK1580" s="103"/>
      <c r="AL1580" s="103"/>
      <c r="AM1580" s="103"/>
      <c r="AN1580" s="103"/>
      <c r="AO1580" s="103" t="str">
        <f t="shared" si="87"/>
        <v>Std_CFLscw-Candle(10w)_60pInc-r0248Four+pack</v>
      </c>
    </row>
    <row r="1581" spans="1:41">
      <c r="A1581" s="177">
        <f>IFERROR(MATCH(D1581,'Measure &amp; Standard CostIDs'!C$5:C$177,0),MATCH(D1581,'Measure &amp; Standard CostIDs'!S$5:S$177,0))</f>
        <v>97</v>
      </c>
      <c r="B1581" s="177">
        <f t="shared" si="89"/>
        <v>5</v>
      </c>
      <c r="C1581" s="103" t="s">
        <v>153</v>
      </c>
      <c r="D1581" s="103" t="str">
        <f t="shared" si="88"/>
        <v>Std_CFLscw-Candle(11w)_60pInc-r0248</v>
      </c>
      <c r="E1581" s="103" t="str">
        <f>IF(LEFT(D1581,3)="Std","Base case cost for mix of 60% Incandescent and 40% CFL lamps for CFL TechID: "&amp;INDEX('Measure &amp; Standard CostIDs'!$C$5:$C$177,A1581),"&lt;from TechID&gt;")</f>
        <v>Base case cost for mix of 60% Incandescent and 40% CFL lamps for CFL TechID: CFLscw-Candle(11w)</v>
      </c>
      <c r="F1581" s="103" t="s">
        <v>860</v>
      </c>
      <c r="G1581" s="103" t="s">
        <v>151</v>
      </c>
      <c r="H1581" s="103" t="s">
        <v>861</v>
      </c>
      <c r="I1581" s="103" t="s">
        <v>862</v>
      </c>
      <c r="J1581" s="103" t="s">
        <v>863</v>
      </c>
      <c r="K1581" s="103" t="s">
        <v>864</v>
      </c>
      <c r="L1581" s="103" t="s">
        <v>153</v>
      </c>
      <c r="M1581" s="103" t="s">
        <v>865</v>
      </c>
      <c r="N1581" s="103" t="s">
        <v>866</v>
      </c>
      <c r="O1581" s="103" t="str">
        <f t="shared" ref="O1581:O1644" si="90">IF(LEFT(D1581,3)="Std","",D1581)</f>
        <v/>
      </c>
      <c r="P1581" s="103" t="s">
        <v>153</v>
      </c>
      <c r="Q1581" s="103" t="s">
        <v>153</v>
      </c>
      <c r="R1581" s="103" t="s">
        <v>153</v>
      </c>
      <c r="S1581" s="103" t="str">
        <f>INDEX('Measure &amp; Standard CostIDs'!$AK$8:$AK$12,B1581)</f>
        <v>Four+pack</v>
      </c>
      <c r="T1581" s="103" t="s">
        <v>867</v>
      </c>
      <c r="U1581" s="103"/>
      <c r="V1581" s="103"/>
      <c r="W1581" s="103">
        <f>ROUND(IF(LEFT(D1581,3)="Std",VLOOKUP(D1581,'Measure &amp; Standard CostIDs'!$S$5:$X$177,1+B1581,FALSE),VLOOKUP(D1581,'Measure &amp; Standard CostIDs'!$C$5:$H$177,1+B1581,FALSE)),2)</f>
        <v>3.31</v>
      </c>
      <c r="X1581" s="103"/>
      <c r="Y1581" s="103"/>
      <c r="Z1581" s="103" t="s">
        <v>868</v>
      </c>
      <c r="AA1581" s="103" t="s">
        <v>874</v>
      </c>
      <c r="AB1581" s="103" t="s">
        <v>153</v>
      </c>
      <c r="AC1581" s="103">
        <v>0</v>
      </c>
      <c r="AD1581" s="156">
        <v>42005</v>
      </c>
      <c r="AE1581" s="103"/>
      <c r="AF1581" s="103" t="s">
        <v>870</v>
      </c>
      <c r="AG1581" s="103" t="s">
        <v>871</v>
      </c>
      <c r="AH1581" s="103" t="s">
        <v>976</v>
      </c>
      <c r="AI1581" s="103">
        <v>0</v>
      </c>
      <c r="AJ1581" s="103"/>
      <c r="AK1581" s="103"/>
      <c r="AL1581" s="103"/>
      <c r="AM1581" s="103"/>
      <c r="AN1581" s="103"/>
      <c r="AO1581" s="103" t="str">
        <f t="shared" ref="AO1581:AO1644" si="91">D1581&amp;S1581</f>
        <v>Std_CFLscw-Candle(11w)_60pInc-r0248Four+pack</v>
      </c>
    </row>
    <row r="1582" spans="1:41">
      <c r="A1582" s="177">
        <f>IFERROR(MATCH(D1582,'Measure &amp; Standard CostIDs'!C$5:C$177,0),MATCH(D1582,'Measure &amp; Standard CostIDs'!S$5:S$177,0))</f>
        <v>98</v>
      </c>
      <c r="B1582" s="177">
        <f t="shared" si="89"/>
        <v>5</v>
      </c>
      <c r="C1582" s="103" t="s">
        <v>153</v>
      </c>
      <c r="D1582" s="103" t="str">
        <f t="shared" si="88"/>
        <v>Std_CFLscw-Candle(12w)_60pInc-r0248</v>
      </c>
      <c r="E1582" s="103" t="str">
        <f>IF(LEFT(D1582,3)="Std","Base case cost for mix of 60% Incandescent and 40% CFL lamps for CFL TechID: "&amp;INDEX('Measure &amp; Standard CostIDs'!$C$5:$C$177,A1582),"&lt;from TechID&gt;")</f>
        <v>Base case cost for mix of 60% Incandescent and 40% CFL lamps for CFL TechID: CFLscw-Candle(12w)</v>
      </c>
      <c r="F1582" s="103" t="s">
        <v>860</v>
      </c>
      <c r="G1582" s="103" t="s">
        <v>151</v>
      </c>
      <c r="H1582" s="103" t="s">
        <v>861</v>
      </c>
      <c r="I1582" s="103" t="s">
        <v>862</v>
      </c>
      <c r="J1582" s="103" t="s">
        <v>863</v>
      </c>
      <c r="K1582" s="103" t="s">
        <v>864</v>
      </c>
      <c r="L1582" s="103" t="s">
        <v>153</v>
      </c>
      <c r="M1582" s="103" t="s">
        <v>865</v>
      </c>
      <c r="N1582" s="103" t="s">
        <v>866</v>
      </c>
      <c r="O1582" s="103" t="str">
        <f t="shared" si="90"/>
        <v/>
      </c>
      <c r="P1582" s="103" t="s">
        <v>153</v>
      </c>
      <c r="Q1582" s="103" t="s">
        <v>153</v>
      </c>
      <c r="R1582" s="103" t="s">
        <v>153</v>
      </c>
      <c r="S1582" s="103" t="str">
        <f>INDEX('Measure &amp; Standard CostIDs'!$AK$8:$AK$12,B1582)</f>
        <v>Four+pack</v>
      </c>
      <c r="T1582" s="103" t="s">
        <v>867</v>
      </c>
      <c r="U1582" s="103"/>
      <c r="V1582" s="103"/>
      <c r="W1582" s="103">
        <f>ROUND(IF(LEFT(D1582,3)="Std",VLOOKUP(D1582,'Measure &amp; Standard CostIDs'!$S$5:$X$177,1+B1582,FALSE),VLOOKUP(D1582,'Measure &amp; Standard CostIDs'!$C$5:$H$177,1+B1582,FALSE)),2)</f>
        <v>3.39</v>
      </c>
      <c r="X1582" s="103"/>
      <c r="Y1582" s="103"/>
      <c r="Z1582" s="103" t="s">
        <v>868</v>
      </c>
      <c r="AA1582" s="103" t="s">
        <v>874</v>
      </c>
      <c r="AB1582" s="103" t="s">
        <v>153</v>
      </c>
      <c r="AC1582" s="103">
        <v>0</v>
      </c>
      <c r="AD1582" s="156">
        <v>42005</v>
      </c>
      <c r="AE1582" s="103"/>
      <c r="AF1582" s="103" t="s">
        <v>870</v>
      </c>
      <c r="AG1582" s="103" t="s">
        <v>871</v>
      </c>
      <c r="AH1582" s="103" t="s">
        <v>976</v>
      </c>
      <c r="AI1582" s="103">
        <v>0</v>
      </c>
      <c r="AJ1582" s="103"/>
      <c r="AK1582" s="103"/>
      <c r="AL1582" s="103"/>
      <c r="AM1582" s="103"/>
      <c r="AN1582" s="103"/>
      <c r="AO1582" s="103" t="str">
        <f t="shared" si="91"/>
        <v>Std_CFLscw-Candle(12w)_60pInc-r0248Four+pack</v>
      </c>
    </row>
    <row r="1583" spans="1:41">
      <c r="A1583" s="177">
        <f>IFERROR(MATCH(D1583,'Measure &amp; Standard CostIDs'!C$5:C$177,0),MATCH(D1583,'Measure &amp; Standard CostIDs'!S$5:S$177,0))</f>
        <v>99</v>
      </c>
      <c r="B1583" s="177">
        <f t="shared" si="89"/>
        <v>5</v>
      </c>
      <c r="C1583" s="103" t="s">
        <v>153</v>
      </c>
      <c r="D1583" s="103" t="str">
        <f t="shared" si="88"/>
        <v>Std_CFLscw-Candle(13w)_60pInc-r0248</v>
      </c>
      <c r="E1583" s="103" t="str">
        <f>IF(LEFT(D1583,3)="Std","Base case cost for mix of 60% Incandescent and 40% CFL lamps for CFL TechID: "&amp;INDEX('Measure &amp; Standard CostIDs'!$C$5:$C$177,A1583),"&lt;from TechID&gt;")</f>
        <v>Base case cost for mix of 60% Incandescent and 40% CFL lamps for CFL TechID: CFLscw-Candle(13w)</v>
      </c>
      <c r="F1583" s="103" t="s">
        <v>860</v>
      </c>
      <c r="G1583" s="103" t="s">
        <v>151</v>
      </c>
      <c r="H1583" s="103" t="s">
        <v>861</v>
      </c>
      <c r="I1583" s="103" t="s">
        <v>862</v>
      </c>
      <c r="J1583" s="103" t="s">
        <v>863</v>
      </c>
      <c r="K1583" s="103" t="s">
        <v>864</v>
      </c>
      <c r="L1583" s="103" t="s">
        <v>153</v>
      </c>
      <c r="M1583" s="103" t="s">
        <v>865</v>
      </c>
      <c r="N1583" s="103" t="s">
        <v>866</v>
      </c>
      <c r="O1583" s="103" t="str">
        <f t="shared" si="90"/>
        <v/>
      </c>
      <c r="P1583" s="103" t="s">
        <v>153</v>
      </c>
      <c r="Q1583" s="103" t="s">
        <v>153</v>
      </c>
      <c r="R1583" s="103" t="s">
        <v>153</v>
      </c>
      <c r="S1583" s="103" t="str">
        <f>INDEX('Measure &amp; Standard CostIDs'!$AK$8:$AK$12,B1583)</f>
        <v>Four+pack</v>
      </c>
      <c r="T1583" s="103" t="s">
        <v>867</v>
      </c>
      <c r="U1583" s="103"/>
      <c r="V1583" s="103"/>
      <c r="W1583" s="103">
        <f>ROUND(IF(LEFT(D1583,3)="Std",VLOOKUP(D1583,'Measure &amp; Standard CostIDs'!$S$5:$X$177,1+B1583,FALSE),VLOOKUP(D1583,'Measure &amp; Standard CostIDs'!$C$5:$H$177,1+B1583,FALSE)),2)</f>
        <v>3.47</v>
      </c>
      <c r="X1583" s="103"/>
      <c r="Y1583" s="103"/>
      <c r="Z1583" s="103" t="s">
        <v>868</v>
      </c>
      <c r="AA1583" s="103" t="s">
        <v>874</v>
      </c>
      <c r="AB1583" s="103" t="s">
        <v>153</v>
      </c>
      <c r="AC1583" s="103">
        <v>0</v>
      </c>
      <c r="AD1583" s="156">
        <v>42005</v>
      </c>
      <c r="AE1583" s="103"/>
      <c r="AF1583" s="103" t="s">
        <v>870</v>
      </c>
      <c r="AG1583" s="103" t="s">
        <v>871</v>
      </c>
      <c r="AH1583" s="103" t="s">
        <v>976</v>
      </c>
      <c r="AI1583" s="103">
        <v>0</v>
      </c>
      <c r="AJ1583" s="103"/>
      <c r="AK1583" s="103"/>
      <c r="AL1583" s="103"/>
      <c r="AM1583" s="103"/>
      <c r="AN1583" s="103"/>
      <c r="AO1583" s="103" t="str">
        <f t="shared" si="91"/>
        <v>Std_CFLscw-Candle(13w)_60pInc-r0248Four+pack</v>
      </c>
    </row>
    <row r="1584" spans="1:41">
      <c r="A1584" s="177">
        <f>IFERROR(MATCH(D1584,'Measure &amp; Standard CostIDs'!C$5:C$177,0),MATCH(D1584,'Measure &amp; Standard CostIDs'!S$5:S$177,0))</f>
        <v>100</v>
      </c>
      <c r="B1584" s="177">
        <f t="shared" si="89"/>
        <v>5</v>
      </c>
      <c r="C1584" s="103" t="s">
        <v>153</v>
      </c>
      <c r="D1584" s="103" t="str">
        <f t="shared" si="88"/>
        <v>Std_CFLscw-Candle(14w)_60pInc-r0248</v>
      </c>
      <c r="E1584" s="103" t="str">
        <f>IF(LEFT(D1584,3)="Std","Base case cost for mix of 60% Incandescent and 40% CFL lamps for CFL TechID: "&amp;INDEX('Measure &amp; Standard CostIDs'!$C$5:$C$177,A1584),"&lt;from TechID&gt;")</f>
        <v>Base case cost for mix of 60% Incandescent and 40% CFL lamps for CFL TechID: CFLscw-Candle(14w)</v>
      </c>
      <c r="F1584" s="103" t="s">
        <v>860</v>
      </c>
      <c r="G1584" s="103" t="s">
        <v>151</v>
      </c>
      <c r="H1584" s="103" t="s">
        <v>861</v>
      </c>
      <c r="I1584" s="103" t="s">
        <v>862</v>
      </c>
      <c r="J1584" s="103" t="s">
        <v>863</v>
      </c>
      <c r="K1584" s="103" t="s">
        <v>864</v>
      </c>
      <c r="L1584" s="103" t="s">
        <v>153</v>
      </c>
      <c r="M1584" s="103" t="s">
        <v>865</v>
      </c>
      <c r="N1584" s="103" t="s">
        <v>866</v>
      </c>
      <c r="O1584" s="103" t="str">
        <f t="shared" si="90"/>
        <v/>
      </c>
      <c r="P1584" s="103" t="s">
        <v>153</v>
      </c>
      <c r="Q1584" s="103" t="s">
        <v>153</v>
      </c>
      <c r="R1584" s="103" t="s">
        <v>153</v>
      </c>
      <c r="S1584" s="103" t="str">
        <f>INDEX('Measure &amp; Standard CostIDs'!$AK$8:$AK$12,B1584)</f>
        <v>Four+pack</v>
      </c>
      <c r="T1584" s="103" t="s">
        <v>867</v>
      </c>
      <c r="U1584" s="103"/>
      <c r="V1584" s="103"/>
      <c r="W1584" s="103">
        <f>ROUND(IF(LEFT(D1584,3)="Std",VLOOKUP(D1584,'Measure &amp; Standard CostIDs'!$S$5:$X$177,1+B1584,FALSE),VLOOKUP(D1584,'Measure &amp; Standard CostIDs'!$C$5:$H$177,1+B1584,FALSE)),2)</f>
        <v>3.55</v>
      </c>
      <c r="X1584" s="103"/>
      <c r="Y1584" s="103"/>
      <c r="Z1584" s="103" t="s">
        <v>868</v>
      </c>
      <c r="AA1584" s="103" t="s">
        <v>874</v>
      </c>
      <c r="AB1584" s="103" t="s">
        <v>153</v>
      </c>
      <c r="AC1584" s="103">
        <v>0</v>
      </c>
      <c r="AD1584" s="156">
        <v>42005</v>
      </c>
      <c r="AE1584" s="103"/>
      <c r="AF1584" s="103" t="s">
        <v>870</v>
      </c>
      <c r="AG1584" s="103" t="s">
        <v>871</v>
      </c>
      <c r="AH1584" s="103" t="s">
        <v>976</v>
      </c>
      <c r="AI1584" s="103">
        <v>0</v>
      </c>
      <c r="AJ1584" s="103"/>
      <c r="AK1584" s="103"/>
      <c r="AL1584" s="103"/>
      <c r="AM1584" s="103"/>
      <c r="AN1584" s="103"/>
      <c r="AO1584" s="103" t="str">
        <f t="shared" si="91"/>
        <v>Std_CFLscw-Candle(14w)_60pInc-r0248Four+pack</v>
      </c>
    </row>
    <row r="1585" spans="1:41">
      <c r="A1585" s="177">
        <f>IFERROR(MATCH(D1585,'Measure &amp; Standard CostIDs'!C$5:C$177,0),MATCH(D1585,'Measure &amp; Standard CostIDs'!S$5:S$177,0))</f>
        <v>101</v>
      </c>
      <c r="B1585" s="177">
        <f t="shared" si="89"/>
        <v>5</v>
      </c>
      <c r="C1585" s="103" t="s">
        <v>153</v>
      </c>
      <c r="D1585" s="103" t="str">
        <f t="shared" si="88"/>
        <v>Std_CFLscw-Candle(15w)_60pInc-r0248</v>
      </c>
      <c r="E1585" s="103" t="str">
        <f>IF(LEFT(D1585,3)="Std","Base case cost for mix of 60% Incandescent and 40% CFL lamps for CFL TechID: "&amp;INDEX('Measure &amp; Standard CostIDs'!$C$5:$C$177,A1585),"&lt;from TechID&gt;")</f>
        <v>Base case cost for mix of 60% Incandescent and 40% CFL lamps for CFL TechID: CFLscw-Candle(15w)</v>
      </c>
      <c r="F1585" s="103" t="s">
        <v>860</v>
      </c>
      <c r="G1585" s="103" t="s">
        <v>151</v>
      </c>
      <c r="H1585" s="103" t="s">
        <v>861</v>
      </c>
      <c r="I1585" s="103" t="s">
        <v>862</v>
      </c>
      <c r="J1585" s="103" t="s">
        <v>863</v>
      </c>
      <c r="K1585" s="103" t="s">
        <v>864</v>
      </c>
      <c r="L1585" s="103" t="s">
        <v>153</v>
      </c>
      <c r="M1585" s="103" t="s">
        <v>865</v>
      </c>
      <c r="N1585" s="103" t="s">
        <v>866</v>
      </c>
      <c r="O1585" s="103" t="str">
        <f t="shared" si="90"/>
        <v/>
      </c>
      <c r="P1585" s="103" t="s">
        <v>153</v>
      </c>
      <c r="Q1585" s="103" t="s">
        <v>153</v>
      </c>
      <c r="R1585" s="103" t="s">
        <v>153</v>
      </c>
      <c r="S1585" s="103" t="str">
        <f>INDEX('Measure &amp; Standard CostIDs'!$AK$8:$AK$12,B1585)</f>
        <v>Four+pack</v>
      </c>
      <c r="T1585" s="103" t="s">
        <v>867</v>
      </c>
      <c r="U1585" s="103"/>
      <c r="V1585" s="103"/>
      <c r="W1585" s="103">
        <f>ROUND(IF(LEFT(D1585,3)="Std",VLOOKUP(D1585,'Measure &amp; Standard CostIDs'!$S$5:$X$177,1+B1585,FALSE),VLOOKUP(D1585,'Measure &amp; Standard CostIDs'!$C$5:$H$177,1+B1585,FALSE)),2)</f>
        <v>3.63</v>
      </c>
      <c r="X1585" s="103"/>
      <c r="Y1585" s="103"/>
      <c r="Z1585" s="103" t="s">
        <v>868</v>
      </c>
      <c r="AA1585" s="103" t="s">
        <v>874</v>
      </c>
      <c r="AB1585" s="103" t="s">
        <v>153</v>
      </c>
      <c r="AC1585" s="103">
        <v>0</v>
      </c>
      <c r="AD1585" s="156">
        <v>42005</v>
      </c>
      <c r="AE1585" s="103"/>
      <c r="AF1585" s="103" t="s">
        <v>870</v>
      </c>
      <c r="AG1585" s="103" t="s">
        <v>871</v>
      </c>
      <c r="AH1585" s="103" t="s">
        <v>976</v>
      </c>
      <c r="AI1585" s="103">
        <v>0</v>
      </c>
      <c r="AJ1585" s="103"/>
      <c r="AK1585" s="103"/>
      <c r="AL1585" s="103"/>
      <c r="AM1585" s="103"/>
      <c r="AN1585" s="103"/>
      <c r="AO1585" s="103" t="str">
        <f t="shared" si="91"/>
        <v>Std_CFLscw-Candle(15w)_60pInc-r0248Four+pack</v>
      </c>
    </row>
    <row r="1586" spans="1:41">
      <c r="A1586" s="177">
        <f>IFERROR(MATCH(D1586,'Measure &amp; Standard CostIDs'!C$5:C$177,0),MATCH(D1586,'Measure &amp; Standard CostIDs'!S$5:S$177,0))</f>
        <v>102</v>
      </c>
      <c r="B1586" s="177">
        <f t="shared" si="89"/>
        <v>5</v>
      </c>
      <c r="C1586" s="103" t="s">
        <v>153</v>
      </c>
      <c r="D1586" s="103" t="str">
        <f t="shared" si="88"/>
        <v>Std_CFLscw-Candle(7w)_60pInc-r0248</v>
      </c>
      <c r="E1586" s="103" t="str">
        <f>IF(LEFT(D1586,3)="Std","Base case cost for mix of 60% Incandescent and 40% CFL lamps for CFL TechID: "&amp;INDEX('Measure &amp; Standard CostIDs'!$C$5:$C$177,A1586),"&lt;from TechID&gt;")</f>
        <v>Base case cost for mix of 60% Incandescent and 40% CFL lamps for CFL TechID: CFLscw-Candle(7w)</v>
      </c>
      <c r="F1586" s="103" t="s">
        <v>860</v>
      </c>
      <c r="G1586" s="103" t="s">
        <v>151</v>
      </c>
      <c r="H1586" s="103" t="s">
        <v>861</v>
      </c>
      <c r="I1586" s="103" t="s">
        <v>862</v>
      </c>
      <c r="J1586" s="103" t="s">
        <v>863</v>
      </c>
      <c r="K1586" s="103" t="s">
        <v>864</v>
      </c>
      <c r="L1586" s="103" t="s">
        <v>153</v>
      </c>
      <c r="M1586" s="103" t="s">
        <v>865</v>
      </c>
      <c r="N1586" s="103" t="s">
        <v>866</v>
      </c>
      <c r="O1586" s="103" t="str">
        <f t="shared" si="90"/>
        <v/>
      </c>
      <c r="P1586" s="103" t="s">
        <v>153</v>
      </c>
      <c r="Q1586" s="103" t="s">
        <v>153</v>
      </c>
      <c r="R1586" s="103" t="s">
        <v>153</v>
      </c>
      <c r="S1586" s="103" t="str">
        <f>INDEX('Measure &amp; Standard CostIDs'!$AK$8:$AK$12,B1586)</f>
        <v>Four+pack</v>
      </c>
      <c r="T1586" s="103" t="s">
        <v>867</v>
      </c>
      <c r="U1586" s="103"/>
      <c r="V1586" s="103"/>
      <c r="W1586" s="103">
        <f>ROUND(IF(LEFT(D1586,3)="Std",VLOOKUP(D1586,'Measure &amp; Standard CostIDs'!$S$5:$X$177,1+B1586,FALSE),VLOOKUP(D1586,'Measure &amp; Standard CostIDs'!$C$5:$H$177,1+B1586,FALSE)),2)</f>
        <v>2.98</v>
      </c>
      <c r="X1586" s="103"/>
      <c r="Y1586" s="103"/>
      <c r="Z1586" s="103" t="s">
        <v>868</v>
      </c>
      <c r="AA1586" s="103" t="s">
        <v>874</v>
      </c>
      <c r="AB1586" s="103" t="s">
        <v>153</v>
      </c>
      <c r="AC1586" s="103">
        <v>0</v>
      </c>
      <c r="AD1586" s="156">
        <v>42005</v>
      </c>
      <c r="AE1586" s="103"/>
      <c r="AF1586" s="103" t="s">
        <v>870</v>
      </c>
      <c r="AG1586" s="103" t="s">
        <v>871</v>
      </c>
      <c r="AH1586" s="103" t="s">
        <v>976</v>
      </c>
      <c r="AI1586" s="103">
        <v>0</v>
      </c>
      <c r="AJ1586" s="103"/>
      <c r="AK1586" s="103"/>
      <c r="AL1586" s="103"/>
      <c r="AM1586" s="103"/>
      <c r="AN1586" s="103"/>
      <c r="AO1586" s="103" t="str">
        <f t="shared" si="91"/>
        <v>Std_CFLscw-Candle(7w)_60pInc-r0248Four+pack</v>
      </c>
    </row>
    <row r="1587" spans="1:41">
      <c r="A1587" s="177">
        <f>IFERROR(MATCH(D1587,'Measure &amp; Standard CostIDs'!C$5:C$177,0),MATCH(D1587,'Measure &amp; Standard CostIDs'!S$5:S$177,0))</f>
        <v>103</v>
      </c>
      <c r="B1587" s="177">
        <f t="shared" si="89"/>
        <v>5</v>
      </c>
      <c r="C1587" s="103" t="s">
        <v>153</v>
      </c>
      <c r="D1587" s="103" t="str">
        <f t="shared" si="88"/>
        <v>Std_CFLscw-Candle(8w)_60pInc-r0248</v>
      </c>
      <c r="E1587" s="103" t="str">
        <f>IF(LEFT(D1587,3)="Std","Base case cost for mix of 60% Incandescent and 40% CFL lamps for CFL TechID: "&amp;INDEX('Measure &amp; Standard CostIDs'!$C$5:$C$177,A1587),"&lt;from TechID&gt;")</f>
        <v>Base case cost for mix of 60% Incandescent and 40% CFL lamps for CFL TechID: CFLscw-Candle(8w)</v>
      </c>
      <c r="F1587" s="103" t="s">
        <v>860</v>
      </c>
      <c r="G1587" s="103" t="s">
        <v>151</v>
      </c>
      <c r="H1587" s="103" t="s">
        <v>861</v>
      </c>
      <c r="I1587" s="103" t="s">
        <v>862</v>
      </c>
      <c r="J1587" s="103" t="s">
        <v>863</v>
      </c>
      <c r="K1587" s="103" t="s">
        <v>864</v>
      </c>
      <c r="L1587" s="103" t="s">
        <v>153</v>
      </c>
      <c r="M1587" s="103" t="s">
        <v>865</v>
      </c>
      <c r="N1587" s="103" t="s">
        <v>866</v>
      </c>
      <c r="O1587" s="103" t="str">
        <f t="shared" si="90"/>
        <v/>
      </c>
      <c r="P1587" s="103" t="s">
        <v>153</v>
      </c>
      <c r="Q1587" s="103" t="s">
        <v>153</v>
      </c>
      <c r="R1587" s="103" t="s">
        <v>153</v>
      </c>
      <c r="S1587" s="103" t="str">
        <f>INDEX('Measure &amp; Standard CostIDs'!$AK$8:$AK$12,B1587)</f>
        <v>Four+pack</v>
      </c>
      <c r="T1587" s="103" t="s">
        <v>867</v>
      </c>
      <c r="U1587" s="103"/>
      <c r="V1587" s="103"/>
      <c r="W1587" s="103">
        <f>ROUND(IF(LEFT(D1587,3)="Std",VLOOKUP(D1587,'Measure &amp; Standard CostIDs'!$S$5:$X$177,1+B1587,FALSE),VLOOKUP(D1587,'Measure &amp; Standard CostIDs'!$C$5:$H$177,1+B1587,FALSE)),2)</f>
        <v>3.06</v>
      </c>
      <c r="X1587" s="103"/>
      <c r="Y1587" s="103"/>
      <c r="Z1587" s="103" t="s">
        <v>868</v>
      </c>
      <c r="AA1587" s="103" t="s">
        <v>874</v>
      </c>
      <c r="AB1587" s="103" t="s">
        <v>153</v>
      </c>
      <c r="AC1587" s="103">
        <v>0</v>
      </c>
      <c r="AD1587" s="156">
        <v>42005</v>
      </c>
      <c r="AE1587" s="103"/>
      <c r="AF1587" s="103" t="s">
        <v>870</v>
      </c>
      <c r="AG1587" s="103" t="s">
        <v>871</v>
      </c>
      <c r="AH1587" s="103" t="s">
        <v>976</v>
      </c>
      <c r="AI1587" s="103">
        <v>0</v>
      </c>
      <c r="AJ1587" s="103"/>
      <c r="AK1587" s="103"/>
      <c r="AL1587" s="103"/>
      <c r="AM1587" s="103"/>
      <c r="AN1587" s="103"/>
      <c r="AO1587" s="103" t="str">
        <f t="shared" si="91"/>
        <v>Std_CFLscw-Candle(8w)_60pInc-r0248Four+pack</v>
      </c>
    </row>
    <row r="1588" spans="1:41">
      <c r="A1588" s="177">
        <f>IFERROR(MATCH(D1588,'Measure &amp; Standard CostIDs'!C$5:C$177,0),MATCH(D1588,'Measure &amp; Standard CostIDs'!S$5:S$177,0))</f>
        <v>104</v>
      </c>
      <c r="B1588" s="177">
        <f t="shared" si="89"/>
        <v>5</v>
      </c>
      <c r="C1588" s="103" t="s">
        <v>153</v>
      </c>
      <c r="D1588" s="103" t="str">
        <f t="shared" si="88"/>
        <v>Std_CFLscw-Candle(9w)_60pInc-r0248</v>
      </c>
      <c r="E1588" s="103" t="str">
        <f>IF(LEFT(D1588,3)="Std","Base case cost for mix of 60% Incandescent and 40% CFL lamps for CFL TechID: "&amp;INDEX('Measure &amp; Standard CostIDs'!$C$5:$C$177,A1588),"&lt;from TechID&gt;")</f>
        <v>Base case cost for mix of 60% Incandescent and 40% CFL lamps for CFL TechID: CFLscw-Candle(9w)</v>
      </c>
      <c r="F1588" s="103" t="s">
        <v>860</v>
      </c>
      <c r="G1588" s="103" t="s">
        <v>151</v>
      </c>
      <c r="H1588" s="103" t="s">
        <v>861</v>
      </c>
      <c r="I1588" s="103" t="s">
        <v>862</v>
      </c>
      <c r="J1588" s="103" t="s">
        <v>863</v>
      </c>
      <c r="K1588" s="103" t="s">
        <v>864</v>
      </c>
      <c r="L1588" s="103" t="s">
        <v>153</v>
      </c>
      <c r="M1588" s="103" t="s">
        <v>865</v>
      </c>
      <c r="N1588" s="103" t="s">
        <v>866</v>
      </c>
      <c r="O1588" s="103" t="str">
        <f t="shared" si="90"/>
        <v/>
      </c>
      <c r="P1588" s="103" t="s">
        <v>153</v>
      </c>
      <c r="Q1588" s="103" t="s">
        <v>153</v>
      </c>
      <c r="R1588" s="103" t="s">
        <v>153</v>
      </c>
      <c r="S1588" s="103" t="str">
        <f>INDEX('Measure &amp; Standard CostIDs'!$AK$8:$AK$12,B1588)</f>
        <v>Four+pack</v>
      </c>
      <c r="T1588" s="103" t="s">
        <v>867</v>
      </c>
      <c r="U1588" s="103"/>
      <c r="V1588" s="103"/>
      <c r="W1588" s="103">
        <f>ROUND(IF(LEFT(D1588,3)="Std",VLOOKUP(D1588,'Measure &amp; Standard CostIDs'!$S$5:$X$177,1+B1588,FALSE),VLOOKUP(D1588,'Measure &amp; Standard CostIDs'!$C$5:$H$177,1+B1588,FALSE)),2)</f>
        <v>3.14</v>
      </c>
      <c r="X1588" s="103"/>
      <c r="Y1588" s="103"/>
      <c r="Z1588" s="103" t="s">
        <v>868</v>
      </c>
      <c r="AA1588" s="103" t="s">
        <v>874</v>
      </c>
      <c r="AB1588" s="103" t="s">
        <v>153</v>
      </c>
      <c r="AC1588" s="103">
        <v>0</v>
      </c>
      <c r="AD1588" s="156">
        <v>42005</v>
      </c>
      <c r="AE1588" s="103"/>
      <c r="AF1588" s="103" t="s">
        <v>870</v>
      </c>
      <c r="AG1588" s="103" t="s">
        <v>871</v>
      </c>
      <c r="AH1588" s="103" t="s">
        <v>976</v>
      </c>
      <c r="AI1588" s="103">
        <v>0</v>
      </c>
      <c r="AJ1588" s="103"/>
      <c r="AK1588" s="103"/>
      <c r="AL1588" s="103"/>
      <c r="AM1588" s="103"/>
      <c r="AN1588" s="103"/>
      <c r="AO1588" s="103" t="str">
        <f t="shared" si="91"/>
        <v>Std_CFLscw-Candle(9w)_60pInc-r0248Four+pack</v>
      </c>
    </row>
    <row r="1589" spans="1:41">
      <c r="A1589" s="177">
        <f>IFERROR(MATCH(D1589,'Measure &amp; Standard CostIDs'!C$5:C$177,0),MATCH(D1589,'Measure &amp; Standard CostIDs'!S$5:S$177,0))</f>
        <v>105</v>
      </c>
      <c r="B1589" s="177">
        <f t="shared" si="89"/>
        <v>5</v>
      </c>
      <c r="C1589" s="103" t="s">
        <v>153</v>
      </c>
      <c r="D1589" s="103" t="str">
        <f t="shared" si="88"/>
        <v>Std_CFLscw-Dim(10w)_60pInc-r0248</v>
      </c>
      <c r="E1589" s="103" t="str">
        <f>IF(LEFT(D1589,3)="Std","Base case cost for mix of 60% Incandescent and 40% CFL lamps for CFL TechID: "&amp;INDEX('Measure &amp; Standard CostIDs'!$C$5:$C$177,A1589),"&lt;from TechID&gt;")</f>
        <v>Base case cost for mix of 60% Incandescent and 40% CFL lamps for CFL TechID: CFLscw-Dim(10w)</v>
      </c>
      <c r="F1589" s="103" t="s">
        <v>860</v>
      </c>
      <c r="G1589" s="103" t="s">
        <v>151</v>
      </c>
      <c r="H1589" s="103" t="s">
        <v>861</v>
      </c>
      <c r="I1589" s="103" t="s">
        <v>862</v>
      </c>
      <c r="J1589" s="103" t="s">
        <v>863</v>
      </c>
      <c r="K1589" s="103" t="s">
        <v>864</v>
      </c>
      <c r="L1589" s="103" t="s">
        <v>153</v>
      </c>
      <c r="M1589" s="103" t="s">
        <v>865</v>
      </c>
      <c r="N1589" s="103" t="s">
        <v>866</v>
      </c>
      <c r="O1589" s="103" t="str">
        <f t="shared" si="90"/>
        <v/>
      </c>
      <c r="P1589" s="103" t="s">
        <v>153</v>
      </c>
      <c r="Q1589" s="103" t="s">
        <v>153</v>
      </c>
      <c r="R1589" s="103" t="s">
        <v>153</v>
      </c>
      <c r="S1589" s="103" t="str">
        <f>INDEX('Measure &amp; Standard CostIDs'!$AK$8:$AK$12,B1589)</f>
        <v>Four+pack</v>
      </c>
      <c r="T1589" s="103" t="s">
        <v>867</v>
      </c>
      <c r="U1589" s="103"/>
      <c r="V1589" s="103"/>
      <c r="W1589" s="103">
        <f>ROUND(IF(LEFT(D1589,3)="Std",VLOOKUP(D1589,'Measure &amp; Standard CostIDs'!$S$5:$X$177,1+B1589,FALSE),VLOOKUP(D1589,'Measure &amp; Standard CostIDs'!$C$5:$H$177,1+B1589,FALSE)),2)</f>
        <v>3.34</v>
      </c>
      <c r="X1589" s="103"/>
      <c r="Y1589" s="103"/>
      <c r="Z1589" s="103" t="s">
        <v>868</v>
      </c>
      <c r="AA1589" s="103" t="s">
        <v>874</v>
      </c>
      <c r="AB1589" s="103" t="s">
        <v>153</v>
      </c>
      <c r="AC1589" s="103">
        <v>0</v>
      </c>
      <c r="AD1589" s="156">
        <v>42005</v>
      </c>
      <c r="AE1589" s="103"/>
      <c r="AF1589" s="103" t="s">
        <v>870</v>
      </c>
      <c r="AG1589" s="103" t="s">
        <v>871</v>
      </c>
      <c r="AH1589" s="103" t="s">
        <v>976</v>
      </c>
      <c r="AI1589" s="103">
        <v>0</v>
      </c>
      <c r="AJ1589" s="103"/>
      <c r="AK1589" s="103"/>
      <c r="AL1589" s="103"/>
      <c r="AM1589" s="103"/>
      <c r="AN1589" s="103"/>
      <c r="AO1589" s="103" t="str">
        <f t="shared" si="91"/>
        <v>Std_CFLscw-Dim(10w)_60pInc-r0248Four+pack</v>
      </c>
    </row>
    <row r="1590" spans="1:41">
      <c r="A1590" s="177">
        <f>IFERROR(MATCH(D1590,'Measure &amp; Standard CostIDs'!C$5:C$177,0),MATCH(D1590,'Measure &amp; Standard CostIDs'!S$5:S$177,0))</f>
        <v>106</v>
      </c>
      <c r="B1590" s="177">
        <f t="shared" si="89"/>
        <v>5</v>
      </c>
      <c r="C1590" s="103" t="s">
        <v>153</v>
      </c>
      <c r="D1590" s="103" t="str">
        <f t="shared" si="88"/>
        <v>Std_CFLscw-Dim(11w)_60pInc-r0248</v>
      </c>
      <c r="E1590" s="103" t="str">
        <f>IF(LEFT(D1590,3)="Std","Base case cost for mix of 60% Incandescent and 40% CFL lamps for CFL TechID: "&amp;INDEX('Measure &amp; Standard CostIDs'!$C$5:$C$177,A1590),"&lt;from TechID&gt;")</f>
        <v>Base case cost for mix of 60% Incandescent and 40% CFL lamps for CFL TechID: CFLscw-Dim(11w)</v>
      </c>
      <c r="F1590" s="103" t="s">
        <v>860</v>
      </c>
      <c r="G1590" s="103" t="s">
        <v>151</v>
      </c>
      <c r="H1590" s="103" t="s">
        <v>861</v>
      </c>
      <c r="I1590" s="103" t="s">
        <v>862</v>
      </c>
      <c r="J1590" s="103" t="s">
        <v>863</v>
      </c>
      <c r="K1590" s="103" t="s">
        <v>864</v>
      </c>
      <c r="L1590" s="103" t="s">
        <v>153</v>
      </c>
      <c r="M1590" s="103" t="s">
        <v>865</v>
      </c>
      <c r="N1590" s="103" t="s">
        <v>866</v>
      </c>
      <c r="O1590" s="103" t="str">
        <f t="shared" si="90"/>
        <v/>
      </c>
      <c r="P1590" s="103" t="s">
        <v>153</v>
      </c>
      <c r="Q1590" s="103" t="s">
        <v>153</v>
      </c>
      <c r="R1590" s="103" t="s">
        <v>153</v>
      </c>
      <c r="S1590" s="103" t="str">
        <f>INDEX('Measure &amp; Standard CostIDs'!$AK$8:$AK$12,B1590)</f>
        <v>Four+pack</v>
      </c>
      <c r="T1590" s="103" t="s">
        <v>867</v>
      </c>
      <c r="U1590" s="103"/>
      <c r="V1590" s="103"/>
      <c r="W1590" s="103">
        <f>ROUND(IF(LEFT(D1590,3)="Std",VLOOKUP(D1590,'Measure &amp; Standard CostIDs'!$S$5:$X$177,1+B1590,FALSE),VLOOKUP(D1590,'Measure &amp; Standard CostIDs'!$C$5:$H$177,1+B1590,FALSE)),2)</f>
        <v>3.38</v>
      </c>
      <c r="X1590" s="103"/>
      <c r="Y1590" s="103"/>
      <c r="Z1590" s="103" t="s">
        <v>868</v>
      </c>
      <c r="AA1590" s="103" t="s">
        <v>874</v>
      </c>
      <c r="AB1590" s="103" t="s">
        <v>153</v>
      </c>
      <c r="AC1590" s="103">
        <v>0</v>
      </c>
      <c r="AD1590" s="156">
        <v>42005</v>
      </c>
      <c r="AE1590" s="103"/>
      <c r="AF1590" s="103" t="s">
        <v>870</v>
      </c>
      <c r="AG1590" s="103" t="s">
        <v>871</v>
      </c>
      <c r="AH1590" s="103" t="s">
        <v>976</v>
      </c>
      <c r="AI1590" s="103">
        <v>0</v>
      </c>
      <c r="AJ1590" s="103"/>
      <c r="AK1590" s="103"/>
      <c r="AL1590" s="103"/>
      <c r="AM1590" s="103"/>
      <c r="AN1590" s="103"/>
      <c r="AO1590" s="103" t="str">
        <f t="shared" si="91"/>
        <v>Std_CFLscw-Dim(11w)_60pInc-r0248Four+pack</v>
      </c>
    </row>
    <row r="1591" spans="1:41">
      <c r="A1591" s="177">
        <f>IFERROR(MATCH(D1591,'Measure &amp; Standard CostIDs'!C$5:C$177,0),MATCH(D1591,'Measure &amp; Standard CostIDs'!S$5:S$177,0))</f>
        <v>107</v>
      </c>
      <c r="B1591" s="177">
        <f t="shared" si="89"/>
        <v>5</v>
      </c>
      <c r="C1591" s="103" t="s">
        <v>153</v>
      </c>
      <c r="D1591" s="103" t="str">
        <f t="shared" si="88"/>
        <v>Std_CFLscw-Dim(14w)_60pInc-r0248</v>
      </c>
      <c r="E1591" s="103" t="str">
        <f>IF(LEFT(D1591,3)="Std","Base case cost for mix of 60% Incandescent and 40% CFL lamps for CFL TechID: "&amp;INDEX('Measure &amp; Standard CostIDs'!$C$5:$C$177,A1591),"&lt;from TechID&gt;")</f>
        <v>Base case cost for mix of 60% Incandescent and 40% CFL lamps for CFL TechID: CFLscw-Dim(14w)</v>
      </c>
      <c r="F1591" s="103" t="s">
        <v>860</v>
      </c>
      <c r="G1591" s="103" t="s">
        <v>151</v>
      </c>
      <c r="H1591" s="103" t="s">
        <v>861</v>
      </c>
      <c r="I1591" s="103" t="s">
        <v>862</v>
      </c>
      <c r="J1591" s="103" t="s">
        <v>863</v>
      </c>
      <c r="K1591" s="103" t="s">
        <v>864</v>
      </c>
      <c r="L1591" s="103" t="s">
        <v>153</v>
      </c>
      <c r="M1591" s="103" t="s">
        <v>865</v>
      </c>
      <c r="N1591" s="103" t="s">
        <v>866</v>
      </c>
      <c r="O1591" s="103" t="str">
        <f t="shared" si="90"/>
        <v/>
      </c>
      <c r="P1591" s="103" t="s">
        <v>153</v>
      </c>
      <c r="Q1591" s="103" t="s">
        <v>153</v>
      </c>
      <c r="R1591" s="103" t="s">
        <v>153</v>
      </c>
      <c r="S1591" s="103" t="str">
        <f>INDEX('Measure &amp; Standard CostIDs'!$AK$8:$AK$12,B1591)</f>
        <v>Four+pack</v>
      </c>
      <c r="T1591" s="103" t="s">
        <v>867</v>
      </c>
      <c r="U1591" s="103"/>
      <c r="V1591" s="103"/>
      <c r="W1591" s="103">
        <f>ROUND(IF(LEFT(D1591,3)="Std",VLOOKUP(D1591,'Measure &amp; Standard CostIDs'!$S$5:$X$177,1+B1591,FALSE),VLOOKUP(D1591,'Measure &amp; Standard CostIDs'!$C$5:$H$177,1+B1591,FALSE)),2)</f>
        <v>3.53</v>
      </c>
      <c r="X1591" s="103"/>
      <c r="Y1591" s="103"/>
      <c r="Z1591" s="103" t="s">
        <v>868</v>
      </c>
      <c r="AA1591" s="103" t="s">
        <v>874</v>
      </c>
      <c r="AB1591" s="103" t="s">
        <v>153</v>
      </c>
      <c r="AC1591" s="103">
        <v>0</v>
      </c>
      <c r="AD1591" s="156">
        <v>42005</v>
      </c>
      <c r="AE1591" s="103"/>
      <c r="AF1591" s="103" t="s">
        <v>870</v>
      </c>
      <c r="AG1591" s="103" t="s">
        <v>871</v>
      </c>
      <c r="AH1591" s="103" t="s">
        <v>976</v>
      </c>
      <c r="AI1591" s="103">
        <v>0</v>
      </c>
      <c r="AJ1591" s="103"/>
      <c r="AK1591" s="103"/>
      <c r="AL1591" s="103"/>
      <c r="AM1591" s="103"/>
      <c r="AN1591" s="103"/>
      <c r="AO1591" s="103" t="str">
        <f t="shared" si="91"/>
        <v>Std_CFLscw-Dim(14w)_60pInc-r0248Four+pack</v>
      </c>
    </row>
    <row r="1592" spans="1:41">
      <c r="A1592" s="177">
        <f>IFERROR(MATCH(D1592,'Measure &amp; Standard CostIDs'!C$5:C$177,0),MATCH(D1592,'Measure &amp; Standard CostIDs'!S$5:S$177,0))</f>
        <v>108</v>
      </c>
      <c r="B1592" s="177">
        <f t="shared" si="89"/>
        <v>5</v>
      </c>
      <c r="C1592" s="103" t="s">
        <v>153</v>
      </c>
      <c r="D1592" s="103" t="str">
        <f t="shared" si="88"/>
        <v>Std_CFLscw-Dim(15w)_60pInc-r0248</v>
      </c>
      <c r="E1592" s="103" t="str">
        <f>IF(LEFT(D1592,3)="Std","Base case cost for mix of 60% Incandescent and 40% CFL lamps for CFL TechID: "&amp;INDEX('Measure &amp; Standard CostIDs'!$C$5:$C$177,A1592),"&lt;from TechID&gt;")</f>
        <v>Base case cost for mix of 60% Incandescent and 40% CFL lamps for CFL TechID: CFLscw-Dim(15w)</v>
      </c>
      <c r="F1592" s="103" t="s">
        <v>860</v>
      </c>
      <c r="G1592" s="103" t="s">
        <v>151</v>
      </c>
      <c r="H1592" s="103" t="s">
        <v>861</v>
      </c>
      <c r="I1592" s="103" t="s">
        <v>862</v>
      </c>
      <c r="J1592" s="103" t="s">
        <v>863</v>
      </c>
      <c r="K1592" s="103" t="s">
        <v>864</v>
      </c>
      <c r="L1592" s="103" t="s">
        <v>153</v>
      </c>
      <c r="M1592" s="103" t="s">
        <v>865</v>
      </c>
      <c r="N1592" s="103" t="s">
        <v>866</v>
      </c>
      <c r="O1592" s="103" t="str">
        <f t="shared" si="90"/>
        <v/>
      </c>
      <c r="P1592" s="103" t="s">
        <v>153</v>
      </c>
      <c r="Q1592" s="103" t="s">
        <v>153</v>
      </c>
      <c r="R1592" s="103" t="s">
        <v>153</v>
      </c>
      <c r="S1592" s="103" t="str">
        <f>INDEX('Measure &amp; Standard CostIDs'!$AK$8:$AK$12,B1592)</f>
        <v>Four+pack</v>
      </c>
      <c r="T1592" s="103" t="s">
        <v>867</v>
      </c>
      <c r="U1592" s="103"/>
      <c r="V1592" s="103"/>
      <c r="W1592" s="103">
        <f>ROUND(IF(LEFT(D1592,3)="Std",VLOOKUP(D1592,'Measure &amp; Standard CostIDs'!$S$5:$X$177,1+B1592,FALSE),VLOOKUP(D1592,'Measure &amp; Standard CostIDs'!$C$5:$H$177,1+B1592,FALSE)),2)</f>
        <v>3.57</v>
      </c>
      <c r="X1592" s="103"/>
      <c r="Y1592" s="103"/>
      <c r="Z1592" s="103" t="s">
        <v>868</v>
      </c>
      <c r="AA1592" s="103" t="s">
        <v>874</v>
      </c>
      <c r="AB1592" s="103" t="s">
        <v>153</v>
      </c>
      <c r="AC1592" s="103">
        <v>0</v>
      </c>
      <c r="AD1592" s="156">
        <v>42005</v>
      </c>
      <c r="AE1592" s="103"/>
      <c r="AF1592" s="103" t="s">
        <v>870</v>
      </c>
      <c r="AG1592" s="103" t="s">
        <v>871</v>
      </c>
      <c r="AH1592" s="103" t="s">
        <v>976</v>
      </c>
      <c r="AI1592" s="103">
        <v>0</v>
      </c>
      <c r="AJ1592" s="103"/>
      <c r="AK1592" s="103"/>
      <c r="AL1592" s="103"/>
      <c r="AM1592" s="103"/>
      <c r="AN1592" s="103"/>
      <c r="AO1592" s="103" t="str">
        <f t="shared" si="91"/>
        <v>Std_CFLscw-Dim(15w)_60pInc-r0248Four+pack</v>
      </c>
    </row>
    <row r="1593" spans="1:41">
      <c r="A1593" s="177">
        <f>IFERROR(MATCH(D1593,'Measure &amp; Standard CostIDs'!C$5:C$177,0),MATCH(D1593,'Measure &amp; Standard CostIDs'!S$5:S$177,0))</f>
        <v>109</v>
      </c>
      <c r="B1593" s="177">
        <f t="shared" si="89"/>
        <v>5</v>
      </c>
      <c r="C1593" s="103" t="s">
        <v>153</v>
      </c>
      <c r="D1593" s="103" t="str">
        <f t="shared" si="88"/>
        <v>Std_CFLscw-Dim(16w)_60pInc-r0248</v>
      </c>
      <c r="E1593" s="103" t="str">
        <f>IF(LEFT(D1593,3)="Std","Base case cost for mix of 60% Incandescent and 40% CFL lamps for CFL TechID: "&amp;INDEX('Measure &amp; Standard CostIDs'!$C$5:$C$177,A1593),"&lt;from TechID&gt;")</f>
        <v>Base case cost for mix of 60% Incandescent and 40% CFL lamps for CFL TechID: CFLscw-Dim(16w)</v>
      </c>
      <c r="F1593" s="103" t="s">
        <v>860</v>
      </c>
      <c r="G1593" s="103" t="s">
        <v>151</v>
      </c>
      <c r="H1593" s="103" t="s">
        <v>861</v>
      </c>
      <c r="I1593" s="103" t="s">
        <v>862</v>
      </c>
      <c r="J1593" s="103" t="s">
        <v>863</v>
      </c>
      <c r="K1593" s="103" t="s">
        <v>864</v>
      </c>
      <c r="L1593" s="103" t="s">
        <v>153</v>
      </c>
      <c r="M1593" s="103" t="s">
        <v>865</v>
      </c>
      <c r="N1593" s="103" t="s">
        <v>866</v>
      </c>
      <c r="O1593" s="103" t="str">
        <f t="shared" si="90"/>
        <v/>
      </c>
      <c r="P1593" s="103" t="s">
        <v>153</v>
      </c>
      <c r="Q1593" s="103" t="s">
        <v>153</v>
      </c>
      <c r="R1593" s="103" t="s">
        <v>153</v>
      </c>
      <c r="S1593" s="103" t="str">
        <f>INDEX('Measure &amp; Standard CostIDs'!$AK$8:$AK$12,B1593)</f>
        <v>Four+pack</v>
      </c>
      <c r="T1593" s="103" t="s">
        <v>867</v>
      </c>
      <c r="U1593" s="103"/>
      <c r="V1593" s="103"/>
      <c r="W1593" s="103">
        <f>ROUND(IF(LEFT(D1593,3)="Std",VLOOKUP(D1593,'Measure &amp; Standard CostIDs'!$S$5:$X$177,1+B1593,FALSE),VLOOKUP(D1593,'Measure &amp; Standard CostIDs'!$C$5:$H$177,1+B1593,FALSE)),2)</f>
        <v>3.62</v>
      </c>
      <c r="X1593" s="103"/>
      <c r="Y1593" s="103"/>
      <c r="Z1593" s="103" t="s">
        <v>868</v>
      </c>
      <c r="AA1593" s="103" t="s">
        <v>874</v>
      </c>
      <c r="AB1593" s="103" t="s">
        <v>153</v>
      </c>
      <c r="AC1593" s="103">
        <v>0</v>
      </c>
      <c r="AD1593" s="156">
        <v>42005</v>
      </c>
      <c r="AE1593" s="103"/>
      <c r="AF1593" s="103" t="s">
        <v>870</v>
      </c>
      <c r="AG1593" s="103" t="s">
        <v>871</v>
      </c>
      <c r="AH1593" s="103" t="s">
        <v>976</v>
      </c>
      <c r="AI1593" s="103">
        <v>0</v>
      </c>
      <c r="AJ1593" s="103"/>
      <c r="AK1593" s="103"/>
      <c r="AL1593" s="103"/>
      <c r="AM1593" s="103"/>
      <c r="AN1593" s="103"/>
      <c r="AO1593" s="103" t="str">
        <f t="shared" si="91"/>
        <v>Std_CFLscw-Dim(16w)_60pInc-r0248Four+pack</v>
      </c>
    </row>
    <row r="1594" spans="1:41">
      <c r="A1594" s="177">
        <f>IFERROR(MATCH(D1594,'Measure &amp; Standard CostIDs'!C$5:C$177,0),MATCH(D1594,'Measure &amp; Standard CostIDs'!S$5:S$177,0))</f>
        <v>110</v>
      </c>
      <c r="B1594" s="177">
        <f t="shared" si="89"/>
        <v>5</v>
      </c>
      <c r="C1594" s="103" t="s">
        <v>153</v>
      </c>
      <c r="D1594" s="103" t="str">
        <f t="shared" si="88"/>
        <v>Std_CFLscw-Dim(18w)_60pInc-r0248</v>
      </c>
      <c r="E1594" s="103" t="str">
        <f>IF(LEFT(D1594,3)="Std","Base case cost for mix of 60% Incandescent and 40% CFL lamps for CFL TechID: "&amp;INDEX('Measure &amp; Standard CostIDs'!$C$5:$C$177,A1594),"&lt;from TechID&gt;")</f>
        <v>Base case cost for mix of 60% Incandescent and 40% CFL lamps for CFL TechID: CFLscw-Dim(18w)</v>
      </c>
      <c r="F1594" s="103" t="s">
        <v>860</v>
      </c>
      <c r="G1594" s="103" t="s">
        <v>151</v>
      </c>
      <c r="H1594" s="103" t="s">
        <v>861</v>
      </c>
      <c r="I1594" s="103" t="s">
        <v>862</v>
      </c>
      <c r="J1594" s="103" t="s">
        <v>863</v>
      </c>
      <c r="K1594" s="103" t="s">
        <v>864</v>
      </c>
      <c r="L1594" s="103" t="s">
        <v>153</v>
      </c>
      <c r="M1594" s="103" t="s">
        <v>865</v>
      </c>
      <c r="N1594" s="103" t="s">
        <v>866</v>
      </c>
      <c r="O1594" s="103" t="str">
        <f t="shared" si="90"/>
        <v/>
      </c>
      <c r="P1594" s="103" t="s">
        <v>153</v>
      </c>
      <c r="Q1594" s="103" t="s">
        <v>153</v>
      </c>
      <c r="R1594" s="103" t="s">
        <v>153</v>
      </c>
      <c r="S1594" s="103" t="str">
        <f>INDEX('Measure &amp; Standard CostIDs'!$AK$8:$AK$12,B1594)</f>
        <v>Four+pack</v>
      </c>
      <c r="T1594" s="103" t="s">
        <v>867</v>
      </c>
      <c r="U1594" s="103"/>
      <c r="V1594" s="103"/>
      <c r="W1594" s="103">
        <f>ROUND(IF(LEFT(D1594,3)="Std",VLOOKUP(D1594,'Measure &amp; Standard CostIDs'!$S$5:$X$177,1+B1594,FALSE),VLOOKUP(D1594,'Measure &amp; Standard CostIDs'!$C$5:$H$177,1+B1594,FALSE)),2)</f>
        <v>3.7</v>
      </c>
      <c r="X1594" s="103"/>
      <c r="Y1594" s="103"/>
      <c r="Z1594" s="103" t="s">
        <v>868</v>
      </c>
      <c r="AA1594" s="103" t="s">
        <v>874</v>
      </c>
      <c r="AB1594" s="103" t="s">
        <v>153</v>
      </c>
      <c r="AC1594" s="103">
        <v>0</v>
      </c>
      <c r="AD1594" s="156">
        <v>42005</v>
      </c>
      <c r="AE1594" s="103"/>
      <c r="AF1594" s="103" t="s">
        <v>870</v>
      </c>
      <c r="AG1594" s="103" t="s">
        <v>871</v>
      </c>
      <c r="AH1594" s="103" t="s">
        <v>976</v>
      </c>
      <c r="AI1594" s="103">
        <v>0</v>
      </c>
      <c r="AJ1594" s="103"/>
      <c r="AK1594" s="103"/>
      <c r="AL1594" s="103"/>
      <c r="AM1594" s="103"/>
      <c r="AN1594" s="103"/>
      <c r="AO1594" s="103" t="str">
        <f t="shared" si="91"/>
        <v>Std_CFLscw-Dim(18w)_60pInc-r0248Four+pack</v>
      </c>
    </row>
    <row r="1595" spans="1:41">
      <c r="A1595" s="177">
        <f>IFERROR(MATCH(D1595,'Measure &amp; Standard CostIDs'!C$5:C$177,0),MATCH(D1595,'Measure &amp; Standard CostIDs'!S$5:S$177,0))</f>
        <v>111</v>
      </c>
      <c r="B1595" s="177">
        <f t="shared" si="89"/>
        <v>5</v>
      </c>
      <c r="C1595" s="103" t="s">
        <v>153</v>
      </c>
      <c r="D1595" s="103" t="str">
        <f t="shared" si="88"/>
        <v>Std_CFLscw-Dim(19w)_60pInc-r0248</v>
      </c>
      <c r="E1595" s="103" t="str">
        <f>IF(LEFT(D1595,3)="Std","Base case cost for mix of 60% Incandescent and 40% CFL lamps for CFL TechID: "&amp;INDEX('Measure &amp; Standard CostIDs'!$C$5:$C$177,A1595),"&lt;from TechID&gt;")</f>
        <v>Base case cost for mix of 60% Incandescent and 40% CFL lamps for CFL TechID: CFLscw-Dim(19w)</v>
      </c>
      <c r="F1595" s="103" t="s">
        <v>860</v>
      </c>
      <c r="G1595" s="103" t="s">
        <v>151</v>
      </c>
      <c r="H1595" s="103" t="s">
        <v>861</v>
      </c>
      <c r="I1595" s="103" t="s">
        <v>862</v>
      </c>
      <c r="J1595" s="103" t="s">
        <v>863</v>
      </c>
      <c r="K1595" s="103" t="s">
        <v>864</v>
      </c>
      <c r="L1595" s="103" t="s">
        <v>153</v>
      </c>
      <c r="M1595" s="103" t="s">
        <v>865</v>
      </c>
      <c r="N1595" s="103" t="s">
        <v>866</v>
      </c>
      <c r="O1595" s="103" t="str">
        <f t="shared" si="90"/>
        <v/>
      </c>
      <c r="P1595" s="103" t="s">
        <v>153</v>
      </c>
      <c r="Q1595" s="103" t="s">
        <v>153</v>
      </c>
      <c r="R1595" s="103" t="s">
        <v>153</v>
      </c>
      <c r="S1595" s="103" t="str">
        <f>INDEX('Measure &amp; Standard CostIDs'!$AK$8:$AK$12,B1595)</f>
        <v>Four+pack</v>
      </c>
      <c r="T1595" s="103" t="s">
        <v>867</v>
      </c>
      <c r="U1595" s="103"/>
      <c r="V1595" s="103"/>
      <c r="W1595" s="103">
        <f>ROUND(IF(LEFT(D1595,3)="Std",VLOOKUP(D1595,'Measure &amp; Standard CostIDs'!$S$5:$X$177,1+B1595,FALSE),VLOOKUP(D1595,'Measure &amp; Standard CostIDs'!$C$5:$H$177,1+B1595,FALSE)),2)</f>
        <v>3.75</v>
      </c>
      <c r="X1595" s="103"/>
      <c r="Y1595" s="103"/>
      <c r="Z1595" s="103" t="s">
        <v>868</v>
      </c>
      <c r="AA1595" s="103" t="s">
        <v>874</v>
      </c>
      <c r="AB1595" s="103" t="s">
        <v>153</v>
      </c>
      <c r="AC1595" s="103">
        <v>0</v>
      </c>
      <c r="AD1595" s="156">
        <v>42005</v>
      </c>
      <c r="AE1595" s="103"/>
      <c r="AF1595" s="103" t="s">
        <v>870</v>
      </c>
      <c r="AG1595" s="103" t="s">
        <v>871</v>
      </c>
      <c r="AH1595" s="103" t="s">
        <v>976</v>
      </c>
      <c r="AI1595" s="103">
        <v>0</v>
      </c>
      <c r="AJ1595" s="103"/>
      <c r="AK1595" s="103"/>
      <c r="AL1595" s="103"/>
      <c r="AM1595" s="103"/>
      <c r="AN1595" s="103"/>
      <c r="AO1595" s="103" t="str">
        <f t="shared" si="91"/>
        <v>Std_CFLscw-Dim(19w)_60pInc-r0248Four+pack</v>
      </c>
    </row>
    <row r="1596" spans="1:41">
      <c r="A1596" s="177">
        <f>IFERROR(MATCH(D1596,'Measure &amp; Standard CostIDs'!C$5:C$177,0),MATCH(D1596,'Measure &amp; Standard CostIDs'!S$5:S$177,0))</f>
        <v>112</v>
      </c>
      <c r="B1596" s="177">
        <f t="shared" si="89"/>
        <v>5</v>
      </c>
      <c r="C1596" s="103" t="s">
        <v>153</v>
      </c>
      <c r="D1596" s="103" t="str">
        <f t="shared" si="88"/>
        <v>Std_CFLscw-Dim(20w)_60pInc-r0248</v>
      </c>
      <c r="E1596" s="103" t="str">
        <f>IF(LEFT(D1596,3)="Std","Base case cost for mix of 60% Incandescent and 40% CFL lamps for CFL TechID: "&amp;INDEX('Measure &amp; Standard CostIDs'!$C$5:$C$177,A1596),"&lt;from TechID&gt;")</f>
        <v>Base case cost for mix of 60% Incandescent and 40% CFL lamps for CFL TechID: CFLscw-Dim(20w)</v>
      </c>
      <c r="F1596" s="103" t="s">
        <v>860</v>
      </c>
      <c r="G1596" s="103" t="s">
        <v>151</v>
      </c>
      <c r="H1596" s="103" t="s">
        <v>861</v>
      </c>
      <c r="I1596" s="103" t="s">
        <v>862</v>
      </c>
      <c r="J1596" s="103" t="s">
        <v>863</v>
      </c>
      <c r="K1596" s="103" t="s">
        <v>864</v>
      </c>
      <c r="L1596" s="103" t="s">
        <v>153</v>
      </c>
      <c r="M1596" s="103" t="s">
        <v>865</v>
      </c>
      <c r="N1596" s="103" t="s">
        <v>866</v>
      </c>
      <c r="O1596" s="103" t="str">
        <f t="shared" si="90"/>
        <v/>
      </c>
      <c r="P1596" s="103" t="s">
        <v>153</v>
      </c>
      <c r="Q1596" s="103" t="s">
        <v>153</v>
      </c>
      <c r="R1596" s="103" t="s">
        <v>153</v>
      </c>
      <c r="S1596" s="103" t="str">
        <f>INDEX('Measure &amp; Standard CostIDs'!$AK$8:$AK$12,B1596)</f>
        <v>Four+pack</v>
      </c>
      <c r="T1596" s="103" t="s">
        <v>867</v>
      </c>
      <c r="U1596" s="103"/>
      <c r="V1596" s="103"/>
      <c r="W1596" s="103">
        <f>ROUND(IF(LEFT(D1596,3)="Std",VLOOKUP(D1596,'Measure &amp; Standard CostIDs'!$S$5:$X$177,1+B1596,FALSE),VLOOKUP(D1596,'Measure &amp; Standard CostIDs'!$C$5:$H$177,1+B1596,FALSE)),2)</f>
        <v>3.8</v>
      </c>
      <c r="X1596" s="103"/>
      <c r="Y1596" s="103"/>
      <c r="Z1596" s="103" t="s">
        <v>868</v>
      </c>
      <c r="AA1596" s="103" t="s">
        <v>874</v>
      </c>
      <c r="AB1596" s="103" t="s">
        <v>153</v>
      </c>
      <c r="AC1596" s="103">
        <v>0</v>
      </c>
      <c r="AD1596" s="156">
        <v>42005</v>
      </c>
      <c r="AE1596" s="103"/>
      <c r="AF1596" s="103" t="s">
        <v>870</v>
      </c>
      <c r="AG1596" s="103" t="s">
        <v>871</v>
      </c>
      <c r="AH1596" s="103" t="s">
        <v>976</v>
      </c>
      <c r="AI1596" s="103">
        <v>0</v>
      </c>
      <c r="AJ1596" s="103"/>
      <c r="AK1596" s="103"/>
      <c r="AL1596" s="103"/>
      <c r="AM1596" s="103"/>
      <c r="AN1596" s="103"/>
      <c r="AO1596" s="103" t="str">
        <f t="shared" si="91"/>
        <v>Std_CFLscw-Dim(20w)_60pInc-r0248Four+pack</v>
      </c>
    </row>
    <row r="1597" spans="1:41">
      <c r="A1597" s="177">
        <f>IFERROR(MATCH(D1597,'Measure &amp; Standard CostIDs'!C$5:C$177,0),MATCH(D1597,'Measure &amp; Standard CostIDs'!S$5:S$177,0))</f>
        <v>113</v>
      </c>
      <c r="B1597" s="177">
        <f t="shared" si="89"/>
        <v>5</v>
      </c>
      <c r="C1597" s="103" t="s">
        <v>153</v>
      </c>
      <c r="D1597" s="103" t="str">
        <f t="shared" si="88"/>
        <v>Std_CFLscw-Dim(23w)_60pInc-r0248</v>
      </c>
      <c r="E1597" s="103" t="str">
        <f>IF(LEFT(D1597,3)="Std","Base case cost for mix of 60% Incandescent and 40% CFL lamps for CFL TechID: "&amp;INDEX('Measure &amp; Standard CostIDs'!$C$5:$C$177,A1597),"&lt;from TechID&gt;")</f>
        <v>Base case cost for mix of 60% Incandescent and 40% CFL lamps for CFL TechID: CFLscw-Dim(23w)</v>
      </c>
      <c r="F1597" s="103" t="s">
        <v>860</v>
      </c>
      <c r="G1597" s="103" t="s">
        <v>151</v>
      </c>
      <c r="H1597" s="103" t="s">
        <v>861</v>
      </c>
      <c r="I1597" s="103" t="s">
        <v>862</v>
      </c>
      <c r="J1597" s="103" t="s">
        <v>863</v>
      </c>
      <c r="K1597" s="103" t="s">
        <v>864</v>
      </c>
      <c r="L1597" s="103" t="s">
        <v>153</v>
      </c>
      <c r="M1597" s="103" t="s">
        <v>865</v>
      </c>
      <c r="N1597" s="103" t="s">
        <v>866</v>
      </c>
      <c r="O1597" s="103" t="str">
        <f t="shared" si="90"/>
        <v/>
      </c>
      <c r="P1597" s="103" t="s">
        <v>153</v>
      </c>
      <c r="Q1597" s="103" t="s">
        <v>153</v>
      </c>
      <c r="R1597" s="103" t="s">
        <v>153</v>
      </c>
      <c r="S1597" s="103" t="str">
        <f>INDEX('Measure &amp; Standard CostIDs'!$AK$8:$AK$12,B1597)</f>
        <v>Four+pack</v>
      </c>
      <c r="T1597" s="103" t="s">
        <v>867</v>
      </c>
      <c r="U1597" s="103"/>
      <c r="V1597" s="103"/>
      <c r="W1597" s="103">
        <f>ROUND(IF(LEFT(D1597,3)="Std",VLOOKUP(D1597,'Measure &amp; Standard CostIDs'!$S$5:$X$177,1+B1597,FALSE),VLOOKUP(D1597,'Measure &amp; Standard CostIDs'!$C$5:$H$177,1+B1597,FALSE)),2)</f>
        <v>3.91</v>
      </c>
      <c r="X1597" s="103"/>
      <c r="Y1597" s="103"/>
      <c r="Z1597" s="103" t="s">
        <v>868</v>
      </c>
      <c r="AA1597" s="103" t="s">
        <v>874</v>
      </c>
      <c r="AB1597" s="103" t="s">
        <v>153</v>
      </c>
      <c r="AC1597" s="103">
        <v>0</v>
      </c>
      <c r="AD1597" s="156">
        <v>42005</v>
      </c>
      <c r="AE1597" s="103"/>
      <c r="AF1597" s="103" t="s">
        <v>870</v>
      </c>
      <c r="AG1597" s="103" t="s">
        <v>871</v>
      </c>
      <c r="AH1597" s="103" t="s">
        <v>976</v>
      </c>
      <c r="AI1597" s="103">
        <v>0</v>
      </c>
      <c r="AJ1597" s="103"/>
      <c r="AK1597" s="103"/>
      <c r="AL1597" s="103"/>
      <c r="AM1597" s="103"/>
      <c r="AN1597" s="103"/>
      <c r="AO1597" s="103" t="str">
        <f t="shared" si="91"/>
        <v>Std_CFLscw-Dim(23w)_60pInc-r0248Four+pack</v>
      </c>
    </row>
    <row r="1598" spans="1:41">
      <c r="A1598" s="177">
        <f>IFERROR(MATCH(D1598,'Measure &amp; Standard CostIDs'!C$5:C$177,0),MATCH(D1598,'Measure &amp; Standard CostIDs'!S$5:S$177,0))</f>
        <v>114</v>
      </c>
      <c r="B1598" s="177">
        <f t="shared" si="89"/>
        <v>5</v>
      </c>
      <c r="C1598" s="103" t="s">
        <v>153</v>
      </c>
      <c r="D1598" s="103" t="str">
        <f t="shared" si="88"/>
        <v>Std_CFLscw-Dim(25w)_60pInc-r0248</v>
      </c>
      <c r="E1598" s="103" t="str">
        <f>IF(LEFT(D1598,3)="Std","Base case cost for mix of 60% Incandescent and 40% CFL lamps for CFL TechID: "&amp;INDEX('Measure &amp; Standard CostIDs'!$C$5:$C$177,A1598),"&lt;from TechID&gt;")</f>
        <v>Base case cost for mix of 60% Incandescent and 40% CFL lamps for CFL TechID: CFLscw-Dim(25w)</v>
      </c>
      <c r="F1598" s="103" t="s">
        <v>860</v>
      </c>
      <c r="G1598" s="103" t="s">
        <v>151</v>
      </c>
      <c r="H1598" s="103" t="s">
        <v>861</v>
      </c>
      <c r="I1598" s="103" t="s">
        <v>862</v>
      </c>
      <c r="J1598" s="103" t="s">
        <v>863</v>
      </c>
      <c r="K1598" s="103" t="s">
        <v>864</v>
      </c>
      <c r="L1598" s="103" t="s">
        <v>153</v>
      </c>
      <c r="M1598" s="103" t="s">
        <v>865</v>
      </c>
      <c r="N1598" s="103" t="s">
        <v>866</v>
      </c>
      <c r="O1598" s="103" t="str">
        <f t="shared" si="90"/>
        <v/>
      </c>
      <c r="P1598" s="103" t="s">
        <v>153</v>
      </c>
      <c r="Q1598" s="103" t="s">
        <v>153</v>
      </c>
      <c r="R1598" s="103" t="s">
        <v>153</v>
      </c>
      <c r="S1598" s="103" t="str">
        <f>INDEX('Measure &amp; Standard CostIDs'!$AK$8:$AK$12,B1598)</f>
        <v>Four+pack</v>
      </c>
      <c r="T1598" s="103" t="s">
        <v>867</v>
      </c>
      <c r="U1598" s="103"/>
      <c r="V1598" s="103"/>
      <c r="W1598" s="103">
        <f>ROUND(IF(LEFT(D1598,3)="Std",VLOOKUP(D1598,'Measure &amp; Standard CostIDs'!$S$5:$X$177,1+B1598,FALSE),VLOOKUP(D1598,'Measure &amp; Standard CostIDs'!$C$5:$H$177,1+B1598,FALSE)),2)</f>
        <v>3.96</v>
      </c>
      <c r="X1598" s="103"/>
      <c r="Y1598" s="103"/>
      <c r="Z1598" s="103" t="s">
        <v>868</v>
      </c>
      <c r="AA1598" s="103" t="s">
        <v>874</v>
      </c>
      <c r="AB1598" s="103" t="s">
        <v>153</v>
      </c>
      <c r="AC1598" s="103">
        <v>0</v>
      </c>
      <c r="AD1598" s="156">
        <v>42005</v>
      </c>
      <c r="AE1598" s="103"/>
      <c r="AF1598" s="103" t="s">
        <v>870</v>
      </c>
      <c r="AG1598" s="103" t="s">
        <v>871</v>
      </c>
      <c r="AH1598" s="103" t="s">
        <v>976</v>
      </c>
      <c r="AI1598" s="103">
        <v>0</v>
      </c>
      <c r="AJ1598" s="103"/>
      <c r="AK1598" s="103"/>
      <c r="AL1598" s="103"/>
      <c r="AM1598" s="103"/>
      <c r="AN1598" s="103"/>
      <c r="AO1598" s="103" t="str">
        <f t="shared" si="91"/>
        <v>Std_CFLscw-Dim(25w)_60pInc-r0248Four+pack</v>
      </c>
    </row>
    <row r="1599" spans="1:41">
      <c r="A1599" s="177">
        <f>IFERROR(MATCH(D1599,'Measure &amp; Standard CostIDs'!C$5:C$177,0),MATCH(D1599,'Measure &amp; Standard CostIDs'!S$5:S$177,0))</f>
        <v>115</v>
      </c>
      <c r="B1599" s="177">
        <f t="shared" si="89"/>
        <v>5</v>
      </c>
      <c r="C1599" s="103" t="s">
        <v>153</v>
      </c>
      <c r="D1599" s="103" t="str">
        <f t="shared" si="88"/>
        <v>Std_CFLscw-Dim(26w)_60pInc-r0248</v>
      </c>
      <c r="E1599" s="103" t="str">
        <f>IF(LEFT(D1599,3)="Std","Base case cost for mix of 60% Incandescent and 40% CFL lamps for CFL TechID: "&amp;INDEX('Measure &amp; Standard CostIDs'!$C$5:$C$177,A1599),"&lt;from TechID&gt;")</f>
        <v>Base case cost for mix of 60% Incandescent and 40% CFL lamps for CFL TechID: CFLscw-Dim(26w)</v>
      </c>
      <c r="F1599" s="103" t="s">
        <v>860</v>
      </c>
      <c r="G1599" s="103" t="s">
        <v>151</v>
      </c>
      <c r="H1599" s="103" t="s">
        <v>861</v>
      </c>
      <c r="I1599" s="103" t="s">
        <v>862</v>
      </c>
      <c r="J1599" s="103" t="s">
        <v>863</v>
      </c>
      <c r="K1599" s="103" t="s">
        <v>864</v>
      </c>
      <c r="L1599" s="103" t="s">
        <v>153</v>
      </c>
      <c r="M1599" s="103" t="s">
        <v>865</v>
      </c>
      <c r="N1599" s="103" t="s">
        <v>866</v>
      </c>
      <c r="O1599" s="103" t="str">
        <f t="shared" si="90"/>
        <v/>
      </c>
      <c r="P1599" s="103" t="s">
        <v>153</v>
      </c>
      <c r="Q1599" s="103" t="s">
        <v>153</v>
      </c>
      <c r="R1599" s="103" t="s">
        <v>153</v>
      </c>
      <c r="S1599" s="103" t="str">
        <f>INDEX('Measure &amp; Standard CostIDs'!$AK$8:$AK$12,B1599)</f>
        <v>Four+pack</v>
      </c>
      <c r="T1599" s="103" t="s">
        <v>867</v>
      </c>
      <c r="U1599" s="103"/>
      <c r="V1599" s="103"/>
      <c r="W1599" s="103">
        <f>ROUND(IF(LEFT(D1599,3)="Std",VLOOKUP(D1599,'Measure &amp; Standard CostIDs'!$S$5:$X$177,1+B1599,FALSE),VLOOKUP(D1599,'Measure &amp; Standard CostIDs'!$C$5:$H$177,1+B1599,FALSE)),2)</f>
        <v>4.03</v>
      </c>
      <c r="X1599" s="103"/>
      <c r="Y1599" s="103"/>
      <c r="Z1599" s="103" t="s">
        <v>868</v>
      </c>
      <c r="AA1599" s="103" t="s">
        <v>874</v>
      </c>
      <c r="AB1599" s="103" t="s">
        <v>153</v>
      </c>
      <c r="AC1599" s="103">
        <v>0</v>
      </c>
      <c r="AD1599" s="156">
        <v>42005</v>
      </c>
      <c r="AE1599" s="103"/>
      <c r="AF1599" s="103" t="s">
        <v>870</v>
      </c>
      <c r="AG1599" s="103" t="s">
        <v>871</v>
      </c>
      <c r="AH1599" s="103" t="s">
        <v>976</v>
      </c>
      <c r="AI1599" s="103">
        <v>0</v>
      </c>
      <c r="AJ1599" s="103"/>
      <c r="AK1599" s="103"/>
      <c r="AL1599" s="103"/>
      <c r="AM1599" s="103"/>
      <c r="AN1599" s="103"/>
      <c r="AO1599" s="103" t="str">
        <f t="shared" si="91"/>
        <v>Std_CFLscw-Dim(26w)_60pInc-r0248Four+pack</v>
      </c>
    </row>
    <row r="1600" spans="1:41">
      <c r="A1600" s="177">
        <f>IFERROR(MATCH(D1600,'Measure &amp; Standard CostIDs'!C$5:C$177,0),MATCH(D1600,'Measure &amp; Standard CostIDs'!S$5:S$177,0))</f>
        <v>116</v>
      </c>
      <c r="B1600" s="177">
        <f t="shared" si="89"/>
        <v>5</v>
      </c>
      <c r="C1600" s="103" t="s">
        <v>153</v>
      </c>
      <c r="D1600" s="103" t="str">
        <f t="shared" si="88"/>
        <v>Std_CFLscw-Dim(28w)_60pInc-r0248</v>
      </c>
      <c r="E1600" s="103" t="str">
        <f>IF(LEFT(D1600,3)="Std","Base case cost for mix of 60% Incandescent and 40% CFL lamps for CFL TechID: "&amp;INDEX('Measure &amp; Standard CostIDs'!$C$5:$C$177,A1600),"&lt;from TechID&gt;")</f>
        <v>Base case cost for mix of 60% Incandescent and 40% CFL lamps for CFL TechID: CFLscw-Dim(28w)</v>
      </c>
      <c r="F1600" s="103" t="s">
        <v>860</v>
      </c>
      <c r="G1600" s="103" t="s">
        <v>151</v>
      </c>
      <c r="H1600" s="103" t="s">
        <v>861</v>
      </c>
      <c r="I1600" s="103" t="s">
        <v>862</v>
      </c>
      <c r="J1600" s="103" t="s">
        <v>863</v>
      </c>
      <c r="K1600" s="103" t="s">
        <v>864</v>
      </c>
      <c r="L1600" s="103" t="s">
        <v>153</v>
      </c>
      <c r="M1600" s="103" t="s">
        <v>865</v>
      </c>
      <c r="N1600" s="103" t="s">
        <v>866</v>
      </c>
      <c r="O1600" s="103" t="str">
        <f t="shared" si="90"/>
        <v/>
      </c>
      <c r="P1600" s="103" t="s">
        <v>153</v>
      </c>
      <c r="Q1600" s="103" t="s">
        <v>153</v>
      </c>
      <c r="R1600" s="103" t="s">
        <v>153</v>
      </c>
      <c r="S1600" s="103" t="str">
        <f>INDEX('Measure &amp; Standard CostIDs'!$AK$8:$AK$12,B1600)</f>
        <v>Four+pack</v>
      </c>
      <c r="T1600" s="103" t="s">
        <v>867</v>
      </c>
      <c r="U1600" s="103"/>
      <c r="V1600" s="103"/>
      <c r="W1600" s="103">
        <f>ROUND(IF(LEFT(D1600,3)="Std",VLOOKUP(D1600,'Measure &amp; Standard CostIDs'!$S$5:$X$177,1+B1600,FALSE),VLOOKUP(D1600,'Measure &amp; Standard CostIDs'!$C$5:$H$177,1+B1600,FALSE)),2)</f>
        <v>4.16</v>
      </c>
      <c r="X1600" s="103"/>
      <c r="Y1600" s="103"/>
      <c r="Z1600" s="103" t="s">
        <v>868</v>
      </c>
      <c r="AA1600" s="103" t="s">
        <v>874</v>
      </c>
      <c r="AB1600" s="103" t="s">
        <v>153</v>
      </c>
      <c r="AC1600" s="103">
        <v>0</v>
      </c>
      <c r="AD1600" s="156">
        <v>42005</v>
      </c>
      <c r="AE1600" s="103"/>
      <c r="AF1600" s="103" t="s">
        <v>870</v>
      </c>
      <c r="AG1600" s="103" t="s">
        <v>871</v>
      </c>
      <c r="AH1600" s="103" t="s">
        <v>976</v>
      </c>
      <c r="AI1600" s="103">
        <v>0</v>
      </c>
      <c r="AJ1600" s="103"/>
      <c r="AK1600" s="103"/>
      <c r="AL1600" s="103"/>
      <c r="AM1600" s="103"/>
      <c r="AN1600" s="103"/>
      <c r="AO1600" s="103" t="str">
        <f t="shared" si="91"/>
        <v>Std_CFLscw-Dim(28w)_60pInc-r0248Four+pack</v>
      </c>
    </row>
    <row r="1601" spans="1:41">
      <c r="A1601" s="177">
        <f>IFERROR(MATCH(D1601,'Measure &amp; Standard CostIDs'!C$5:C$177,0),MATCH(D1601,'Measure &amp; Standard CostIDs'!S$5:S$177,0))</f>
        <v>117</v>
      </c>
      <c r="B1601" s="177">
        <f t="shared" si="89"/>
        <v>5</v>
      </c>
      <c r="C1601" s="103" t="s">
        <v>153</v>
      </c>
      <c r="D1601" s="103" t="str">
        <f t="shared" si="88"/>
        <v>Std_CFLscw-Dim(30w)_60pInc-r0248</v>
      </c>
      <c r="E1601" s="103" t="str">
        <f>IF(LEFT(D1601,3)="Std","Base case cost for mix of 60% Incandescent and 40% CFL lamps for CFL TechID: "&amp;INDEX('Measure &amp; Standard CostIDs'!$C$5:$C$177,A1601),"&lt;from TechID&gt;")</f>
        <v>Base case cost for mix of 60% Incandescent and 40% CFL lamps for CFL TechID: CFLscw-Dim(30w)</v>
      </c>
      <c r="F1601" s="103" t="s">
        <v>860</v>
      </c>
      <c r="G1601" s="103" t="s">
        <v>151</v>
      </c>
      <c r="H1601" s="103" t="s">
        <v>861</v>
      </c>
      <c r="I1601" s="103" t="s">
        <v>862</v>
      </c>
      <c r="J1601" s="103" t="s">
        <v>863</v>
      </c>
      <c r="K1601" s="103" t="s">
        <v>864</v>
      </c>
      <c r="L1601" s="103" t="s">
        <v>153</v>
      </c>
      <c r="M1601" s="103" t="s">
        <v>865</v>
      </c>
      <c r="N1601" s="103" t="s">
        <v>866</v>
      </c>
      <c r="O1601" s="103" t="str">
        <f t="shared" si="90"/>
        <v/>
      </c>
      <c r="P1601" s="103" t="s">
        <v>153</v>
      </c>
      <c r="Q1601" s="103" t="s">
        <v>153</v>
      </c>
      <c r="R1601" s="103" t="s">
        <v>153</v>
      </c>
      <c r="S1601" s="103" t="str">
        <f>INDEX('Measure &amp; Standard CostIDs'!$AK$8:$AK$12,B1601)</f>
        <v>Four+pack</v>
      </c>
      <c r="T1601" s="103" t="s">
        <v>867</v>
      </c>
      <c r="U1601" s="103"/>
      <c r="V1601" s="103"/>
      <c r="W1601" s="103">
        <f>ROUND(IF(LEFT(D1601,3)="Std",VLOOKUP(D1601,'Measure &amp; Standard CostIDs'!$S$5:$X$177,1+B1601,FALSE),VLOOKUP(D1601,'Measure &amp; Standard CostIDs'!$C$5:$H$177,1+B1601,FALSE)),2)</f>
        <v>4.29</v>
      </c>
      <c r="X1601" s="103"/>
      <c r="Y1601" s="103"/>
      <c r="Z1601" s="103" t="s">
        <v>868</v>
      </c>
      <c r="AA1601" s="103" t="s">
        <v>874</v>
      </c>
      <c r="AB1601" s="103" t="s">
        <v>153</v>
      </c>
      <c r="AC1601" s="103">
        <v>0</v>
      </c>
      <c r="AD1601" s="156">
        <v>42005</v>
      </c>
      <c r="AE1601" s="103"/>
      <c r="AF1601" s="103" t="s">
        <v>870</v>
      </c>
      <c r="AG1601" s="103" t="s">
        <v>871</v>
      </c>
      <c r="AH1601" s="103" t="s">
        <v>976</v>
      </c>
      <c r="AI1601" s="103">
        <v>0</v>
      </c>
      <c r="AJ1601" s="103"/>
      <c r="AK1601" s="103"/>
      <c r="AL1601" s="103"/>
      <c r="AM1601" s="103"/>
      <c r="AN1601" s="103"/>
      <c r="AO1601" s="103" t="str">
        <f t="shared" si="91"/>
        <v>Std_CFLscw-Dim(30w)_60pInc-r0248Four+pack</v>
      </c>
    </row>
    <row r="1602" spans="1:41">
      <c r="A1602" s="177">
        <f>IFERROR(MATCH(D1602,'Measure &amp; Standard CostIDs'!C$5:C$177,0),MATCH(D1602,'Measure &amp; Standard CostIDs'!S$5:S$177,0))</f>
        <v>118</v>
      </c>
      <c r="B1602" s="177">
        <f t="shared" si="89"/>
        <v>5</v>
      </c>
      <c r="C1602" s="103" t="s">
        <v>153</v>
      </c>
      <c r="D1602" s="103" t="str">
        <f t="shared" si="88"/>
        <v>Std_CFLscw-Dim(33w)_60pInc-r0248</v>
      </c>
      <c r="E1602" s="103" t="str">
        <f>IF(LEFT(D1602,3)="Std","Base case cost for mix of 60% Incandescent and 40% CFL lamps for CFL TechID: "&amp;INDEX('Measure &amp; Standard CostIDs'!$C$5:$C$177,A1602),"&lt;from TechID&gt;")</f>
        <v>Base case cost for mix of 60% Incandescent and 40% CFL lamps for CFL TechID: CFLscw-Dim(33w)</v>
      </c>
      <c r="F1602" s="103" t="s">
        <v>860</v>
      </c>
      <c r="G1602" s="103" t="s">
        <v>151</v>
      </c>
      <c r="H1602" s="103" t="s">
        <v>861</v>
      </c>
      <c r="I1602" s="103" t="s">
        <v>862</v>
      </c>
      <c r="J1602" s="103" t="s">
        <v>863</v>
      </c>
      <c r="K1602" s="103" t="s">
        <v>864</v>
      </c>
      <c r="L1602" s="103" t="s">
        <v>153</v>
      </c>
      <c r="M1602" s="103" t="s">
        <v>865</v>
      </c>
      <c r="N1602" s="103" t="s">
        <v>866</v>
      </c>
      <c r="O1602" s="103" t="str">
        <f t="shared" si="90"/>
        <v/>
      </c>
      <c r="P1602" s="103" t="s">
        <v>153</v>
      </c>
      <c r="Q1602" s="103" t="s">
        <v>153</v>
      </c>
      <c r="R1602" s="103" t="s">
        <v>153</v>
      </c>
      <c r="S1602" s="103" t="str">
        <f>INDEX('Measure &amp; Standard CostIDs'!$AK$8:$AK$12,B1602)</f>
        <v>Four+pack</v>
      </c>
      <c r="T1602" s="103" t="s">
        <v>867</v>
      </c>
      <c r="U1602" s="103"/>
      <c r="V1602" s="103"/>
      <c r="W1602" s="103">
        <f>ROUND(IF(LEFT(D1602,3)="Std",VLOOKUP(D1602,'Measure &amp; Standard CostIDs'!$S$5:$X$177,1+B1602,FALSE),VLOOKUP(D1602,'Measure &amp; Standard CostIDs'!$C$5:$H$177,1+B1602,FALSE)),2)</f>
        <v>4.4800000000000004</v>
      </c>
      <c r="X1602" s="103"/>
      <c r="Y1602" s="103"/>
      <c r="Z1602" s="103" t="s">
        <v>868</v>
      </c>
      <c r="AA1602" s="103" t="s">
        <v>874</v>
      </c>
      <c r="AB1602" s="103" t="s">
        <v>153</v>
      </c>
      <c r="AC1602" s="103">
        <v>0</v>
      </c>
      <c r="AD1602" s="156">
        <v>42005</v>
      </c>
      <c r="AE1602" s="103"/>
      <c r="AF1602" s="103" t="s">
        <v>870</v>
      </c>
      <c r="AG1602" s="103" t="s">
        <v>871</v>
      </c>
      <c r="AH1602" s="103" t="s">
        <v>976</v>
      </c>
      <c r="AI1602" s="103">
        <v>0</v>
      </c>
      <c r="AJ1602" s="103"/>
      <c r="AK1602" s="103"/>
      <c r="AL1602" s="103"/>
      <c r="AM1602" s="103"/>
      <c r="AN1602" s="103"/>
      <c r="AO1602" s="103" t="str">
        <f t="shared" si="91"/>
        <v>Std_CFLscw-Dim(33w)_60pInc-r0248Four+pack</v>
      </c>
    </row>
    <row r="1603" spans="1:41">
      <c r="A1603" s="177">
        <f>IFERROR(MATCH(D1603,'Measure &amp; Standard CostIDs'!C$5:C$177,0),MATCH(D1603,'Measure &amp; Standard CostIDs'!S$5:S$177,0))</f>
        <v>119</v>
      </c>
      <c r="B1603" s="177">
        <f t="shared" si="89"/>
        <v>5</v>
      </c>
      <c r="C1603" s="103" t="s">
        <v>153</v>
      </c>
      <c r="D1603" s="103" t="str">
        <f t="shared" si="88"/>
        <v>Std_CFLscw-Dim(35w)_60pInc-r0248</v>
      </c>
      <c r="E1603" s="103" t="str">
        <f>IF(LEFT(D1603,3)="Std","Base case cost for mix of 60% Incandescent and 40% CFL lamps for CFL TechID: "&amp;INDEX('Measure &amp; Standard CostIDs'!$C$5:$C$177,A1603),"&lt;from TechID&gt;")</f>
        <v>Base case cost for mix of 60% Incandescent and 40% CFL lamps for CFL TechID: CFLscw-Dim(35w)</v>
      </c>
      <c r="F1603" s="103" t="s">
        <v>860</v>
      </c>
      <c r="G1603" s="103" t="s">
        <v>151</v>
      </c>
      <c r="H1603" s="103" t="s">
        <v>861</v>
      </c>
      <c r="I1603" s="103" t="s">
        <v>862</v>
      </c>
      <c r="J1603" s="103" t="s">
        <v>863</v>
      </c>
      <c r="K1603" s="103" t="s">
        <v>864</v>
      </c>
      <c r="L1603" s="103" t="s">
        <v>153</v>
      </c>
      <c r="M1603" s="103" t="s">
        <v>865</v>
      </c>
      <c r="N1603" s="103" t="s">
        <v>866</v>
      </c>
      <c r="O1603" s="103" t="str">
        <f t="shared" si="90"/>
        <v/>
      </c>
      <c r="P1603" s="103" t="s">
        <v>153</v>
      </c>
      <c r="Q1603" s="103" t="s">
        <v>153</v>
      </c>
      <c r="R1603" s="103" t="s">
        <v>153</v>
      </c>
      <c r="S1603" s="103" t="str">
        <f>INDEX('Measure &amp; Standard CostIDs'!$AK$8:$AK$12,B1603)</f>
        <v>Four+pack</v>
      </c>
      <c r="T1603" s="103" t="s">
        <v>867</v>
      </c>
      <c r="U1603" s="103"/>
      <c r="V1603" s="103"/>
      <c r="W1603" s="103">
        <f>ROUND(IF(LEFT(D1603,3)="Std",VLOOKUP(D1603,'Measure &amp; Standard CostIDs'!$S$5:$X$177,1+B1603,FALSE),VLOOKUP(D1603,'Measure &amp; Standard CostIDs'!$C$5:$H$177,1+B1603,FALSE)),2)</f>
        <v>4.6100000000000003</v>
      </c>
      <c r="X1603" s="103"/>
      <c r="Y1603" s="103"/>
      <c r="Z1603" s="103" t="s">
        <v>868</v>
      </c>
      <c r="AA1603" s="103" t="s">
        <v>874</v>
      </c>
      <c r="AB1603" s="103" t="s">
        <v>153</v>
      </c>
      <c r="AC1603" s="103">
        <v>0</v>
      </c>
      <c r="AD1603" s="156">
        <v>42005</v>
      </c>
      <c r="AE1603" s="103"/>
      <c r="AF1603" s="103" t="s">
        <v>870</v>
      </c>
      <c r="AG1603" s="103" t="s">
        <v>871</v>
      </c>
      <c r="AH1603" s="103" t="s">
        <v>976</v>
      </c>
      <c r="AI1603" s="103">
        <v>0</v>
      </c>
      <c r="AJ1603" s="103"/>
      <c r="AK1603" s="103"/>
      <c r="AL1603" s="103"/>
      <c r="AM1603" s="103"/>
      <c r="AN1603" s="103"/>
      <c r="AO1603" s="103" t="str">
        <f t="shared" si="91"/>
        <v>Std_CFLscw-Dim(35w)_60pInc-r0248Four+pack</v>
      </c>
    </row>
    <row r="1604" spans="1:41">
      <c r="A1604" s="177">
        <f>IFERROR(MATCH(D1604,'Measure &amp; Standard CostIDs'!C$5:C$177,0),MATCH(D1604,'Measure &amp; Standard CostIDs'!S$5:S$177,0))</f>
        <v>120</v>
      </c>
      <c r="B1604" s="177">
        <f t="shared" si="89"/>
        <v>5</v>
      </c>
      <c r="C1604" s="103" t="s">
        <v>153</v>
      </c>
      <c r="D1604" s="103" t="str">
        <f t="shared" si="88"/>
        <v>Std_CFLscw-Dim(38w)_60pInc-r0248</v>
      </c>
      <c r="E1604" s="103" t="str">
        <f>IF(LEFT(D1604,3)="Std","Base case cost for mix of 60% Incandescent and 40% CFL lamps for CFL TechID: "&amp;INDEX('Measure &amp; Standard CostIDs'!$C$5:$C$177,A1604),"&lt;from TechID&gt;")</f>
        <v>Base case cost for mix of 60% Incandescent and 40% CFL lamps for CFL TechID: CFLscw-Dim(38w)</v>
      </c>
      <c r="F1604" s="103" t="s">
        <v>860</v>
      </c>
      <c r="G1604" s="103" t="s">
        <v>151</v>
      </c>
      <c r="H1604" s="103" t="s">
        <v>861</v>
      </c>
      <c r="I1604" s="103" t="s">
        <v>862</v>
      </c>
      <c r="J1604" s="103" t="s">
        <v>863</v>
      </c>
      <c r="K1604" s="103" t="s">
        <v>864</v>
      </c>
      <c r="L1604" s="103" t="s">
        <v>153</v>
      </c>
      <c r="M1604" s="103" t="s">
        <v>865</v>
      </c>
      <c r="N1604" s="103" t="s">
        <v>866</v>
      </c>
      <c r="O1604" s="103" t="str">
        <f t="shared" si="90"/>
        <v/>
      </c>
      <c r="P1604" s="103" t="s">
        <v>153</v>
      </c>
      <c r="Q1604" s="103" t="s">
        <v>153</v>
      </c>
      <c r="R1604" s="103" t="s">
        <v>153</v>
      </c>
      <c r="S1604" s="103" t="str">
        <f>INDEX('Measure &amp; Standard CostIDs'!$AK$8:$AK$12,B1604)</f>
        <v>Four+pack</v>
      </c>
      <c r="T1604" s="103" t="s">
        <v>867</v>
      </c>
      <c r="U1604" s="103"/>
      <c r="V1604" s="103"/>
      <c r="W1604" s="103">
        <f>ROUND(IF(LEFT(D1604,3)="Std",VLOOKUP(D1604,'Measure &amp; Standard CostIDs'!$S$5:$X$177,1+B1604,FALSE),VLOOKUP(D1604,'Measure &amp; Standard CostIDs'!$C$5:$H$177,1+B1604,FALSE)),2)</f>
        <v>4.8099999999999996</v>
      </c>
      <c r="X1604" s="103"/>
      <c r="Y1604" s="103"/>
      <c r="Z1604" s="103" t="s">
        <v>868</v>
      </c>
      <c r="AA1604" s="103" t="s">
        <v>874</v>
      </c>
      <c r="AB1604" s="103" t="s">
        <v>153</v>
      </c>
      <c r="AC1604" s="103">
        <v>0</v>
      </c>
      <c r="AD1604" s="156">
        <v>42005</v>
      </c>
      <c r="AE1604" s="103"/>
      <c r="AF1604" s="103" t="s">
        <v>870</v>
      </c>
      <c r="AG1604" s="103" t="s">
        <v>871</v>
      </c>
      <c r="AH1604" s="103" t="s">
        <v>976</v>
      </c>
      <c r="AI1604" s="103">
        <v>0</v>
      </c>
      <c r="AJ1604" s="103"/>
      <c r="AK1604" s="103"/>
      <c r="AL1604" s="103"/>
      <c r="AM1604" s="103"/>
      <c r="AN1604" s="103"/>
      <c r="AO1604" s="103" t="str">
        <f t="shared" si="91"/>
        <v>Std_CFLscw-Dim(38w)_60pInc-r0248Four+pack</v>
      </c>
    </row>
    <row r="1605" spans="1:41">
      <c r="A1605" s="177">
        <f>IFERROR(MATCH(D1605,'Measure &amp; Standard CostIDs'!C$5:C$177,0),MATCH(D1605,'Measure &amp; Standard CostIDs'!S$5:S$177,0))</f>
        <v>121</v>
      </c>
      <c r="B1605" s="177">
        <f t="shared" si="89"/>
        <v>5</v>
      </c>
      <c r="C1605" s="103" t="s">
        <v>153</v>
      </c>
      <c r="D1605" s="103" t="str">
        <f t="shared" si="88"/>
        <v>Std_CFLscw-Dim(40w)_60pInc-r0248</v>
      </c>
      <c r="E1605" s="103" t="str">
        <f>IF(LEFT(D1605,3)="Std","Base case cost for mix of 60% Incandescent and 40% CFL lamps for CFL TechID: "&amp;INDEX('Measure &amp; Standard CostIDs'!$C$5:$C$177,A1605),"&lt;from TechID&gt;")</f>
        <v>Base case cost for mix of 60% Incandescent and 40% CFL lamps for CFL TechID: CFLscw-Dim(40w)</v>
      </c>
      <c r="F1605" s="103" t="s">
        <v>860</v>
      </c>
      <c r="G1605" s="103" t="s">
        <v>151</v>
      </c>
      <c r="H1605" s="103" t="s">
        <v>861</v>
      </c>
      <c r="I1605" s="103" t="s">
        <v>862</v>
      </c>
      <c r="J1605" s="103" t="s">
        <v>863</v>
      </c>
      <c r="K1605" s="103" t="s">
        <v>864</v>
      </c>
      <c r="L1605" s="103" t="s">
        <v>153</v>
      </c>
      <c r="M1605" s="103" t="s">
        <v>865</v>
      </c>
      <c r="N1605" s="103" t="s">
        <v>866</v>
      </c>
      <c r="O1605" s="103" t="str">
        <f t="shared" si="90"/>
        <v/>
      </c>
      <c r="P1605" s="103" t="s">
        <v>153</v>
      </c>
      <c r="Q1605" s="103" t="s">
        <v>153</v>
      </c>
      <c r="R1605" s="103" t="s">
        <v>153</v>
      </c>
      <c r="S1605" s="103" t="str">
        <f>INDEX('Measure &amp; Standard CostIDs'!$AK$8:$AK$12,B1605)</f>
        <v>Four+pack</v>
      </c>
      <c r="T1605" s="103" t="s">
        <v>867</v>
      </c>
      <c r="U1605" s="103"/>
      <c r="V1605" s="103"/>
      <c r="W1605" s="103">
        <f>ROUND(IF(LEFT(D1605,3)="Std",VLOOKUP(D1605,'Measure &amp; Standard CostIDs'!$S$5:$X$177,1+B1605,FALSE),VLOOKUP(D1605,'Measure &amp; Standard CostIDs'!$C$5:$H$177,1+B1605,FALSE)),2)</f>
        <v>4.9400000000000004</v>
      </c>
      <c r="X1605" s="103"/>
      <c r="Y1605" s="103"/>
      <c r="Z1605" s="103" t="s">
        <v>868</v>
      </c>
      <c r="AA1605" s="103" t="s">
        <v>874</v>
      </c>
      <c r="AB1605" s="103" t="s">
        <v>153</v>
      </c>
      <c r="AC1605" s="103">
        <v>0</v>
      </c>
      <c r="AD1605" s="156">
        <v>42005</v>
      </c>
      <c r="AE1605" s="103"/>
      <c r="AF1605" s="103" t="s">
        <v>870</v>
      </c>
      <c r="AG1605" s="103" t="s">
        <v>871</v>
      </c>
      <c r="AH1605" s="103" t="s">
        <v>976</v>
      </c>
      <c r="AI1605" s="103">
        <v>0</v>
      </c>
      <c r="AJ1605" s="103"/>
      <c r="AK1605" s="103"/>
      <c r="AL1605" s="103"/>
      <c r="AM1605" s="103"/>
      <c r="AN1605" s="103"/>
      <c r="AO1605" s="103" t="str">
        <f t="shared" si="91"/>
        <v>Std_CFLscw-Dim(40w)_60pInc-r0248Four+pack</v>
      </c>
    </row>
    <row r="1606" spans="1:41">
      <c r="A1606" s="177">
        <f>IFERROR(MATCH(D1606,'Measure &amp; Standard CostIDs'!C$5:C$177,0),MATCH(D1606,'Measure &amp; Standard CostIDs'!S$5:S$177,0))</f>
        <v>125</v>
      </c>
      <c r="B1606" s="177">
        <f t="shared" si="89"/>
        <v>5</v>
      </c>
      <c r="C1606" s="103" t="s">
        <v>153</v>
      </c>
      <c r="D1606" s="103" t="str">
        <f t="shared" si="88"/>
        <v>Std_CFLscw-Glb(10w)_60pInc-r0248</v>
      </c>
      <c r="E1606" s="103" t="str">
        <f>IF(LEFT(D1606,3)="Std","Base case cost for mix of 60% Incandescent and 40% CFL lamps for CFL TechID: "&amp;INDEX('Measure &amp; Standard CostIDs'!$C$5:$C$177,A1606),"&lt;from TechID&gt;")</f>
        <v>Base case cost for mix of 60% Incandescent and 40% CFL lamps for CFL TechID: CFLscw-Glb(10w)</v>
      </c>
      <c r="F1606" s="103" t="s">
        <v>860</v>
      </c>
      <c r="G1606" s="103" t="s">
        <v>151</v>
      </c>
      <c r="H1606" s="103" t="s">
        <v>861</v>
      </c>
      <c r="I1606" s="103" t="s">
        <v>862</v>
      </c>
      <c r="J1606" s="103" t="s">
        <v>863</v>
      </c>
      <c r="K1606" s="103" t="s">
        <v>864</v>
      </c>
      <c r="L1606" s="103" t="s">
        <v>153</v>
      </c>
      <c r="M1606" s="103" t="s">
        <v>865</v>
      </c>
      <c r="N1606" s="103" t="s">
        <v>866</v>
      </c>
      <c r="O1606" s="103" t="str">
        <f t="shared" si="90"/>
        <v/>
      </c>
      <c r="P1606" s="103" t="s">
        <v>153</v>
      </c>
      <c r="Q1606" s="103" t="s">
        <v>153</v>
      </c>
      <c r="R1606" s="103" t="s">
        <v>153</v>
      </c>
      <c r="S1606" s="103" t="str">
        <f>INDEX('Measure &amp; Standard CostIDs'!$AK$8:$AK$12,B1606)</f>
        <v>Four+pack</v>
      </c>
      <c r="T1606" s="103" t="s">
        <v>867</v>
      </c>
      <c r="U1606" s="103"/>
      <c r="V1606" s="103"/>
      <c r="W1606" s="103">
        <f>ROUND(IF(LEFT(D1606,3)="Std",VLOOKUP(D1606,'Measure &amp; Standard CostIDs'!$S$5:$X$177,1+B1606,FALSE),VLOOKUP(D1606,'Measure &amp; Standard CostIDs'!$C$5:$H$177,1+B1606,FALSE)),2)</f>
        <v>3.02</v>
      </c>
      <c r="X1606" s="103"/>
      <c r="Y1606" s="103"/>
      <c r="Z1606" s="103" t="s">
        <v>868</v>
      </c>
      <c r="AA1606" s="103" t="s">
        <v>874</v>
      </c>
      <c r="AB1606" s="103" t="s">
        <v>153</v>
      </c>
      <c r="AC1606" s="103">
        <v>0</v>
      </c>
      <c r="AD1606" s="156">
        <v>42005</v>
      </c>
      <c r="AE1606" s="103"/>
      <c r="AF1606" s="103" t="s">
        <v>870</v>
      </c>
      <c r="AG1606" s="103" t="s">
        <v>871</v>
      </c>
      <c r="AH1606" s="103" t="s">
        <v>976</v>
      </c>
      <c r="AI1606" s="103">
        <v>0</v>
      </c>
      <c r="AJ1606" s="103"/>
      <c r="AK1606" s="103"/>
      <c r="AL1606" s="103"/>
      <c r="AM1606" s="103"/>
      <c r="AN1606" s="103"/>
      <c r="AO1606" s="103" t="str">
        <f t="shared" si="91"/>
        <v>Std_CFLscw-Glb(10w)_60pInc-r0248Four+pack</v>
      </c>
    </row>
    <row r="1607" spans="1:41">
      <c r="A1607" s="177">
        <f>IFERROR(MATCH(D1607,'Measure &amp; Standard CostIDs'!C$5:C$177,0),MATCH(D1607,'Measure &amp; Standard CostIDs'!S$5:S$177,0))</f>
        <v>126</v>
      </c>
      <c r="B1607" s="177">
        <f t="shared" si="89"/>
        <v>5</v>
      </c>
      <c r="C1607" s="103" t="s">
        <v>153</v>
      </c>
      <c r="D1607" s="103" t="str">
        <f t="shared" si="88"/>
        <v>Std_CFLscw-Glb(11w)_60pInc-r0248</v>
      </c>
      <c r="E1607" s="103" t="str">
        <f>IF(LEFT(D1607,3)="Std","Base case cost for mix of 60% Incandescent and 40% CFL lamps for CFL TechID: "&amp;INDEX('Measure &amp; Standard CostIDs'!$C$5:$C$177,A1607),"&lt;from TechID&gt;")</f>
        <v>Base case cost for mix of 60% Incandescent and 40% CFL lamps for CFL TechID: CFLscw-Glb(11w)</v>
      </c>
      <c r="F1607" s="103" t="s">
        <v>860</v>
      </c>
      <c r="G1607" s="103" t="s">
        <v>151</v>
      </c>
      <c r="H1607" s="103" t="s">
        <v>861</v>
      </c>
      <c r="I1607" s="103" t="s">
        <v>862</v>
      </c>
      <c r="J1607" s="103" t="s">
        <v>863</v>
      </c>
      <c r="K1607" s="103" t="s">
        <v>864</v>
      </c>
      <c r="L1607" s="103" t="s">
        <v>153</v>
      </c>
      <c r="M1607" s="103" t="s">
        <v>865</v>
      </c>
      <c r="N1607" s="103" t="s">
        <v>866</v>
      </c>
      <c r="O1607" s="103" t="str">
        <f t="shared" si="90"/>
        <v/>
      </c>
      <c r="P1607" s="103" t="s">
        <v>153</v>
      </c>
      <c r="Q1607" s="103" t="s">
        <v>153</v>
      </c>
      <c r="R1607" s="103" t="s">
        <v>153</v>
      </c>
      <c r="S1607" s="103" t="str">
        <f>INDEX('Measure &amp; Standard CostIDs'!$AK$8:$AK$12,B1607)</f>
        <v>Four+pack</v>
      </c>
      <c r="T1607" s="103" t="s">
        <v>867</v>
      </c>
      <c r="U1607" s="103"/>
      <c r="V1607" s="103"/>
      <c r="W1607" s="103">
        <f>ROUND(IF(LEFT(D1607,3)="Std",VLOOKUP(D1607,'Measure &amp; Standard CostIDs'!$S$5:$X$177,1+B1607,FALSE),VLOOKUP(D1607,'Measure &amp; Standard CostIDs'!$C$5:$H$177,1+B1607,FALSE)),2)</f>
        <v>3.03</v>
      </c>
      <c r="X1607" s="103"/>
      <c r="Y1607" s="103"/>
      <c r="Z1607" s="103" t="s">
        <v>868</v>
      </c>
      <c r="AA1607" s="103" t="s">
        <v>874</v>
      </c>
      <c r="AB1607" s="103" t="s">
        <v>153</v>
      </c>
      <c r="AC1607" s="103">
        <v>0</v>
      </c>
      <c r="AD1607" s="156">
        <v>42005</v>
      </c>
      <c r="AE1607" s="103"/>
      <c r="AF1607" s="103" t="s">
        <v>870</v>
      </c>
      <c r="AG1607" s="103" t="s">
        <v>871</v>
      </c>
      <c r="AH1607" s="103" t="s">
        <v>976</v>
      </c>
      <c r="AI1607" s="103">
        <v>0</v>
      </c>
      <c r="AJ1607" s="103"/>
      <c r="AK1607" s="103"/>
      <c r="AL1607" s="103"/>
      <c r="AM1607" s="103"/>
      <c r="AN1607" s="103"/>
      <c r="AO1607" s="103" t="str">
        <f t="shared" si="91"/>
        <v>Std_CFLscw-Glb(11w)_60pInc-r0248Four+pack</v>
      </c>
    </row>
    <row r="1608" spans="1:41">
      <c r="A1608" s="177">
        <f>IFERROR(MATCH(D1608,'Measure &amp; Standard CostIDs'!C$5:C$177,0),MATCH(D1608,'Measure &amp; Standard CostIDs'!S$5:S$177,0))</f>
        <v>127</v>
      </c>
      <c r="B1608" s="177">
        <f t="shared" si="89"/>
        <v>5</v>
      </c>
      <c r="C1608" s="103" t="s">
        <v>153</v>
      </c>
      <c r="D1608" s="103" t="str">
        <f t="shared" si="88"/>
        <v>Std_CFLscw-Glb(12w)_60pInc-r0248</v>
      </c>
      <c r="E1608" s="103" t="str">
        <f>IF(LEFT(D1608,3)="Std","Base case cost for mix of 60% Incandescent and 40% CFL lamps for CFL TechID: "&amp;INDEX('Measure &amp; Standard CostIDs'!$C$5:$C$177,A1608),"&lt;from TechID&gt;")</f>
        <v>Base case cost for mix of 60% Incandescent and 40% CFL lamps for CFL TechID: CFLscw-Glb(12w)</v>
      </c>
      <c r="F1608" s="103" t="s">
        <v>860</v>
      </c>
      <c r="G1608" s="103" t="s">
        <v>151</v>
      </c>
      <c r="H1608" s="103" t="s">
        <v>861</v>
      </c>
      <c r="I1608" s="103" t="s">
        <v>862</v>
      </c>
      <c r="J1608" s="103" t="s">
        <v>863</v>
      </c>
      <c r="K1608" s="103" t="s">
        <v>864</v>
      </c>
      <c r="L1608" s="103" t="s">
        <v>153</v>
      </c>
      <c r="M1608" s="103" t="s">
        <v>865</v>
      </c>
      <c r="N1608" s="103" t="s">
        <v>866</v>
      </c>
      <c r="O1608" s="103" t="str">
        <f t="shared" si="90"/>
        <v/>
      </c>
      <c r="P1608" s="103" t="s">
        <v>153</v>
      </c>
      <c r="Q1608" s="103" t="s">
        <v>153</v>
      </c>
      <c r="R1608" s="103" t="s">
        <v>153</v>
      </c>
      <c r="S1608" s="103" t="str">
        <f>INDEX('Measure &amp; Standard CostIDs'!$AK$8:$AK$12,B1608)</f>
        <v>Four+pack</v>
      </c>
      <c r="T1608" s="103" t="s">
        <v>867</v>
      </c>
      <c r="U1608" s="103"/>
      <c r="V1608" s="103"/>
      <c r="W1608" s="103">
        <f>ROUND(IF(LEFT(D1608,3)="Std",VLOOKUP(D1608,'Measure &amp; Standard CostIDs'!$S$5:$X$177,1+B1608,FALSE),VLOOKUP(D1608,'Measure &amp; Standard CostIDs'!$C$5:$H$177,1+B1608,FALSE)),2)</f>
        <v>3.04</v>
      </c>
      <c r="X1608" s="103"/>
      <c r="Y1608" s="103"/>
      <c r="Z1608" s="103" t="s">
        <v>868</v>
      </c>
      <c r="AA1608" s="103" t="s">
        <v>874</v>
      </c>
      <c r="AB1608" s="103" t="s">
        <v>153</v>
      </c>
      <c r="AC1608" s="103">
        <v>0</v>
      </c>
      <c r="AD1608" s="156">
        <v>42005</v>
      </c>
      <c r="AE1608" s="103"/>
      <c r="AF1608" s="103" t="s">
        <v>870</v>
      </c>
      <c r="AG1608" s="103" t="s">
        <v>871</v>
      </c>
      <c r="AH1608" s="103" t="s">
        <v>976</v>
      </c>
      <c r="AI1608" s="103">
        <v>0</v>
      </c>
      <c r="AJ1608" s="103"/>
      <c r="AK1608" s="103"/>
      <c r="AL1608" s="103"/>
      <c r="AM1608" s="103"/>
      <c r="AN1608" s="103"/>
      <c r="AO1608" s="103" t="str">
        <f t="shared" si="91"/>
        <v>Std_CFLscw-Glb(12w)_60pInc-r0248Four+pack</v>
      </c>
    </row>
    <row r="1609" spans="1:41">
      <c r="A1609" s="177">
        <f>IFERROR(MATCH(D1609,'Measure &amp; Standard CostIDs'!C$5:C$177,0),MATCH(D1609,'Measure &amp; Standard CostIDs'!S$5:S$177,0))</f>
        <v>128</v>
      </c>
      <c r="B1609" s="177">
        <f t="shared" si="89"/>
        <v>5</v>
      </c>
      <c r="C1609" s="103" t="s">
        <v>153</v>
      </c>
      <c r="D1609" s="103" t="str">
        <f t="shared" si="88"/>
        <v>Std_CFLscw-Glb(13w)_60pInc-r0248</v>
      </c>
      <c r="E1609" s="103" t="str">
        <f>IF(LEFT(D1609,3)="Std","Base case cost for mix of 60% Incandescent and 40% CFL lamps for CFL TechID: "&amp;INDEX('Measure &amp; Standard CostIDs'!$C$5:$C$177,A1609),"&lt;from TechID&gt;")</f>
        <v>Base case cost for mix of 60% Incandescent and 40% CFL lamps for CFL TechID: CFLscw-Glb(13w)</v>
      </c>
      <c r="F1609" s="103" t="s">
        <v>860</v>
      </c>
      <c r="G1609" s="103" t="s">
        <v>151</v>
      </c>
      <c r="H1609" s="103" t="s">
        <v>861</v>
      </c>
      <c r="I1609" s="103" t="s">
        <v>862</v>
      </c>
      <c r="J1609" s="103" t="s">
        <v>863</v>
      </c>
      <c r="K1609" s="103" t="s">
        <v>864</v>
      </c>
      <c r="L1609" s="103" t="s">
        <v>153</v>
      </c>
      <c r="M1609" s="103" t="s">
        <v>865</v>
      </c>
      <c r="N1609" s="103" t="s">
        <v>866</v>
      </c>
      <c r="O1609" s="103" t="str">
        <f t="shared" si="90"/>
        <v/>
      </c>
      <c r="P1609" s="103" t="s">
        <v>153</v>
      </c>
      <c r="Q1609" s="103" t="s">
        <v>153</v>
      </c>
      <c r="R1609" s="103" t="s">
        <v>153</v>
      </c>
      <c r="S1609" s="103" t="str">
        <f>INDEX('Measure &amp; Standard CostIDs'!$AK$8:$AK$12,B1609)</f>
        <v>Four+pack</v>
      </c>
      <c r="T1609" s="103" t="s">
        <v>867</v>
      </c>
      <c r="U1609" s="103"/>
      <c r="V1609" s="103"/>
      <c r="W1609" s="103">
        <f>ROUND(IF(LEFT(D1609,3)="Std",VLOOKUP(D1609,'Measure &amp; Standard CostIDs'!$S$5:$X$177,1+B1609,FALSE),VLOOKUP(D1609,'Measure &amp; Standard CostIDs'!$C$5:$H$177,1+B1609,FALSE)),2)</f>
        <v>3.05</v>
      </c>
      <c r="X1609" s="103"/>
      <c r="Y1609" s="103"/>
      <c r="Z1609" s="103" t="s">
        <v>868</v>
      </c>
      <c r="AA1609" s="103" t="s">
        <v>874</v>
      </c>
      <c r="AB1609" s="103" t="s">
        <v>153</v>
      </c>
      <c r="AC1609" s="103">
        <v>0</v>
      </c>
      <c r="AD1609" s="156">
        <v>42005</v>
      </c>
      <c r="AE1609" s="103"/>
      <c r="AF1609" s="103" t="s">
        <v>870</v>
      </c>
      <c r="AG1609" s="103" t="s">
        <v>871</v>
      </c>
      <c r="AH1609" s="103" t="s">
        <v>976</v>
      </c>
      <c r="AI1609" s="103">
        <v>0</v>
      </c>
      <c r="AJ1609" s="103"/>
      <c r="AK1609" s="103"/>
      <c r="AL1609" s="103"/>
      <c r="AM1609" s="103"/>
      <c r="AN1609" s="103"/>
      <c r="AO1609" s="103" t="str">
        <f t="shared" si="91"/>
        <v>Std_CFLscw-Glb(13w)_60pInc-r0248Four+pack</v>
      </c>
    </row>
    <row r="1610" spans="1:41">
      <c r="A1610" s="177">
        <f>IFERROR(MATCH(D1610,'Measure &amp; Standard CostIDs'!C$5:C$177,0),MATCH(D1610,'Measure &amp; Standard CostIDs'!S$5:S$177,0))</f>
        <v>129</v>
      </c>
      <c r="B1610" s="177">
        <f t="shared" si="89"/>
        <v>5</v>
      </c>
      <c r="C1610" s="103" t="s">
        <v>153</v>
      </c>
      <c r="D1610" s="103" t="str">
        <f t="shared" si="88"/>
        <v>Std_CFLscw-Glb(14w)_60pInc-r0248</v>
      </c>
      <c r="E1610" s="103" t="str">
        <f>IF(LEFT(D1610,3)="Std","Base case cost for mix of 60% Incandescent and 40% CFL lamps for CFL TechID: "&amp;INDEX('Measure &amp; Standard CostIDs'!$C$5:$C$177,A1610),"&lt;from TechID&gt;")</f>
        <v>Base case cost for mix of 60% Incandescent and 40% CFL lamps for CFL TechID: CFLscw-Glb(14w)</v>
      </c>
      <c r="F1610" s="103" t="s">
        <v>860</v>
      </c>
      <c r="G1610" s="103" t="s">
        <v>151</v>
      </c>
      <c r="H1610" s="103" t="s">
        <v>861</v>
      </c>
      <c r="I1610" s="103" t="s">
        <v>862</v>
      </c>
      <c r="J1610" s="103" t="s">
        <v>863</v>
      </c>
      <c r="K1610" s="103" t="s">
        <v>864</v>
      </c>
      <c r="L1610" s="103" t="s">
        <v>153</v>
      </c>
      <c r="M1610" s="103" t="s">
        <v>865</v>
      </c>
      <c r="N1610" s="103" t="s">
        <v>866</v>
      </c>
      <c r="O1610" s="103" t="str">
        <f t="shared" si="90"/>
        <v/>
      </c>
      <c r="P1610" s="103" t="s">
        <v>153</v>
      </c>
      <c r="Q1610" s="103" t="s">
        <v>153</v>
      </c>
      <c r="R1610" s="103" t="s">
        <v>153</v>
      </c>
      <c r="S1610" s="103" t="str">
        <f>INDEX('Measure &amp; Standard CostIDs'!$AK$8:$AK$12,B1610)</f>
        <v>Four+pack</v>
      </c>
      <c r="T1610" s="103" t="s">
        <v>867</v>
      </c>
      <c r="U1610" s="103"/>
      <c r="V1610" s="103"/>
      <c r="W1610" s="103">
        <f>ROUND(IF(LEFT(D1610,3)="Std",VLOOKUP(D1610,'Measure &amp; Standard CostIDs'!$S$5:$X$177,1+B1610,FALSE),VLOOKUP(D1610,'Measure &amp; Standard CostIDs'!$C$5:$H$177,1+B1610,FALSE)),2)</f>
        <v>3.06</v>
      </c>
      <c r="X1610" s="103"/>
      <c r="Y1610" s="103"/>
      <c r="Z1610" s="103" t="s">
        <v>868</v>
      </c>
      <c r="AA1610" s="103" t="s">
        <v>874</v>
      </c>
      <c r="AB1610" s="103" t="s">
        <v>153</v>
      </c>
      <c r="AC1610" s="103">
        <v>0</v>
      </c>
      <c r="AD1610" s="156">
        <v>42005</v>
      </c>
      <c r="AE1610" s="103"/>
      <c r="AF1610" s="103" t="s">
        <v>870</v>
      </c>
      <c r="AG1610" s="103" t="s">
        <v>871</v>
      </c>
      <c r="AH1610" s="103" t="s">
        <v>976</v>
      </c>
      <c r="AI1610" s="103">
        <v>0</v>
      </c>
      <c r="AJ1610" s="103"/>
      <c r="AK1610" s="103"/>
      <c r="AL1610" s="103"/>
      <c r="AM1610" s="103"/>
      <c r="AN1610" s="103"/>
      <c r="AO1610" s="103" t="str">
        <f t="shared" si="91"/>
        <v>Std_CFLscw-Glb(14w)_60pInc-r0248Four+pack</v>
      </c>
    </row>
    <row r="1611" spans="1:41">
      <c r="A1611" s="177">
        <f>IFERROR(MATCH(D1611,'Measure &amp; Standard CostIDs'!C$5:C$177,0),MATCH(D1611,'Measure &amp; Standard CostIDs'!S$5:S$177,0))</f>
        <v>130</v>
      </c>
      <c r="B1611" s="177">
        <f t="shared" si="89"/>
        <v>5</v>
      </c>
      <c r="C1611" s="103" t="s">
        <v>153</v>
      </c>
      <c r="D1611" s="103" t="str">
        <f t="shared" si="88"/>
        <v>Std_CFLscw-Glb(15w)_60pInc-r0248</v>
      </c>
      <c r="E1611" s="103" t="str">
        <f>IF(LEFT(D1611,3)="Std","Base case cost for mix of 60% Incandescent and 40% CFL lamps for CFL TechID: "&amp;INDEX('Measure &amp; Standard CostIDs'!$C$5:$C$177,A1611),"&lt;from TechID&gt;")</f>
        <v>Base case cost for mix of 60% Incandescent and 40% CFL lamps for CFL TechID: CFLscw-Glb(15w)</v>
      </c>
      <c r="F1611" s="103" t="s">
        <v>860</v>
      </c>
      <c r="G1611" s="103" t="s">
        <v>151</v>
      </c>
      <c r="H1611" s="103" t="s">
        <v>861</v>
      </c>
      <c r="I1611" s="103" t="s">
        <v>862</v>
      </c>
      <c r="J1611" s="103" t="s">
        <v>863</v>
      </c>
      <c r="K1611" s="103" t="s">
        <v>864</v>
      </c>
      <c r="L1611" s="103" t="s">
        <v>153</v>
      </c>
      <c r="M1611" s="103" t="s">
        <v>865</v>
      </c>
      <c r="N1611" s="103" t="s">
        <v>866</v>
      </c>
      <c r="O1611" s="103" t="str">
        <f t="shared" si="90"/>
        <v/>
      </c>
      <c r="P1611" s="103" t="s">
        <v>153</v>
      </c>
      <c r="Q1611" s="103" t="s">
        <v>153</v>
      </c>
      <c r="R1611" s="103" t="s">
        <v>153</v>
      </c>
      <c r="S1611" s="103" t="str">
        <f>INDEX('Measure &amp; Standard CostIDs'!$AK$8:$AK$12,B1611)</f>
        <v>Four+pack</v>
      </c>
      <c r="T1611" s="103" t="s">
        <v>867</v>
      </c>
      <c r="U1611" s="103"/>
      <c r="V1611" s="103"/>
      <c r="W1611" s="103">
        <f>ROUND(IF(LEFT(D1611,3)="Std",VLOOKUP(D1611,'Measure &amp; Standard CostIDs'!$S$5:$X$177,1+B1611,FALSE),VLOOKUP(D1611,'Measure &amp; Standard CostIDs'!$C$5:$H$177,1+B1611,FALSE)),2)</f>
        <v>3.07</v>
      </c>
      <c r="X1611" s="103"/>
      <c r="Y1611" s="103"/>
      <c r="Z1611" s="103" t="s">
        <v>868</v>
      </c>
      <c r="AA1611" s="103" t="s">
        <v>874</v>
      </c>
      <c r="AB1611" s="103" t="s">
        <v>153</v>
      </c>
      <c r="AC1611" s="103">
        <v>0</v>
      </c>
      <c r="AD1611" s="156">
        <v>42005</v>
      </c>
      <c r="AE1611" s="103"/>
      <c r="AF1611" s="103" t="s">
        <v>870</v>
      </c>
      <c r="AG1611" s="103" t="s">
        <v>871</v>
      </c>
      <c r="AH1611" s="103" t="s">
        <v>976</v>
      </c>
      <c r="AI1611" s="103">
        <v>0</v>
      </c>
      <c r="AJ1611" s="103"/>
      <c r="AK1611" s="103"/>
      <c r="AL1611" s="103"/>
      <c r="AM1611" s="103"/>
      <c r="AN1611" s="103"/>
      <c r="AO1611" s="103" t="str">
        <f t="shared" si="91"/>
        <v>Std_CFLscw-Glb(15w)_60pInc-r0248Four+pack</v>
      </c>
    </row>
    <row r="1612" spans="1:41">
      <c r="A1612" s="177">
        <f>IFERROR(MATCH(D1612,'Measure &amp; Standard CostIDs'!C$5:C$177,0),MATCH(D1612,'Measure &amp; Standard CostIDs'!S$5:S$177,0))</f>
        <v>131</v>
      </c>
      <c r="B1612" s="177">
        <f t="shared" si="89"/>
        <v>5</v>
      </c>
      <c r="C1612" s="103" t="s">
        <v>153</v>
      </c>
      <c r="D1612" s="103" t="str">
        <f t="shared" si="88"/>
        <v>Std_CFLscw-Glb(16w)_60pInc-r0248</v>
      </c>
      <c r="E1612" s="103" t="str">
        <f>IF(LEFT(D1612,3)="Std","Base case cost for mix of 60% Incandescent and 40% CFL lamps for CFL TechID: "&amp;INDEX('Measure &amp; Standard CostIDs'!$C$5:$C$177,A1612),"&lt;from TechID&gt;")</f>
        <v>Base case cost for mix of 60% Incandescent and 40% CFL lamps for CFL TechID: CFLscw-Glb(16w)</v>
      </c>
      <c r="F1612" s="103" t="s">
        <v>860</v>
      </c>
      <c r="G1612" s="103" t="s">
        <v>151</v>
      </c>
      <c r="H1612" s="103" t="s">
        <v>861</v>
      </c>
      <c r="I1612" s="103" t="s">
        <v>862</v>
      </c>
      <c r="J1612" s="103" t="s">
        <v>863</v>
      </c>
      <c r="K1612" s="103" t="s">
        <v>864</v>
      </c>
      <c r="L1612" s="103" t="s">
        <v>153</v>
      </c>
      <c r="M1612" s="103" t="s">
        <v>865</v>
      </c>
      <c r="N1612" s="103" t="s">
        <v>866</v>
      </c>
      <c r="O1612" s="103" t="str">
        <f t="shared" si="90"/>
        <v/>
      </c>
      <c r="P1612" s="103" t="s">
        <v>153</v>
      </c>
      <c r="Q1612" s="103" t="s">
        <v>153</v>
      </c>
      <c r="R1612" s="103" t="s">
        <v>153</v>
      </c>
      <c r="S1612" s="103" t="str">
        <f>INDEX('Measure &amp; Standard CostIDs'!$AK$8:$AK$12,B1612)</f>
        <v>Four+pack</v>
      </c>
      <c r="T1612" s="103" t="s">
        <v>867</v>
      </c>
      <c r="U1612" s="103"/>
      <c r="V1612" s="103"/>
      <c r="W1612" s="103">
        <f>ROUND(IF(LEFT(D1612,3)="Std",VLOOKUP(D1612,'Measure &amp; Standard CostIDs'!$S$5:$X$177,1+B1612,FALSE),VLOOKUP(D1612,'Measure &amp; Standard CostIDs'!$C$5:$H$177,1+B1612,FALSE)),2)</f>
        <v>3.08</v>
      </c>
      <c r="X1612" s="103"/>
      <c r="Y1612" s="103"/>
      <c r="Z1612" s="103" t="s">
        <v>868</v>
      </c>
      <c r="AA1612" s="103" t="s">
        <v>874</v>
      </c>
      <c r="AB1612" s="103" t="s">
        <v>153</v>
      </c>
      <c r="AC1612" s="103">
        <v>0</v>
      </c>
      <c r="AD1612" s="156">
        <v>42005</v>
      </c>
      <c r="AE1612" s="103"/>
      <c r="AF1612" s="103" t="s">
        <v>870</v>
      </c>
      <c r="AG1612" s="103" t="s">
        <v>871</v>
      </c>
      <c r="AH1612" s="103" t="s">
        <v>976</v>
      </c>
      <c r="AI1612" s="103">
        <v>0</v>
      </c>
      <c r="AJ1612" s="103"/>
      <c r="AK1612" s="103"/>
      <c r="AL1612" s="103"/>
      <c r="AM1612" s="103"/>
      <c r="AN1612" s="103"/>
      <c r="AO1612" s="103" t="str">
        <f t="shared" si="91"/>
        <v>Std_CFLscw-Glb(16w)_60pInc-r0248Four+pack</v>
      </c>
    </row>
    <row r="1613" spans="1:41">
      <c r="A1613" s="177">
        <f>IFERROR(MATCH(D1613,'Measure &amp; Standard CostIDs'!C$5:C$177,0),MATCH(D1613,'Measure &amp; Standard CostIDs'!S$5:S$177,0))</f>
        <v>132</v>
      </c>
      <c r="B1613" s="177">
        <f t="shared" si="89"/>
        <v>5</v>
      </c>
      <c r="C1613" s="103" t="s">
        <v>153</v>
      </c>
      <c r="D1613" s="103" t="str">
        <f t="shared" si="88"/>
        <v>Std_CFLscw-Glb(18w)_60pInc-r0248</v>
      </c>
      <c r="E1613" s="103" t="str">
        <f>IF(LEFT(D1613,3)="Std","Base case cost for mix of 60% Incandescent and 40% CFL lamps for CFL TechID: "&amp;INDEX('Measure &amp; Standard CostIDs'!$C$5:$C$177,A1613),"&lt;from TechID&gt;")</f>
        <v>Base case cost for mix of 60% Incandescent and 40% CFL lamps for CFL TechID: CFLscw-Glb(18w)</v>
      </c>
      <c r="F1613" s="103" t="s">
        <v>860</v>
      </c>
      <c r="G1613" s="103" t="s">
        <v>151</v>
      </c>
      <c r="H1613" s="103" t="s">
        <v>861</v>
      </c>
      <c r="I1613" s="103" t="s">
        <v>862</v>
      </c>
      <c r="J1613" s="103" t="s">
        <v>863</v>
      </c>
      <c r="K1613" s="103" t="s">
        <v>864</v>
      </c>
      <c r="L1613" s="103" t="s">
        <v>153</v>
      </c>
      <c r="M1613" s="103" t="s">
        <v>865</v>
      </c>
      <c r="N1613" s="103" t="s">
        <v>866</v>
      </c>
      <c r="O1613" s="103" t="str">
        <f t="shared" si="90"/>
        <v/>
      </c>
      <c r="P1613" s="103" t="s">
        <v>153</v>
      </c>
      <c r="Q1613" s="103" t="s">
        <v>153</v>
      </c>
      <c r="R1613" s="103" t="s">
        <v>153</v>
      </c>
      <c r="S1613" s="103" t="str">
        <f>INDEX('Measure &amp; Standard CostIDs'!$AK$8:$AK$12,B1613)</f>
        <v>Four+pack</v>
      </c>
      <c r="T1613" s="103" t="s">
        <v>867</v>
      </c>
      <c r="U1613" s="103"/>
      <c r="V1613" s="103"/>
      <c r="W1613" s="103">
        <f>ROUND(IF(LEFT(D1613,3)="Std",VLOOKUP(D1613,'Measure &amp; Standard CostIDs'!$S$5:$X$177,1+B1613,FALSE),VLOOKUP(D1613,'Measure &amp; Standard CostIDs'!$C$5:$H$177,1+B1613,FALSE)),2)</f>
        <v>3.09</v>
      </c>
      <c r="X1613" s="103"/>
      <c r="Y1613" s="103"/>
      <c r="Z1613" s="103" t="s">
        <v>868</v>
      </c>
      <c r="AA1613" s="103" t="s">
        <v>874</v>
      </c>
      <c r="AB1613" s="103" t="s">
        <v>153</v>
      </c>
      <c r="AC1613" s="103">
        <v>0</v>
      </c>
      <c r="AD1613" s="156">
        <v>42005</v>
      </c>
      <c r="AE1613" s="103"/>
      <c r="AF1613" s="103" t="s">
        <v>870</v>
      </c>
      <c r="AG1613" s="103" t="s">
        <v>871</v>
      </c>
      <c r="AH1613" s="103" t="s">
        <v>976</v>
      </c>
      <c r="AI1613" s="103">
        <v>0</v>
      </c>
      <c r="AJ1613" s="103"/>
      <c r="AK1613" s="103"/>
      <c r="AL1613" s="103"/>
      <c r="AM1613" s="103"/>
      <c r="AN1613" s="103"/>
      <c r="AO1613" s="103" t="str">
        <f t="shared" si="91"/>
        <v>Std_CFLscw-Glb(18w)_60pInc-r0248Four+pack</v>
      </c>
    </row>
    <row r="1614" spans="1:41">
      <c r="A1614" s="177">
        <f>IFERROR(MATCH(D1614,'Measure &amp; Standard CostIDs'!C$5:C$177,0),MATCH(D1614,'Measure &amp; Standard CostIDs'!S$5:S$177,0))</f>
        <v>133</v>
      </c>
      <c r="B1614" s="177">
        <f t="shared" si="89"/>
        <v>5</v>
      </c>
      <c r="C1614" s="103" t="s">
        <v>153</v>
      </c>
      <c r="D1614" s="103" t="str">
        <f t="shared" si="88"/>
        <v>Std_CFLscw-Glb(19w)_60pInc-r0248</v>
      </c>
      <c r="E1614" s="103" t="str">
        <f>IF(LEFT(D1614,3)="Std","Base case cost for mix of 60% Incandescent and 40% CFL lamps for CFL TechID: "&amp;INDEX('Measure &amp; Standard CostIDs'!$C$5:$C$177,A1614),"&lt;from TechID&gt;")</f>
        <v>Base case cost for mix of 60% Incandescent and 40% CFL lamps for CFL TechID: CFLscw-Glb(19w)</v>
      </c>
      <c r="F1614" s="103" t="s">
        <v>860</v>
      </c>
      <c r="G1614" s="103" t="s">
        <v>151</v>
      </c>
      <c r="H1614" s="103" t="s">
        <v>861</v>
      </c>
      <c r="I1614" s="103" t="s">
        <v>862</v>
      </c>
      <c r="J1614" s="103" t="s">
        <v>863</v>
      </c>
      <c r="K1614" s="103" t="s">
        <v>864</v>
      </c>
      <c r="L1614" s="103" t="s">
        <v>153</v>
      </c>
      <c r="M1614" s="103" t="s">
        <v>865</v>
      </c>
      <c r="N1614" s="103" t="s">
        <v>866</v>
      </c>
      <c r="O1614" s="103" t="str">
        <f t="shared" si="90"/>
        <v/>
      </c>
      <c r="P1614" s="103" t="s">
        <v>153</v>
      </c>
      <c r="Q1614" s="103" t="s">
        <v>153</v>
      </c>
      <c r="R1614" s="103" t="s">
        <v>153</v>
      </c>
      <c r="S1614" s="103" t="str">
        <f>INDEX('Measure &amp; Standard CostIDs'!$AK$8:$AK$12,B1614)</f>
        <v>Four+pack</v>
      </c>
      <c r="T1614" s="103" t="s">
        <v>867</v>
      </c>
      <c r="U1614" s="103"/>
      <c r="V1614" s="103"/>
      <c r="W1614" s="103">
        <f>ROUND(IF(LEFT(D1614,3)="Std",VLOOKUP(D1614,'Measure &amp; Standard CostIDs'!$S$5:$X$177,1+B1614,FALSE),VLOOKUP(D1614,'Measure &amp; Standard CostIDs'!$C$5:$H$177,1+B1614,FALSE)),2)</f>
        <v>3.1</v>
      </c>
      <c r="X1614" s="103"/>
      <c r="Y1614" s="103"/>
      <c r="Z1614" s="103" t="s">
        <v>868</v>
      </c>
      <c r="AA1614" s="103" t="s">
        <v>874</v>
      </c>
      <c r="AB1614" s="103" t="s">
        <v>153</v>
      </c>
      <c r="AC1614" s="103">
        <v>0</v>
      </c>
      <c r="AD1614" s="156">
        <v>42005</v>
      </c>
      <c r="AE1614" s="103"/>
      <c r="AF1614" s="103" t="s">
        <v>870</v>
      </c>
      <c r="AG1614" s="103" t="s">
        <v>871</v>
      </c>
      <c r="AH1614" s="103" t="s">
        <v>976</v>
      </c>
      <c r="AI1614" s="103">
        <v>0</v>
      </c>
      <c r="AJ1614" s="103"/>
      <c r="AK1614" s="103"/>
      <c r="AL1614" s="103"/>
      <c r="AM1614" s="103"/>
      <c r="AN1614" s="103"/>
      <c r="AO1614" s="103" t="str">
        <f t="shared" si="91"/>
        <v>Std_CFLscw-Glb(19w)_60pInc-r0248Four+pack</v>
      </c>
    </row>
    <row r="1615" spans="1:41">
      <c r="A1615" s="177">
        <f>IFERROR(MATCH(D1615,'Measure &amp; Standard CostIDs'!C$5:C$177,0),MATCH(D1615,'Measure &amp; Standard CostIDs'!S$5:S$177,0))</f>
        <v>134</v>
      </c>
      <c r="B1615" s="177">
        <f t="shared" si="89"/>
        <v>5</v>
      </c>
      <c r="C1615" s="103" t="s">
        <v>153</v>
      </c>
      <c r="D1615" s="103" t="str">
        <f t="shared" si="88"/>
        <v>Std_CFLscw-Glb(20w)_60pInc-r0248</v>
      </c>
      <c r="E1615" s="103" t="str">
        <f>IF(LEFT(D1615,3)="Std","Base case cost for mix of 60% Incandescent and 40% CFL lamps for CFL TechID: "&amp;INDEX('Measure &amp; Standard CostIDs'!$C$5:$C$177,A1615),"&lt;from TechID&gt;")</f>
        <v>Base case cost for mix of 60% Incandescent and 40% CFL lamps for CFL TechID: CFLscw-Glb(20w)</v>
      </c>
      <c r="F1615" s="103" t="s">
        <v>860</v>
      </c>
      <c r="G1615" s="103" t="s">
        <v>151</v>
      </c>
      <c r="H1615" s="103" t="s">
        <v>861</v>
      </c>
      <c r="I1615" s="103" t="s">
        <v>862</v>
      </c>
      <c r="J1615" s="103" t="s">
        <v>863</v>
      </c>
      <c r="K1615" s="103" t="s">
        <v>864</v>
      </c>
      <c r="L1615" s="103" t="s">
        <v>153</v>
      </c>
      <c r="M1615" s="103" t="s">
        <v>865</v>
      </c>
      <c r="N1615" s="103" t="s">
        <v>866</v>
      </c>
      <c r="O1615" s="103" t="str">
        <f t="shared" si="90"/>
        <v/>
      </c>
      <c r="P1615" s="103" t="s">
        <v>153</v>
      </c>
      <c r="Q1615" s="103" t="s">
        <v>153</v>
      </c>
      <c r="R1615" s="103" t="s">
        <v>153</v>
      </c>
      <c r="S1615" s="103" t="str">
        <f>INDEX('Measure &amp; Standard CostIDs'!$AK$8:$AK$12,B1615)</f>
        <v>Four+pack</v>
      </c>
      <c r="T1615" s="103" t="s">
        <v>867</v>
      </c>
      <c r="U1615" s="103"/>
      <c r="V1615" s="103"/>
      <c r="W1615" s="103">
        <f>ROUND(IF(LEFT(D1615,3)="Std",VLOOKUP(D1615,'Measure &amp; Standard CostIDs'!$S$5:$X$177,1+B1615,FALSE),VLOOKUP(D1615,'Measure &amp; Standard CostIDs'!$C$5:$H$177,1+B1615,FALSE)),2)</f>
        <v>3.11</v>
      </c>
      <c r="X1615" s="103"/>
      <c r="Y1615" s="103"/>
      <c r="Z1615" s="103" t="s">
        <v>868</v>
      </c>
      <c r="AA1615" s="103" t="s">
        <v>874</v>
      </c>
      <c r="AB1615" s="103" t="s">
        <v>153</v>
      </c>
      <c r="AC1615" s="103">
        <v>0</v>
      </c>
      <c r="AD1615" s="156">
        <v>42005</v>
      </c>
      <c r="AE1615" s="103"/>
      <c r="AF1615" s="103" t="s">
        <v>870</v>
      </c>
      <c r="AG1615" s="103" t="s">
        <v>871</v>
      </c>
      <c r="AH1615" s="103" t="s">
        <v>976</v>
      </c>
      <c r="AI1615" s="103">
        <v>0</v>
      </c>
      <c r="AJ1615" s="103"/>
      <c r="AK1615" s="103"/>
      <c r="AL1615" s="103"/>
      <c r="AM1615" s="103"/>
      <c r="AN1615" s="103"/>
      <c r="AO1615" s="103" t="str">
        <f t="shared" si="91"/>
        <v>Std_CFLscw-Glb(20w)_60pInc-r0248Four+pack</v>
      </c>
    </row>
    <row r="1616" spans="1:41">
      <c r="A1616" s="177">
        <f>IFERROR(MATCH(D1616,'Measure &amp; Standard CostIDs'!C$5:C$177,0),MATCH(D1616,'Measure &amp; Standard CostIDs'!S$5:S$177,0))</f>
        <v>135</v>
      </c>
      <c r="B1616" s="177">
        <f t="shared" si="89"/>
        <v>5</v>
      </c>
      <c r="C1616" s="103" t="s">
        <v>153</v>
      </c>
      <c r="D1616" s="103" t="str">
        <f t="shared" ref="D1616:D1654" si="92">+D1286</f>
        <v>Std_CFLscw-Glb(22w)_60pInc-r0248</v>
      </c>
      <c r="E1616" s="103" t="str">
        <f>IF(LEFT(D1616,3)="Std","Base case cost for mix of 60% Incandescent and 40% CFL lamps for CFL TechID: "&amp;INDEX('Measure &amp; Standard CostIDs'!$C$5:$C$177,A1616),"&lt;from TechID&gt;")</f>
        <v>Base case cost for mix of 60% Incandescent and 40% CFL lamps for CFL TechID: CFLscw-Glb(22w)</v>
      </c>
      <c r="F1616" s="103" t="s">
        <v>860</v>
      </c>
      <c r="G1616" s="103" t="s">
        <v>151</v>
      </c>
      <c r="H1616" s="103" t="s">
        <v>861</v>
      </c>
      <c r="I1616" s="103" t="s">
        <v>862</v>
      </c>
      <c r="J1616" s="103" t="s">
        <v>863</v>
      </c>
      <c r="K1616" s="103" t="s">
        <v>864</v>
      </c>
      <c r="L1616" s="103" t="s">
        <v>153</v>
      </c>
      <c r="M1616" s="103" t="s">
        <v>865</v>
      </c>
      <c r="N1616" s="103" t="s">
        <v>866</v>
      </c>
      <c r="O1616" s="103" t="str">
        <f t="shared" si="90"/>
        <v/>
      </c>
      <c r="P1616" s="103" t="s">
        <v>153</v>
      </c>
      <c r="Q1616" s="103" t="s">
        <v>153</v>
      </c>
      <c r="R1616" s="103" t="s">
        <v>153</v>
      </c>
      <c r="S1616" s="103" t="str">
        <f>INDEX('Measure &amp; Standard CostIDs'!$AK$8:$AK$12,B1616)</f>
        <v>Four+pack</v>
      </c>
      <c r="T1616" s="103" t="s">
        <v>867</v>
      </c>
      <c r="U1616" s="103"/>
      <c r="V1616" s="103"/>
      <c r="W1616" s="103">
        <f>ROUND(IF(LEFT(D1616,3)="Std",VLOOKUP(D1616,'Measure &amp; Standard CostIDs'!$S$5:$X$177,1+B1616,FALSE),VLOOKUP(D1616,'Measure &amp; Standard CostIDs'!$C$5:$H$177,1+B1616,FALSE)),2)</f>
        <v>3.13</v>
      </c>
      <c r="X1616" s="103"/>
      <c r="Y1616" s="103"/>
      <c r="Z1616" s="103" t="s">
        <v>868</v>
      </c>
      <c r="AA1616" s="103" t="s">
        <v>874</v>
      </c>
      <c r="AB1616" s="103" t="s">
        <v>153</v>
      </c>
      <c r="AC1616" s="103">
        <v>0</v>
      </c>
      <c r="AD1616" s="156">
        <v>42005</v>
      </c>
      <c r="AE1616" s="103"/>
      <c r="AF1616" s="103" t="s">
        <v>870</v>
      </c>
      <c r="AG1616" s="103" t="s">
        <v>871</v>
      </c>
      <c r="AH1616" s="103" t="s">
        <v>976</v>
      </c>
      <c r="AI1616" s="103">
        <v>0</v>
      </c>
      <c r="AJ1616" s="103"/>
      <c r="AK1616" s="103"/>
      <c r="AL1616" s="103"/>
      <c r="AM1616" s="103"/>
      <c r="AN1616" s="103"/>
      <c r="AO1616" s="103" t="str">
        <f t="shared" si="91"/>
        <v>Std_CFLscw-Glb(22w)_60pInc-r0248Four+pack</v>
      </c>
    </row>
    <row r="1617" spans="1:41">
      <c r="A1617" s="177">
        <f>IFERROR(MATCH(D1617,'Measure &amp; Standard CostIDs'!C$5:C$177,0),MATCH(D1617,'Measure &amp; Standard CostIDs'!S$5:S$177,0))</f>
        <v>136</v>
      </c>
      <c r="B1617" s="177">
        <f t="shared" ref="B1617:B1654" si="93">+B1287+1</f>
        <v>5</v>
      </c>
      <c r="C1617" s="103" t="s">
        <v>153</v>
      </c>
      <c r="D1617" s="103" t="str">
        <f t="shared" si="92"/>
        <v>Std_CFLscw-Glb(23w)_60pInc-r0248</v>
      </c>
      <c r="E1617" s="103" t="str">
        <f>IF(LEFT(D1617,3)="Std","Base case cost for mix of 60% Incandescent and 40% CFL lamps for CFL TechID: "&amp;INDEX('Measure &amp; Standard CostIDs'!$C$5:$C$177,A1617),"&lt;from TechID&gt;")</f>
        <v>Base case cost for mix of 60% Incandescent and 40% CFL lamps for CFL TechID: CFLscw-Glb(23w)</v>
      </c>
      <c r="F1617" s="103" t="s">
        <v>860</v>
      </c>
      <c r="G1617" s="103" t="s">
        <v>151</v>
      </c>
      <c r="H1617" s="103" t="s">
        <v>861</v>
      </c>
      <c r="I1617" s="103" t="s">
        <v>862</v>
      </c>
      <c r="J1617" s="103" t="s">
        <v>863</v>
      </c>
      <c r="K1617" s="103" t="s">
        <v>864</v>
      </c>
      <c r="L1617" s="103" t="s">
        <v>153</v>
      </c>
      <c r="M1617" s="103" t="s">
        <v>865</v>
      </c>
      <c r="N1617" s="103" t="s">
        <v>866</v>
      </c>
      <c r="O1617" s="103" t="str">
        <f t="shared" si="90"/>
        <v/>
      </c>
      <c r="P1617" s="103" t="s">
        <v>153</v>
      </c>
      <c r="Q1617" s="103" t="s">
        <v>153</v>
      </c>
      <c r="R1617" s="103" t="s">
        <v>153</v>
      </c>
      <c r="S1617" s="103" t="str">
        <f>INDEX('Measure &amp; Standard CostIDs'!$AK$8:$AK$12,B1617)</f>
        <v>Four+pack</v>
      </c>
      <c r="T1617" s="103" t="s">
        <v>867</v>
      </c>
      <c r="U1617" s="103"/>
      <c r="V1617" s="103"/>
      <c r="W1617" s="103">
        <f>ROUND(IF(LEFT(D1617,3)="Std",VLOOKUP(D1617,'Measure &amp; Standard CostIDs'!$S$5:$X$177,1+B1617,FALSE),VLOOKUP(D1617,'Measure &amp; Standard CostIDs'!$C$5:$H$177,1+B1617,FALSE)),2)</f>
        <v>3.14</v>
      </c>
      <c r="X1617" s="103"/>
      <c r="Y1617" s="103"/>
      <c r="Z1617" s="103" t="s">
        <v>868</v>
      </c>
      <c r="AA1617" s="103" t="s">
        <v>874</v>
      </c>
      <c r="AB1617" s="103" t="s">
        <v>153</v>
      </c>
      <c r="AC1617" s="103">
        <v>0</v>
      </c>
      <c r="AD1617" s="156">
        <v>42005</v>
      </c>
      <c r="AE1617" s="103"/>
      <c r="AF1617" s="103" t="s">
        <v>870</v>
      </c>
      <c r="AG1617" s="103" t="s">
        <v>871</v>
      </c>
      <c r="AH1617" s="103" t="s">
        <v>976</v>
      </c>
      <c r="AI1617" s="103">
        <v>0</v>
      </c>
      <c r="AJ1617" s="103"/>
      <c r="AK1617" s="103"/>
      <c r="AL1617" s="103"/>
      <c r="AM1617" s="103"/>
      <c r="AN1617" s="103"/>
      <c r="AO1617" s="103" t="str">
        <f t="shared" si="91"/>
        <v>Std_CFLscw-Glb(23w)_60pInc-r0248Four+pack</v>
      </c>
    </row>
    <row r="1618" spans="1:41">
      <c r="A1618" s="177">
        <f>IFERROR(MATCH(D1618,'Measure &amp; Standard CostIDs'!C$5:C$177,0),MATCH(D1618,'Measure &amp; Standard CostIDs'!S$5:S$177,0))</f>
        <v>137</v>
      </c>
      <c r="B1618" s="177">
        <f t="shared" si="93"/>
        <v>5</v>
      </c>
      <c r="C1618" s="103" t="s">
        <v>153</v>
      </c>
      <c r="D1618" s="103" t="str">
        <f t="shared" si="92"/>
        <v>Std_CFLscw-Glb(9w)_60pInc-r0248</v>
      </c>
      <c r="E1618" s="103" t="str">
        <f>IF(LEFT(D1618,3)="Std","Base case cost for mix of 60% Incandescent and 40% CFL lamps for CFL TechID: "&amp;INDEX('Measure &amp; Standard CostIDs'!$C$5:$C$177,A1618),"&lt;from TechID&gt;")</f>
        <v>Base case cost for mix of 60% Incandescent and 40% CFL lamps for CFL TechID: CFLscw-Glb(9w)</v>
      </c>
      <c r="F1618" s="103" t="s">
        <v>860</v>
      </c>
      <c r="G1618" s="103" t="s">
        <v>151</v>
      </c>
      <c r="H1618" s="103" t="s">
        <v>861</v>
      </c>
      <c r="I1618" s="103" t="s">
        <v>862</v>
      </c>
      <c r="J1618" s="103" t="s">
        <v>863</v>
      </c>
      <c r="K1618" s="103" t="s">
        <v>864</v>
      </c>
      <c r="L1618" s="103" t="s">
        <v>153</v>
      </c>
      <c r="M1618" s="103" t="s">
        <v>865</v>
      </c>
      <c r="N1618" s="103" t="s">
        <v>866</v>
      </c>
      <c r="O1618" s="103" t="str">
        <f t="shared" si="90"/>
        <v/>
      </c>
      <c r="P1618" s="103" t="s">
        <v>153</v>
      </c>
      <c r="Q1618" s="103" t="s">
        <v>153</v>
      </c>
      <c r="R1618" s="103" t="s">
        <v>153</v>
      </c>
      <c r="S1618" s="103" t="str">
        <f>INDEX('Measure &amp; Standard CostIDs'!$AK$8:$AK$12,B1618)</f>
        <v>Four+pack</v>
      </c>
      <c r="T1618" s="103" t="s">
        <v>867</v>
      </c>
      <c r="U1618" s="103"/>
      <c r="V1618" s="103"/>
      <c r="W1618" s="103">
        <f>ROUND(IF(LEFT(D1618,3)="Std",VLOOKUP(D1618,'Measure &amp; Standard CostIDs'!$S$5:$X$177,1+B1618,FALSE),VLOOKUP(D1618,'Measure &amp; Standard CostIDs'!$C$5:$H$177,1+B1618,FALSE)),2)</f>
        <v>2.25</v>
      </c>
      <c r="X1618" s="103"/>
      <c r="Y1618" s="103"/>
      <c r="Z1618" s="103" t="s">
        <v>868</v>
      </c>
      <c r="AA1618" s="103" t="s">
        <v>874</v>
      </c>
      <c r="AB1618" s="103" t="s">
        <v>153</v>
      </c>
      <c r="AC1618" s="103">
        <v>0</v>
      </c>
      <c r="AD1618" s="156">
        <v>42005</v>
      </c>
      <c r="AE1618" s="103"/>
      <c r="AF1618" s="103" t="s">
        <v>870</v>
      </c>
      <c r="AG1618" s="103" t="s">
        <v>871</v>
      </c>
      <c r="AH1618" s="103" t="s">
        <v>976</v>
      </c>
      <c r="AI1618" s="103">
        <v>0</v>
      </c>
      <c r="AJ1618" s="103"/>
      <c r="AK1618" s="103"/>
      <c r="AL1618" s="103"/>
      <c r="AM1618" s="103"/>
      <c r="AN1618" s="103"/>
      <c r="AO1618" s="103" t="str">
        <f t="shared" si="91"/>
        <v>Std_CFLscw-Glb(9w)_60pInc-r0248Four+pack</v>
      </c>
    </row>
    <row r="1619" spans="1:41">
      <c r="A1619" s="177">
        <f>IFERROR(MATCH(D1619,'Measure &amp; Standard CostIDs'!C$5:C$177,0),MATCH(D1619,'Measure &amp; Standard CostIDs'!S$5:S$177,0))</f>
        <v>138</v>
      </c>
      <c r="B1619" s="177">
        <f t="shared" si="93"/>
        <v>5</v>
      </c>
      <c r="C1619" s="103" t="s">
        <v>153</v>
      </c>
      <c r="D1619" s="103" t="str">
        <f t="shared" si="92"/>
        <v>Std_CFLscw-PAR38(23w)_60pInc-r0286</v>
      </c>
      <c r="E1619" s="103" t="str">
        <f>IF(LEFT(D1619,3)="Std","Base case cost for mix of 60% Incandescent and 40% CFL lamps for CFL TechID: "&amp;INDEX('Measure &amp; Standard CostIDs'!$C$5:$C$177,A1619),"&lt;from TechID&gt;")</f>
        <v>Base case cost for mix of 60% Incandescent and 40% CFL lamps for CFL TechID: CFLscw-PAR38(23w)</v>
      </c>
      <c r="F1619" s="103" t="s">
        <v>860</v>
      </c>
      <c r="G1619" s="103" t="s">
        <v>151</v>
      </c>
      <c r="H1619" s="103" t="s">
        <v>861</v>
      </c>
      <c r="I1619" s="103" t="s">
        <v>862</v>
      </c>
      <c r="J1619" s="103" t="s">
        <v>863</v>
      </c>
      <c r="K1619" s="103" t="s">
        <v>864</v>
      </c>
      <c r="L1619" s="103" t="s">
        <v>153</v>
      </c>
      <c r="M1619" s="103" t="s">
        <v>865</v>
      </c>
      <c r="N1619" s="103" t="s">
        <v>866</v>
      </c>
      <c r="O1619" s="103" t="str">
        <f t="shared" si="90"/>
        <v/>
      </c>
      <c r="P1619" s="103" t="s">
        <v>153</v>
      </c>
      <c r="Q1619" s="103" t="s">
        <v>153</v>
      </c>
      <c r="R1619" s="103" t="s">
        <v>153</v>
      </c>
      <c r="S1619" s="103" t="str">
        <f>INDEX('Measure &amp; Standard CostIDs'!$AK$8:$AK$12,B1619)</f>
        <v>Four+pack</v>
      </c>
      <c r="T1619" s="103" t="s">
        <v>867</v>
      </c>
      <c r="U1619" s="103"/>
      <c r="V1619" s="103"/>
      <c r="W1619" s="103">
        <f>ROUND(IF(LEFT(D1619,3)="Std",VLOOKUP(D1619,'Measure &amp; Standard CostIDs'!$S$5:$X$177,1+B1619,FALSE),VLOOKUP(D1619,'Measure &amp; Standard CostIDs'!$C$5:$H$177,1+B1619,FALSE)),2)</f>
        <v>4.7300000000000004</v>
      </c>
      <c r="X1619" s="103"/>
      <c r="Y1619" s="103"/>
      <c r="Z1619" s="103" t="s">
        <v>868</v>
      </c>
      <c r="AA1619" s="103" t="s">
        <v>874</v>
      </c>
      <c r="AB1619" s="103" t="s">
        <v>153</v>
      </c>
      <c r="AC1619" s="103">
        <v>0</v>
      </c>
      <c r="AD1619" s="156">
        <v>42005</v>
      </c>
      <c r="AE1619" s="103"/>
      <c r="AF1619" s="103" t="s">
        <v>870</v>
      </c>
      <c r="AG1619" s="103" t="s">
        <v>871</v>
      </c>
      <c r="AH1619" s="103" t="s">
        <v>976</v>
      </c>
      <c r="AI1619" s="103">
        <v>0</v>
      </c>
      <c r="AJ1619" s="103"/>
      <c r="AK1619" s="103"/>
      <c r="AL1619" s="103"/>
      <c r="AM1619" s="103"/>
      <c r="AN1619" s="103"/>
      <c r="AO1619" s="103" t="str">
        <f t="shared" si="91"/>
        <v>Std_CFLscw-PAR38(23w)_60pInc-r0286Four+pack</v>
      </c>
    </row>
    <row r="1620" spans="1:41">
      <c r="A1620" s="177">
        <f>IFERROR(MATCH(D1620,'Measure &amp; Standard CostIDs'!C$5:C$177,0),MATCH(D1620,'Measure &amp; Standard CostIDs'!S$5:S$177,0))</f>
        <v>139</v>
      </c>
      <c r="B1620" s="177">
        <f t="shared" si="93"/>
        <v>5</v>
      </c>
      <c r="C1620" s="103" t="s">
        <v>153</v>
      </c>
      <c r="D1620" s="103" t="str">
        <f t="shared" si="92"/>
        <v>Std_CFLscw-Refl(10w)_60pInc-r0286</v>
      </c>
      <c r="E1620" s="103" t="str">
        <f>IF(LEFT(D1620,3)="Std","Base case cost for mix of 60% Incandescent and 40% CFL lamps for CFL TechID: "&amp;INDEX('Measure &amp; Standard CostIDs'!$C$5:$C$177,A1620),"&lt;from TechID&gt;")</f>
        <v>Base case cost for mix of 60% Incandescent and 40% CFL lamps for CFL TechID: CFLscw-Refl(10w)</v>
      </c>
      <c r="F1620" s="103" t="s">
        <v>860</v>
      </c>
      <c r="G1620" s="103" t="s">
        <v>151</v>
      </c>
      <c r="H1620" s="103" t="s">
        <v>861</v>
      </c>
      <c r="I1620" s="103" t="s">
        <v>862</v>
      </c>
      <c r="J1620" s="103" t="s">
        <v>863</v>
      </c>
      <c r="K1620" s="103" t="s">
        <v>864</v>
      </c>
      <c r="L1620" s="103" t="s">
        <v>153</v>
      </c>
      <c r="M1620" s="103" t="s">
        <v>865</v>
      </c>
      <c r="N1620" s="103" t="s">
        <v>866</v>
      </c>
      <c r="O1620" s="103" t="str">
        <f t="shared" si="90"/>
        <v/>
      </c>
      <c r="P1620" s="103" t="s">
        <v>153</v>
      </c>
      <c r="Q1620" s="103" t="s">
        <v>153</v>
      </c>
      <c r="R1620" s="103" t="s">
        <v>153</v>
      </c>
      <c r="S1620" s="103" t="str">
        <f>INDEX('Measure &amp; Standard CostIDs'!$AK$8:$AK$12,B1620)</f>
        <v>Four+pack</v>
      </c>
      <c r="T1620" s="103" t="s">
        <v>867</v>
      </c>
      <c r="U1620" s="103"/>
      <c r="V1620" s="103"/>
      <c r="W1620" s="103">
        <f>ROUND(IF(LEFT(D1620,3)="Std",VLOOKUP(D1620,'Measure &amp; Standard CostIDs'!$S$5:$X$177,1+B1620,FALSE),VLOOKUP(D1620,'Measure &amp; Standard CostIDs'!$C$5:$H$177,1+B1620,FALSE)),2)</f>
        <v>3.63</v>
      </c>
      <c r="X1620" s="103"/>
      <c r="Y1620" s="103"/>
      <c r="Z1620" s="103" t="s">
        <v>868</v>
      </c>
      <c r="AA1620" s="103" t="s">
        <v>874</v>
      </c>
      <c r="AB1620" s="103" t="s">
        <v>153</v>
      </c>
      <c r="AC1620" s="103">
        <v>0</v>
      </c>
      <c r="AD1620" s="156">
        <v>42005</v>
      </c>
      <c r="AE1620" s="103"/>
      <c r="AF1620" s="103" t="s">
        <v>870</v>
      </c>
      <c r="AG1620" s="103" t="s">
        <v>871</v>
      </c>
      <c r="AH1620" s="103" t="s">
        <v>976</v>
      </c>
      <c r="AI1620" s="103">
        <v>0</v>
      </c>
      <c r="AJ1620" s="103"/>
      <c r="AK1620" s="103"/>
      <c r="AL1620" s="103"/>
      <c r="AM1620" s="103"/>
      <c r="AN1620" s="103"/>
      <c r="AO1620" s="103" t="str">
        <f t="shared" si="91"/>
        <v>Std_CFLscw-Refl(10w)_60pInc-r0286Four+pack</v>
      </c>
    </row>
    <row r="1621" spans="1:41">
      <c r="A1621" s="177">
        <f>IFERROR(MATCH(D1621,'Measure &amp; Standard CostIDs'!C$5:C$177,0),MATCH(D1621,'Measure &amp; Standard CostIDs'!S$5:S$177,0))</f>
        <v>140</v>
      </c>
      <c r="B1621" s="177">
        <f t="shared" si="93"/>
        <v>5</v>
      </c>
      <c r="C1621" s="103" t="s">
        <v>153</v>
      </c>
      <c r="D1621" s="103" t="str">
        <f t="shared" si="92"/>
        <v>Std_CFLscw-Refl(11w)_60pInc-r0286</v>
      </c>
      <c r="E1621" s="103" t="str">
        <f>IF(LEFT(D1621,3)="Std","Base case cost for mix of 60% Incandescent and 40% CFL lamps for CFL TechID: "&amp;INDEX('Measure &amp; Standard CostIDs'!$C$5:$C$177,A1621),"&lt;from TechID&gt;")</f>
        <v>Base case cost for mix of 60% Incandescent and 40% CFL lamps for CFL TechID: CFLscw-Refl(11w)</v>
      </c>
      <c r="F1621" s="103" t="s">
        <v>860</v>
      </c>
      <c r="G1621" s="103" t="s">
        <v>151</v>
      </c>
      <c r="H1621" s="103" t="s">
        <v>861</v>
      </c>
      <c r="I1621" s="103" t="s">
        <v>862</v>
      </c>
      <c r="J1621" s="103" t="s">
        <v>863</v>
      </c>
      <c r="K1621" s="103" t="s">
        <v>864</v>
      </c>
      <c r="L1621" s="103" t="s">
        <v>153</v>
      </c>
      <c r="M1621" s="103" t="s">
        <v>865</v>
      </c>
      <c r="N1621" s="103" t="s">
        <v>866</v>
      </c>
      <c r="O1621" s="103" t="str">
        <f t="shared" si="90"/>
        <v/>
      </c>
      <c r="P1621" s="103" t="s">
        <v>153</v>
      </c>
      <c r="Q1621" s="103" t="s">
        <v>153</v>
      </c>
      <c r="R1621" s="103" t="s">
        <v>153</v>
      </c>
      <c r="S1621" s="103" t="str">
        <f>INDEX('Measure &amp; Standard CostIDs'!$AK$8:$AK$12,B1621)</f>
        <v>Four+pack</v>
      </c>
      <c r="T1621" s="103" t="s">
        <v>867</v>
      </c>
      <c r="U1621" s="103"/>
      <c r="V1621" s="103"/>
      <c r="W1621" s="103">
        <f>ROUND(IF(LEFT(D1621,3)="Std",VLOOKUP(D1621,'Measure &amp; Standard CostIDs'!$S$5:$X$177,1+B1621,FALSE),VLOOKUP(D1621,'Measure &amp; Standard CostIDs'!$C$5:$H$177,1+B1621,FALSE)),2)</f>
        <v>3.71</v>
      </c>
      <c r="X1621" s="103"/>
      <c r="Y1621" s="103"/>
      <c r="Z1621" s="103" t="s">
        <v>868</v>
      </c>
      <c r="AA1621" s="103" t="s">
        <v>874</v>
      </c>
      <c r="AB1621" s="103" t="s">
        <v>153</v>
      </c>
      <c r="AC1621" s="103">
        <v>0</v>
      </c>
      <c r="AD1621" s="156">
        <v>42005</v>
      </c>
      <c r="AE1621" s="103"/>
      <c r="AF1621" s="103" t="s">
        <v>870</v>
      </c>
      <c r="AG1621" s="103" t="s">
        <v>871</v>
      </c>
      <c r="AH1621" s="103" t="s">
        <v>976</v>
      </c>
      <c r="AI1621" s="103">
        <v>0</v>
      </c>
      <c r="AJ1621" s="103"/>
      <c r="AK1621" s="103"/>
      <c r="AL1621" s="103"/>
      <c r="AM1621" s="103"/>
      <c r="AN1621" s="103"/>
      <c r="AO1621" s="103" t="str">
        <f t="shared" si="91"/>
        <v>Std_CFLscw-Refl(11w)_60pInc-r0286Four+pack</v>
      </c>
    </row>
    <row r="1622" spans="1:41">
      <c r="A1622" s="177">
        <f>IFERROR(MATCH(D1622,'Measure &amp; Standard CostIDs'!C$5:C$177,0),MATCH(D1622,'Measure &amp; Standard CostIDs'!S$5:S$177,0))</f>
        <v>141</v>
      </c>
      <c r="B1622" s="177">
        <f t="shared" si="93"/>
        <v>5</v>
      </c>
      <c r="C1622" s="103" t="s">
        <v>153</v>
      </c>
      <c r="D1622" s="103" t="str">
        <f t="shared" si="92"/>
        <v>Std_CFLscw-Refl(12w)_60pInc-r0286</v>
      </c>
      <c r="E1622" s="103" t="str">
        <f>IF(LEFT(D1622,3)="Std","Base case cost for mix of 60% Incandescent and 40% CFL lamps for CFL TechID: "&amp;INDEX('Measure &amp; Standard CostIDs'!$C$5:$C$177,A1622),"&lt;from TechID&gt;")</f>
        <v>Base case cost for mix of 60% Incandescent and 40% CFL lamps for CFL TechID: CFLscw-Refl(12w)</v>
      </c>
      <c r="F1622" s="103" t="s">
        <v>860</v>
      </c>
      <c r="G1622" s="103" t="s">
        <v>151</v>
      </c>
      <c r="H1622" s="103" t="s">
        <v>861</v>
      </c>
      <c r="I1622" s="103" t="s">
        <v>862</v>
      </c>
      <c r="J1622" s="103" t="s">
        <v>863</v>
      </c>
      <c r="K1622" s="103" t="s">
        <v>864</v>
      </c>
      <c r="L1622" s="103" t="s">
        <v>153</v>
      </c>
      <c r="M1622" s="103" t="s">
        <v>865</v>
      </c>
      <c r="N1622" s="103" t="s">
        <v>866</v>
      </c>
      <c r="O1622" s="103" t="str">
        <f t="shared" si="90"/>
        <v/>
      </c>
      <c r="P1622" s="103" t="s">
        <v>153</v>
      </c>
      <c r="Q1622" s="103" t="s">
        <v>153</v>
      </c>
      <c r="R1622" s="103" t="s">
        <v>153</v>
      </c>
      <c r="S1622" s="103" t="str">
        <f>INDEX('Measure &amp; Standard CostIDs'!$AK$8:$AK$12,B1622)</f>
        <v>Four+pack</v>
      </c>
      <c r="T1622" s="103" t="s">
        <v>867</v>
      </c>
      <c r="U1622" s="103"/>
      <c r="V1622" s="103"/>
      <c r="W1622" s="103">
        <f>ROUND(IF(LEFT(D1622,3)="Std",VLOOKUP(D1622,'Measure &amp; Standard CostIDs'!$S$5:$X$177,1+B1622,FALSE),VLOOKUP(D1622,'Measure &amp; Standard CostIDs'!$C$5:$H$177,1+B1622,FALSE)),2)</f>
        <v>3.8</v>
      </c>
      <c r="X1622" s="103"/>
      <c r="Y1622" s="103"/>
      <c r="Z1622" s="103" t="s">
        <v>868</v>
      </c>
      <c r="AA1622" s="103" t="s">
        <v>874</v>
      </c>
      <c r="AB1622" s="103" t="s">
        <v>153</v>
      </c>
      <c r="AC1622" s="103">
        <v>0</v>
      </c>
      <c r="AD1622" s="156">
        <v>42005</v>
      </c>
      <c r="AE1622" s="103"/>
      <c r="AF1622" s="103" t="s">
        <v>870</v>
      </c>
      <c r="AG1622" s="103" t="s">
        <v>871</v>
      </c>
      <c r="AH1622" s="103" t="s">
        <v>976</v>
      </c>
      <c r="AI1622" s="103">
        <v>0</v>
      </c>
      <c r="AJ1622" s="103"/>
      <c r="AK1622" s="103"/>
      <c r="AL1622" s="103"/>
      <c r="AM1622" s="103"/>
      <c r="AN1622" s="103"/>
      <c r="AO1622" s="103" t="str">
        <f t="shared" si="91"/>
        <v>Std_CFLscw-Refl(12w)_60pInc-r0286Four+pack</v>
      </c>
    </row>
    <row r="1623" spans="1:41">
      <c r="A1623" s="177">
        <f>IFERROR(MATCH(D1623,'Measure &amp; Standard CostIDs'!C$5:C$177,0),MATCH(D1623,'Measure &amp; Standard CostIDs'!S$5:S$177,0))</f>
        <v>142</v>
      </c>
      <c r="B1623" s="177">
        <f t="shared" si="93"/>
        <v>5</v>
      </c>
      <c r="C1623" s="103" t="s">
        <v>153</v>
      </c>
      <c r="D1623" s="103" t="str">
        <f t="shared" si="92"/>
        <v>Std_CFLscw-Refl(13w)_60pInc-r0286</v>
      </c>
      <c r="E1623" s="103" t="str">
        <f>IF(LEFT(D1623,3)="Std","Base case cost for mix of 60% Incandescent and 40% CFL lamps for CFL TechID: "&amp;INDEX('Measure &amp; Standard CostIDs'!$C$5:$C$177,A1623),"&lt;from TechID&gt;")</f>
        <v>Base case cost for mix of 60% Incandescent and 40% CFL lamps for CFL TechID: CFLscw-Refl(13w)</v>
      </c>
      <c r="F1623" s="103" t="s">
        <v>860</v>
      </c>
      <c r="G1623" s="103" t="s">
        <v>151</v>
      </c>
      <c r="H1623" s="103" t="s">
        <v>861</v>
      </c>
      <c r="I1623" s="103" t="s">
        <v>862</v>
      </c>
      <c r="J1623" s="103" t="s">
        <v>863</v>
      </c>
      <c r="K1623" s="103" t="s">
        <v>864</v>
      </c>
      <c r="L1623" s="103" t="s">
        <v>153</v>
      </c>
      <c r="M1623" s="103" t="s">
        <v>865</v>
      </c>
      <c r="N1623" s="103" t="s">
        <v>866</v>
      </c>
      <c r="O1623" s="103" t="str">
        <f t="shared" si="90"/>
        <v/>
      </c>
      <c r="P1623" s="103" t="s">
        <v>153</v>
      </c>
      <c r="Q1623" s="103" t="s">
        <v>153</v>
      </c>
      <c r="R1623" s="103" t="s">
        <v>153</v>
      </c>
      <c r="S1623" s="103" t="str">
        <f>INDEX('Measure &amp; Standard CostIDs'!$AK$8:$AK$12,B1623)</f>
        <v>Four+pack</v>
      </c>
      <c r="T1623" s="103" t="s">
        <v>867</v>
      </c>
      <c r="U1623" s="103"/>
      <c r="V1623" s="103"/>
      <c r="W1623" s="103">
        <f>ROUND(IF(LEFT(D1623,3)="Std",VLOOKUP(D1623,'Measure &amp; Standard CostIDs'!$S$5:$X$177,1+B1623,FALSE),VLOOKUP(D1623,'Measure &amp; Standard CostIDs'!$C$5:$H$177,1+B1623,FALSE)),2)</f>
        <v>3.88</v>
      </c>
      <c r="X1623" s="103"/>
      <c r="Y1623" s="103"/>
      <c r="Z1623" s="103" t="s">
        <v>868</v>
      </c>
      <c r="AA1623" s="103" t="s">
        <v>874</v>
      </c>
      <c r="AB1623" s="103" t="s">
        <v>153</v>
      </c>
      <c r="AC1623" s="103">
        <v>0</v>
      </c>
      <c r="AD1623" s="156">
        <v>42005</v>
      </c>
      <c r="AE1623" s="103"/>
      <c r="AF1623" s="103" t="s">
        <v>870</v>
      </c>
      <c r="AG1623" s="103" t="s">
        <v>871</v>
      </c>
      <c r="AH1623" s="103" t="s">
        <v>976</v>
      </c>
      <c r="AI1623" s="103">
        <v>0</v>
      </c>
      <c r="AJ1623" s="103"/>
      <c r="AK1623" s="103"/>
      <c r="AL1623" s="103"/>
      <c r="AM1623" s="103"/>
      <c r="AN1623" s="103"/>
      <c r="AO1623" s="103" t="str">
        <f t="shared" si="91"/>
        <v>Std_CFLscw-Refl(13w)_60pInc-r0286Four+pack</v>
      </c>
    </row>
    <row r="1624" spans="1:41">
      <c r="A1624" s="177">
        <f>IFERROR(MATCH(D1624,'Measure &amp; Standard CostIDs'!C$5:C$177,0),MATCH(D1624,'Measure &amp; Standard CostIDs'!S$5:S$177,0))</f>
        <v>143</v>
      </c>
      <c r="B1624" s="177">
        <f t="shared" si="93"/>
        <v>5</v>
      </c>
      <c r="C1624" s="103" t="s">
        <v>153</v>
      </c>
      <c r="D1624" s="103" t="str">
        <f t="shared" si="92"/>
        <v>Std_CFLscw-Refl(14w)_60pInc-r0286</v>
      </c>
      <c r="E1624" s="103" t="str">
        <f>IF(LEFT(D1624,3)="Std","Base case cost for mix of 60% Incandescent and 40% CFL lamps for CFL TechID: "&amp;INDEX('Measure &amp; Standard CostIDs'!$C$5:$C$177,A1624),"&lt;from TechID&gt;")</f>
        <v>Base case cost for mix of 60% Incandescent and 40% CFL lamps for CFL TechID: CFLscw-Refl(14w)</v>
      </c>
      <c r="F1624" s="103" t="s">
        <v>860</v>
      </c>
      <c r="G1624" s="103" t="s">
        <v>151</v>
      </c>
      <c r="H1624" s="103" t="s">
        <v>861</v>
      </c>
      <c r="I1624" s="103" t="s">
        <v>862</v>
      </c>
      <c r="J1624" s="103" t="s">
        <v>863</v>
      </c>
      <c r="K1624" s="103" t="s">
        <v>864</v>
      </c>
      <c r="L1624" s="103" t="s">
        <v>153</v>
      </c>
      <c r="M1624" s="103" t="s">
        <v>865</v>
      </c>
      <c r="N1624" s="103" t="s">
        <v>866</v>
      </c>
      <c r="O1624" s="103" t="str">
        <f t="shared" si="90"/>
        <v/>
      </c>
      <c r="P1624" s="103" t="s">
        <v>153</v>
      </c>
      <c r="Q1624" s="103" t="s">
        <v>153</v>
      </c>
      <c r="R1624" s="103" t="s">
        <v>153</v>
      </c>
      <c r="S1624" s="103" t="str">
        <f>INDEX('Measure &amp; Standard CostIDs'!$AK$8:$AK$12,B1624)</f>
        <v>Four+pack</v>
      </c>
      <c r="T1624" s="103" t="s">
        <v>867</v>
      </c>
      <c r="U1624" s="103"/>
      <c r="V1624" s="103"/>
      <c r="W1624" s="103">
        <f>ROUND(IF(LEFT(D1624,3)="Std",VLOOKUP(D1624,'Measure &amp; Standard CostIDs'!$S$5:$X$177,1+B1624,FALSE),VLOOKUP(D1624,'Measure &amp; Standard CostIDs'!$C$5:$H$177,1+B1624,FALSE)),2)</f>
        <v>3.97</v>
      </c>
      <c r="X1624" s="103"/>
      <c r="Y1624" s="103"/>
      <c r="Z1624" s="103" t="s">
        <v>868</v>
      </c>
      <c r="AA1624" s="103" t="s">
        <v>874</v>
      </c>
      <c r="AB1624" s="103" t="s">
        <v>153</v>
      </c>
      <c r="AC1624" s="103">
        <v>0</v>
      </c>
      <c r="AD1624" s="156">
        <v>42005</v>
      </c>
      <c r="AE1624" s="103"/>
      <c r="AF1624" s="103" t="s">
        <v>870</v>
      </c>
      <c r="AG1624" s="103" t="s">
        <v>871</v>
      </c>
      <c r="AH1624" s="103" t="s">
        <v>976</v>
      </c>
      <c r="AI1624" s="103">
        <v>0</v>
      </c>
      <c r="AJ1624" s="103"/>
      <c r="AK1624" s="103"/>
      <c r="AL1624" s="103"/>
      <c r="AM1624" s="103"/>
      <c r="AN1624" s="103"/>
      <c r="AO1624" s="103" t="str">
        <f t="shared" si="91"/>
        <v>Std_CFLscw-Refl(14w)_60pInc-r0286Four+pack</v>
      </c>
    </row>
    <row r="1625" spans="1:41">
      <c r="A1625" s="177">
        <f>IFERROR(MATCH(D1625,'Measure &amp; Standard CostIDs'!C$5:C$177,0),MATCH(D1625,'Measure &amp; Standard CostIDs'!S$5:S$177,0))</f>
        <v>144</v>
      </c>
      <c r="B1625" s="177">
        <f t="shared" si="93"/>
        <v>5</v>
      </c>
      <c r="C1625" s="103" t="s">
        <v>153</v>
      </c>
      <c r="D1625" s="103" t="str">
        <f t="shared" si="92"/>
        <v>Std_CFLscw-Refl(16w)_60pInc-r0286</v>
      </c>
      <c r="E1625" s="103" t="str">
        <f>IF(LEFT(D1625,3)="Std","Base case cost for mix of 60% Incandescent and 40% CFL lamps for CFL TechID: "&amp;INDEX('Measure &amp; Standard CostIDs'!$C$5:$C$177,A1625),"&lt;from TechID&gt;")</f>
        <v>Base case cost for mix of 60% Incandescent and 40% CFL lamps for CFL TechID: CFLscw-Refl(16w)</v>
      </c>
      <c r="F1625" s="103" t="s">
        <v>860</v>
      </c>
      <c r="G1625" s="103" t="s">
        <v>151</v>
      </c>
      <c r="H1625" s="103" t="s">
        <v>861</v>
      </c>
      <c r="I1625" s="103" t="s">
        <v>862</v>
      </c>
      <c r="J1625" s="103" t="s">
        <v>863</v>
      </c>
      <c r="K1625" s="103" t="s">
        <v>864</v>
      </c>
      <c r="L1625" s="103" t="s">
        <v>153</v>
      </c>
      <c r="M1625" s="103" t="s">
        <v>865</v>
      </c>
      <c r="N1625" s="103" t="s">
        <v>866</v>
      </c>
      <c r="O1625" s="103" t="str">
        <f t="shared" si="90"/>
        <v/>
      </c>
      <c r="P1625" s="103" t="s">
        <v>153</v>
      </c>
      <c r="Q1625" s="103" t="s">
        <v>153</v>
      </c>
      <c r="R1625" s="103" t="s">
        <v>153</v>
      </c>
      <c r="S1625" s="103" t="str">
        <f>INDEX('Measure &amp; Standard CostIDs'!$AK$8:$AK$12,B1625)</f>
        <v>Four+pack</v>
      </c>
      <c r="T1625" s="103" t="s">
        <v>867</v>
      </c>
      <c r="U1625" s="103"/>
      <c r="V1625" s="103"/>
      <c r="W1625" s="103">
        <f>ROUND(IF(LEFT(D1625,3)="Std",VLOOKUP(D1625,'Measure &amp; Standard CostIDs'!$S$5:$X$177,1+B1625,FALSE),VLOOKUP(D1625,'Measure &amp; Standard CostIDs'!$C$5:$H$177,1+B1625,FALSE)),2)</f>
        <v>4.13</v>
      </c>
      <c r="X1625" s="103"/>
      <c r="Y1625" s="103"/>
      <c r="Z1625" s="103" t="s">
        <v>868</v>
      </c>
      <c r="AA1625" s="103" t="s">
        <v>874</v>
      </c>
      <c r="AB1625" s="103" t="s">
        <v>153</v>
      </c>
      <c r="AC1625" s="103">
        <v>0</v>
      </c>
      <c r="AD1625" s="156">
        <v>42005</v>
      </c>
      <c r="AE1625" s="103"/>
      <c r="AF1625" s="103" t="s">
        <v>870</v>
      </c>
      <c r="AG1625" s="103" t="s">
        <v>871</v>
      </c>
      <c r="AH1625" s="103" t="s">
        <v>976</v>
      </c>
      <c r="AI1625" s="103">
        <v>0</v>
      </c>
      <c r="AJ1625" s="103"/>
      <c r="AK1625" s="103"/>
      <c r="AL1625" s="103"/>
      <c r="AM1625" s="103"/>
      <c r="AN1625" s="103"/>
      <c r="AO1625" s="103" t="str">
        <f t="shared" si="91"/>
        <v>Std_CFLscw-Refl(16w)_60pInc-r0286Four+pack</v>
      </c>
    </row>
    <row r="1626" spans="1:41">
      <c r="A1626" s="177">
        <f>IFERROR(MATCH(D1626,'Measure &amp; Standard CostIDs'!C$5:C$177,0),MATCH(D1626,'Measure &amp; Standard CostIDs'!S$5:S$177,0))</f>
        <v>145</v>
      </c>
      <c r="B1626" s="177">
        <f t="shared" si="93"/>
        <v>5</v>
      </c>
      <c r="C1626" s="103" t="s">
        <v>153</v>
      </c>
      <c r="D1626" s="103" t="str">
        <f t="shared" si="92"/>
        <v>Std_CFLscw-Refl(17w)_60pInc-r0286</v>
      </c>
      <c r="E1626" s="103" t="str">
        <f>IF(LEFT(D1626,3)="Std","Base case cost for mix of 60% Incandescent and 40% CFL lamps for CFL TechID: "&amp;INDEX('Measure &amp; Standard CostIDs'!$C$5:$C$177,A1626),"&lt;from TechID&gt;")</f>
        <v>Base case cost for mix of 60% Incandescent and 40% CFL lamps for CFL TechID: CFLscw-Refl(17w)</v>
      </c>
      <c r="F1626" s="103" t="s">
        <v>860</v>
      </c>
      <c r="G1626" s="103" t="s">
        <v>151</v>
      </c>
      <c r="H1626" s="103" t="s">
        <v>861</v>
      </c>
      <c r="I1626" s="103" t="s">
        <v>862</v>
      </c>
      <c r="J1626" s="103" t="s">
        <v>863</v>
      </c>
      <c r="K1626" s="103" t="s">
        <v>864</v>
      </c>
      <c r="L1626" s="103" t="s">
        <v>153</v>
      </c>
      <c r="M1626" s="103" t="s">
        <v>865</v>
      </c>
      <c r="N1626" s="103" t="s">
        <v>866</v>
      </c>
      <c r="O1626" s="103" t="str">
        <f t="shared" si="90"/>
        <v/>
      </c>
      <c r="P1626" s="103" t="s">
        <v>153</v>
      </c>
      <c r="Q1626" s="103" t="s">
        <v>153</v>
      </c>
      <c r="R1626" s="103" t="s">
        <v>153</v>
      </c>
      <c r="S1626" s="103" t="str">
        <f>INDEX('Measure &amp; Standard CostIDs'!$AK$8:$AK$12,B1626)</f>
        <v>Four+pack</v>
      </c>
      <c r="T1626" s="103" t="s">
        <v>867</v>
      </c>
      <c r="U1626" s="103"/>
      <c r="V1626" s="103"/>
      <c r="W1626" s="103">
        <f>ROUND(IF(LEFT(D1626,3)="Std",VLOOKUP(D1626,'Measure &amp; Standard CostIDs'!$S$5:$X$177,1+B1626,FALSE),VLOOKUP(D1626,'Measure &amp; Standard CostIDs'!$C$5:$H$177,1+B1626,FALSE)),2)</f>
        <v>4.22</v>
      </c>
      <c r="X1626" s="103"/>
      <c r="Y1626" s="103"/>
      <c r="Z1626" s="103" t="s">
        <v>868</v>
      </c>
      <c r="AA1626" s="103" t="s">
        <v>874</v>
      </c>
      <c r="AB1626" s="103" t="s">
        <v>153</v>
      </c>
      <c r="AC1626" s="103">
        <v>0</v>
      </c>
      <c r="AD1626" s="156">
        <v>42005</v>
      </c>
      <c r="AE1626" s="103"/>
      <c r="AF1626" s="103" t="s">
        <v>870</v>
      </c>
      <c r="AG1626" s="103" t="s">
        <v>871</v>
      </c>
      <c r="AH1626" s="103" t="s">
        <v>976</v>
      </c>
      <c r="AI1626" s="103">
        <v>0</v>
      </c>
      <c r="AJ1626" s="103"/>
      <c r="AK1626" s="103"/>
      <c r="AL1626" s="103"/>
      <c r="AM1626" s="103"/>
      <c r="AN1626" s="103"/>
      <c r="AO1626" s="103" t="str">
        <f t="shared" si="91"/>
        <v>Std_CFLscw-Refl(17w)_60pInc-r0286Four+pack</v>
      </c>
    </row>
    <row r="1627" spans="1:41">
      <c r="A1627" s="177">
        <f>IFERROR(MATCH(D1627,'Measure &amp; Standard CostIDs'!C$5:C$177,0),MATCH(D1627,'Measure &amp; Standard CostIDs'!S$5:S$177,0))</f>
        <v>146</v>
      </c>
      <c r="B1627" s="177">
        <f t="shared" si="93"/>
        <v>5</v>
      </c>
      <c r="C1627" s="103" t="s">
        <v>153</v>
      </c>
      <c r="D1627" s="103" t="str">
        <f t="shared" si="92"/>
        <v>Std_CFLscw-Refl(18w)_60pInc-r0286</v>
      </c>
      <c r="E1627" s="103" t="str">
        <f>IF(LEFT(D1627,3)="Std","Base case cost for mix of 60% Incandescent and 40% CFL lamps for CFL TechID: "&amp;INDEX('Measure &amp; Standard CostIDs'!$C$5:$C$177,A1627),"&lt;from TechID&gt;")</f>
        <v>Base case cost for mix of 60% Incandescent and 40% CFL lamps for CFL TechID: CFLscw-Refl(18w)</v>
      </c>
      <c r="F1627" s="103" t="s">
        <v>860</v>
      </c>
      <c r="G1627" s="103" t="s">
        <v>151</v>
      </c>
      <c r="H1627" s="103" t="s">
        <v>861</v>
      </c>
      <c r="I1627" s="103" t="s">
        <v>862</v>
      </c>
      <c r="J1627" s="103" t="s">
        <v>863</v>
      </c>
      <c r="K1627" s="103" t="s">
        <v>864</v>
      </c>
      <c r="L1627" s="103" t="s">
        <v>153</v>
      </c>
      <c r="M1627" s="103" t="s">
        <v>865</v>
      </c>
      <c r="N1627" s="103" t="s">
        <v>866</v>
      </c>
      <c r="O1627" s="103" t="str">
        <f t="shared" si="90"/>
        <v/>
      </c>
      <c r="P1627" s="103" t="s">
        <v>153</v>
      </c>
      <c r="Q1627" s="103" t="s">
        <v>153</v>
      </c>
      <c r="R1627" s="103" t="s">
        <v>153</v>
      </c>
      <c r="S1627" s="103" t="str">
        <f>INDEX('Measure &amp; Standard CostIDs'!$AK$8:$AK$12,B1627)</f>
        <v>Four+pack</v>
      </c>
      <c r="T1627" s="103" t="s">
        <v>867</v>
      </c>
      <c r="U1627" s="103"/>
      <c r="V1627" s="103"/>
      <c r="W1627" s="103">
        <f>ROUND(IF(LEFT(D1627,3)="Std",VLOOKUP(D1627,'Measure &amp; Standard CostIDs'!$S$5:$X$177,1+B1627,FALSE),VLOOKUP(D1627,'Measure &amp; Standard CostIDs'!$C$5:$H$177,1+B1627,FALSE)),2)</f>
        <v>4.3099999999999996</v>
      </c>
      <c r="X1627" s="103"/>
      <c r="Y1627" s="103"/>
      <c r="Z1627" s="103" t="s">
        <v>868</v>
      </c>
      <c r="AA1627" s="103" t="s">
        <v>874</v>
      </c>
      <c r="AB1627" s="103" t="s">
        <v>153</v>
      </c>
      <c r="AC1627" s="103">
        <v>0</v>
      </c>
      <c r="AD1627" s="156">
        <v>42005</v>
      </c>
      <c r="AE1627" s="103"/>
      <c r="AF1627" s="103" t="s">
        <v>870</v>
      </c>
      <c r="AG1627" s="103" t="s">
        <v>871</v>
      </c>
      <c r="AH1627" s="103" t="s">
        <v>976</v>
      </c>
      <c r="AI1627" s="103">
        <v>0</v>
      </c>
      <c r="AJ1627" s="103"/>
      <c r="AK1627" s="103"/>
      <c r="AL1627" s="103"/>
      <c r="AM1627" s="103"/>
      <c r="AN1627" s="103"/>
      <c r="AO1627" s="103" t="str">
        <f t="shared" si="91"/>
        <v>Std_CFLscw-Refl(18w)_60pInc-r0286Four+pack</v>
      </c>
    </row>
    <row r="1628" spans="1:41">
      <c r="A1628" s="177">
        <f>IFERROR(MATCH(D1628,'Measure &amp; Standard CostIDs'!C$5:C$177,0),MATCH(D1628,'Measure &amp; Standard CostIDs'!S$5:S$177,0))</f>
        <v>147</v>
      </c>
      <c r="B1628" s="177">
        <f t="shared" si="93"/>
        <v>5</v>
      </c>
      <c r="C1628" s="103" t="s">
        <v>153</v>
      </c>
      <c r="D1628" s="103" t="str">
        <f t="shared" si="92"/>
        <v>Std_CFLscw-Refl(19w)_60pInc-r0286</v>
      </c>
      <c r="E1628" s="103" t="str">
        <f>IF(LEFT(D1628,3)="Std","Base case cost for mix of 60% Incandescent and 40% CFL lamps for CFL TechID: "&amp;INDEX('Measure &amp; Standard CostIDs'!$C$5:$C$177,A1628),"&lt;from TechID&gt;")</f>
        <v>Base case cost for mix of 60% Incandescent and 40% CFL lamps for CFL TechID: CFLscw-Refl(19w)</v>
      </c>
      <c r="F1628" s="103" t="s">
        <v>860</v>
      </c>
      <c r="G1628" s="103" t="s">
        <v>151</v>
      </c>
      <c r="H1628" s="103" t="s">
        <v>861</v>
      </c>
      <c r="I1628" s="103" t="s">
        <v>862</v>
      </c>
      <c r="J1628" s="103" t="s">
        <v>863</v>
      </c>
      <c r="K1628" s="103" t="s">
        <v>864</v>
      </c>
      <c r="L1628" s="103" t="s">
        <v>153</v>
      </c>
      <c r="M1628" s="103" t="s">
        <v>865</v>
      </c>
      <c r="N1628" s="103" t="s">
        <v>866</v>
      </c>
      <c r="O1628" s="103" t="str">
        <f t="shared" si="90"/>
        <v/>
      </c>
      <c r="P1628" s="103" t="s">
        <v>153</v>
      </c>
      <c r="Q1628" s="103" t="s">
        <v>153</v>
      </c>
      <c r="R1628" s="103" t="s">
        <v>153</v>
      </c>
      <c r="S1628" s="103" t="str">
        <f>INDEX('Measure &amp; Standard CostIDs'!$AK$8:$AK$12,B1628)</f>
        <v>Four+pack</v>
      </c>
      <c r="T1628" s="103" t="s">
        <v>867</v>
      </c>
      <c r="U1628" s="103"/>
      <c r="V1628" s="103"/>
      <c r="W1628" s="103">
        <f>ROUND(IF(LEFT(D1628,3)="Std",VLOOKUP(D1628,'Measure &amp; Standard CostIDs'!$S$5:$X$177,1+B1628,FALSE),VLOOKUP(D1628,'Measure &amp; Standard CostIDs'!$C$5:$H$177,1+B1628,FALSE)),2)</f>
        <v>4.3899999999999997</v>
      </c>
      <c r="X1628" s="103"/>
      <c r="Y1628" s="103"/>
      <c r="Z1628" s="103" t="s">
        <v>868</v>
      </c>
      <c r="AA1628" s="103" t="s">
        <v>874</v>
      </c>
      <c r="AB1628" s="103" t="s">
        <v>153</v>
      </c>
      <c r="AC1628" s="103">
        <v>0</v>
      </c>
      <c r="AD1628" s="156">
        <v>42005</v>
      </c>
      <c r="AE1628" s="103"/>
      <c r="AF1628" s="103" t="s">
        <v>870</v>
      </c>
      <c r="AG1628" s="103" t="s">
        <v>871</v>
      </c>
      <c r="AH1628" s="103" t="s">
        <v>976</v>
      </c>
      <c r="AI1628" s="103">
        <v>0</v>
      </c>
      <c r="AJ1628" s="103"/>
      <c r="AK1628" s="103"/>
      <c r="AL1628" s="103"/>
      <c r="AM1628" s="103"/>
      <c r="AN1628" s="103"/>
      <c r="AO1628" s="103" t="str">
        <f t="shared" si="91"/>
        <v>Std_CFLscw-Refl(19w)_60pInc-r0286Four+pack</v>
      </c>
    </row>
    <row r="1629" spans="1:41">
      <c r="A1629" s="177">
        <f>IFERROR(MATCH(D1629,'Measure &amp; Standard CostIDs'!C$5:C$177,0),MATCH(D1629,'Measure &amp; Standard CostIDs'!S$5:S$177,0))</f>
        <v>148</v>
      </c>
      <c r="B1629" s="177">
        <f t="shared" si="93"/>
        <v>5</v>
      </c>
      <c r="C1629" s="103" t="s">
        <v>153</v>
      </c>
      <c r="D1629" s="103" t="str">
        <f t="shared" si="92"/>
        <v>Std_CFLscw-Refl(20w)_60pInc-r0286</v>
      </c>
      <c r="E1629" s="103" t="str">
        <f>IF(LEFT(D1629,3)="Std","Base case cost for mix of 60% Incandescent and 40% CFL lamps for CFL TechID: "&amp;INDEX('Measure &amp; Standard CostIDs'!$C$5:$C$177,A1629),"&lt;from TechID&gt;")</f>
        <v>Base case cost for mix of 60% Incandescent and 40% CFL lamps for CFL TechID: CFLscw-Refl(20w)</v>
      </c>
      <c r="F1629" s="103" t="s">
        <v>860</v>
      </c>
      <c r="G1629" s="103" t="s">
        <v>151</v>
      </c>
      <c r="H1629" s="103" t="s">
        <v>861</v>
      </c>
      <c r="I1629" s="103" t="s">
        <v>862</v>
      </c>
      <c r="J1629" s="103" t="s">
        <v>863</v>
      </c>
      <c r="K1629" s="103" t="s">
        <v>864</v>
      </c>
      <c r="L1629" s="103" t="s">
        <v>153</v>
      </c>
      <c r="M1629" s="103" t="s">
        <v>865</v>
      </c>
      <c r="N1629" s="103" t="s">
        <v>866</v>
      </c>
      <c r="O1629" s="103" t="str">
        <f t="shared" si="90"/>
        <v/>
      </c>
      <c r="P1629" s="103" t="s">
        <v>153</v>
      </c>
      <c r="Q1629" s="103" t="s">
        <v>153</v>
      </c>
      <c r="R1629" s="103" t="s">
        <v>153</v>
      </c>
      <c r="S1629" s="103" t="str">
        <f>INDEX('Measure &amp; Standard CostIDs'!$AK$8:$AK$12,B1629)</f>
        <v>Four+pack</v>
      </c>
      <c r="T1629" s="103" t="s">
        <v>867</v>
      </c>
      <c r="U1629" s="103"/>
      <c r="V1629" s="103"/>
      <c r="W1629" s="103">
        <f>ROUND(IF(LEFT(D1629,3)="Std",VLOOKUP(D1629,'Measure &amp; Standard CostIDs'!$S$5:$X$177,1+B1629,FALSE),VLOOKUP(D1629,'Measure &amp; Standard CostIDs'!$C$5:$H$177,1+B1629,FALSE)),2)</f>
        <v>4.4800000000000004</v>
      </c>
      <c r="X1629" s="103"/>
      <c r="Y1629" s="103"/>
      <c r="Z1629" s="103" t="s">
        <v>868</v>
      </c>
      <c r="AA1629" s="103" t="s">
        <v>874</v>
      </c>
      <c r="AB1629" s="103" t="s">
        <v>153</v>
      </c>
      <c r="AC1629" s="103">
        <v>0</v>
      </c>
      <c r="AD1629" s="156">
        <v>42005</v>
      </c>
      <c r="AE1629" s="103"/>
      <c r="AF1629" s="103" t="s">
        <v>870</v>
      </c>
      <c r="AG1629" s="103" t="s">
        <v>871</v>
      </c>
      <c r="AH1629" s="103" t="s">
        <v>976</v>
      </c>
      <c r="AI1629" s="103">
        <v>0</v>
      </c>
      <c r="AJ1629" s="103"/>
      <c r="AK1629" s="103"/>
      <c r="AL1629" s="103"/>
      <c r="AM1629" s="103"/>
      <c r="AN1629" s="103"/>
      <c r="AO1629" s="103" t="str">
        <f t="shared" si="91"/>
        <v>Std_CFLscw-Refl(20w)_60pInc-r0286Four+pack</v>
      </c>
    </row>
    <row r="1630" spans="1:41">
      <c r="A1630" s="177">
        <f>IFERROR(MATCH(D1630,'Measure &amp; Standard CostIDs'!C$5:C$177,0),MATCH(D1630,'Measure &amp; Standard CostIDs'!S$5:S$177,0))</f>
        <v>149</v>
      </c>
      <c r="B1630" s="177">
        <f t="shared" si="93"/>
        <v>5</v>
      </c>
      <c r="C1630" s="103" t="s">
        <v>153</v>
      </c>
      <c r="D1630" s="103" t="str">
        <f t="shared" si="92"/>
        <v>Std_CFLscw-Refl(21w)_60pInc-r0286</v>
      </c>
      <c r="E1630" s="103" t="str">
        <f>IF(LEFT(D1630,3)="Std","Base case cost for mix of 60% Incandescent and 40% CFL lamps for CFL TechID: "&amp;INDEX('Measure &amp; Standard CostIDs'!$C$5:$C$177,A1630),"&lt;from TechID&gt;")</f>
        <v>Base case cost for mix of 60% Incandescent and 40% CFL lamps for CFL TechID: CFLscw-Refl(21w)</v>
      </c>
      <c r="F1630" s="103" t="s">
        <v>860</v>
      </c>
      <c r="G1630" s="103" t="s">
        <v>151</v>
      </c>
      <c r="H1630" s="103" t="s">
        <v>861</v>
      </c>
      <c r="I1630" s="103" t="s">
        <v>862</v>
      </c>
      <c r="J1630" s="103" t="s">
        <v>863</v>
      </c>
      <c r="K1630" s="103" t="s">
        <v>864</v>
      </c>
      <c r="L1630" s="103" t="s">
        <v>153</v>
      </c>
      <c r="M1630" s="103" t="s">
        <v>865</v>
      </c>
      <c r="N1630" s="103" t="s">
        <v>866</v>
      </c>
      <c r="O1630" s="103" t="str">
        <f t="shared" si="90"/>
        <v/>
      </c>
      <c r="P1630" s="103" t="s">
        <v>153</v>
      </c>
      <c r="Q1630" s="103" t="s">
        <v>153</v>
      </c>
      <c r="R1630" s="103" t="s">
        <v>153</v>
      </c>
      <c r="S1630" s="103" t="str">
        <f>INDEX('Measure &amp; Standard CostIDs'!$AK$8:$AK$12,B1630)</f>
        <v>Four+pack</v>
      </c>
      <c r="T1630" s="103" t="s">
        <v>867</v>
      </c>
      <c r="U1630" s="103"/>
      <c r="V1630" s="103"/>
      <c r="W1630" s="103">
        <f>ROUND(IF(LEFT(D1630,3)="Std",VLOOKUP(D1630,'Measure &amp; Standard CostIDs'!$S$5:$X$177,1+B1630,FALSE),VLOOKUP(D1630,'Measure &amp; Standard CostIDs'!$C$5:$H$177,1+B1630,FALSE)),2)</f>
        <v>4.5599999999999996</v>
      </c>
      <c r="X1630" s="103"/>
      <c r="Y1630" s="103"/>
      <c r="Z1630" s="103" t="s">
        <v>868</v>
      </c>
      <c r="AA1630" s="103" t="s">
        <v>874</v>
      </c>
      <c r="AB1630" s="103" t="s">
        <v>153</v>
      </c>
      <c r="AC1630" s="103">
        <v>0</v>
      </c>
      <c r="AD1630" s="156">
        <v>42005</v>
      </c>
      <c r="AE1630" s="103"/>
      <c r="AF1630" s="103" t="s">
        <v>870</v>
      </c>
      <c r="AG1630" s="103" t="s">
        <v>871</v>
      </c>
      <c r="AH1630" s="103" t="s">
        <v>976</v>
      </c>
      <c r="AI1630" s="103">
        <v>0</v>
      </c>
      <c r="AJ1630" s="103"/>
      <c r="AK1630" s="103"/>
      <c r="AL1630" s="103"/>
      <c r="AM1630" s="103"/>
      <c r="AN1630" s="103"/>
      <c r="AO1630" s="103" t="str">
        <f t="shared" si="91"/>
        <v>Std_CFLscw-Refl(21w)_60pInc-r0286Four+pack</v>
      </c>
    </row>
    <row r="1631" spans="1:41">
      <c r="A1631" s="177">
        <f>IFERROR(MATCH(D1631,'Measure &amp; Standard CostIDs'!C$5:C$177,0),MATCH(D1631,'Measure &amp; Standard CostIDs'!S$5:S$177,0))</f>
        <v>150</v>
      </c>
      <c r="B1631" s="177">
        <f t="shared" si="93"/>
        <v>5</v>
      </c>
      <c r="C1631" s="103" t="s">
        <v>153</v>
      </c>
      <c r="D1631" s="103" t="str">
        <f t="shared" si="92"/>
        <v>Std_CFLscw-Refl(22w)_60pInc-r0286</v>
      </c>
      <c r="E1631" s="103" t="str">
        <f>IF(LEFT(D1631,3)="Std","Base case cost for mix of 60% Incandescent and 40% CFL lamps for CFL TechID: "&amp;INDEX('Measure &amp; Standard CostIDs'!$C$5:$C$177,A1631),"&lt;from TechID&gt;")</f>
        <v>Base case cost for mix of 60% Incandescent and 40% CFL lamps for CFL TechID: CFLscw-Refl(22w)</v>
      </c>
      <c r="F1631" s="103" t="s">
        <v>860</v>
      </c>
      <c r="G1631" s="103" t="s">
        <v>151</v>
      </c>
      <c r="H1631" s="103" t="s">
        <v>861</v>
      </c>
      <c r="I1631" s="103" t="s">
        <v>862</v>
      </c>
      <c r="J1631" s="103" t="s">
        <v>863</v>
      </c>
      <c r="K1631" s="103" t="s">
        <v>864</v>
      </c>
      <c r="L1631" s="103" t="s">
        <v>153</v>
      </c>
      <c r="M1631" s="103" t="s">
        <v>865</v>
      </c>
      <c r="N1631" s="103" t="s">
        <v>866</v>
      </c>
      <c r="O1631" s="103" t="str">
        <f t="shared" si="90"/>
        <v/>
      </c>
      <c r="P1631" s="103" t="s">
        <v>153</v>
      </c>
      <c r="Q1631" s="103" t="s">
        <v>153</v>
      </c>
      <c r="R1631" s="103" t="s">
        <v>153</v>
      </c>
      <c r="S1631" s="103" t="str">
        <f>INDEX('Measure &amp; Standard CostIDs'!$AK$8:$AK$12,B1631)</f>
        <v>Four+pack</v>
      </c>
      <c r="T1631" s="103" t="s">
        <v>867</v>
      </c>
      <c r="U1631" s="103"/>
      <c r="V1631" s="103"/>
      <c r="W1631" s="103">
        <f>ROUND(IF(LEFT(D1631,3)="Std",VLOOKUP(D1631,'Measure &amp; Standard CostIDs'!$S$5:$X$177,1+B1631,FALSE),VLOOKUP(D1631,'Measure &amp; Standard CostIDs'!$C$5:$H$177,1+B1631,FALSE)),2)</f>
        <v>4.6399999999999997</v>
      </c>
      <c r="X1631" s="103"/>
      <c r="Y1631" s="103"/>
      <c r="Z1631" s="103" t="s">
        <v>868</v>
      </c>
      <c r="AA1631" s="103" t="s">
        <v>874</v>
      </c>
      <c r="AB1631" s="103" t="s">
        <v>153</v>
      </c>
      <c r="AC1631" s="103">
        <v>0</v>
      </c>
      <c r="AD1631" s="156">
        <v>42005</v>
      </c>
      <c r="AE1631" s="103"/>
      <c r="AF1631" s="103" t="s">
        <v>870</v>
      </c>
      <c r="AG1631" s="103" t="s">
        <v>871</v>
      </c>
      <c r="AH1631" s="103" t="s">
        <v>976</v>
      </c>
      <c r="AI1631" s="103">
        <v>0</v>
      </c>
      <c r="AJ1631" s="103"/>
      <c r="AK1631" s="103"/>
      <c r="AL1631" s="103"/>
      <c r="AM1631" s="103"/>
      <c r="AN1631" s="103"/>
      <c r="AO1631" s="103" t="str">
        <f t="shared" si="91"/>
        <v>Std_CFLscw-Refl(22w)_60pInc-r0286Four+pack</v>
      </c>
    </row>
    <row r="1632" spans="1:41">
      <c r="A1632" s="177">
        <f>IFERROR(MATCH(D1632,'Measure &amp; Standard CostIDs'!C$5:C$177,0),MATCH(D1632,'Measure &amp; Standard CostIDs'!S$5:S$177,0))</f>
        <v>151</v>
      </c>
      <c r="B1632" s="177">
        <f t="shared" si="93"/>
        <v>5</v>
      </c>
      <c r="C1632" s="103" t="s">
        <v>153</v>
      </c>
      <c r="D1632" s="103" t="str">
        <f t="shared" si="92"/>
        <v>Std_CFLscw-Refl(24w)_60pInc-r0286</v>
      </c>
      <c r="E1632" s="103" t="str">
        <f>IF(LEFT(D1632,3)="Std","Base case cost for mix of 60% Incandescent and 40% CFL lamps for CFL TechID: "&amp;INDEX('Measure &amp; Standard CostIDs'!$C$5:$C$177,A1632),"&lt;from TechID&gt;")</f>
        <v>Base case cost for mix of 60% Incandescent and 40% CFL lamps for CFL TechID: CFLscw-Refl(24w)</v>
      </c>
      <c r="F1632" s="103" t="s">
        <v>860</v>
      </c>
      <c r="G1632" s="103" t="s">
        <v>151</v>
      </c>
      <c r="H1632" s="103" t="s">
        <v>861</v>
      </c>
      <c r="I1632" s="103" t="s">
        <v>862</v>
      </c>
      <c r="J1632" s="103" t="s">
        <v>863</v>
      </c>
      <c r="K1632" s="103" t="s">
        <v>864</v>
      </c>
      <c r="L1632" s="103" t="s">
        <v>153</v>
      </c>
      <c r="M1632" s="103" t="s">
        <v>865</v>
      </c>
      <c r="N1632" s="103" t="s">
        <v>866</v>
      </c>
      <c r="O1632" s="103" t="str">
        <f t="shared" si="90"/>
        <v/>
      </c>
      <c r="P1632" s="103" t="s">
        <v>153</v>
      </c>
      <c r="Q1632" s="103" t="s">
        <v>153</v>
      </c>
      <c r="R1632" s="103" t="s">
        <v>153</v>
      </c>
      <c r="S1632" s="103" t="str">
        <f>INDEX('Measure &amp; Standard CostIDs'!$AK$8:$AK$12,B1632)</f>
        <v>Four+pack</v>
      </c>
      <c r="T1632" s="103" t="s">
        <v>867</v>
      </c>
      <c r="U1632" s="103"/>
      <c r="V1632" s="103"/>
      <c r="W1632" s="103">
        <f>ROUND(IF(LEFT(D1632,3)="Std",VLOOKUP(D1632,'Measure &amp; Standard CostIDs'!$S$5:$X$177,1+B1632,FALSE),VLOOKUP(D1632,'Measure &amp; Standard CostIDs'!$C$5:$H$177,1+B1632,FALSE)),2)</f>
        <v>4.8099999999999996</v>
      </c>
      <c r="X1632" s="103"/>
      <c r="Y1632" s="103"/>
      <c r="Z1632" s="103" t="s">
        <v>868</v>
      </c>
      <c r="AA1632" s="103" t="s">
        <v>874</v>
      </c>
      <c r="AB1632" s="103" t="s">
        <v>153</v>
      </c>
      <c r="AC1632" s="103">
        <v>0</v>
      </c>
      <c r="AD1632" s="156">
        <v>42005</v>
      </c>
      <c r="AE1632" s="103"/>
      <c r="AF1632" s="103" t="s">
        <v>870</v>
      </c>
      <c r="AG1632" s="103" t="s">
        <v>871</v>
      </c>
      <c r="AH1632" s="103" t="s">
        <v>976</v>
      </c>
      <c r="AI1632" s="103">
        <v>0</v>
      </c>
      <c r="AJ1632" s="103"/>
      <c r="AK1632" s="103"/>
      <c r="AL1632" s="103"/>
      <c r="AM1632" s="103"/>
      <c r="AN1632" s="103"/>
      <c r="AO1632" s="103" t="str">
        <f t="shared" si="91"/>
        <v>Std_CFLscw-Refl(24w)_60pInc-r0286Four+pack</v>
      </c>
    </row>
    <row r="1633" spans="1:41">
      <c r="A1633" s="177">
        <f>IFERROR(MATCH(D1633,'Measure &amp; Standard CostIDs'!C$5:C$177,0),MATCH(D1633,'Measure &amp; Standard CostIDs'!S$5:S$177,0))</f>
        <v>152</v>
      </c>
      <c r="B1633" s="177">
        <f t="shared" si="93"/>
        <v>5</v>
      </c>
      <c r="C1633" s="103" t="s">
        <v>153</v>
      </c>
      <c r="D1633" s="103" t="str">
        <f t="shared" si="92"/>
        <v>Std_CFLscw-Refl(25w)_60pInc-r0286</v>
      </c>
      <c r="E1633" s="103" t="str">
        <f>IF(LEFT(D1633,3)="Std","Base case cost for mix of 60% Incandescent and 40% CFL lamps for CFL TechID: "&amp;INDEX('Measure &amp; Standard CostIDs'!$C$5:$C$177,A1633),"&lt;from TechID&gt;")</f>
        <v>Base case cost for mix of 60% Incandescent and 40% CFL lamps for CFL TechID: CFLscw-Refl(25w)</v>
      </c>
      <c r="F1633" s="103" t="s">
        <v>860</v>
      </c>
      <c r="G1633" s="103" t="s">
        <v>151</v>
      </c>
      <c r="H1633" s="103" t="s">
        <v>861</v>
      </c>
      <c r="I1633" s="103" t="s">
        <v>862</v>
      </c>
      <c r="J1633" s="103" t="s">
        <v>863</v>
      </c>
      <c r="K1633" s="103" t="s">
        <v>864</v>
      </c>
      <c r="L1633" s="103" t="s">
        <v>153</v>
      </c>
      <c r="M1633" s="103" t="s">
        <v>865</v>
      </c>
      <c r="N1633" s="103" t="s">
        <v>866</v>
      </c>
      <c r="O1633" s="103" t="str">
        <f t="shared" si="90"/>
        <v/>
      </c>
      <c r="P1633" s="103" t="s">
        <v>153</v>
      </c>
      <c r="Q1633" s="103" t="s">
        <v>153</v>
      </c>
      <c r="R1633" s="103" t="s">
        <v>153</v>
      </c>
      <c r="S1633" s="103" t="str">
        <f>INDEX('Measure &amp; Standard CostIDs'!$AK$8:$AK$12,B1633)</f>
        <v>Four+pack</v>
      </c>
      <c r="T1633" s="103" t="s">
        <v>867</v>
      </c>
      <c r="U1633" s="103"/>
      <c r="V1633" s="103"/>
      <c r="W1633" s="103">
        <f>ROUND(IF(LEFT(D1633,3)="Std",VLOOKUP(D1633,'Measure &amp; Standard CostIDs'!$S$5:$X$177,1+B1633,FALSE),VLOOKUP(D1633,'Measure &amp; Standard CostIDs'!$C$5:$H$177,1+B1633,FALSE)),2)</f>
        <v>4.9000000000000004</v>
      </c>
      <c r="X1633" s="103"/>
      <c r="Y1633" s="103"/>
      <c r="Z1633" s="103" t="s">
        <v>868</v>
      </c>
      <c r="AA1633" s="103" t="s">
        <v>874</v>
      </c>
      <c r="AB1633" s="103" t="s">
        <v>153</v>
      </c>
      <c r="AC1633" s="103">
        <v>0</v>
      </c>
      <c r="AD1633" s="156">
        <v>42005</v>
      </c>
      <c r="AE1633" s="103"/>
      <c r="AF1633" s="103" t="s">
        <v>870</v>
      </c>
      <c r="AG1633" s="103" t="s">
        <v>871</v>
      </c>
      <c r="AH1633" s="103" t="s">
        <v>976</v>
      </c>
      <c r="AI1633" s="103">
        <v>0</v>
      </c>
      <c r="AJ1633" s="103"/>
      <c r="AK1633" s="103"/>
      <c r="AL1633" s="103"/>
      <c r="AM1633" s="103"/>
      <c r="AN1633" s="103"/>
      <c r="AO1633" s="103" t="str">
        <f t="shared" si="91"/>
        <v>Std_CFLscw-Refl(25w)_60pInc-r0286Four+pack</v>
      </c>
    </row>
    <row r="1634" spans="1:41">
      <c r="A1634" s="177">
        <f>IFERROR(MATCH(D1634,'Measure &amp; Standard CostIDs'!C$5:C$177,0),MATCH(D1634,'Measure &amp; Standard CostIDs'!S$5:S$177,0))</f>
        <v>153</v>
      </c>
      <c r="B1634" s="177">
        <f t="shared" si="93"/>
        <v>5</v>
      </c>
      <c r="C1634" s="103" t="s">
        <v>153</v>
      </c>
      <c r="D1634" s="103" t="str">
        <f t="shared" si="92"/>
        <v>Std_CFLscw-Refl(26w)_60pInc-r0286</v>
      </c>
      <c r="E1634" s="103" t="str">
        <f>IF(LEFT(D1634,3)="Std","Base case cost for mix of 60% Incandescent and 40% CFL lamps for CFL TechID: "&amp;INDEX('Measure &amp; Standard CostIDs'!$C$5:$C$177,A1634),"&lt;from TechID&gt;")</f>
        <v>Base case cost for mix of 60% Incandescent and 40% CFL lamps for CFL TechID: CFLscw-Refl(26w)</v>
      </c>
      <c r="F1634" s="103" t="s">
        <v>860</v>
      </c>
      <c r="G1634" s="103" t="s">
        <v>151</v>
      </c>
      <c r="H1634" s="103" t="s">
        <v>861</v>
      </c>
      <c r="I1634" s="103" t="s">
        <v>862</v>
      </c>
      <c r="J1634" s="103" t="s">
        <v>863</v>
      </c>
      <c r="K1634" s="103" t="s">
        <v>864</v>
      </c>
      <c r="L1634" s="103" t="s">
        <v>153</v>
      </c>
      <c r="M1634" s="103" t="s">
        <v>865</v>
      </c>
      <c r="N1634" s="103" t="s">
        <v>866</v>
      </c>
      <c r="O1634" s="103" t="str">
        <f t="shared" si="90"/>
        <v/>
      </c>
      <c r="P1634" s="103" t="s">
        <v>153</v>
      </c>
      <c r="Q1634" s="103" t="s">
        <v>153</v>
      </c>
      <c r="R1634" s="103" t="s">
        <v>153</v>
      </c>
      <c r="S1634" s="103" t="str">
        <f>INDEX('Measure &amp; Standard CostIDs'!$AK$8:$AK$12,B1634)</f>
        <v>Four+pack</v>
      </c>
      <c r="T1634" s="103" t="s">
        <v>867</v>
      </c>
      <c r="U1634" s="103"/>
      <c r="V1634" s="103"/>
      <c r="W1634" s="103">
        <f>ROUND(IF(LEFT(D1634,3)="Std",VLOOKUP(D1634,'Measure &amp; Standard CostIDs'!$S$5:$X$177,1+B1634,FALSE),VLOOKUP(D1634,'Measure &amp; Standard CostIDs'!$C$5:$H$177,1+B1634,FALSE)),2)</f>
        <v>4.9800000000000004</v>
      </c>
      <c r="X1634" s="103"/>
      <c r="Y1634" s="103"/>
      <c r="Z1634" s="103" t="s">
        <v>868</v>
      </c>
      <c r="AA1634" s="103" t="s">
        <v>874</v>
      </c>
      <c r="AB1634" s="103" t="s">
        <v>153</v>
      </c>
      <c r="AC1634" s="103">
        <v>0</v>
      </c>
      <c r="AD1634" s="156">
        <v>42005</v>
      </c>
      <c r="AE1634" s="103"/>
      <c r="AF1634" s="103" t="s">
        <v>870</v>
      </c>
      <c r="AG1634" s="103" t="s">
        <v>871</v>
      </c>
      <c r="AH1634" s="103" t="s">
        <v>976</v>
      </c>
      <c r="AI1634" s="103">
        <v>0</v>
      </c>
      <c r="AJ1634" s="103"/>
      <c r="AK1634" s="103"/>
      <c r="AL1634" s="103"/>
      <c r="AM1634" s="103"/>
      <c r="AN1634" s="103"/>
      <c r="AO1634" s="103" t="str">
        <f t="shared" si="91"/>
        <v>Std_CFLscw-Refl(26w)_60pInc-r0286Four+pack</v>
      </c>
    </row>
    <row r="1635" spans="1:41">
      <c r="A1635" s="177">
        <f>IFERROR(MATCH(D1635,'Measure &amp; Standard CostIDs'!C$5:C$177,0),MATCH(D1635,'Measure &amp; Standard CostIDs'!S$5:S$177,0))</f>
        <v>154</v>
      </c>
      <c r="B1635" s="177">
        <f t="shared" si="93"/>
        <v>5</v>
      </c>
      <c r="C1635" s="103" t="s">
        <v>153</v>
      </c>
      <c r="D1635" s="103" t="str">
        <f t="shared" si="92"/>
        <v>Std_CFLscw-Refl(5w)_60pInc-r0286</v>
      </c>
      <c r="E1635" s="103" t="str">
        <f>IF(LEFT(D1635,3)="Std","Base case cost for mix of 60% Incandescent and 40% CFL lamps for CFL TechID: "&amp;INDEX('Measure &amp; Standard CostIDs'!$C$5:$C$177,A1635),"&lt;from TechID&gt;")</f>
        <v>Base case cost for mix of 60% Incandescent and 40% CFL lamps for CFL TechID: CFLscw-Refl(5w)</v>
      </c>
      <c r="F1635" s="103" t="s">
        <v>860</v>
      </c>
      <c r="G1635" s="103" t="s">
        <v>151</v>
      </c>
      <c r="H1635" s="103" t="s">
        <v>861</v>
      </c>
      <c r="I1635" s="103" t="s">
        <v>862</v>
      </c>
      <c r="J1635" s="103" t="s">
        <v>863</v>
      </c>
      <c r="K1635" s="103" t="s">
        <v>864</v>
      </c>
      <c r="L1635" s="103" t="s">
        <v>153</v>
      </c>
      <c r="M1635" s="103" t="s">
        <v>865</v>
      </c>
      <c r="N1635" s="103" t="s">
        <v>866</v>
      </c>
      <c r="O1635" s="103" t="str">
        <f t="shared" si="90"/>
        <v/>
      </c>
      <c r="P1635" s="103" t="s">
        <v>153</v>
      </c>
      <c r="Q1635" s="103" t="s">
        <v>153</v>
      </c>
      <c r="R1635" s="103" t="s">
        <v>153</v>
      </c>
      <c r="S1635" s="103" t="str">
        <f>INDEX('Measure &amp; Standard CostIDs'!$AK$8:$AK$12,B1635)</f>
        <v>Four+pack</v>
      </c>
      <c r="T1635" s="103" t="s">
        <v>867</v>
      </c>
      <c r="U1635" s="103"/>
      <c r="V1635" s="103"/>
      <c r="W1635" s="103">
        <f>ROUND(IF(LEFT(D1635,3)="Std",VLOOKUP(D1635,'Measure &amp; Standard CostIDs'!$S$5:$X$177,1+B1635,FALSE),VLOOKUP(D1635,'Measure &amp; Standard CostIDs'!$C$5:$H$177,1+B1635,FALSE)),2)</f>
        <v>3.21</v>
      </c>
      <c r="X1635" s="103"/>
      <c r="Y1635" s="103"/>
      <c r="Z1635" s="103" t="s">
        <v>868</v>
      </c>
      <c r="AA1635" s="103" t="s">
        <v>874</v>
      </c>
      <c r="AB1635" s="103" t="s">
        <v>153</v>
      </c>
      <c r="AC1635" s="103">
        <v>0</v>
      </c>
      <c r="AD1635" s="156">
        <v>42005</v>
      </c>
      <c r="AE1635" s="103"/>
      <c r="AF1635" s="103" t="s">
        <v>870</v>
      </c>
      <c r="AG1635" s="103" t="s">
        <v>871</v>
      </c>
      <c r="AH1635" s="103" t="s">
        <v>976</v>
      </c>
      <c r="AI1635" s="103">
        <v>0</v>
      </c>
      <c r="AJ1635" s="103"/>
      <c r="AK1635" s="103"/>
      <c r="AL1635" s="103"/>
      <c r="AM1635" s="103"/>
      <c r="AN1635" s="103"/>
      <c r="AO1635" s="103" t="str">
        <f t="shared" si="91"/>
        <v>Std_CFLscw-Refl(5w)_60pInc-r0286Four+pack</v>
      </c>
    </row>
    <row r="1636" spans="1:41">
      <c r="A1636" s="177">
        <f>IFERROR(MATCH(D1636,'Measure &amp; Standard CostIDs'!C$5:C$177,0),MATCH(D1636,'Measure &amp; Standard CostIDs'!S$5:S$177,0))</f>
        <v>155</v>
      </c>
      <c r="B1636" s="177">
        <f t="shared" si="93"/>
        <v>5</v>
      </c>
      <c r="C1636" s="103" t="s">
        <v>153</v>
      </c>
      <c r="D1636" s="103" t="str">
        <f t="shared" si="92"/>
        <v>Std_CFLscw-Refl(6w)_60pInc-r0286</v>
      </c>
      <c r="E1636" s="103" t="str">
        <f>IF(LEFT(D1636,3)="Std","Base case cost for mix of 60% Incandescent and 40% CFL lamps for CFL TechID: "&amp;INDEX('Measure &amp; Standard CostIDs'!$C$5:$C$177,A1636),"&lt;from TechID&gt;")</f>
        <v>Base case cost for mix of 60% Incandescent and 40% CFL lamps for CFL TechID: CFLscw-Refl(6w)</v>
      </c>
      <c r="F1636" s="103" t="s">
        <v>860</v>
      </c>
      <c r="G1636" s="103" t="s">
        <v>151</v>
      </c>
      <c r="H1636" s="103" t="s">
        <v>861</v>
      </c>
      <c r="I1636" s="103" t="s">
        <v>862</v>
      </c>
      <c r="J1636" s="103" t="s">
        <v>863</v>
      </c>
      <c r="K1636" s="103" t="s">
        <v>864</v>
      </c>
      <c r="L1636" s="103" t="s">
        <v>153</v>
      </c>
      <c r="M1636" s="103" t="s">
        <v>865</v>
      </c>
      <c r="N1636" s="103" t="s">
        <v>866</v>
      </c>
      <c r="O1636" s="103" t="str">
        <f t="shared" si="90"/>
        <v/>
      </c>
      <c r="P1636" s="103" t="s">
        <v>153</v>
      </c>
      <c r="Q1636" s="103" t="s">
        <v>153</v>
      </c>
      <c r="R1636" s="103" t="s">
        <v>153</v>
      </c>
      <c r="S1636" s="103" t="str">
        <f>INDEX('Measure &amp; Standard CostIDs'!$AK$8:$AK$12,B1636)</f>
        <v>Four+pack</v>
      </c>
      <c r="T1636" s="103" t="s">
        <v>867</v>
      </c>
      <c r="U1636" s="103"/>
      <c r="V1636" s="103"/>
      <c r="W1636" s="103">
        <f>ROUND(IF(LEFT(D1636,3)="Std",VLOOKUP(D1636,'Measure &amp; Standard CostIDs'!$S$5:$X$177,1+B1636,FALSE),VLOOKUP(D1636,'Measure &amp; Standard CostIDs'!$C$5:$H$177,1+B1636,FALSE)),2)</f>
        <v>3.3</v>
      </c>
      <c r="X1636" s="103"/>
      <c r="Y1636" s="103"/>
      <c r="Z1636" s="103" t="s">
        <v>868</v>
      </c>
      <c r="AA1636" s="103" t="s">
        <v>874</v>
      </c>
      <c r="AB1636" s="103" t="s">
        <v>153</v>
      </c>
      <c r="AC1636" s="103">
        <v>0</v>
      </c>
      <c r="AD1636" s="156">
        <v>42005</v>
      </c>
      <c r="AE1636" s="103"/>
      <c r="AF1636" s="103" t="s">
        <v>870</v>
      </c>
      <c r="AG1636" s="103" t="s">
        <v>871</v>
      </c>
      <c r="AH1636" s="103" t="s">
        <v>976</v>
      </c>
      <c r="AI1636" s="103">
        <v>0</v>
      </c>
      <c r="AJ1636" s="103"/>
      <c r="AK1636" s="103"/>
      <c r="AL1636" s="103"/>
      <c r="AM1636" s="103"/>
      <c r="AN1636" s="103"/>
      <c r="AO1636" s="103" t="str">
        <f t="shared" si="91"/>
        <v>Std_CFLscw-Refl(6w)_60pInc-r0286Four+pack</v>
      </c>
    </row>
    <row r="1637" spans="1:41">
      <c r="A1637" s="177">
        <f>IFERROR(MATCH(D1637,'Measure &amp; Standard CostIDs'!C$5:C$177,0),MATCH(D1637,'Measure &amp; Standard CostIDs'!S$5:S$177,0))</f>
        <v>156</v>
      </c>
      <c r="B1637" s="177">
        <f t="shared" si="93"/>
        <v>5</v>
      </c>
      <c r="C1637" s="103" t="s">
        <v>153</v>
      </c>
      <c r="D1637" s="103" t="str">
        <f t="shared" si="92"/>
        <v>Std_CFLscw-Refl(7w)_60pInc-r0286</v>
      </c>
      <c r="E1637" s="103" t="str">
        <f>IF(LEFT(D1637,3)="Std","Base case cost for mix of 60% Incandescent and 40% CFL lamps for CFL TechID: "&amp;INDEX('Measure &amp; Standard CostIDs'!$C$5:$C$177,A1637),"&lt;from TechID&gt;")</f>
        <v>Base case cost for mix of 60% Incandescent and 40% CFL lamps for CFL TechID: CFLscw-Refl(7w)</v>
      </c>
      <c r="F1637" s="103" t="s">
        <v>860</v>
      </c>
      <c r="G1637" s="103" t="s">
        <v>151</v>
      </c>
      <c r="H1637" s="103" t="s">
        <v>861</v>
      </c>
      <c r="I1637" s="103" t="s">
        <v>862</v>
      </c>
      <c r="J1637" s="103" t="s">
        <v>863</v>
      </c>
      <c r="K1637" s="103" t="s">
        <v>864</v>
      </c>
      <c r="L1637" s="103" t="s">
        <v>153</v>
      </c>
      <c r="M1637" s="103" t="s">
        <v>865</v>
      </c>
      <c r="N1637" s="103" t="s">
        <v>866</v>
      </c>
      <c r="O1637" s="103" t="str">
        <f t="shared" si="90"/>
        <v/>
      </c>
      <c r="P1637" s="103" t="s">
        <v>153</v>
      </c>
      <c r="Q1637" s="103" t="s">
        <v>153</v>
      </c>
      <c r="R1637" s="103" t="s">
        <v>153</v>
      </c>
      <c r="S1637" s="103" t="str">
        <f>INDEX('Measure &amp; Standard CostIDs'!$AK$8:$AK$12,B1637)</f>
        <v>Four+pack</v>
      </c>
      <c r="T1637" s="103" t="s">
        <v>867</v>
      </c>
      <c r="U1637" s="103"/>
      <c r="V1637" s="103"/>
      <c r="W1637" s="103">
        <f>ROUND(IF(LEFT(D1637,3)="Std",VLOOKUP(D1637,'Measure &amp; Standard CostIDs'!$S$5:$X$177,1+B1637,FALSE),VLOOKUP(D1637,'Measure &amp; Standard CostIDs'!$C$5:$H$177,1+B1637,FALSE)),2)</f>
        <v>3.38</v>
      </c>
      <c r="X1637" s="103"/>
      <c r="Y1637" s="103"/>
      <c r="Z1637" s="103" t="s">
        <v>868</v>
      </c>
      <c r="AA1637" s="103" t="s">
        <v>874</v>
      </c>
      <c r="AB1637" s="103" t="s">
        <v>153</v>
      </c>
      <c r="AC1637" s="103">
        <v>0</v>
      </c>
      <c r="AD1637" s="156">
        <v>42005</v>
      </c>
      <c r="AE1637" s="103"/>
      <c r="AF1637" s="103" t="s">
        <v>870</v>
      </c>
      <c r="AG1637" s="103" t="s">
        <v>871</v>
      </c>
      <c r="AH1637" s="103" t="s">
        <v>976</v>
      </c>
      <c r="AI1637" s="103">
        <v>0</v>
      </c>
      <c r="AJ1637" s="103"/>
      <c r="AK1637" s="103"/>
      <c r="AL1637" s="103"/>
      <c r="AM1637" s="103"/>
      <c r="AN1637" s="103"/>
      <c r="AO1637" s="103" t="str">
        <f t="shared" si="91"/>
        <v>Std_CFLscw-Refl(7w)_60pInc-r0286Four+pack</v>
      </c>
    </row>
    <row r="1638" spans="1:41">
      <c r="A1638" s="177">
        <f>IFERROR(MATCH(D1638,'Measure &amp; Standard CostIDs'!C$5:C$177,0),MATCH(D1638,'Measure &amp; Standard CostIDs'!S$5:S$177,0))</f>
        <v>157</v>
      </c>
      <c r="B1638" s="177">
        <f t="shared" si="93"/>
        <v>5</v>
      </c>
      <c r="C1638" s="103" t="s">
        <v>153</v>
      </c>
      <c r="D1638" s="103" t="str">
        <f t="shared" si="92"/>
        <v>Std_CFLscw-Refl(8w)_60pInc-r0286</v>
      </c>
      <c r="E1638" s="103" t="str">
        <f>IF(LEFT(D1638,3)="Std","Base case cost for mix of 60% Incandescent and 40% CFL lamps for CFL TechID: "&amp;INDEX('Measure &amp; Standard CostIDs'!$C$5:$C$177,A1638),"&lt;from TechID&gt;")</f>
        <v>Base case cost for mix of 60% Incandescent and 40% CFL lamps for CFL TechID: CFLscw-Refl(8w)</v>
      </c>
      <c r="F1638" s="103" t="s">
        <v>860</v>
      </c>
      <c r="G1638" s="103" t="s">
        <v>151</v>
      </c>
      <c r="H1638" s="103" t="s">
        <v>861</v>
      </c>
      <c r="I1638" s="103" t="s">
        <v>862</v>
      </c>
      <c r="J1638" s="103" t="s">
        <v>863</v>
      </c>
      <c r="K1638" s="103" t="s">
        <v>864</v>
      </c>
      <c r="L1638" s="103" t="s">
        <v>153</v>
      </c>
      <c r="M1638" s="103" t="s">
        <v>865</v>
      </c>
      <c r="N1638" s="103" t="s">
        <v>866</v>
      </c>
      <c r="O1638" s="103" t="str">
        <f t="shared" si="90"/>
        <v/>
      </c>
      <c r="P1638" s="103" t="s">
        <v>153</v>
      </c>
      <c r="Q1638" s="103" t="s">
        <v>153</v>
      </c>
      <c r="R1638" s="103" t="s">
        <v>153</v>
      </c>
      <c r="S1638" s="103" t="str">
        <f>INDEX('Measure &amp; Standard CostIDs'!$AK$8:$AK$12,B1638)</f>
        <v>Four+pack</v>
      </c>
      <c r="T1638" s="103" t="s">
        <v>867</v>
      </c>
      <c r="U1638" s="103"/>
      <c r="V1638" s="103"/>
      <c r="W1638" s="103">
        <f>ROUND(IF(LEFT(D1638,3)="Std",VLOOKUP(D1638,'Measure &amp; Standard CostIDs'!$S$5:$X$177,1+B1638,FALSE),VLOOKUP(D1638,'Measure &amp; Standard CostIDs'!$C$5:$H$177,1+B1638,FALSE)),2)</f>
        <v>3.46</v>
      </c>
      <c r="X1638" s="103"/>
      <c r="Y1638" s="103"/>
      <c r="Z1638" s="103" t="s">
        <v>868</v>
      </c>
      <c r="AA1638" s="103" t="s">
        <v>874</v>
      </c>
      <c r="AB1638" s="103" t="s">
        <v>153</v>
      </c>
      <c r="AC1638" s="103">
        <v>0</v>
      </c>
      <c r="AD1638" s="156">
        <v>42005</v>
      </c>
      <c r="AE1638" s="103"/>
      <c r="AF1638" s="103" t="s">
        <v>870</v>
      </c>
      <c r="AG1638" s="103" t="s">
        <v>871</v>
      </c>
      <c r="AH1638" s="103" t="s">
        <v>976</v>
      </c>
      <c r="AI1638" s="103">
        <v>0</v>
      </c>
      <c r="AJ1638" s="103"/>
      <c r="AK1638" s="103"/>
      <c r="AL1638" s="103"/>
      <c r="AM1638" s="103"/>
      <c r="AN1638" s="103"/>
      <c r="AO1638" s="103" t="str">
        <f t="shared" si="91"/>
        <v>Std_CFLscw-Refl(8w)_60pInc-r0286Four+pack</v>
      </c>
    </row>
    <row r="1639" spans="1:41">
      <c r="A1639" s="177">
        <f>IFERROR(MATCH(D1639,'Measure &amp; Standard CostIDs'!C$5:C$177,0),MATCH(D1639,'Measure &amp; Standard CostIDs'!S$5:S$177,0))</f>
        <v>158</v>
      </c>
      <c r="B1639" s="177">
        <f t="shared" si="93"/>
        <v>5</v>
      </c>
      <c r="C1639" s="103" t="s">
        <v>153</v>
      </c>
      <c r="D1639" s="103" t="str">
        <f t="shared" si="92"/>
        <v>Std_CFLscw-Refl(9w)_60pInc-r0286</v>
      </c>
      <c r="E1639" s="103" t="str">
        <f>IF(LEFT(D1639,3)="Std","Base case cost for mix of 60% Incandescent and 40% CFL lamps for CFL TechID: "&amp;INDEX('Measure &amp; Standard CostIDs'!$C$5:$C$177,A1639),"&lt;from TechID&gt;")</f>
        <v>Base case cost for mix of 60% Incandescent and 40% CFL lamps for CFL TechID: CFLscw-Refl(9w)</v>
      </c>
      <c r="F1639" s="103" t="s">
        <v>860</v>
      </c>
      <c r="G1639" s="103" t="s">
        <v>151</v>
      </c>
      <c r="H1639" s="103" t="s">
        <v>861</v>
      </c>
      <c r="I1639" s="103" t="s">
        <v>862</v>
      </c>
      <c r="J1639" s="103" t="s">
        <v>863</v>
      </c>
      <c r="K1639" s="103" t="s">
        <v>864</v>
      </c>
      <c r="L1639" s="103" t="s">
        <v>153</v>
      </c>
      <c r="M1639" s="103" t="s">
        <v>865</v>
      </c>
      <c r="N1639" s="103" t="s">
        <v>866</v>
      </c>
      <c r="O1639" s="103" t="str">
        <f t="shared" si="90"/>
        <v/>
      </c>
      <c r="P1639" s="103" t="s">
        <v>153</v>
      </c>
      <c r="Q1639" s="103" t="s">
        <v>153</v>
      </c>
      <c r="R1639" s="103" t="s">
        <v>153</v>
      </c>
      <c r="S1639" s="103" t="str">
        <f>INDEX('Measure &amp; Standard CostIDs'!$AK$8:$AK$12,B1639)</f>
        <v>Four+pack</v>
      </c>
      <c r="T1639" s="103" t="s">
        <v>867</v>
      </c>
      <c r="U1639" s="103"/>
      <c r="V1639" s="103"/>
      <c r="W1639" s="103">
        <f>ROUND(IF(LEFT(D1639,3)="Std",VLOOKUP(D1639,'Measure &amp; Standard CostIDs'!$S$5:$X$177,1+B1639,FALSE),VLOOKUP(D1639,'Measure &amp; Standard CostIDs'!$C$5:$H$177,1+B1639,FALSE)),2)</f>
        <v>3.55</v>
      </c>
      <c r="X1639" s="103"/>
      <c r="Y1639" s="103"/>
      <c r="Z1639" s="103" t="s">
        <v>868</v>
      </c>
      <c r="AA1639" s="103" t="s">
        <v>874</v>
      </c>
      <c r="AB1639" s="103" t="s">
        <v>153</v>
      </c>
      <c r="AC1639" s="103">
        <v>0</v>
      </c>
      <c r="AD1639" s="156">
        <v>42005</v>
      </c>
      <c r="AE1639" s="103"/>
      <c r="AF1639" s="103" t="s">
        <v>870</v>
      </c>
      <c r="AG1639" s="103" t="s">
        <v>871</v>
      </c>
      <c r="AH1639" s="103" t="s">
        <v>976</v>
      </c>
      <c r="AI1639" s="103">
        <v>0</v>
      </c>
      <c r="AJ1639" s="103"/>
      <c r="AK1639" s="103"/>
      <c r="AL1639" s="103"/>
      <c r="AM1639" s="103"/>
      <c r="AN1639" s="103"/>
      <c r="AO1639" s="103" t="str">
        <f t="shared" si="91"/>
        <v>Std_CFLscw-Refl(9w)_60pInc-r0286Four+pack</v>
      </c>
    </row>
    <row r="1640" spans="1:41">
      <c r="A1640" s="177">
        <f>IFERROR(MATCH(D1640,'Measure &amp; Standard CostIDs'!C$5:C$177,0),MATCH(D1640,'Measure &amp; Standard CostIDs'!S$5:S$177,0))</f>
        <v>159</v>
      </c>
      <c r="B1640" s="177">
        <f t="shared" si="93"/>
        <v>5</v>
      </c>
      <c r="C1640" s="103" t="s">
        <v>153</v>
      </c>
      <c r="D1640" s="103" t="str">
        <f t="shared" si="92"/>
        <v>Std_CFLscw-Refl-1(15w)_60pInc-r0286</v>
      </c>
      <c r="E1640" s="103" t="str">
        <f>IF(LEFT(D1640,3)="Std","Base case cost for mix of 60% Incandescent and 40% CFL lamps for CFL TechID: "&amp;INDEX('Measure &amp; Standard CostIDs'!$C$5:$C$177,A1640),"&lt;from TechID&gt;")</f>
        <v>Base case cost for mix of 60% Incandescent and 40% CFL lamps for CFL TechID: CFLscw-Refl-1(15w)</v>
      </c>
      <c r="F1640" s="103" t="s">
        <v>860</v>
      </c>
      <c r="G1640" s="103" t="s">
        <v>151</v>
      </c>
      <c r="H1640" s="103" t="s">
        <v>861</v>
      </c>
      <c r="I1640" s="103" t="s">
        <v>862</v>
      </c>
      <c r="J1640" s="103" t="s">
        <v>863</v>
      </c>
      <c r="K1640" s="103" t="s">
        <v>864</v>
      </c>
      <c r="L1640" s="103" t="s">
        <v>153</v>
      </c>
      <c r="M1640" s="103" t="s">
        <v>865</v>
      </c>
      <c r="N1640" s="103" t="s">
        <v>866</v>
      </c>
      <c r="O1640" s="103" t="str">
        <f t="shared" si="90"/>
        <v/>
      </c>
      <c r="P1640" s="103" t="s">
        <v>153</v>
      </c>
      <c r="Q1640" s="103" t="s">
        <v>153</v>
      </c>
      <c r="R1640" s="103" t="s">
        <v>153</v>
      </c>
      <c r="S1640" s="103" t="str">
        <f>INDEX('Measure &amp; Standard CostIDs'!$AK$8:$AK$12,B1640)</f>
        <v>Four+pack</v>
      </c>
      <c r="T1640" s="103" t="s">
        <v>867</v>
      </c>
      <c r="U1640" s="103"/>
      <c r="V1640" s="103"/>
      <c r="W1640" s="103">
        <f>ROUND(IF(LEFT(D1640,3)="Std",VLOOKUP(D1640,'Measure &amp; Standard CostIDs'!$S$5:$X$177,1+B1640,FALSE),VLOOKUP(D1640,'Measure &amp; Standard CostIDs'!$C$5:$H$177,1+B1640,FALSE)),2)</f>
        <v>4.05</v>
      </c>
      <c r="X1640" s="103"/>
      <c r="Y1640" s="103"/>
      <c r="Z1640" s="103" t="s">
        <v>868</v>
      </c>
      <c r="AA1640" s="103" t="s">
        <v>874</v>
      </c>
      <c r="AB1640" s="103" t="s">
        <v>153</v>
      </c>
      <c r="AC1640" s="103">
        <v>0</v>
      </c>
      <c r="AD1640" s="156">
        <v>42005</v>
      </c>
      <c r="AE1640" s="103"/>
      <c r="AF1640" s="103" t="s">
        <v>870</v>
      </c>
      <c r="AG1640" s="103" t="s">
        <v>871</v>
      </c>
      <c r="AH1640" s="103" t="s">
        <v>976</v>
      </c>
      <c r="AI1640" s="103">
        <v>0</v>
      </c>
      <c r="AJ1640" s="103"/>
      <c r="AK1640" s="103"/>
      <c r="AL1640" s="103"/>
      <c r="AM1640" s="103"/>
      <c r="AN1640" s="103"/>
      <c r="AO1640" s="103" t="str">
        <f t="shared" si="91"/>
        <v>Std_CFLscw-Refl-1(15w)_60pInc-r0286Four+pack</v>
      </c>
    </row>
    <row r="1641" spans="1:41">
      <c r="A1641" s="177">
        <f>IFERROR(MATCH(D1641,'Measure &amp; Standard CostIDs'!C$5:C$177,0),MATCH(D1641,'Measure &amp; Standard CostIDs'!S$5:S$177,0))</f>
        <v>160</v>
      </c>
      <c r="B1641" s="177">
        <f t="shared" si="93"/>
        <v>5</v>
      </c>
      <c r="C1641" s="103" t="s">
        <v>153</v>
      </c>
      <c r="D1641" s="103" t="str">
        <f t="shared" si="92"/>
        <v>Std_CFLscw-Refl-1(23w)_60pInc-r0286</v>
      </c>
      <c r="E1641" s="103" t="str">
        <f>IF(LEFT(D1641,3)="Std","Base case cost for mix of 60% Incandescent and 40% CFL lamps for CFL TechID: "&amp;INDEX('Measure &amp; Standard CostIDs'!$C$5:$C$177,A1641),"&lt;from TechID&gt;")</f>
        <v>Base case cost for mix of 60% Incandescent and 40% CFL lamps for CFL TechID: CFLscw-Refl-1(23w)</v>
      </c>
      <c r="F1641" s="103" t="s">
        <v>860</v>
      </c>
      <c r="G1641" s="103" t="s">
        <v>151</v>
      </c>
      <c r="H1641" s="103" t="s">
        <v>861</v>
      </c>
      <c r="I1641" s="103" t="s">
        <v>862</v>
      </c>
      <c r="J1641" s="103" t="s">
        <v>863</v>
      </c>
      <c r="K1641" s="103" t="s">
        <v>864</v>
      </c>
      <c r="L1641" s="103" t="s">
        <v>153</v>
      </c>
      <c r="M1641" s="103" t="s">
        <v>865</v>
      </c>
      <c r="N1641" s="103" t="s">
        <v>866</v>
      </c>
      <c r="O1641" s="103" t="str">
        <f t="shared" si="90"/>
        <v/>
      </c>
      <c r="P1641" s="103" t="s">
        <v>153</v>
      </c>
      <c r="Q1641" s="103" t="s">
        <v>153</v>
      </c>
      <c r="R1641" s="103" t="s">
        <v>153</v>
      </c>
      <c r="S1641" s="103" t="str">
        <f>INDEX('Measure &amp; Standard CostIDs'!$AK$8:$AK$12,B1641)</f>
        <v>Four+pack</v>
      </c>
      <c r="T1641" s="103" t="s">
        <v>867</v>
      </c>
      <c r="U1641" s="103"/>
      <c r="V1641" s="103"/>
      <c r="W1641" s="103">
        <f>ROUND(IF(LEFT(D1641,3)="Std",VLOOKUP(D1641,'Measure &amp; Standard CostIDs'!$S$5:$X$177,1+B1641,FALSE),VLOOKUP(D1641,'Measure &amp; Standard CostIDs'!$C$5:$H$177,1+B1641,FALSE)),2)</f>
        <v>4.7300000000000004</v>
      </c>
      <c r="X1641" s="103"/>
      <c r="Y1641" s="103"/>
      <c r="Z1641" s="103" t="s">
        <v>868</v>
      </c>
      <c r="AA1641" s="103" t="s">
        <v>874</v>
      </c>
      <c r="AB1641" s="103" t="s">
        <v>153</v>
      </c>
      <c r="AC1641" s="103">
        <v>0</v>
      </c>
      <c r="AD1641" s="156">
        <v>42005</v>
      </c>
      <c r="AE1641" s="103"/>
      <c r="AF1641" s="103" t="s">
        <v>870</v>
      </c>
      <c r="AG1641" s="103" t="s">
        <v>871</v>
      </c>
      <c r="AH1641" s="103" t="s">
        <v>976</v>
      </c>
      <c r="AI1641" s="103">
        <v>0</v>
      </c>
      <c r="AJ1641" s="103"/>
      <c r="AK1641" s="103"/>
      <c r="AL1641" s="103"/>
      <c r="AM1641" s="103"/>
      <c r="AN1641" s="103"/>
      <c r="AO1641" s="103" t="str">
        <f t="shared" si="91"/>
        <v>Std_CFLscw-Refl-1(23w)_60pInc-r0286Four+pack</v>
      </c>
    </row>
    <row r="1642" spans="1:41">
      <c r="A1642" s="177">
        <f>IFERROR(MATCH(D1642,'Measure &amp; Standard CostIDs'!C$5:C$177,0),MATCH(D1642,'Measure &amp; Standard CostIDs'!S$5:S$177,0))</f>
        <v>161</v>
      </c>
      <c r="B1642" s="177">
        <f t="shared" si="93"/>
        <v>5</v>
      </c>
      <c r="C1642" s="103" t="s">
        <v>153</v>
      </c>
      <c r="D1642" s="103" t="str">
        <f t="shared" si="92"/>
        <v>Std_CFLscw-Refl-2(15w)_60pInc-r0286</v>
      </c>
      <c r="E1642" s="103" t="str">
        <f>IF(LEFT(D1642,3)="Std","Base case cost for mix of 60% Incandescent and 40% CFL lamps for CFL TechID: "&amp;INDEX('Measure &amp; Standard CostIDs'!$C$5:$C$177,A1642),"&lt;from TechID&gt;")</f>
        <v>Base case cost for mix of 60% Incandescent and 40% CFL lamps for CFL TechID: CFLscw-Refl-2(15w)</v>
      </c>
      <c r="F1642" s="103" t="s">
        <v>860</v>
      </c>
      <c r="G1642" s="103" t="s">
        <v>151</v>
      </c>
      <c r="H1642" s="103" t="s">
        <v>861</v>
      </c>
      <c r="I1642" s="103" t="s">
        <v>862</v>
      </c>
      <c r="J1642" s="103" t="s">
        <v>863</v>
      </c>
      <c r="K1642" s="103" t="s">
        <v>864</v>
      </c>
      <c r="L1642" s="103" t="s">
        <v>153</v>
      </c>
      <c r="M1642" s="103" t="s">
        <v>865</v>
      </c>
      <c r="N1642" s="103" t="s">
        <v>866</v>
      </c>
      <c r="O1642" s="103" t="str">
        <f t="shared" si="90"/>
        <v/>
      </c>
      <c r="P1642" s="103" t="s">
        <v>153</v>
      </c>
      <c r="Q1642" s="103" t="s">
        <v>153</v>
      </c>
      <c r="R1642" s="103" t="s">
        <v>153</v>
      </c>
      <c r="S1642" s="103" t="str">
        <f>INDEX('Measure &amp; Standard CostIDs'!$AK$8:$AK$12,B1642)</f>
        <v>Four+pack</v>
      </c>
      <c r="T1642" s="103" t="s">
        <v>867</v>
      </c>
      <c r="U1642" s="103"/>
      <c r="V1642" s="103"/>
      <c r="W1642" s="103">
        <f>ROUND(IF(LEFT(D1642,3)="Std",VLOOKUP(D1642,'Measure &amp; Standard CostIDs'!$S$5:$X$177,1+B1642,FALSE),VLOOKUP(D1642,'Measure &amp; Standard CostIDs'!$C$5:$H$177,1+B1642,FALSE)),2)</f>
        <v>4.05</v>
      </c>
      <c r="X1642" s="103"/>
      <c r="Y1642" s="103"/>
      <c r="Z1642" s="103" t="s">
        <v>868</v>
      </c>
      <c r="AA1642" s="103" t="s">
        <v>874</v>
      </c>
      <c r="AB1642" s="103" t="s">
        <v>153</v>
      </c>
      <c r="AC1642" s="103">
        <v>0</v>
      </c>
      <c r="AD1642" s="156">
        <v>42005</v>
      </c>
      <c r="AE1642" s="103"/>
      <c r="AF1642" s="103" t="s">
        <v>870</v>
      </c>
      <c r="AG1642" s="103" t="s">
        <v>871</v>
      </c>
      <c r="AH1642" s="103" t="s">
        <v>976</v>
      </c>
      <c r="AI1642" s="103">
        <v>0</v>
      </c>
      <c r="AJ1642" s="103"/>
      <c r="AK1642" s="103"/>
      <c r="AL1642" s="103"/>
      <c r="AM1642" s="103"/>
      <c r="AN1642" s="103"/>
      <c r="AO1642" s="103" t="str">
        <f t="shared" si="91"/>
        <v>Std_CFLscw-Refl-2(15w)_60pInc-r0286Four+pack</v>
      </c>
    </row>
    <row r="1643" spans="1:41">
      <c r="A1643" s="177">
        <f>IFERROR(MATCH(D1643,'Measure &amp; Standard CostIDs'!C$5:C$177,0),MATCH(D1643,'Measure &amp; Standard CostIDs'!S$5:S$177,0))</f>
        <v>162</v>
      </c>
      <c r="B1643" s="177">
        <f t="shared" si="93"/>
        <v>5</v>
      </c>
      <c r="C1643" s="103" t="s">
        <v>153</v>
      </c>
      <c r="D1643" s="103" t="str">
        <f t="shared" si="92"/>
        <v>Std_CFLscw-Refl-2(23w)_60pInc-r0286</v>
      </c>
      <c r="E1643" s="103" t="str">
        <f>IF(LEFT(D1643,3)="Std","Base case cost for mix of 60% Incandescent and 40% CFL lamps for CFL TechID: "&amp;INDEX('Measure &amp; Standard CostIDs'!$C$5:$C$177,A1643),"&lt;from TechID&gt;")</f>
        <v>Base case cost for mix of 60% Incandescent and 40% CFL lamps for CFL TechID: CFLscw-Refl-2(23w)</v>
      </c>
      <c r="F1643" s="103" t="s">
        <v>860</v>
      </c>
      <c r="G1643" s="103" t="s">
        <v>151</v>
      </c>
      <c r="H1643" s="103" t="s">
        <v>861</v>
      </c>
      <c r="I1643" s="103" t="s">
        <v>862</v>
      </c>
      <c r="J1643" s="103" t="s">
        <v>863</v>
      </c>
      <c r="K1643" s="103" t="s">
        <v>864</v>
      </c>
      <c r="L1643" s="103" t="s">
        <v>153</v>
      </c>
      <c r="M1643" s="103" t="s">
        <v>865</v>
      </c>
      <c r="N1643" s="103" t="s">
        <v>866</v>
      </c>
      <c r="O1643" s="103" t="str">
        <f t="shared" si="90"/>
        <v/>
      </c>
      <c r="P1643" s="103" t="s">
        <v>153</v>
      </c>
      <c r="Q1643" s="103" t="s">
        <v>153</v>
      </c>
      <c r="R1643" s="103" t="s">
        <v>153</v>
      </c>
      <c r="S1643" s="103" t="str">
        <f>INDEX('Measure &amp; Standard CostIDs'!$AK$8:$AK$12,B1643)</f>
        <v>Four+pack</v>
      </c>
      <c r="T1643" s="103" t="s">
        <v>867</v>
      </c>
      <c r="U1643" s="103"/>
      <c r="V1643" s="103"/>
      <c r="W1643" s="103">
        <f>ROUND(IF(LEFT(D1643,3)="Std",VLOOKUP(D1643,'Measure &amp; Standard CostIDs'!$S$5:$X$177,1+B1643,FALSE),VLOOKUP(D1643,'Measure &amp; Standard CostIDs'!$C$5:$H$177,1+B1643,FALSE)),2)</f>
        <v>4.7300000000000004</v>
      </c>
      <c r="X1643" s="103"/>
      <c r="Y1643" s="103"/>
      <c r="Z1643" s="103" t="s">
        <v>868</v>
      </c>
      <c r="AA1643" s="103" t="s">
        <v>874</v>
      </c>
      <c r="AB1643" s="103" t="s">
        <v>153</v>
      </c>
      <c r="AC1643" s="103">
        <v>0</v>
      </c>
      <c r="AD1643" s="156">
        <v>42005</v>
      </c>
      <c r="AE1643" s="103"/>
      <c r="AF1643" s="103" t="s">
        <v>870</v>
      </c>
      <c r="AG1643" s="103" t="s">
        <v>871</v>
      </c>
      <c r="AH1643" s="103" t="s">
        <v>976</v>
      </c>
      <c r="AI1643" s="103">
        <v>0</v>
      </c>
      <c r="AJ1643" s="103"/>
      <c r="AK1643" s="103"/>
      <c r="AL1643" s="103"/>
      <c r="AM1643" s="103"/>
      <c r="AN1643" s="103"/>
      <c r="AO1643" s="103" t="str">
        <f t="shared" si="91"/>
        <v>Std_CFLscw-Refl-2(23w)_60pInc-r0286Four+pack</v>
      </c>
    </row>
    <row r="1644" spans="1:41">
      <c r="A1644" s="177">
        <f>IFERROR(MATCH(D1644,'Measure &amp; Standard CostIDs'!C$5:C$177,0),MATCH(D1644,'Measure &amp; Standard CostIDs'!S$5:S$177,0))</f>
        <v>163</v>
      </c>
      <c r="B1644" s="177">
        <f t="shared" si="93"/>
        <v>5</v>
      </c>
      <c r="C1644" s="103" t="s">
        <v>153</v>
      </c>
      <c r="D1644" s="103" t="str">
        <f t="shared" si="92"/>
        <v>Std_CFLscw-Refl-Dim(15w)_60pInc-r0286</v>
      </c>
      <c r="E1644" s="103" t="str">
        <f>IF(LEFT(D1644,3)="Std","Base case cost for mix of 60% Incandescent and 40% CFL lamps for CFL TechID: "&amp;INDEX('Measure &amp; Standard CostIDs'!$C$5:$C$177,A1644),"&lt;from TechID&gt;")</f>
        <v>Base case cost for mix of 60% Incandescent and 40% CFL lamps for CFL TechID: CFLscw-Refl-Dim(15w)</v>
      </c>
      <c r="F1644" s="103" t="s">
        <v>860</v>
      </c>
      <c r="G1644" s="103" t="s">
        <v>151</v>
      </c>
      <c r="H1644" s="103" t="s">
        <v>861</v>
      </c>
      <c r="I1644" s="103" t="s">
        <v>862</v>
      </c>
      <c r="J1644" s="103" t="s">
        <v>863</v>
      </c>
      <c r="K1644" s="103" t="s">
        <v>864</v>
      </c>
      <c r="L1644" s="103" t="s">
        <v>153</v>
      </c>
      <c r="M1644" s="103" t="s">
        <v>865</v>
      </c>
      <c r="N1644" s="103" t="s">
        <v>866</v>
      </c>
      <c r="O1644" s="103" t="str">
        <f t="shared" si="90"/>
        <v/>
      </c>
      <c r="P1644" s="103" t="s">
        <v>153</v>
      </c>
      <c r="Q1644" s="103" t="s">
        <v>153</v>
      </c>
      <c r="R1644" s="103" t="s">
        <v>153</v>
      </c>
      <c r="S1644" s="103" t="str">
        <f>INDEX('Measure &amp; Standard CostIDs'!$AK$8:$AK$12,B1644)</f>
        <v>Four+pack</v>
      </c>
      <c r="T1644" s="103" t="s">
        <v>867</v>
      </c>
      <c r="U1644" s="103"/>
      <c r="V1644" s="103"/>
      <c r="W1644" s="103">
        <f>ROUND(IF(LEFT(D1644,3)="Std",VLOOKUP(D1644,'Measure &amp; Standard CostIDs'!$S$5:$X$177,1+B1644,FALSE),VLOOKUP(D1644,'Measure &amp; Standard CostIDs'!$C$5:$H$177,1+B1644,FALSE)),2)</f>
        <v>5.67</v>
      </c>
      <c r="X1644" s="103"/>
      <c r="Y1644" s="103"/>
      <c r="Z1644" s="103" t="s">
        <v>868</v>
      </c>
      <c r="AA1644" s="103" t="s">
        <v>874</v>
      </c>
      <c r="AB1644" s="103" t="s">
        <v>153</v>
      </c>
      <c r="AC1644" s="103">
        <v>0</v>
      </c>
      <c r="AD1644" s="156">
        <v>42005</v>
      </c>
      <c r="AE1644" s="103"/>
      <c r="AF1644" s="103" t="s">
        <v>870</v>
      </c>
      <c r="AG1644" s="103" t="s">
        <v>871</v>
      </c>
      <c r="AH1644" s="103" t="s">
        <v>976</v>
      </c>
      <c r="AI1644" s="103">
        <v>0</v>
      </c>
      <c r="AJ1644" s="103"/>
      <c r="AK1644" s="103"/>
      <c r="AL1644" s="103"/>
      <c r="AM1644" s="103"/>
      <c r="AN1644" s="103"/>
      <c r="AO1644" s="103" t="str">
        <f t="shared" si="91"/>
        <v>Std_CFLscw-Refl-Dim(15w)_60pInc-r0286Four+pack</v>
      </c>
    </row>
    <row r="1645" spans="1:41">
      <c r="A1645" s="177">
        <f>IFERROR(MATCH(D1645,'Measure &amp; Standard CostIDs'!C$5:C$177,0),MATCH(D1645,'Measure &amp; Standard CostIDs'!S$5:S$177,0))</f>
        <v>164</v>
      </c>
      <c r="B1645" s="177">
        <f t="shared" si="93"/>
        <v>5</v>
      </c>
      <c r="C1645" s="103" t="s">
        <v>153</v>
      </c>
      <c r="D1645" s="103" t="str">
        <f t="shared" si="92"/>
        <v>Std_CFLscw-Refl-Dim(16w)_60pInc-r0286</v>
      </c>
      <c r="E1645" s="103" t="str">
        <f>IF(LEFT(D1645,3)="Std","Base case cost for mix of 60% Incandescent and 40% CFL lamps for CFL TechID: "&amp;INDEX('Measure &amp; Standard CostIDs'!$C$5:$C$177,A1645),"&lt;from TechID&gt;")</f>
        <v>Base case cost for mix of 60% Incandescent and 40% CFL lamps for CFL TechID: CFLscw-Refl-Dim(16w)</v>
      </c>
      <c r="F1645" s="103" t="s">
        <v>860</v>
      </c>
      <c r="G1645" s="103" t="s">
        <v>151</v>
      </c>
      <c r="H1645" s="103" t="s">
        <v>861</v>
      </c>
      <c r="I1645" s="103" t="s">
        <v>862</v>
      </c>
      <c r="J1645" s="103" t="s">
        <v>863</v>
      </c>
      <c r="K1645" s="103" t="s">
        <v>864</v>
      </c>
      <c r="L1645" s="103" t="s">
        <v>153</v>
      </c>
      <c r="M1645" s="103" t="s">
        <v>865</v>
      </c>
      <c r="N1645" s="103" t="s">
        <v>866</v>
      </c>
      <c r="O1645" s="103" t="str">
        <f t="shared" ref="O1645:O1654" si="94">IF(LEFT(D1645,3)="Std","",D1645)</f>
        <v/>
      </c>
      <c r="P1645" s="103" t="s">
        <v>153</v>
      </c>
      <c r="Q1645" s="103" t="s">
        <v>153</v>
      </c>
      <c r="R1645" s="103" t="s">
        <v>153</v>
      </c>
      <c r="S1645" s="103" t="str">
        <f>INDEX('Measure &amp; Standard CostIDs'!$AK$8:$AK$12,B1645)</f>
        <v>Four+pack</v>
      </c>
      <c r="T1645" s="103" t="s">
        <v>867</v>
      </c>
      <c r="U1645" s="103"/>
      <c r="V1645" s="103"/>
      <c r="W1645" s="103">
        <f>ROUND(IF(LEFT(D1645,3)="Std",VLOOKUP(D1645,'Measure &amp; Standard CostIDs'!$S$5:$X$177,1+B1645,FALSE),VLOOKUP(D1645,'Measure &amp; Standard CostIDs'!$C$5:$H$177,1+B1645,FALSE)),2)</f>
        <v>5.75</v>
      </c>
      <c r="X1645" s="103"/>
      <c r="Y1645" s="103"/>
      <c r="Z1645" s="103" t="s">
        <v>868</v>
      </c>
      <c r="AA1645" s="103" t="s">
        <v>874</v>
      </c>
      <c r="AB1645" s="103" t="s">
        <v>153</v>
      </c>
      <c r="AC1645" s="103">
        <v>0</v>
      </c>
      <c r="AD1645" s="156">
        <v>42005</v>
      </c>
      <c r="AE1645" s="103"/>
      <c r="AF1645" s="103" t="s">
        <v>870</v>
      </c>
      <c r="AG1645" s="103" t="s">
        <v>871</v>
      </c>
      <c r="AH1645" s="103" t="s">
        <v>976</v>
      </c>
      <c r="AI1645" s="103">
        <v>0</v>
      </c>
      <c r="AJ1645" s="103"/>
      <c r="AK1645" s="103"/>
      <c r="AL1645" s="103"/>
      <c r="AM1645" s="103"/>
      <c r="AN1645" s="103"/>
      <c r="AO1645" s="103" t="str">
        <f t="shared" ref="AO1645:AO1654" si="95">D1645&amp;S1645</f>
        <v>Std_CFLscw-Refl-Dim(16w)_60pInc-r0286Four+pack</v>
      </c>
    </row>
    <row r="1646" spans="1:41">
      <c r="A1646" s="177">
        <f>IFERROR(MATCH(D1646,'Measure &amp; Standard CostIDs'!C$5:C$177,0),MATCH(D1646,'Measure &amp; Standard CostIDs'!S$5:S$177,0))</f>
        <v>165</v>
      </c>
      <c r="B1646" s="177">
        <f t="shared" si="93"/>
        <v>5</v>
      </c>
      <c r="C1646" s="103" t="s">
        <v>153</v>
      </c>
      <c r="D1646" s="103" t="str">
        <f t="shared" si="92"/>
        <v>Std_CFLscw-Refl-Dim(20w)_60pInc-r0286</v>
      </c>
      <c r="E1646" s="103" t="str">
        <f>IF(LEFT(D1646,3)="Std","Base case cost for mix of 60% Incandescent and 40% CFL lamps for CFL TechID: "&amp;INDEX('Measure &amp; Standard CostIDs'!$C$5:$C$177,A1646),"&lt;from TechID&gt;")</f>
        <v>Base case cost for mix of 60% Incandescent and 40% CFL lamps for CFL TechID: CFLscw-Refl-Dim(20w)</v>
      </c>
      <c r="F1646" s="103" t="s">
        <v>860</v>
      </c>
      <c r="G1646" s="103" t="s">
        <v>151</v>
      </c>
      <c r="H1646" s="103" t="s">
        <v>861</v>
      </c>
      <c r="I1646" s="103" t="s">
        <v>862</v>
      </c>
      <c r="J1646" s="103" t="s">
        <v>863</v>
      </c>
      <c r="K1646" s="103" t="s">
        <v>864</v>
      </c>
      <c r="L1646" s="103" t="s">
        <v>153</v>
      </c>
      <c r="M1646" s="103" t="s">
        <v>865</v>
      </c>
      <c r="N1646" s="103" t="s">
        <v>866</v>
      </c>
      <c r="O1646" s="103" t="str">
        <f t="shared" si="94"/>
        <v/>
      </c>
      <c r="P1646" s="103" t="s">
        <v>153</v>
      </c>
      <c r="Q1646" s="103" t="s">
        <v>153</v>
      </c>
      <c r="R1646" s="103" t="s">
        <v>153</v>
      </c>
      <c r="S1646" s="103" t="str">
        <f>INDEX('Measure &amp; Standard CostIDs'!$AK$8:$AK$12,B1646)</f>
        <v>Four+pack</v>
      </c>
      <c r="T1646" s="103" t="s">
        <v>867</v>
      </c>
      <c r="U1646" s="103"/>
      <c r="V1646" s="103"/>
      <c r="W1646" s="103">
        <f>ROUND(IF(LEFT(D1646,3)="Std",VLOOKUP(D1646,'Measure &amp; Standard CostIDs'!$S$5:$X$177,1+B1646,FALSE),VLOOKUP(D1646,'Measure &amp; Standard CostIDs'!$C$5:$H$177,1+B1646,FALSE)),2)</f>
        <v>6.09</v>
      </c>
      <c r="X1646" s="103"/>
      <c r="Y1646" s="103"/>
      <c r="Z1646" s="103" t="s">
        <v>868</v>
      </c>
      <c r="AA1646" s="103" t="s">
        <v>874</v>
      </c>
      <c r="AB1646" s="103" t="s">
        <v>153</v>
      </c>
      <c r="AC1646" s="103">
        <v>0</v>
      </c>
      <c r="AD1646" s="156">
        <v>42005</v>
      </c>
      <c r="AE1646" s="103"/>
      <c r="AF1646" s="103" t="s">
        <v>870</v>
      </c>
      <c r="AG1646" s="103" t="s">
        <v>871</v>
      </c>
      <c r="AH1646" s="103" t="s">
        <v>976</v>
      </c>
      <c r="AI1646" s="103">
        <v>0</v>
      </c>
      <c r="AJ1646" s="103"/>
      <c r="AK1646" s="103"/>
      <c r="AL1646" s="103"/>
      <c r="AM1646" s="103"/>
      <c r="AN1646" s="103"/>
      <c r="AO1646" s="103" t="str">
        <f t="shared" si="95"/>
        <v>Std_CFLscw-Refl-Dim(20w)_60pInc-r0286Four+pack</v>
      </c>
    </row>
    <row r="1647" spans="1:41">
      <c r="A1647" s="177">
        <f>IFERROR(MATCH(D1647,'Measure &amp; Standard CostIDs'!C$5:C$177,0),MATCH(D1647,'Measure &amp; Standard CostIDs'!S$5:S$177,0))</f>
        <v>166</v>
      </c>
      <c r="B1647" s="177">
        <f t="shared" si="93"/>
        <v>5</v>
      </c>
      <c r="C1647" s="103" t="s">
        <v>153</v>
      </c>
      <c r="D1647" s="103" t="str">
        <f t="shared" si="92"/>
        <v>Std_CFLscw-Refl-Dim(26w)_60pInc-r0286</v>
      </c>
      <c r="E1647" s="103" t="str">
        <f>IF(LEFT(D1647,3)="Std","Base case cost for mix of 60% Incandescent and 40% CFL lamps for CFL TechID: "&amp;INDEX('Measure &amp; Standard CostIDs'!$C$5:$C$177,A1647),"&lt;from TechID&gt;")</f>
        <v>Base case cost for mix of 60% Incandescent and 40% CFL lamps for CFL TechID: CFLscw-Refl-Dim(26w)</v>
      </c>
      <c r="F1647" s="103" t="s">
        <v>860</v>
      </c>
      <c r="G1647" s="103" t="s">
        <v>151</v>
      </c>
      <c r="H1647" s="103" t="s">
        <v>861</v>
      </c>
      <c r="I1647" s="103" t="s">
        <v>862</v>
      </c>
      <c r="J1647" s="103" t="s">
        <v>863</v>
      </c>
      <c r="K1647" s="103" t="s">
        <v>864</v>
      </c>
      <c r="L1647" s="103" t="s">
        <v>153</v>
      </c>
      <c r="M1647" s="103" t="s">
        <v>865</v>
      </c>
      <c r="N1647" s="103" t="s">
        <v>866</v>
      </c>
      <c r="O1647" s="103" t="str">
        <f t="shared" si="94"/>
        <v/>
      </c>
      <c r="P1647" s="103" t="s">
        <v>153</v>
      </c>
      <c r="Q1647" s="103" t="s">
        <v>153</v>
      </c>
      <c r="R1647" s="103" t="s">
        <v>153</v>
      </c>
      <c r="S1647" s="103" t="str">
        <f>INDEX('Measure &amp; Standard CostIDs'!$AK$8:$AK$12,B1647)</f>
        <v>Four+pack</v>
      </c>
      <c r="T1647" s="103" t="s">
        <v>867</v>
      </c>
      <c r="U1647" s="103"/>
      <c r="V1647" s="103"/>
      <c r="W1647" s="103">
        <f>ROUND(IF(LEFT(D1647,3)="Std",VLOOKUP(D1647,'Measure &amp; Standard CostIDs'!$S$5:$X$177,1+B1647,FALSE),VLOOKUP(D1647,'Measure &amp; Standard CostIDs'!$C$5:$H$177,1+B1647,FALSE)),2)</f>
        <v>6.6</v>
      </c>
      <c r="X1647" s="103"/>
      <c r="Y1647" s="103"/>
      <c r="Z1647" s="103" t="s">
        <v>868</v>
      </c>
      <c r="AA1647" s="103" t="s">
        <v>874</v>
      </c>
      <c r="AB1647" s="103" t="s">
        <v>153</v>
      </c>
      <c r="AC1647" s="103">
        <v>0</v>
      </c>
      <c r="AD1647" s="156">
        <v>42005</v>
      </c>
      <c r="AE1647" s="103"/>
      <c r="AF1647" s="103" t="s">
        <v>870</v>
      </c>
      <c r="AG1647" s="103" t="s">
        <v>871</v>
      </c>
      <c r="AH1647" s="103" t="s">
        <v>976</v>
      </c>
      <c r="AI1647" s="103">
        <v>0</v>
      </c>
      <c r="AJ1647" s="103"/>
      <c r="AK1647" s="103"/>
      <c r="AL1647" s="103"/>
      <c r="AM1647" s="103"/>
      <c r="AN1647" s="103"/>
      <c r="AO1647" s="103" t="str">
        <f t="shared" si="95"/>
        <v>Std_CFLscw-Refl-Dim(26w)_60pInc-r0286Four+pack</v>
      </c>
    </row>
    <row r="1648" spans="1:41">
      <c r="A1648" s="177">
        <f>IFERROR(MATCH(D1648,'Measure &amp; Standard CostIDs'!C$5:C$177,0),MATCH(D1648,'Measure &amp; Standard CostIDs'!S$5:S$177,0))</f>
        <v>167</v>
      </c>
      <c r="B1648" s="177">
        <f t="shared" si="93"/>
        <v>5</v>
      </c>
      <c r="C1648" s="103" t="s">
        <v>153</v>
      </c>
      <c r="D1648" s="103" t="str">
        <f t="shared" si="92"/>
        <v>Std_CFLscw-Refl-Ext(13w)_60pInc-r0286</v>
      </c>
      <c r="E1648" s="103" t="str">
        <f>IF(LEFT(D1648,3)="Std","Base case cost for mix of 60% Incandescent and 40% CFL lamps for CFL TechID: "&amp;INDEX('Measure &amp; Standard CostIDs'!$C$5:$C$177,A1648),"&lt;from TechID&gt;")</f>
        <v>Base case cost for mix of 60% Incandescent and 40% CFL lamps for CFL TechID: CFLscw-Refl-Ext(13w)</v>
      </c>
      <c r="F1648" s="103" t="s">
        <v>860</v>
      </c>
      <c r="G1648" s="103" t="s">
        <v>151</v>
      </c>
      <c r="H1648" s="103" t="s">
        <v>861</v>
      </c>
      <c r="I1648" s="103" t="s">
        <v>862</v>
      </c>
      <c r="J1648" s="103" t="s">
        <v>863</v>
      </c>
      <c r="K1648" s="103" t="s">
        <v>864</v>
      </c>
      <c r="L1648" s="103" t="s">
        <v>153</v>
      </c>
      <c r="M1648" s="103" t="s">
        <v>865</v>
      </c>
      <c r="N1648" s="103" t="s">
        <v>866</v>
      </c>
      <c r="O1648" s="103" t="str">
        <f t="shared" si="94"/>
        <v/>
      </c>
      <c r="P1648" s="103" t="s">
        <v>153</v>
      </c>
      <c r="Q1648" s="103" t="s">
        <v>153</v>
      </c>
      <c r="R1648" s="103" t="s">
        <v>153</v>
      </c>
      <c r="S1648" s="103" t="str">
        <f>INDEX('Measure &amp; Standard CostIDs'!$AK$8:$AK$12,B1648)</f>
        <v>Four+pack</v>
      </c>
      <c r="T1648" s="103" t="s">
        <v>867</v>
      </c>
      <c r="U1648" s="103"/>
      <c r="V1648" s="103"/>
      <c r="W1648" s="103">
        <f>ROUND(IF(LEFT(D1648,3)="Std",VLOOKUP(D1648,'Measure &amp; Standard CostIDs'!$S$5:$X$177,1+B1648,FALSE),VLOOKUP(D1648,'Measure &amp; Standard CostIDs'!$C$5:$H$177,1+B1648,FALSE)),2)</f>
        <v>3.88</v>
      </c>
      <c r="X1648" s="103"/>
      <c r="Y1648" s="103"/>
      <c r="Z1648" s="103" t="s">
        <v>868</v>
      </c>
      <c r="AA1648" s="103" t="s">
        <v>874</v>
      </c>
      <c r="AB1648" s="103" t="s">
        <v>153</v>
      </c>
      <c r="AC1648" s="103">
        <v>0</v>
      </c>
      <c r="AD1648" s="156">
        <v>42005</v>
      </c>
      <c r="AE1648" s="103"/>
      <c r="AF1648" s="103" t="s">
        <v>870</v>
      </c>
      <c r="AG1648" s="103" t="s">
        <v>871</v>
      </c>
      <c r="AH1648" s="103" t="s">
        <v>976</v>
      </c>
      <c r="AI1648" s="103">
        <v>0</v>
      </c>
      <c r="AJ1648" s="103"/>
      <c r="AK1648" s="103"/>
      <c r="AL1648" s="103"/>
      <c r="AM1648" s="103"/>
      <c r="AN1648" s="103"/>
      <c r="AO1648" s="103" t="str">
        <f t="shared" si="95"/>
        <v>Std_CFLscw-Refl-Ext(13w)_60pInc-r0286Four+pack</v>
      </c>
    </row>
    <row r="1649" spans="1:41">
      <c r="A1649" s="177">
        <f>IFERROR(MATCH(D1649,'Measure &amp; Standard CostIDs'!C$5:C$177,0),MATCH(D1649,'Measure &amp; Standard CostIDs'!S$5:S$177,0))</f>
        <v>168</v>
      </c>
      <c r="B1649" s="177">
        <f t="shared" si="93"/>
        <v>5</v>
      </c>
      <c r="C1649" s="103" t="s">
        <v>153</v>
      </c>
      <c r="D1649" s="103" t="str">
        <f t="shared" si="92"/>
        <v>Std_CFLscw-Refl-Ext(14w)_60pInc-r0286</v>
      </c>
      <c r="E1649" s="103" t="str">
        <f>IF(LEFT(D1649,3)="Std","Base case cost for mix of 60% Incandescent and 40% CFL lamps for CFL TechID: "&amp;INDEX('Measure &amp; Standard CostIDs'!$C$5:$C$177,A1649),"&lt;from TechID&gt;")</f>
        <v>Base case cost for mix of 60% Incandescent and 40% CFL lamps for CFL TechID: CFLscw-Refl-Ext(14w)</v>
      </c>
      <c r="F1649" s="103" t="s">
        <v>860</v>
      </c>
      <c r="G1649" s="103" t="s">
        <v>151</v>
      </c>
      <c r="H1649" s="103" t="s">
        <v>861</v>
      </c>
      <c r="I1649" s="103" t="s">
        <v>862</v>
      </c>
      <c r="J1649" s="103" t="s">
        <v>863</v>
      </c>
      <c r="K1649" s="103" t="s">
        <v>864</v>
      </c>
      <c r="L1649" s="103" t="s">
        <v>153</v>
      </c>
      <c r="M1649" s="103" t="s">
        <v>865</v>
      </c>
      <c r="N1649" s="103" t="s">
        <v>866</v>
      </c>
      <c r="O1649" s="103" t="str">
        <f t="shared" si="94"/>
        <v/>
      </c>
      <c r="P1649" s="103" t="s">
        <v>153</v>
      </c>
      <c r="Q1649" s="103" t="s">
        <v>153</v>
      </c>
      <c r="R1649" s="103" t="s">
        <v>153</v>
      </c>
      <c r="S1649" s="103" t="str">
        <f>INDEX('Measure &amp; Standard CostIDs'!$AK$8:$AK$12,B1649)</f>
        <v>Four+pack</v>
      </c>
      <c r="T1649" s="103" t="s">
        <v>867</v>
      </c>
      <c r="U1649" s="103"/>
      <c r="V1649" s="103"/>
      <c r="W1649" s="103">
        <f>ROUND(IF(LEFT(D1649,3)="Std",VLOOKUP(D1649,'Measure &amp; Standard CostIDs'!$S$5:$X$177,1+B1649,FALSE),VLOOKUP(D1649,'Measure &amp; Standard CostIDs'!$C$5:$H$177,1+B1649,FALSE)),2)</f>
        <v>3.97</v>
      </c>
      <c r="X1649" s="103"/>
      <c r="Y1649" s="103"/>
      <c r="Z1649" s="103" t="s">
        <v>868</v>
      </c>
      <c r="AA1649" s="103" t="s">
        <v>874</v>
      </c>
      <c r="AB1649" s="103" t="s">
        <v>153</v>
      </c>
      <c r="AC1649" s="103">
        <v>0</v>
      </c>
      <c r="AD1649" s="156">
        <v>42005</v>
      </c>
      <c r="AE1649" s="103"/>
      <c r="AF1649" s="103" t="s">
        <v>870</v>
      </c>
      <c r="AG1649" s="103" t="s">
        <v>871</v>
      </c>
      <c r="AH1649" s="103" t="s">
        <v>976</v>
      </c>
      <c r="AI1649" s="103">
        <v>0</v>
      </c>
      <c r="AJ1649" s="103"/>
      <c r="AK1649" s="103"/>
      <c r="AL1649" s="103"/>
      <c r="AM1649" s="103"/>
      <c r="AN1649" s="103"/>
      <c r="AO1649" s="103" t="str">
        <f t="shared" si="95"/>
        <v>Std_CFLscw-Refl-Ext(14w)_60pInc-r0286Four+pack</v>
      </c>
    </row>
    <row r="1650" spans="1:41">
      <c r="A1650" s="177">
        <f>IFERROR(MATCH(D1650,'Measure &amp; Standard CostIDs'!C$5:C$177,0),MATCH(D1650,'Measure &amp; Standard CostIDs'!S$5:S$177,0))</f>
        <v>169</v>
      </c>
      <c r="B1650" s="177">
        <f t="shared" si="93"/>
        <v>5</v>
      </c>
      <c r="C1650" s="103" t="s">
        <v>153</v>
      </c>
      <c r="D1650" s="103" t="str">
        <f t="shared" si="92"/>
        <v>Std_CFLscw-Refl-Ext(15w)_60pInc-r0286</v>
      </c>
      <c r="E1650" s="103" t="str">
        <f>IF(LEFT(D1650,3)="Std","Base case cost for mix of 60% Incandescent and 40% CFL lamps for CFL TechID: "&amp;INDEX('Measure &amp; Standard CostIDs'!$C$5:$C$177,A1650),"&lt;from TechID&gt;")</f>
        <v>Base case cost for mix of 60% Incandescent and 40% CFL lamps for CFL TechID: CFLscw-Refl-Ext(15w)</v>
      </c>
      <c r="F1650" s="103" t="s">
        <v>860</v>
      </c>
      <c r="G1650" s="103" t="s">
        <v>151</v>
      </c>
      <c r="H1650" s="103" t="s">
        <v>861</v>
      </c>
      <c r="I1650" s="103" t="s">
        <v>862</v>
      </c>
      <c r="J1650" s="103" t="s">
        <v>863</v>
      </c>
      <c r="K1650" s="103" t="s">
        <v>864</v>
      </c>
      <c r="L1650" s="103" t="s">
        <v>153</v>
      </c>
      <c r="M1650" s="103" t="s">
        <v>865</v>
      </c>
      <c r="N1650" s="103" t="s">
        <v>866</v>
      </c>
      <c r="O1650" s="103" t="str">
        <f t="shared" si="94"/>
        <v/>
      </c>
      <c r="P1650" s="103" t="s">
        <v>153</v>
      </c>
      <c r="Q1650" s="103" t="s">
        <v>153</v>
      </c>
      <c r="R1650" s="103" t="s">
        <v>153</v>
      </c>
      <c r="S1650" s="103" t="str">
        <f>INDEX('Measure &amp; Standard CostIDs'!$AK$8:$AK$12,B1650)</f>
        <v>Four+pack</v>
      </c>
      <c r="T1650" s="103" t="s">
        <v>867</v>
      </c>
      <c r="U1650" s="103"/>
      <c r="V1650" s="103"/>
      <c r="W1650" s="103">
        <f>ROUND(IF(LEFT(D1650,3)="Std",VLOOKUP(D1650,'Measure &amp; Standard CostIDs'!$S$5:$X$177,1+B1650,FALSE),VLOOKUP(D1650,'Measure &amp; Standard CostIDs'!$C$5:$H$177,1+B1650,FALSE)),2)</f>
        <v>4.05</v>
      </c>
      <c r="X1650" s="103"/>
      <c r="Y1650" s="103"/>
      <c r="Z1650" s="103" t="s">
        <v>868</v>
      </c>
      <c r="AA1650" s="103" t="s">
        <v>874</v>
      </c>
      <c r="AB1650" s="103" t="s">
        <v>153</v>
      </c>
      <c r="AC1650" s="103">
        <v>0</v>
      </c>
      <c r="AD1650" s="156">
        <v>42005</v>
      </c>
      <c r="AE1650" s="103"/>
      <c r="AF1650" s="103" t="s">
        <v>870</v>
      </c>
      <c r="AG1650" s="103" t="s">
        <v>871</v>
      </c>
      <c r="AH1650" s="103" t="s">
        <v>976</v>
      </c>
      <c r="AI1650" s="103">
        <v>0</v>
      </c>
      <c r="AJ1650" s="103"/>
      <c r="AK1650" s="103"/>
      <c r="AL1650" s="103"/>
      <c r="AM1650" s="103"/>
      <c r="AN1650" s="103"/>
      <c r="AO1650" s="103" t="str">
        <f t="shared" si="95"/>
        <v>Std_CFLscw-Refl-Ext(15w)_60pInc-r0286Four+pack</v>
      </c>
    </row>
    <row r="1651" spans="1:41">
      <c r="A1651" s="177">
        <f>IFERROR(MATCH(D1651,'Measure &amp; Standard CostIDs'!C$5:C$177,0),MATCH(D1651,'Measure &amp; Standard CostIDs'!S$5:S$177,0))</f>
        <v>170</v>
      </c>
      <c r="B1651" s="177">
        <f t="shared" si="93"/>
        <v>5</v>
      </c>
      <c r="C1651" s="103" t="s">
        <v>153</v>
      </c>
      <c r="D1651" s="103" t="str">
        <f t="shared" si="92"/>
        <v>Std_CFLscw-Refl-Ext(16w)_60pInc-r0286</v>
      </c>
      <c r="E1651" s="103" t="str">
        <f>IF(LEFT(D1651,3)="Std","Base case cost for mix of 60% Incandescent and 40% CFL lamps for CFL TechID: "&amp;INDEX('Measure &amp; Standard CostIDs'!$C$5:$C$177,A1651),"&lt;from TechID&gt;")</f>
        <v>Base case cost for mix of 60% Incandescent and 40% CFL lamps for CFL TechID: CFLscw-Refl-Ext(16w)</v>
      </c>
      <c r="F1651" s="103" t="s">
        <v>860</v>
      </c>
      <c r="G1651" s="103" t="s">
        <v>151</v>
      </c>
      <c r="H1651" s="103" t="s">
        <v>861</v>
      </c>
      <c r="I1651" s="103" t="s">
        <v>862</v>
      </c>
      <c r="J1651" s="103" t="s">
        <v>863</v>
      </c>
      <c r="K1651" s="103" t="s">
        <v>864</v>
      </c>
      <c r="L1651" s="103" t="s">
        <v>153</v>
      </c>
      <c r="M1651" s="103" t="s">
        <v>865</v>
      </c>
      <c r="N1651" s="103" t="s">
        <v>866</v>
      </c>
      <c r="O1651" s="103" t="str">
        <f t="shared" si="94"/>
        <v/>
      </c>
      <c r="P1651" s="103" t="s">
        <v>153</v>
      </c>
      <c r="Q1651" s="103" t="s">
        <v>153</v>
      </c>
      <c r="R1651" s="103" t="s">
        <v>153</v>
      </c>
      <c r="S1651" s="103" t="str">
        <f>INDEX('Measure &amp; Standard CostIDs'!$AK$8:$AK$12,B1651)</f>
        <v>Four+pack</v>
      </c>
      <c r="T1651" s="103" t="s">
        <v>867</v>
      </c>
      <c r="U1651" s="103"/>
      <c r="V1651" s="103"/>
      <c r="W1651" s="103">
        <f>ROUND(IF(LEFT(D1651,3)="Std",VLOOKUP(D1651,'Measure &amp; Standard CostIDs'!$S$5:$X$177,1+B1651,FALSE),VLOOKUP(D1651,'Measure &amp; Standard CostIDs'!$C$5:$H$177,1+B1651,FALSE)),2)</f>
        <v>4.13</v>
      </c>
      <c r="X1651" s="103"/>
      <c r="Y1651" s="103"/>
      <c r="Z1651" s="103" t="s">
        <v>868</v>
      </c>
      <c r="AA1651" s="103" t="s">
        <v>874</v>
      </c>
      <c r="AB1651" s="103" t="s">
        <v>153</v>
      </c>
      <c r="AC1651" s="103">
        <v>0</v>
      </c>
      <c r="AD1651" s="156">
        <v>42005</v>
      </c>
      <c r="AE1651" s="103"/>
      <c r="AF1651" s="103" t="s">
        <v>870</v>
      </c>
      <c r="AG1651" s="103" t="s">
        <v>871</v>
      </c>
      <c r="AH1651" s="103" t="s">
        <v>976</v>
      </c>
      <c r="AI1651" s="103">
        <v>0</v>
      </c>
      <c r="AJ1651" s="103"/>
      <c r="AK1651" s="103"/>
      <c r="AL1651" s="103"/>
      <c r="AM1651" s="103"/>
      <c r="AN1651" s="103"/>
      <c r="AO1651" s="103" t="str">
        <f t="shared" si="95"/>
        <v>Std_CFLscw-Refl-Ext(16w)_60pInc-r0286Four+pack</v>
      </c>
    </row>
    <row r="1652" spans="1:41">
      <c r="A1652" s="177">
        <f>IFERROR(MATCH(D1652,'Measure &amp; Standard CostIDs'!C$5:C$177,0),MATCH(D1652,'Measure &amp; Standard CostIDs'!S$5:S$177,0))</f>
        <v>171</v>
      </c>
      <c r="B1652" s="177">
        <f t="shared" si="93"/>
        <v>5</v>
      </c>
      <c r="C1652" s="103" t="s">
        <v>153</v>
      </c>
      <c r="D1652" s="103" t="str">
        <f t="shared" si="92"/>
        <v>Std_CFLscw-Refl-Ext(18w)_60pInc-r0286</v>
      </c>
      <c r="E1652" s="103" t="str">
        <f>IF(LEFT(D1652,3)="Std","Base case cost for mix of 60% Incandescent and 40% CFL lamps for CFL TechID: "&amp;INDEX('Measure &amp; Standard CostIDs'!$C$5:$C$177,A1652),"&lt;from TechID&gt;")</f>
        <v>Base case cost for mix of 60% Incandescent and 40% CFL lamps for CFL TechID: CFLscw-Refl-Ext(18w)</v>
      </c>
      <c r="F1652" s="103" t="s">
        <v>860</v>
      </c>
      <c r="G1652" s="103" t="s">
        <v>151</v>
      </c>
      <c r="H1652" s="103" t="s">
        <v>861</v>
      </c>
      <c r="I1652" s="103" t="s">
        <v>862</v>
      </c>
      <c r="J1652" s="103" t="s">
        <v>863</v>
      </c>
      <c r="K1652" s="103" t="s">
        <v>864</v>
      </c>
      <c r="L1652" s="103" t="s">
        <v>153</v>
      </c>
      <c r="M1652" s="103" t="s">
        <v>865</v>
      </c>
      <c r="N1652" s="103" t="s">
        <v>866</v>
      </c>
      <c r="O1652" s="103" t="str">
        <f t="shared" si="94"/>
        <v/>
      </c>
      <c r="P1652" s="103" t="s">
        <v>153</v>
      </c>
      <c r="Q1652" s="103" t="s">
        <v>153</v>
      </c>
      <c r="R1652" s="103" t="s">
        <v>153</v>
      </c>
      <c r="S1652" s="103" t="str">
        <f>INDEX('Measure &amp; Standard CostIDs'!$AK$8:$AK$12,B1652)</f>
        <v>Four+pack</v>
      </c>
      <c r="T1652" s="103" t="s">
        <v>867</v>
      </c>
      <c r="U1652" s="103"/>
      <c r="V1652" s="103"/>
      <c r="W1652" s="103">
        <f>ROUND(IF(LEFT(D1652,3)="Std",VLOOKUP(D1652,'Measure &amp; Standard CostIDs'!$S$5:$X$177,1+B1652,FALSE),VLOOKUP(D1652,'Measure &amp; Standard CostIDs'!$C$5:$H$177,1+B1652,FALSE)),2)</f>
        <v>4.3099999999999996</v>
      </c>
      <c r="X1652" s="103"/>
      <c r="Y1652" s="103"/>
      <c r="Z1652" s="103" t="s">
        <v>868</v>
      </c>
      <c r="AA1652" s="103" t="s">
        <v>874</v>
      </c>
      <c r="AB1652" s="103" t="s">
        <v>153</v>
      </c>
      <c r="AC1652" s="103">
        <v>0</v>
      </c>
      <c r="AD1652" s="156">
        <v>42005</v>
      </c>
      <c r="AE1652" s="103"/>
      <c r="AF1652" s="103" t="s">
        <v>870</v>
      </c>
      <c r="AG1652" s="103" t="s">
        <v>871</v>
      </c>
      <c r="AH1652" s="103" t="s">
        <v>976</v>
      </c>
      <c r="AI1652" s="103">
        <v>0</v>
      </c>
      <c r="AJ1652" s="103"/>
      <c r="AK1652" s="103"/>
      <c r="AL1652" s="103"/>
      <c r="AM1652" s="103"/>
      <c r="AN1652" s="103"/>
      <c r="AO1652" s="103" t="str">
        <f t="shared" si="95"/>
        <v>Std_CFLscw-Refl-Ext(18w)_60pInc-r0286Four+pack</v>
      </c>
    </row>
    <row r="1653" spans="1:41">
      <c r="A1653" s="177">
        <f>IFERROR(MATCH(D1653,'Measure &amp; Standard CostIDs'!C$5:C$177,0),MATCH(D1653,'Measure &amp; Standard CostIDs'!S$5:S$177,0))</f>
        <v>172</v>
      </c>
      <c r="B1653" s="177">
        <f t="shared" si="93"/>
        <v>5</v>
      </c>
      <c r="C1653" s="103" t="s">
        <v>153</v>
      </c>
      <c r="D1653" s="103" t="str">
        <f t="shared" si="92"/>
        <v>Std_CFLscw-Refl-Ext(20w)_60pInc-r0286</v>
      </c>
      <c r="E1653" s="103" t="str">
        <f>IF(LEFT(D1653,3)="Std","Base case cost for mix of 60% Incandescent and 40% CFL lamps for CFL TechID: "&amp;INDEX('Measure &amp; Standard CostIDs'!$C$5:$C$177,A1653),"&lt;from TechID&gt;")</f>
        <v>Base case cost for mix of 60% Incandescent and 40% CFL lamps for CFL TechID: CFLscw-Refl-Ext(20w)</v>
      </c>
      <c r="F1653" s="103" t="s">
        <v>860</v>
      </c>
      <c r="G1653" s="103" t="s">
        <v>151</v>
      </c>
      <c r="H1653" s="103" t="s">
        <v>861</v>
      </c>
      <c r="I1653" s="103" t="s">
        <v>862</v>
      </c>
      <c r="J1653" s="103" t="s">
        <v>863</v>
      </c>
      <c r="K1653" s="103" t="s">
        <v>864</v>
      </c>
      <c r="L1653" s="103" t="s">
        <v>153</v>
      </c>
      <c r="M1653" s="103" t="s">
        <v>865</v>
      </c>
      <c r="N1653" s="103" t="s">
        <v>866</v>
      </c>
      <c r="O1653" s="103" t="str">
        <f t="shared" si="94"/>
        <v/>
      </c>
      <c r="P1653" s="103" t="s">
        <v>153</v>
      </c>
      <c r="Q1653" s="103" t="s">
        <v>153</v>
      </c>
      <c r="R1653" s="103" t="s">
        <v>153</v>
      </c>
      <c r="S1653" s="103" t="str">
        <f>INDEX('Measure &amp; Standard CostIDs'!$AK$8:$AK$12,B1653)</f>
        <v>Four+pack</v>
      </c>
      <c r="T1653" s="103" t="s">
        <v>867</v>
      </c>
      <c r="U1653" s="103"/>
      <c r="V1653" s="103"/>
      <c r="W1653" s="103">
        <f>ROUND(IF(LEFT(D1653,3)="Std",VLOOKUP(D1653,'Measure &amp; Standard CostIDs'!$S$5:$X$177,1+B1653,FALSE),VLOOKUP(D1653,'Measure &amp; Standard CostIDs'!$C$5:$H$177,1+B1653,FALSE)),2)</f>
        <v>4.4800000000000004</v>
      </c>
      <c r="X1653" s="103"/>
      <c r="Y1653" s="103"/>
      <c r="Z1653" s="103" t="s">
        <v>868</v>
      </c>
      <c r="AA1653" s="103" t="s">
        <v>874</v>
      </c>
      <c r="AB1653" s="103" t="s">
        <v>153</v>
      </c>
      <c r="AC1653" s="103">
        <v>0</v>
      </c>
      <c r="AD1653" s="156">
        <v>42005</v>
      </c>
      <c r="AE1653" s="103"/>
      <c r="AF1653" s="103" t="s">
        <v>870</v>
      </c>
      <c r="AG1653" s="103" t="s">
        <v>871</v>
      </c>
      <c r="AH1653" s="103" t="s">
        <v>976</v>
      </c>
      <c r="AI1653" s="103">
        <v>0</v>
      </c>
      <c r="AJ1653" s="103"/>
      <c r="AK1653" s="103"/>
      <c r="AL1653" s="103"/>
      <c r="AM1653" s="103"/>
      <c r="AN1653" s="103"/>
      <c r="AO1653" s="103" t="str">
        <f t="shared" si="95"/>
        <v>Std_CFLscw-Refl-Ext(20w)_60pInc-r0286Four+pack</v>
      </c>
    </row>
    <row r="1654" spans="1:41">
      <c r="A1654" s="177">
        <f>IFERROR(MATCH(D1654,'Measure &amp; Standard CostIDs'!C$5:C$177,0),MATCH(D1654,'Measure &amp; Standard CostIDs'!S$5:S$177,0))</f>
        <v>173</v>
      </c>
      <c r="B1654" s="177">
        <f t="shared" si="93"/>
        <v>5</v>
      </c>
      <c r="C1654" s="103" t="s">
        <v>153</v>
      </c>
      <c r="D1654" s="103" t="str">
        <f t="shared" si="92"/>
        <v>Std_CFLscw-Refl-Ext(23w)_60pInc-r0286</v>
      </c>
      <c r="E1654" s="103" t="str">
        <f>IF(LEFT(D1654,3)="Std","Base case cost for mix of 60% Incandescent and 40% CFL lamps for CFL TechID: "&amp;INDEX('Measure &amp; Standard CostIDs'!$C$5:$C$177,A1654),"&lt;from TechID&gt;")</f>
        <v>Base case cost for mix of 60% Incandescent and 40% CFL lamps for CFL TechID: CFLscw-Refl-Ext(23w)</v>
      </c>
      <c r="F1654" s="103" t="s">
        <v>860</v>
      </c>
      <c r="G1654" s="103" t="s">
        <v>151</v>
      </c>
      <c r="H1654" s="103" t="s">
        <v>861</v>
      </c>
      <c r="I1654" s="103" t="s">
        <v>862</v>
      </c>
      <c r="J1654" s="103" t="s">
        <v>863</v>
      </c>
      <c r="K1654" s="103" t="s">
        <v>864</v>
      </c>
      <c r="L1654" s="103" t="s">
        <v>153</v>
      </c>
      <c r="M1654" s="103" t="s">
        <v>865</v>
      </c>
      <c r="N1654" s="103" t="s">
        <v>866</v>
      </c>
      <c r="O1654" s="103" t="str">
        <f t="shared" si="94"/>
        <v/>
      </c>
      <c r="P1654" s="103" t="s">
        <v>153</v>
      </c>
      <c r="Q1654" s="103" t="s">
        <v>153</v>
      </c>
      <c r="R1654" s="103" t="s">
        <v>153</v>
      </c>
      <c r="S1654" s="103" t="str">
        <f>INDEX('Measure &amp; Standard CostIDs'!$AK$8:$AK$12,B1654)</f>
        <v>Four+pack</v>
      </c>
      <c r="T1654" s="103" t="s">
        <v>867</v>
      </c>
      <c r="U1654" s="103"/>
      <c r="V1654" s="103"/>
      <c r="W1654" s="103">
        <f>ROUND(IF(LEFT(D1654,3)="Std",VLOOKUP(D1654,'Measure &amp; Standard CostIDs'!$S$5:$X$177,1+B1654,FALSE),VLOOKUP(D1654,'Measure &amp; Standard CostIDs'!$C$5:$H$177,1+B1654,FALSE)),2)</f>
        <v>4.7300000000000004</v>
      </c>
      <c r="X1654" s="103"/>
      <c r="Y1654" s="103"/>
      <c r="Z1654" s="103" t="s">
        <v>868</v>
      </c>
      <c r="AA1654" s="103" t="s">
        <v>874</v>
      </c>
      <c r="AB1654" s="103" t="s">
        <v>153</v>
      </c>
      <c r="AC1654" s="103">
        <v>0</v>
      </c>
      <c r="AD1654" s="156">
        <v>42005</v>
      </c>
      <c r="AE1654" s="103"/>
      <c r="AF1654" s="103" t="s">
        <v>870</v>
      </c>
      <c r="AG1654" s="103" t="s">
        <v>871</v>
      </c>
      <c r="AH1654" s="103" t="s">
        <v>976</v>
      </c>
      <c r="AI1654" s="103">
        <v>0</v>
      </c>
      <c r="AJ1654" s="103"/>
      <c r="AK1654" s="103"/>
      <c r="AL1654" s="103"/>
      <c r="AM1654" s="103"/>
      <c r="AN1654" s="103"/>
      <c r="AO1654" s="103" t="str">
        <f t="shared" si="95"/>
        <v>Std_CFLscw-Refl-Ext(23w)_60pInc-r0286Four+pack</v>
      </c>
    </row>
    <row r="1655" spans="1:41">
      <c r="A1655" s="177"/>
      <c r="B1655" s="103"/>
      <c r="C1655" s="103"/>
      <c r="D1655" s="103"/>
      <c r="E1655" s="103"/>
      <c r="F1655" s="103"/>
      <c r="G1655" s="103"/>
      <c r="H1655" s="103"/>
      <c r="I1655" s="103"/>
      <c r="J1655" s="103"/>
      <c r="K1655" s="103"/>
      <c r="L1655" s="103"/>
      <c r="M1655" s="103"/>
      <c r="N1655" s="103"/>
      <c r="O1655" s="103"/>
      <c r="P1655" s="103"/>
      <c r="Q1655" s="103"/>
      <c r="R1655" s="103"/>
      <c r="S1655" s="103"/>
      <c r="T1655" s="103"/>
      <c r="U1655" s="103"/>
      <c r="V1655" s="103"/>
      <c r="W1655" s="103"/>
      <c r="X1655" s="103"/>
      <c r="Y1655" s="103"/>
      <c r="Z1655" s="103"/>
      <c r="AA1655" s="103"/>
      <c r="AB1655" s="103"/>
      <c r="AC1655" s="103"/>
      <c r="AD1655" s="103"/>
      <c r="AE1655" s="103"/>
      <c r="AF1655" s="103"/>
      <c r="AG1655" s="103"/>
      <c r="AH1655" s="103"/>
      <c r="AI1655" s="103"/>
      <c r="AJ1655" s="103"/>
      <c r="AK1655" s="103"/>
      <c r="AL1655" s="103"/>
      <c r="AM1655" s="103"/>
      <c r="AN1655" s="103"/>
      <c r="AO1655" s="103"/>
    </row>
    <row r="1656" spans="1:41">
      <c r="A1656" s="177"/>
      <c r="B1656" s="103"/>
      <c r="C1656" s="103"/>
      <c r="D1656" s="103"/>
      <c r="E1656" s="103"/>
      <c r="F1656" s="103"/>
      <c r="G1656" s="103"/>
      <c r="H1656" s="103"/>
      <c r="I1656" s="103"/>
      <c r="J1656" s="103"/>
      <c r="K1656" s="103"/>
      <c r="L1656" s="103"/>
      <c r="M1656" s="103"/>
      <c r="N1656" s="103"/>
      <c r="O1656" s="103"/>
      <c r="P1656" s="103"/>
      <c r="Q1656" s="103"/>
      <c r="R1656" s="103"/>
      <c r="S1656" s="103"/>
      <c r="T1656" s="103"/>
      <c r="U1656" s="103"/>
      <c r="V1656" s="103"/>
      <c r="W1656" s="103"/>
      <c r="X1656" s="103"/>
      <c r="Y1656" s="103"/>
      <c r="Z1656" s="103"/>
      <c r="AA1656" s="103"/>
      <c r="AB1656" s="103"/>
      <c r="AC1656" s="103"/>
      <c r="AD1656" s="103"/>
      <c r="AE1656" s="103"/>
      <c r="AF1656" s="103"/>
      <c r="AG1656" s="103"/>
      <c r="AH1656" s="103"/>
      <c r="AI1656" s="103"/>
      <c r="AJ1656" s="103"/>
      <c r="AK1656" s="103"/>
      <c r="AL1656" s="103"/>
      <c r="AM1656" s="103"/>
      <c r="AN1656" s="103"/>
      <c r="AO1656" s="103"/>
    </row>
    <row r="1657" spans="1:41">
      <c r="A1657" s="177"/>
      <c r="B1657" s="103"/>
      <c r="C1657" s="103"/>
      <c r="D1657" s="103"/>
      <c r="E1657" s="103"/>
      <c r="F1657" s="103"/>
      <c r="G1657" s="103"/>
      <c r="H1657" s="103"/>
      <c r="I1657" s="103"/>
      <c r="J1657" s="103"/>
      <c r="K1657" s="103"/>
      <c r="L1657" s="103"/>
      <c r="M1657" s="103"/>
      <c r="N1657" s="103"/>
      <c r="O1657" s="103"/>
      <c r="P1657" s="103"/>
      <c r="Q1657" s="103"/>
      <c r="R1657" s="103"/>
      <c r="S1657" s="103"/>
      <c r="T1657" s="103"/>
      <c r="U1657" s="103"/>
      <c r="V1657" s="103"/>
      <c r="W1657" s="103"/>
      <c r="X1657" s="103"/>
      <c r="Y1657" s="103"/>
      <c r="Z1657" s="103"/>
      <c r="AA1657" s="103"/>
      <c r="AB1657" s="103"/>
      <c r="AC1657" s="103"/>
      <c r="AD1657" s="103"/>
      <c r="AE1657" s="103"/>
      <c r="AF1657" s="103"/>
      <c r="AG1657" s="103"/>
      <c r="AH1657" s="103"/>
      <c r="AI1657" s="103"/>
      <c r="AJ1657" s="103"/>
      <c r="AK1657" s="103"/>
      <c r="AL1657" s="103"/>
      <c r="AM1657" s="103"/>
      <c r="AN1657" s="103"/>
      <c r="AO1657" s="103"/>
    </row>
    <row r="1658" spans="1:41">
      <c r="A1658" s="177"/>
      <c r="B1658" s="103"/>
      <c r="C1658" s="103"/>
      <c r="D1658" s="103"/>
      <c r="E1658" s="103"/>
      <c r="F1658" s="103"/>
      <c r="G1658" s="103"/>
      <c r="H1658" s="103"/>
      <c r="I1658" s="103"/>
      <c r="J1658" s="103"/>
      <c r="K1658" s="103"/>
      <c r="L1658" s="103"/>
      <c r="M1658" s="103"/>
      <c r="N1658" s="103"/>
      <c r="O1658" s="103"/>
      <c r="P1658" s="103"/>
      <c r="Q1658" s="103"/>
      <c r="R1658" s="103"/>
      <c r="S1658" s="103"/>
      <c r="T1658" s="103"/>
      <c r="U1658" s="103"/>
      <c r="V1658" s="103"/>
      <c r="W1658" s="103"/>
      <c r="X1658" s="103"/>
      <c r="Y1658" s="103"/>
      <c r="Z1658" s="103"/>
      <c r="AA1658" s="103"/>
      <c r="AB1658" s="103"/>
      <c r="AC1658" s="103"/>
      <c r="AD1658" s="103"/>
      <c r="AE1658" s="103"/>
      <c r="AF1658" s="103"/>
      <c r="AG1658" s="103"/>
      <c r="AH1658" s="103"/>
      <c r="AI1658" s="103"/>
      <c r="AJ1658" s="103"/>
      <c r="AK1658" s="103"/>
      <c r="AL1658" s="103"/>
      <c r="AM1658" s="103"/>
      <c r="AN1658" s="103"/>
      <c r="AO1658" s="103"/>
    </row>
    <row r="1659" spans="1:41">
      <c r="A1659" s="177"/>
      <c r="B1659" s="103"/>
      <c r="C1659" s="103"/>
      <c r="D1659" s="103"/>
      <c r="E1659" s="103"/>
      <c r="F1659" s="103"/>
      <c r="G1659" s="103"/>
      <c r="H1659" s="103"/>
      <c r="I1659" s="103"/>
      <c r="J1659" s="103"/>
      <c r="K1659" s="103"/>
      <c r="L1659" s="103"/>
      <c r="M1659" s="103"/>
      <c r="N1659" s="103"/>
      <c r="O1659" s="103"/>
      <c r="P1659" s="103"/>
      <c r="Q1659" s="103"/>
      <c r="R1659" s="103"/>
      <c r="S1659" s="103"/>
      <c r="T1659" s="103"/>
      <c r="U1659" s="103"/>
      <c r="V1659" s="103"/>
      <c r="W1659" s="103"/>
      <c r="X1659" s="103"/>
      <c r="Y1659" s="103"/>
      <c r="Z1659" s="103"/>
      <c r="AA1659" s="103"/>
      <c r="AB1659" s="103"/>
      <c r="AC1659" s="103"/>
      <c r="AD1659" s="103"/>
      <c r="AE1659" s="103"/>
      <c r="AF1659" s="103"/>
      <c r="AG1659" s="103"/>
      <c r="AH1659" s="103"/>
      <c r="AI1659" s="103"/>
      <c r="AJ1659" s="103"/>
      <c r="AK1659" s="103"/>
      <c r="AL1659" s="103"/>
      <c r="AM1659" s="103"/>
      <c r="AN1659" s="103"/>
      <c r="AO1659" s="103"/>
    </row>
    <row r="1660" spans="1:41">
      <c r="A1660" s="177"/>
      <c r="B1660" s="103"/>
      <c r="C1660" s="103"/>
      <c r="D1660" s="103"/>
      <c r="E1660" s="103"/>
      <c r="F1660" s="103"/>
      <c r="G1660" s="103"/>
      <c r="H1660" s="103"/>
      <c r="I1660" s="103"/>
      <c r="J1660" s="103"/>
      <c r="K1660" s="103"/>
      <c r="L1660" s="103"/>
      <c r="M1660" s="103"/>
      <c r="N1660" s="103"/>
      <c r="O1660" s="103"/>
      <c r="P1660" s="103"/>
      <c r="Q1660" s="103"/>
      <c r="R1660" s="103"/>
      <c r="S1660" s="103"/>
      <c r="T1660" s="103"/>
      <c r="U1660" s="103"/>
      <c r="V1660" s="103"/>
      <c r="W1660" s="103"/>
      <c r="X1660" s="103"/>
      <c r="Y1660" s="103"/>
      <c r="Z1660" s="103"/>
      <c r="AA1660" s="103"/>
      <c r="AB1660" s="103"/>
      <c r="AC1660" s="103"/>
      <c r="AD1660" s="103"/>
      <c r="AE1660" s="103"/>
      <c r="AF1660" s="103"/>
      <c r="AG1660" s="103"/>
      <c r="AH1660" s="103"/>
      <c r="AI1660" s="103"/>
      <c r="AJ1660" s="103"/>
      <c r="AK1660" s="103"/>
      <c r="AL1660" s="103"/>
      <c r="AM1660" s="103"/>
      <c r="AN1660" s="103"/>
      <c r="AO1660" s="103"/>
    </row>
    <row r="1661" spans="1:41">
      <c r="A1661" s="177"/>
      <c r="B1661" s="103"/>
      <c r="C1661" s="103"/>
      <c r="D1661" s="103"/>
      <c r="E1661" s="103"/>
      <c r="F1661" s="103"/>
      <c r="G1661" s="103"/>
      <c r="H1661" s="103"/>
      <c r="I1661" s="103"/>
      <c r="J1661" s="103"/>
      <c r="K1661" s="103"/>
      <c r="L1661" s="103"/>
      <c r="M1661" s="103"/>
      <c r="N1661" s="103"/>
      <c r="O1661" s="103"/>
      <c r="P1661" s="103"/>
      <c r="Q1661" s="103"/>
      <c r="R1661" s="103"/>
      <c r="S1661" s="103"/>
      <c r="T1661" s="103"/>
      <c r="U1661" s="103"/>
      <c r="V1661" s="103"/>
      <c r="W1661" s="103"/>
      <c r="X1661" s="103"/>
      <c r="Y1661" s="103"/>
      <c r="Z1661" s="103"/>
      <c r="AA1661" s="103"/>
      <c r="AB1661" s="103"/>
      <c r="AC1661" s="103"/>
      <c r="AD1661" s="103"/>
      <c r="AE1661" s="103"/>
      <c r="AF1661" s="103"/>
      <c r="AG1661" s="103"/>
      <c r="AH1661" s="103"/>
      <c r="AI1661" s="103"/>
      <c r="AJ1661" s="103"/>
      <c r="AK1661" s="103"/>
      <c r="AL1661" s="103"/>
      <c r="AM1661" s="103"/>
      <c r="AN1661" s="103"/>
      <c r="AO1661" s="103"/>
    </row>
    <row r="1662" spans="1:41">
      <c r="A1662" s="177"/>
      <c r="B1662" s="103"/>
      <c r="C1662" s="103"/>
      <c r="D1662" s="103"/>
      <c r="E1662" s="103"/>
      <c r="F1662" s="103"/>
      <c r="G1662" s="103"/>
      <c r="H1662" s="103"/>
      <c r="I1662" s="103"/>
      <c r="J1662" s="103"/>
      <c r="K1662" s="103"/>
      <c r="L1662" s="103"/>
      <c r="M1662" s="103"/>
      <c r="N1662" s="103"/>
      <c r="O1662" s="103"/>
      <c r="P1662" s="103"/>
      <c r="Q1662" s="103"/>
      <c r="R1662" s="103"/>
      <c r="S1662" s="103"/>
      <c r="T1662" s="103"/>
      <c r="U1662" s="103"/>
      <c r="V1662" s="103"/>
      <c r="W1662" s="103"/>
      <c r="X1662" s="103"/>
      <c r="Y1662" s="103"/>
      <c r="Z1662" s="103"/>
      <c r="AA1662" s="103"/>
      <c r="AB1662" s="103"/>
      <c r="AC1662" s="103"/>
      <c r="AD1662" s="103"/>
      <c r="AE1662" s="103"/>
      <c r="AF1662" s="103"/>
      <c r="AG1662" s="103"/>
      <c r="AH1662" s="103"/>
      <c r="AI1662" s="103"/>
      <c r="AJ1662" s="103"/>
      <c r="AK1662" s="103"/>
      <c r="AL1662" s="103"/>
      <c r="AM1662" s="103"/>
      <c r="AN1662" s="103"/>
      <c r="AO1662" s="103"/>
    </row>
    <row r="1663" spans="1:41">
      <c r="A1663" s="177"/>
      <c r="B1663" s="103"/>
      <c r="C1663" s="103"/>
      <c r="D1663" s="103"/>
      <c r="E1663" s="103"/>
      <c r="F1663" s="103"/>
      <c r="G1663" s="103"/>
      <c r="H1663" s="103"/>
      <c r="I1663" s="103"/>
      <c r="J1663" s="103"/>
      <c r="K1663" s="103"/>
      <c r="L1663" s="103"/>
      <c r="M1663" s="103"/>
      <c r="N1663" s="103"/>
      <c r="O1663" s="103"/>
      <c r="P1663" s="103"/>
      <c r="Q1663" s="103"/>
      <c r="R1663" s="103"/>
      <c r="S1663" s="103"/>
      <c r="T1663" s="103"/>
      <c r="U1663" s="103"/>
      <c r="V1663" s="103"/>
      <c r="W1663" s="103"/>
      <c r="X1663" s="103"/>
      <c r="Y1663" s="103"/>
      <c r="Z1663" s="103"/>
      <c r="AA1663" s="103"/>
      <c r="AB1663" s="103"/>
      <c r="AC1663" s="103"/>
      <c r="AD1663" s="103"/>
      <c r="AE1663" s="103"/>
      <c r="AF1663" s="103"/>
      <c r="AG1663" s="103"/>
      <c r="AH1663" s="103"/>
      <c r="AI1663" s="103"/>
      <c r="AJ1663" s="103"/>
      <c r="AK1663" s="103"/>
      <c r="AL1663" s="103"/>
      <c r="AM1663" s="103"/>
      <c r="AN1663" s="103"/>
      <c r="AO1663" s="103"/>
    </row>
    <row r="1664" spans="1:41">
      <c r="A1664" s="177"/>
      <c r="B1664" s="103"/>
      <c r="C1664" s="103"/>
      <c r="D1664" s="103"/>
      <c r="E1664" s="103"/>
      <c r="F1664" s="103"/>
      <c r="G1664" s="103"/>
      <c r="H1664" s="103"/>
      <c r="I1664" s="103"/>
      <c r="J1664" s="103"/>
      <c r="K1664" s="103"/>
      <c r="L1664" s="103"/>
      <c r="M1664" s="103"/>
      <c r="N1664" s="103"/>
      <c r="O1664" s="103"/>
      <c r="P1664" s="103"/>
      <c r="Q1664" s="103"/>
      <c r="R1664" s="103"/>
      <c r="S1664" s="103"/>
      <c r="T1664" s="103"/>
      <c r="U1664" s="103"/>
      <c r="V1664" s="103"/>
      <c r="W1664" s="103"/>
      <c r="X1664" s="103"/>
      <c r="Y1664" s="103"/>
      <c r="Z1664" s="103"/>
      <c r="AA1664" s="103"/>
      <c r="AB1664" s="103"/>
      <c r="AC1664" s="103"/>
      <c r="AD1664" s="103"/>
      <c r="AE1664" s="103"/>
      <c r="AF1664" s="103"/>
      <c r="AG1664" s="103"/>
      <c r="AH1664" s="103"/>
      <c r="AI1664" s="103"/>
      <c r="AJ1664" s="103"/>
      <c r="AK1664" s="103"/>
      <c r="AL1664" s="103"/>
      <c r="AM1664" s="103"/>
      <c r="AN1664" s="103"/>
      <c r="AO1664" s="103"/>
    </row>
    <row r="1665" spans="1:4">
      <c r="A1665" s="177"/>
      <c r="B1665" s="103"/>
      <c r="C1665" s="103"/>
      <c r="D1665" s="103"/>
    </row>
    <row r="1666" spans="1:4">
      <c r="A1666" s="177"/>
      <c r="B1666" s="103"/>
      <c r="C1666" s="103"/>
      <c r="D1666" s="103"/>
    </row>
    <row r="1667" spans="1:4">
      <c r="A1667" s="177"/>
      <c r="B1667" s="103"/>
      <c r="C1667" s="103"/>
      <c r="D1667" s="103"/>
    </row>
    <row r="1668" spans="1:4">
      <c r="A1668" s="177"/>
      <c r="B1668" s="103"/>
      <c r="C1668" s="103"/>
      <c r="D1668" s="103"/>
    </row>
    <row r="1669" spans="1:4">
      <c r="A1669" s="177"/>
      <c r="B1669" s="103"/>
      <c r="C1669" s="103"/>
      <c r="D1669" s="103"/>
    </row>
    <row r="1670" spans="1:4">
      <c r="A1670" s="177"/>
      <c r="B1670" s="103"/>
      <c r="C1670" s="103"/>
      <c r="D1670" s="103"/>
    </row>
    <row r="1671" spans="1:4">
      <c r="A1671" s="177"/>
      <c r="B1671" s="103"/>
      <c r="C1671" s="103"/>
      <c r="D1671" s="103"/>
    </row>
    <row r="1672" spans="1:4">
      <c r="A1672" s="177"/>
      <c r="B1672" s="103"/>
      <c r="C1672" s="103"/>
      <c r="D1672" s="103"/>
    </row>
    <row r="1673" spans="1:4">
      <c r="A1673" s="177"/>
      <c r="B1673" s="103"/>
      <c r="C1673" s="103"/>
      <c r="D1673" s="103"/>
    </row>
    <row r="1674" spans="1:4">
      <c r="A1674" s="177"/>
      <c r="B1674" s="103"/>
      <c r="C1674" s="103"/>
      <c r="D1674" s="103"/>
    </row>
    <row r="1675" spans="1:4">
      <c r="A1675" s="177"/>
      <c r="B1675" s="103"/>
      <c r="C1675" s="103"/>
      <c r="D1675" s="103"/>
    </row>
    <row r="1676" spans="1:4">
      <c r="A1676" s="177"/>
      <c r="B1676" s="103"/>
      <c r="C1676" s="103"/>
      <c r="D1676" s="103"/>
    </row>
    <row r="1677" spans="1:4">
      <c r="A1677" s="177"/>
      <c r="B1677" s="103"/>
      <c r="C1677" s="103"/>
      <c r="D1677" s="103"/>
    </row>
    <row r="1678" spans="1:4">
      <c r="A1678" s="177"/>
      <c r="B1678" s="103"/>
      <c r="C1678" s="103"/>
      <c r="D1678" s="103"/>
    </row>
    <row r="1679" spans="1:4">
      <c r="A1679" s="177"/>
      <c r="B1679" s="103"/>
      <c r="C1679" s="103"/>
      <c r="D1679" s="103"/>
    </row>
    <row r="1680" spans="1:4">
      <c r="A1680" s="177"/>
      <c r="B1680" s="103"/>
      <c r="C1680" s="103"/>
      <c r="D1680" s="103"/>
    </row>
    <row r="1681" spans="1:4">
      <c r="A1681" s="177"/>
      <c r="B1681" s="103"/>
      <c r="C1681" s="103"/>
      <c r="D1681" s="103"/>
    </row>
    <row r="1682" spans="1:4">
      <c r="A1682" s="177"/>
      <c r="B1682" s="103"/>
      <c r="C1682" s="103"/>
      <c r="D1682" s="103"/>
    </row>
    <row r="1683" spans="1:4">
      <c r="A1683" s="177"/>
      <c r="B1683" s="103"/>
      <c r="C1683" s="103"/>
      <c r="D1683" s="103"/>
    </row>
    <row r="1684" spans="1:4">
      <c r="A1684" s="177"/>
      <c r="B1684" s="103"/>
      <c r="C1684" s="103"/>
      <c r="D1684" s="103"/>
    </row>
    <row r="1685" spans="1:4">
      <c r="A1685" s="177"/>
      <c r="B1685" s="103"/>
      <c r="C1685" s="103"/>
      <c r="D1685" s="103"/>
    </row>
    <row r="1686" spans="1:4">
      <c r="A1686" s="177"/>
      <c r="B1686" s="103"/>
      <c r="C1686" s="103"/>
      <c r="D1686" s="103"/>
    </row>
    <row r="1687" spans="1:4">
      <c r="A1687" s="177"/>
      <c r="B1687" s="103"/>
      <c r="C1687" s="103"/>
      <c r="D1687" s="103"/>
    </row>
    <row r="1688" spans="1:4">
      <c r="A1688" s="177"/>
      <c r="B1688" s="103"/>
      <c r="C1688" s="103"/>
      <c r="D1688" s="103"/>
    </row>
    <row r="1689" spans="1:4">
      <c r="A1689" s="177"/>
      <c r="B1689" s="103"/>
      <c r="C1689" s="103"/>
      <c r="D1689" s="103"/>
    </row>
    <row r="1690" spans="1:4">
      <c r="A1690" s="177"/>
      <c r="B1690" s="103"/>
      <c r="C1690" s="103"/>
      <c r="D1690" s="103"/>
    </row>
    <row r="1691" spans="1:4">
      <c r="A1691" s="177"/>
      <c r="B1691" s="103"/>
      <c r="C1691" s="103"/>
      <c r="D1691" s="103"/>
    </row>
    <row r="1692" spans="1:4">
      <c r="A1692" s="177"/>
      <c r="B1692" s="103"/>
      <c r="C1692" s="103"/>
      <c r="D1692" s="103"/>
    </row>
    <row r="1693" spans="1:4">
      <c r="A1693" s="177"/>
      <c r="B1693" s="103"/>
      <c r="C1693" s="103"/>
      <c r="D1693" s="103"/>
    </row>
    <row r="1694" spans="1:4">
      <c r="A1694" s="177"/>
      <c r="B1694" s="103"/>
      <c r="C1694" s="103"/>
      <c r="D1694" s="103"/>
    </row>
    <row r="1695" spans="1:4">
      <c r="A1695" s="177"/>
      <c r="B1695" s="103"/>
      <c r="C1695" s="103"/>
      <c r="D1695" s="103"/>
    </row>
    <row r="1696" spans="1:4">
      <c r="A1696" s="177"/>
      <c r="B1696" s="103"/>
      <c r="C1696" s="103"/>
      <c r="D1696" s="103"/>
    </row>
    <row r="1697" spans="1:4">
      <c r="A1697" s="177"/>
      <c r="B1697" s="103"/>
      <c r="C1697" s="103"/>
      <c r="D1697" s="103"/>
    </row>
    <row r="1698" spans="1:4">
      <c r="A1698" s="177"/>
      <c r="B1698" s="103"/>
      <c r="C1698" s="103"/>
      <c r="D1698" s="103"/>
    </row>
    <row r="1699" spans="1:4">
      <c r="A1699" s="177"/>
      <c r="B1699" s="103"/>
      <c r="C1699" s="103"/>
      <c r="D1699" s="103"/>
    </row>
    <row r="1700" spans="1:4">
      <c r="A1700" s="177"/>
      <c r="B1700" s="103"/>
      <c r="C1700" s="103"/>
      <c r="D1700" s="103"/>
    </row>
    <row r="1701" spans="1:4">
      <c r="A1701" s="177"/>
      <c r="B1701" s="103"/>
      <c r="C1701" s="103"/>
      <c r="D1701" s="103"/>
    </row>
    <row r="1702" spans="1:4">
      <c r="A1702" s="177"/>
      <c r="B1702" s="103"/>
      <c r="C1702" s="103"/>
      <c r="D1702" s="103"/>
    </row>
    <row r="1703" spans="1:4">
      <c r="A1703" s="177"/>
      <c r="B1703" s="103"/>
      <c r="C1703" s="103"/>
      <c r="D1703" s="103"/>
    </row>
    <row r="1704" spans="1:4">
      <c r="A1704" s="177"/>
      <c r="B1704" s="103"/>
      <c r="C1704" s="103"/>
      <c r="D1704" s="103"/>
    </row>
    <row r="1705" spans="1:4">
      <c r="A1705" s="177"/>
      <c r="B1705" s="103"/>
      <c r="C1705" s="103"/>
      <c r="D1705" s="103"/>
    </row>
    <row r="1706" spans="1:4">
      <c r="A1706" s="177"/>
      <c r="B1706" s="103"/>
      <c r="C1706" s="103"/>
      <c r="D1706" s="103"/>
    </row>
    <row r="1707" spans="1:4">
      <c r="A1707" s="177"/>
      <c r="B1707" s="103"/>
      <c r="C1707" s="103"/>
      <c r="D1707" s="103"/>
    </row>
    <row r="1708" spans="1:4">
      <c r="A1708" s="177"/>
      <c r="B1708" s="103"/>
      <c r="C1708" s="103"/>
      <c r="D1708" s="103"/>
    </row>
    <row r="1709" spans="1:4">
      <c r="A1709" s="177"/>
      <c r="B1709" s="103"/>
      <c r="C1709" s="103"/>
      <c r="D1709" s="103"/>
    </row>
    <row r="1710" spans="1:4">
      <c r="A1710" s="177"/>
      <c r="B1710" s="103"/>
      <c r="C1710" s="103"/>
      <c r="D1710" s="103"/>
    </row>
    <row r="1711" spans="1:4">
      <c r="A1711" s="177"/>
      <c r="B1711" s="103"/>
      <c r="C1711" s="103"/>
      <c r="D1711" s="103"/>
    </row>
    <row r="1712" spans="1:4">
      <c r="A1712" s="177"/>
      <c r="B1712" s="103"/>
      <c r="C1712" s="103"/>
      <c r="D1712" s="103"/>
    </row>
    <row r="1713" spans="1:4">
      <c r="A1713" s="177"/>
      <c r="B1713" s="103"/>
      <c r="C1713" s="103"/>
      <c r="D1713" s="103"/>
    </row>
    <row r="1714" spans="1:4">
      <c r="A1714" s="177"/>
      <c r="B1714" s="103"/>
      <c r="C1714" s="103"/>
      <c r="D1714" s="103"/>
    </row>
    <row r="1715" spans="1:4">
      <c r="A1715" s="177"/>
      <c r="B1715" s="103"/>
      <c r="C1715" s="103"/>
      <c r="D1715" s="103"/>
    </row>
    <row r="1716" spans="1:4">
      <c r="A1716" s="177"/>
      <c r="B1716" s="103"/>
      <c r="C1716" s="103"/>
      <c r="D1716" s="103"/>
    </row>
    <row r="1717" spans="1:4">
      <c r="A1717" s="177"/>
      <c r="B1717" s="103"/>
      <c r="C1717" s="103"/>
      <c r="D1717" s="103"/>
    </row>
    <row r="1718" spans="1:4">
      <c r="A1718" s="177"/>
      <c r="B1718" s="103"/>
      <c r="C1718" s="103"/>
      <c r="D1718" s="103"/>
    </row>
    <row r="1719" spans="1:4">
      <c r="A1719" s="177"/>
      <c r="B1719" s="103"/>
      <c r="C1719" s="103"/>
      <c r="D1719" s="103"/>
    </row>
    <row r="1720" spans="1:4">
      <c r="A1720" s="177"/>
      <c r="B1720" s="103"/>
      <c r="C1720" s="103"/>
      <c r="D1720" s="103"/>
    </row>
    <row r="1721" spans="1:4">
      <c r="A1721" s="177"/>
      <c r="B1721" s="103"/>
      <c r="C1721" s="103"/>
      <c r="D1721" s="103"/>
    </row>
    <row r="1722" spans="1:4">
      <c r="A1722" s="177"/>
      <c r="B1722" s="103"/>
      <c r="C1722" s="103"/>
      <c r="D1722" s="103"/>
    </row>
    <row r="1723" spans="1:4">
      <c r="A1723" s="177"/>
      <c r="B1723" s="103"/>
      <c r="C1723" s="103"/>
      <c r="D1723" s="103"/>
    </row>
    <row r="1724" spans="1:4">
      <c r="A1724" s="177"/>
      <c r="B1724" s="103"/>
      <c r="C1724" s="103"/>
      <c r="D1724" s="103"/>
    </row>
    <row r="1725" spans="1:4">
      <c r="A1725" s="177"/>
      <c r="B1725" s="103"/>
      <c r="C1725" s="103"/>
      <c r="D1725" s="103"/>
    </row>
    <row r="1726" spans="1:4">
      <c r="A1726" s="177"/>
      <c r="B1726" s="103"/>
      <c r="C1726" s="103"/>
      <c r="D1726" s="103"/>
    </row>
    <row r="1727" spans="1:4">
      <c r="A1727" s="177"/>
      <c r="B1727" s="103"/>
      <c r="C1727" s="103"/>
      <c r="D1727" s="103"/>
    </row>
    <row r="1728" spans="1:4">
      <c r="A1728" s="177"/>
      <c r="B1728" s="103"/>
      <c r="C1728" s="103"/>
      <c r="D1728" s="103"/>
    </row>
    <row r="1729" spans="1:4">
      <c r="A1729" s="177"/>
      <c r="B1729" s="103"/>
      <c r="C1729" s="103"/>
      <c r="D1729" s="103"/>
    </row>
    <row r="1730" spans="1:4">
      <c r="A1730" s="177"/>
      <c r="B1730" s="103"/>
      <c r="C1730" s="103"/>
      <c r="D1730" s="103"/>
    </row>
    <row r="1731" spans="1:4">
      <c r="A1731" s="177"/>
      <c r="B1731" s="103"/>
      <c r="C1731" s="103"/>
      <c r="D1731" s="103"/>
    </row>
    <row r="1732" spans="1:4">
      <c r="A1732" s="177"/>
      <c r="B1732" s="103"/>
      <c r="C1732" s="103"/>
      <c r="D1732" s="103"/>
    </row>
    <row r="1733" spans="1:4">
      <c r="A1733" s="177"/>
      <c r="B1733" s="103"/>
      <c r="C1733" s="103"/>
      <c r="D1733" s="103"/>
    </row>
    <row r="1734" spans="1:4">
      <c r="A1734" s="177"/>
      <c r="B1734" s="103"/>
      <c r="C1734" s="103"/>
      <c r="D1734" s="103"/>
    </row>
    <row r="1735" spans="1:4">
      <c r="A1735" s="177"/>
      <c r="B1735" s="103"/>
      <c r="C1735" s="103"/>
      <c r="D1735" s="10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AV201"/>
  <sheetViews>
    <sheetView workbookViewId="0">
      <pane ySplit="8" topLeftCell="A9" activePane="bottomLeft" state="frozen"/>
      <selection pane="bottomLeft" activeCell="A21" sqref="A21"/>
      <selection activeCell="F43" sqref="F43"/>
    </sheetView>
  </sheetViews>
  <sheetFormatPr defaultRowHeight="15"/>
  <cols>
    <col min="2" max="2" width="31.28515625" customWidth="1"/>
    <col min="6" max="6" width="9.7109375" bestFit="1" customWidth="1"/>
    <col min="26" max="26" width="14.42578125" bestFit="1" customWidth="1"/>
    <col min="27" max="27" width="17.85546875" bestFit="1" customWidth="1"/>
    <col min="28" max="28" width="12.85546875" bestFit="1" customWidth="1"/>
    <col min="29" max="29" width="14" customWidth="1"/>
    <col min="30" max="30" width="20.28515625" bestFit="1" customWidth="1"/>
    <col min="31" max="31" width="32" bestFit="1" customWidth="1"/>
    <col min="32" max="32" width="15.85546875" bestFit="1" customWidth="1"/>
    <col min="37" max="39" width="20.28515625" customWidth="1"/>
    <col min="42" max="42" width="10.7109375" bestFit="1" customWidth="1"/>
    <col min="45" max="45" width="40.140625" bestFit="1" customWidth="1"/>
    <col min="46" max="46" width="10" style="103" bestFit="1" customWidth="1"/>
    <col min="47" max="47" width="36.7109375" customWidth="1"/>
    <col min="51" max="51" width="40.7109375" customWidth="1"/>
  </cols>
  <sheetData>
    <row r="1" spans="1:48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U1" s="103"/>
      <c r="AV1" s="103"/>
    </row>
    <row r="2" spans="1:48">
      <c r="A2" s="105" t="s">
        <v>1032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U2" s="103"/>
      <c r="AV2" s="103"/>
    </row>
    <row r="3" spans="1:48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>
        <f>COUNTA(AD9:AD200)</f>
        <v>192</v>
      </c>
      <c r="AE3" s="103">
        <f>COUNTA(AE9:AE200)</f>
        <v>192</v>
      </c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U3" s="103"/>
      <c r="AV3" s="103"/>
    </row>
    <row r="4" spans="1:48">
      <c r="A4" s="103" t="s">
        <v>1033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>
        <f>COUNTIF(AD9:AD200,"")</f>
        <v>59</v>
      </c>
      <c r="AE4" s="103">
        <f>COUNTIF(AE9:AE200,"")</f>
        <v>64</v>
      </c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U4" s="103"/>
      <c r="AV4" s="103"/>
    </row>
    <row r="5" spans="1:48">
      <c r="A5" s="103" t="s">
        <v>1034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>
        <f>+AD3-AD4</f>
        <v>133</v>
      </c>
      <c r="AE5" s="103">
        <f>+AE3-AE4</f>
        <v>128</v>
      </c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U5" s="103"/>
      <c r="AV5" s="103"/>
    </row>
    <row r="6" spans="1:48">
      <c r="A6" s="103" t="s">
        <v>100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U6" s="103"/>
      <c r="AV6" s="103"/>
    </row>
    <row r="7" spans="1:48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261" t="s">
        <v>1035</v>
      </c>
      <c r="AE7" s="261"/>
      <c r="AF7" s="103"/>
      <c r="AG7" s="103"/>
      <c r="AH7" s="103"/>
      <c r="AI7" s="103"/>
      <c r="AJ7" s="103"/>
      <c r="AK7" s="103"/>
      <c r="AL7" s="262" t="s">
        <v>1036</v>
      </c>
      <c r="AM7" s="263"/>
      <c r="AN7" s="103"/>
      <c r="AO7" s="103"/>
      <c r="AP7" s="103"/>
      <c r="AQ7" s="103"/>
      <c r="AR7" s="103"/>
      <c r="AS7" s="103"/>
      <c r="AU7" s="103"/>
      <c r="AV7" s="103"/>
    </row>
    <row r="8" spans="1:48" ht="15.75" thickBot="1">
      <c r="A8" s="104" t="s">
        <v>133</v>
      </c>
      <c r="B8" s="104" t="s">
        <v>1037</v>
      </c>
      <c r="C8" s="104" t="s">
        <v>4</v>
      </c>
      <c r="D8" s="104" t="s">
        <v>828</v>
      </c>
      <c r="E8" s="104" t="s">
        <v>829</v>
      </c>
      <c r="F8" s="104" t="s">
        <v>1038</v>
      </c>
      <c r="G8" s="104" t="s">
        <v>830</v>
      </c>
      <c r="H8" s="104" t="s">
        <v>1039</v>
      </c>
      <c r="I8" s="104" t="s">
        <v>1040</v>
      </c>
      <c r="J8" s="104" t="s">
        <v>1041</v>
      </c>
      <c r="K8" s="104" t="s">
        <v>1042</v>
      </c>
      <c r="L8" s="104" t="s">
        <v>1043</v>
      </c>
      <c r="M8" s="104" t="s">
        <v>1044</v>
      </c>
      <c r="N8" s="104" t="s">
        <v>1045</v>
      </c>
      <c r="O8" s="104" t="s">
        <v>1046</v>
      </c>
      <c r="P8" s="104" t="s">
        <v>1047</v>
      </c>
      <c r="Q8" s="104" t="s">
        <v>1048</v>
      </c>
      <c r="R8" s="104" t="s">
        <v>1049</v>
      </c>
      <c r="S8" s="104" t="s">
        <v>1050</v>
      </c>
      <c r="T8" s="104" t="s">
        <v>1051</v>
      </c>
      <c r="U8" s="104" t="s">
        <v>1052</v>
      </c>
      <c r="V8" s="104" t="s">
        <v>1053</v>
      </c>
      <c r="W8" s="104" t="s">
        <v>1054</v>
      </c>
      <c r="X8" s="104" t="s">
        <v>831</v>
      </c>
      <c r="Y8" s="104" t="s">
        <v>825</v>
      </c>
      <c r="Z8" s="104" t="s">
        <v>832</v>
      </c>
      <c r="AA8" s="104" t="s">
        <v>833</v>
      </c>
      <c r="AB8" s="104" t="s">
        <v>834</v>
      </c>
      <c r="AC8" s="104" t="s">
        <v>835</v>
      </c>
      <c r="AD8" s="176" t="s">
        <v>826</v>
      </c>
      <c r="AE8" s="176" t="s">
        <v>1055</v>
      </c>
      <c r="AF8" s="104" t="s">
        <v>130</v>
      </c>
      <c r="AG8" s="104" t="s">
        <v>1056</v>
      </c>
      <c r="AH8" s="104" t="s">
        <v>1057</v>
      </c>
      <c r="AI8" s="104" t="s">
        <v>1058</v>
      </c>
      <c r="AJ8" s="104" t="s">
        <v>1059</v>
      </c>
      <c r="AK8" s="104" t="s">
        <v>1060</v>
      </c>
      <c r="AL8" s="176" t="s">
        <v>1061</v>
      </c>
      <c r="AM8" s="176" t="s">
        <v>1062</v>
      </c>
      <c r="AN8" s="104" t="s">
        <v>1063</v>
      </c>
      <c r="AO8" s="104" t="s">
        <v>1064</v>
      </c>
      <c r="AP8" s="104" t="s">
        <v>850</v>
      </c>
      <c r="AQ8" s="104" t="s">
        <v>851</v>
      </c>
      <c r="AR8" s="104" t="s">
        <v>852</v>
      </c>
      <c r="AS8" s="104" t="s">
        <v>853</v>
      </c>
      <c r="AT8" s="104" t="s">
        <v>1065</v>
      </c>
      <c r="AU8" s="104" t="s">
        <v>854</v>
      </c>
      <c r="AV8" s="103"/>
    </row>
    <row r="9" spans="1:48">
      <c r="A9" s="103">
        <v>5724</v>
      </c>
      <c r="B9" s="103" t="s">
        <v>1066</v>
      </c>
      <c r="C9" s="103" t="s">
        <v>1067</v>
      </c>
      <c r="D9" s="103" t="s">
        <v>1068</v>
      </c>
      <c r="E9" s="103" t="s">
        <v>1069</v>
      </c>
      <c r="F9" s="156"/>
      <c r="G9" s="103" t="s">
        <v>1070</v>
      </c>
      <c r="H9" s="103"/>
      <c r="I9" s="103"/>
      <c r="J9" s="103"/>
      <c r="K9" s="103"/>
      <c r="L9" s="103" t="s">
        <v>874</v>
      </c>
      <c r="M9" s="103" t="s">
        <v>1071</v>
      </c>
      <c r="N9" s="103" t="s">
        <v>871</v>
      </c>
      <c r="O9" s="103" t="s">
        <v>1072</v>
      </c>
      <c r="P9" s="103" t="s">
        <v>154</v>
      </c>
      <c r="Q9" s="103">
        <v>0</v>
      </c>
      <c r="R9" s="103">
        <v>0</v>
      </c>
      <c r="S9" s="103" t="s">
        <v>175</v>
      </c>
      <c r="T9" s="103"/>
      <c r="U9" s="103" t="b">
        <v>0</v>
      </c>
      <c r="V9" s="103"/>
      <c r="W9" s="103" t="b">
        <v>1</v>
      </c>
      <c r="X9" s="103" t="s">
        <v>863</v>
      </c>
      <c r="Y9" s="103" t="s">
        <v>153</v>
      </c>
      <c r="Z9" s="103" t="s">
        <v>864</v>
      </c>
      <c r="AA9" s="103" t="s">
        <v>1073</v>
      </c>
      <c r="AB9" s="103" t="s">
        <v>865</v>
      </c>
      <c r="AC9" s="103" t="s">
        <v>866</v>
      </c>
      <c r="AD9" s="103" t="str">
        <f>IF(ISNA(MATCH(AM9,'Measure &amp; Standard CostIDs'!$C$5:$C$177,0)),"",AM9)</f>
        <v>CFLscw-A(10w)</v>
      </c>
      <c r="AE9" s="103" t="str">
        <f>IFERROR(INDEX('Measure &amp; Standard CostIDs'!$S$5:$S$177,MATCH(AM9&amp;AL9,'Measure &amp; Standard CostIDs'!$AB$5:$AB$177,0)),"")</f>
        <v>Std_CFLscw-A(10w)_60pInc-r0248</v>
      </c>
      <c r="AF9" s="103" t="s">
        <v>1074</v>
      </c>
      <c r="AG9" s="103"/>
      <c r="AH9" s="103" t="s">
        <v>156</v>
      </c>
      <c r="AI9" s="103" t="s">
        <v>156</v>
      </c>
      <c r="AJ9" s="103" t="s">
        <v>222</v>
      </c>
      <c r="AK9" s="103" t="s">
        <v>150</v>
      </c>
      <c r="AL9" s="103" t="s">
        <v>150</v>
      </c>
      <c r="AM9" s="103" t="s">
        <v>220</v>
      </c>
      <c r="AN9" s="103" t="s">
        <v>1075</v>
      </c>
      <c r="AO9" s="103" t="s">
        <v>1076</v>
      </c>
      <c r="AP9" s="156">
        <v>42156</v>
      </c>
      <c r="AQ9" s="103"/>
      <c r="AR9" s="103" t="s">
        <v>870</v>
      </c>
      <c r="AS9" s="103" t="s">
        <v>1077</v>
      </c>
      <c r="AT9" s="103" t="s">
        <v>1078</v>
      </c>
      <c r="AU9" s="103"/>
      <c r="AV9" s="103"/>
    </row>
    <row r="10" spans="1:48">
      <c r="A10" s="103">
        <v>5725</v>
      </c>
      <c r="B10" s="103" t="s">
        <v>1079</v>
      </c>
      <c r="C10" s="103" t="s">
        <v>1067</v>
      </c>
      <c r="D10" s="103" t="s">
        <v>1068</v>
      </c>
      <c r="E10" s="103" t="s">
        <v>1069</v>
      </c>
      <c r="F10" s="156"/>
      <c r="G10" s="103" t="s">
        <v>1070</v>
      </c>
      <c r="H10" s="103"/>
      <c r="I10" s="103"/>
      <c r="J10" s="103"/>
      <c r="K10" s="103"/>
      <c r="L10" s="103" t="s">
        <v>874</v>
      </c>
      <c r="M10" s="103" t="s">
        <v>1071</v>
      </c>
      <c r="N10" s="103" t="s">
        <v>871</v>
      </c>
      <c r="O10" s="103" t="s">
        <v>1072</v>
      </c>
      <c r="P10" s="103" t="s">
        <v>154</v>
      </c>
      <c r="Q10" s="103">
        <v>0</v>
      </c>
      <c r="R10" s="103">
        <v>0</v>
      </c>
      <c r="S10" s="103" t="s">
        <v>175</v>
      </c>
      <c r="T10" s="103"/>
      <c r="U10" s="103" t="b">
        <v>0</v>
      </c>
      <c r="V10" s="103"/>
      <c r="W10" s="103" t="b">
        <v>1</v>
      </c>
      <c r="X10" s="103" t="s">
        <v>863</v>
      </c>
      <c r="Y10" s="103" t="s">
        <v>153</v>
      </c>
      <c r="Z10" s="103" t="s">
        <v>864</v>
      </c>
      <c r="AA10" s="103" t="s">
        <v>1073</v>
      </c>
      <c r="AB10" s="103" t="s">
        <v>865</v>
      </c>
      <c r="AC10" s="103" t="s">
        <v>866</v>
      </c>
      <c r="AD10" s="103" t="str">
        <f>IF(ISNA(MATCH(AM10,'Measure &amp; Standard CostIDs'!$C$5:$C$177,0)),"",AM10)</f>
        <v>CFLscw-A(11w)</v>
      </c>
      <c r="AE10" s="103" t="str">
        <f>IFERROR(INDEX('Measure &amp; Standard CostIDs'!$S$5:$S$177,MATCH(AM10&amp;AL10,'Measure &amp; Standard CostIDs'!$AB$5:$AB$177,0)),"")</f>
        <v>Std_CFLscw-A(11w)_60pInc-r0248</v>
      </c>
      <c r="AF10" s="103" t="s">
        <v>1074</v>
      </c>
      <c r="AG10" s="103"/>
      <c r="AH10" s="103" t="s">
        <v>156</v>
      </c>
      <c r="AI10" s="103" t="s">
        <v>156</v>
      </c>
      <c r="AJ10" s="103" t="s">
        <v>224</v>
      </c>
      <c r="AK10" s="103" t="s">
        <v>150</v>
      </c>
      <c r="AL10" s="103" t="s">
        <v>150</v>
      </c>
      <c r="AM10" s="103" t="s">
        <v>223</v>
      </c>
      <c r="AN10" s="103" t="s">
        <v>1080</v>
      </c>
      <c r="AO10" s="103" t="s">
        <v>1076</v>
      </c>
      <c r="AP10" s="156">
        <v>42156</v>
      </c>
      <c r="AQ10" s="103"/>
      <c r="AR10" s="103" t="s">
        <v>870</v>
      </c>
      <c r="AS10" s="103" t="s">
        <v>1077</v>
      </c>
      <c r="AT10" s="103" t="s">
        <v>1078</v>
      </c>
      <c r="AU10" s="103"/>
      <c r="AV10" s="103"/>
    </row>
    <row r="11" spans="1:48">
      <c r="A11" s="103">
        <v>5726</v>
      </c>
      <c r="B11" s="103" t="s">
        <v>1081</v>
      </c>
      <c r="C11" s="103" t="s">
        <v>1067</v>
      </c>
      <c r="D11" s="103" t="s">
        <v>1068</v>
      </c>
      <c r="E11" s="103" t="s">
        <v>1069</v>
      </c>
      <c r="F11" s="156"/>
      <c r="G11" s="103" t="s">
        <v>1070</v>
      </c>
      <c r="H11" s="103"/>
      <c r="I11" s="103"/>
      <c r="J11" s="103"/>
      <c r="K11" s="103"/>
      <c r="L11" s="103" t="s">
        <v>874</v>
      </c>
      <c r="M11" s="103" t="s">
        <v>1071</v>
      </c>
      <c r="N11" s="103" t="s">
        <v>871</v>
      </c>
      <c r="O11" s="103" t="s">
        <v>1072</v>
      </c>
      <c r="P11" s="103" t="s">
        <v>154</v>
      </c>
      <c r="Q11" s="103">
        <v>0</v>
      </c>
      <c r="R11" s="103">
        <v>0</v>
      </c>
      <c r="S11" s="103" t="s">
        <v>175</v>
      </c>
      <c r="T11" s="103"/>
      <c r="U11" s="103" t="b">
        <v>0</v>
      </c>
      <c r="V11" s="103"/>
      <c r="W11" s="103" t="b">
        <v>1</v>
      </c>
      <c r="X11" s="103" t="s">
        <v>863</v>
      </c>
      <c r="Y11" s="103" t="s">
        <v>153</v>
      </c>
      <c r="Z11" s="103" t="s">
        <v>864</v>
      </c>
      <c r="AA11" s="103" t="s">
        <v>1073</v>
      </c>
      <c r="AB11" s="103" t="s">
        <v>865</v>
      </c>
      <c r="AC11" s="103" t="s">
        <v>866</v>
      </c>
      <c r="AD11" s="103" t="str">
        <f>IF(ISNA(MATCH(AM11,'Measure &amp; Standard CostIDs'!$C$5:$C$177,0)),"",AM11)</f>
        <v>CFLscw-A(12w)</v>
      </c>
      <c r="AE11" s="103" t="str">
        <f>IFERROR(INDEX('Measure &amp; Standard CostIDs'!$S$5:$S$177,MATCH(AM11&amp;AL11,'Measure &amp; Standard CostIDs'!$AB$5:$AB$177,0)),"")</f>
        <v>Std_CFLscw-A(12w)_60pInc-r0248</v>
      </c>
      <c r="AF11" s="103" t="s">
        <v>1074</v>
      </c>
      <c r="AG11" s="103"/>
      <c r="AH11" s="103" t="s">
        <v>156</v>
      </c>
      <c r="AI11" s="103" t="s">
        <v>156</v>
      </c>
      <c r="AJ11" s="103" t="s">
        <v>226</v>
      </c>
      <c r="AK11" s="103" t="s">
        <v>150</v>
      </c>
      <c r="AL11" s="103" t="s">
        <v>150</v>
      </c>
      <c r="AM11" s="103" t="s">
        <v>225</v>
      </c>
      <c r="AN11" s="103" t="s">
        <v>1082</v>
      </c>
      <c r="AO11" s="103" t="s">
        <v>1076</v>
      </c>
      <c r="AP11" s="156">
        <v>42156</v>
      </c>
      <c r="AQ11" s="103"/>
      <c r="AR11" s="103" t="s">
        <v>870</v>
      </c>
      <c r="AS11" s="103" t="s">
        <v>1077</v>
      </c>
      <c r="AT11" s="103" t="s">
        <v>1078</v>
      </c>
      <c r="AU11" s="103"/>
      <c r="AV11" s="103"/>
    </row>
    <row r="12" spans="1:48">
      <c r="A12" s="103">
        <v>5727</v>
      </c>
      <c r="B12" s="103" t="s">
        <v>1083</v>
      </c>
      <c r="C12" s="103" t="s">
        <v>1067</v>
      </c>
      <c r="D12" s="103" t="s">
        <v>1068</v>
      </c>
      <c r="E12" s="103" t="s">
        <v>1069</v>
      </c>
      <c r="F12" s="156"/>
      <c r="G12" s="103" t="s">
        <v>1070</v>
      </c>
      <c r="H12" s="103"/>
      <c r="I12" s="103"/>
      <c r="J12" s="103"/>
      <c r="K12" s="103"/>
      <c r="L12" s="103" t="s">
        <v>874</v>
      </c>
      <c r="M12" s="103" t="s">
        <v>1071</v>
      </c>
      <c r="N12" s="103" t="s">
        <v>871</v>
      </c>
      <c r="O12" s="103" t="s">
        <v>1072</v>
      </c>
      <c r="P12" s="103" t="s">
        <v>154</v>
      </c>
      <c r="Q12" s="103">
        <v>0</v>
      </c>
      <c r="R12" s="103">
        <v>0</v>
      </c>
      <c r="S12" s="103" t="s">
        <v>175</v>
      </c>
      <c r="T12" s="103"/>
      <c r="U12" s="103" t="b">
        <v>0</v>
      </c>
      <c r="V12" s="103"/>
      <c r="W12" s="103" t="b">
        <v>1</v>
      </c>
      <c r="X12" s="103" t="s">
        <v>863</v>
      </c>
      <c r="Y12" s="103" t="s">
        <v>153</v>
      </c>
      <c r="Z12" s="103" t="s">
        <v>864</v>
      </c>
      <c r="AA12" s="103" t="s">
        <v>1073</v>
      </c>
      <c r="AB12" s="103" t="s">
        <v>865</v>
      </c>
      <c r="AC12" s="103" t="s">
        <v>866</v>
      </c>
      <c r="AD12" s="103" t="str">
        <f>IF(ISNA(MATCH(AM12,'Measure &amp; Standard CostIDs'!$C$5:$C$177,0)),"",AM12)</f>
        <v>CFLscw-A(13w)</v>
      </c>
      <c r="AE12" s="103" t="str">
        <f>IFERROR(INDEX('Measure &amp; Standard CostIDs'!$S$5:$S$177,MATCH(AM12&amp;AL12,'Measure &amp; Standard CostIDs'!$AB$5:$AB$177,0)),"")</f>
        <v>Std_CFLscw-A(13w)_60pInc-r0248</v>
      </c>
      <c r="AF12" s="103" t="s">
        <v>1074</v>
      </c>
      <c r="AG12" s="103"/>
      <c r="AH12" s="103" t="s">
        <v>156</v>
      </c>
      <c r="AI12" s="103" t="s">
        <v>156</v>
      </c>
      <c r="AJ12" s="103" t="s">
        <v>228</v>
      </c>
      <c r="AK12" s="103" t="s">
        <v>150</v>
      </c>
      <c r="AL12" s="103" t="s">
        <v>150</v>
      </c>
      <c r="AM12" s="103" t="s">
        <v>227</v>
      </c>
      <c r="AN12" s="103" t="s">
        <v>1084</v>
      </c>
      <c r="AO12" s="103" t="s">
        <v>1076</v>
      </c>
      <c r="AP12" s="156">
        <v>42156</v>
      </c>
      <c r="AQ12" s="103"/>
      <c r="AR12" s="103" t="s">
        <v>870</v>
      </c>
      <c r="AS12" s="103" t="s">
        <v>1077</v>
      </c>
      <c r="AT12" s="103" t="s">
        <v>1078</v>
      </c>
      <c r="AU12" s="103"/>
      <c r="AV12" s="103"/>
    </row>
    <row r="13" spans="1:48">
      <c r="A13" s="103">
        <v>5728</v>
      </c>
      <c r="B13" s="103" t="s">
        <v>1085</v>
      </c>
      <c r="C13" s="103" t="s">
        <v>1067</v>
      </c>
      <c r="D13" s="103" t="s">
        <v>1068</v>
      </c>
      <c r="E13" s="103" t="s">
        <v>1069</v>
      </c>
      <c r="F13" s="156"/>
      <c r="G13" s="103" t="s">
        <v>1070</v>
      </c>
      <c r="H13" s="103"/>
      <c r="I13" s="103"/>
      <c r="J13" s="103"/>
      <c r="K13" s="103"/>
      <c r="L13" s="103" t="s">
        <v>874</v>
      </c>
      <c r="M13" s="103" t="s">
        <v>1071</v>
      </c>
      <c r="N13" s="103" t="s">
        <v>871</v>
      </c>
      <c r="O13" s="103" t="s">
        <v>1072</v>
      </c>
      <c r="P13" s="103" t="s">
        <v>154</v>
      </c>
      <c r="Q13" s="103">
        <v>0</v>
      </c>
      <c r="R13" s="103">
        <v>0</v>
      </c>
      <c r="S13" s="103" t="s">
        <v>175</v>
      </c>
      <c r="T13" s="103"/>
      <c r="U13" s="103" t="b">
        <v>0</v>
      </c>
      <c r="V13" s="103"/>
      <c r="W13" s="103" t="b">
        <v>1</v>
      </c>
      <c r="X13" s="103" t="s">
        <v>863</v>
      </c>
      <c r="Y13" s="103" t="s">
        <v>153</v>
      </c>
      <c r="Z13" s="103" t="s">
        <v>864</v>
      </c>
      <c r="AA13" s="103" t="s">
        <v>1073</v>
      </c>
      <c r="AB13" s="103" t="s">
        <v>865</v>
      </c>
      <c r="AC13" s="103" t="s">
        <v>866</v>
      </c>
      <c r="AD13" s="103" t="str">
        <f>IF(ISNA(MATCH(AM13,'Measure &amp; Standard CostIDs'!$C$5:$C$177,0)),"",AM13)</f>
        <v>CFLscw-A(14w)</v>
      </c>
      <c r="AE13" s="103" t="str">
        <f>IFERROR(INDEX('Measure &amp; Standard CostIDs'!$S$5:$S$177,MATCH(AM13&amp;AL13,'Measure &amp; Standard CostIDs'!$AB$5:$AB$177,0)),"")</f>
        <v>Std_CFLscw-A(14w)_60pInc-r0248</v>
      </c>
      <c r="AF13" s="103" t="s">
        <v>1074</v>
      </c>
      <c r="AG13" s="103"/>
      <c r="AH13" s="103" t="s">
        <v>156</v>
      </c>
      <c r="AI13" s="103" t="s">
        <v>156</v>
      </c>
      <c r="AJ13" s="103" t="s">
        <v>230</v>
      </c>
      <c r="AK13" s="103" t="s">
        <v>150</v>
      </c>
      <c r="AL13" s="103" t="s">
        <v>150</v>
      </c>
      <c r="AM13" s="103" t="s">
        <v>229</v>
      </c>
      <c r="AN13" s="103" t="s">
        <v>1086</v>
      </c>
      <c r="AO13" s="103" t="s">
        <v>1076</v>
      </c>
      <c r="AP13" s="156">
        <v>42156</v>
      </c>
      <c r="AQ13" s="103"/>
      <c r="AR13" s="103" t="s">
        <v>870</v>
      </c>
      <c r="AS13" s="103" t="s">
        <v>1077</v>
      </c>
      <c r="AT13" s="103" t="s">
        <v>1078</v>
      </c>
      <c r="AU13" s="103"/>
      <c r="AV13" s="103"/>
    </row>
    <row r="14" spans="1:48">
      <c r="A14" s="103">
        <v>5729</v>
      </c>
      <c r="B14" s="103" t="s">
        <v>1087</v>
      </c>
      <c r="C14" s="103" t="s">
        <v>1067</v>
      </c>
      <c r="D14" s="103" t="s">
        <v>1068</v>
      </c>
      <c r="E14" s="103" t="s">
        <v>1069</v>
      </c>
      <c r="F14" s="156"/>
      <c r="G14" s="103" t="s">
        <v>1070</v>
      </c>
      <c r="H14" s="103"/>
      <c r="I14" s="103"/>
      <c r="J14" s="103"/>
      <c r="K14" s="103"/>
      <c r="L14" s="103" t="s">
        <v>874</v>
      </c>
      <c r="M14" s="103" t="s">
        <v>1071</v>
      </c>
      <c r="N14" s="103" t="s">
        <v>871</v>
      </c>
      <c r="O14" s="103" t="s">
        <v>1072</v>
      </c>
      <c r="P14" s="103" t="s">
        <v>154</v>
      </c>
      <c r="Q14" s="103">
        <v>0</v>
      </c>
      <c r="R14" s="103">
        <v>0</v>
      </c>
      <c r="S14" s="103" t="s">
        <v>175</v>
      </c>
      <c r="T14" s="103"/>
      <c r="U14" s="103" t="b">
        <v>0</v>
      </c>
      <c r="V14" s="103"/>
      <c r="W14" s="103" t="b">
        <v>1</v>
      </c>
      <c r="X14" s="103" t="s">
        <v>863</v>
      </c>
      <c r="Y14" s="103" t="s">
        <v>153</v>
      </c>
      <c r="Z14" s="103" t="s">
        <v>864</v>
      </c>
      <c r="AA14" s="103" t="s">
        <v>1073</v>
      </c>
      <c r="AB14" s="103" t="s">
        <v>865</v>
      </c>
      <c r="AC14" s="103" t="s">
        <v>866</v>
      </c>
      <c r="AD14" s="103" t="str">
        <f>IF(ISNA(MATCH(AM14,'Measure &amp; Standard CostIDs'!$C$5:$C$177,0)),"",AM14)</f>
        <v>CFLscw-A(15w)</v>
      </c>
      <c r="AE14" s="103" t="str">
        <f>IFERROR(INDEX('Measure &amp; Standard CostIDs'!$S$5:$S$177,MATCH(AM14&amp;AL14,'Measure &amp; Standard CostIDs'!$AB$5:$AB$177,0)),"")</f>
        <v>Std_CFLscw-A(15w)_60pInc-r0248</v>
      </c>
      <c r="AF14" s="103" t="s">
        <v>1074</v>
      </c>
      <c r="AG14" s="103"/>
      <c r="AH14" s="103" t="s">
        <v>156</v>
      </c>
      <c r="AI14" s="103" t="s">
        <v>156</v>
      </c>
      <c r="AJ14" s="103" t="s">
        <v>232</v>
      </c>
      <c r="AK14" s="103" t="s">
        <v>150</v>
      </c>
      <c r="AL14" s="103" t="s">
        <v>150</v>
      </c>
      <c r="AM14" s="103" t="s">
        <v>231</v>
      </c>
      <c r="AN14" s="103" t="s">
        <v>1088</v>
      </c>
      <c r="AO14" s="103" t="s">
        <v>1076</v>
      </c>
      <c r="AP14" s="156">
        <v>42156</v>
      </c>
      <c r="AQ14" s="103"/>
      <c r="AR14" s="103" t="s">
        <v>870</v>
      </c>
      <c r="AS14" s="103" t="s">
        <v>1077</v>
      </c>
      <c r="AT14" s="103" t="s">
        <v>1078</v>
      </c>
      <c r="AU14" s="103"/>
      <c r="AV14" s="103"/>
    </row>
    <row r="15" spans="1:48">
      <c r="A15" s="103">
        <v>5730</v>
      </c>
      <c r="B15" s="103" t="s">
        <v>1089</v>
      </c>
      <c r="C15" s="103" t="s">
        <v>1067</v>
      </c>
      <c r="D15" s="103" t="s">
        <v>1068</v>
      </c>
      <c r="E15" s="103" t="s">
        <v>1069</v>
      </c>
      <c r="F15" s="156"/>
      <c r="G15" s="103" t="s">
        <v>1070</v>
      </c>
      <c r="H15" s="103"/>
      <c r="I15" s="103"/>
      <c r="J15" s="103"/>
      <c r="K15" s="103"/>
      <c r="L15" s="103" t="s">
        <v>874</v>
      </c>
      <c r="M15" s="103" t="s">
        <v>1071</v>
      </c>
      <c r="N15" s="103" t="s">
        <v>871</v>
      </c>
      <c r="O15" s="103" t="s">
        <v>1072</v>
      </c>
      <c r="P15" s="103" t="s">
        <v>154</v>
      </c>
      <c r="Q15" s="103">
        <v>0</v>
      </c>
      <c r="R15" s="103">
        <v>0</v>
      </c>
      <c r="S15" s="103" t="s">
        <v>175</v>
      </c>
      <c r="T15" s="103"/>
      <c r="U15" s="103" t="b">
        <v>0</v>
      </c>
      <c r="V15" s="103"/>
      <c r="W15" s="103" t="b">
        <v>1</v>
      </c>
      <c r="X15" s="103" t="s">
        <v>863</v>
      </c>
      <c r="Y15" s="103" t="s">
        <v>153</v>
      </c>
      <c r="Z15" s="103" t="s">
        <v>864</v>
      </c>
      <c r="AA15" s="103" t="s">
        <v>1073</v>
      </c>
      <c r="AB15" s="103" t="s">
        <v>865</v>
      </c>
      <c r="AC15" s="103" t="s">
        <v>866</v>
      </c>
      <c r="AD15" s="103" t="str">
        <f>IF(ISNA(MATCH(AM15,'Measure &amp; Standard CostIDs'!$C$5:$C$177,0)),"",AM15)</f>
        <v>CFLscw-A(16w)</v>
      </c>
      <c r="AE15" s="103" t="str">
        <f>IFERROR(INDEX('Measure &amp; Standard CostIDs'!$S$5:$S$177,MATCH(AM15&amp;AL15,'Measure &amp; Standard CostIDs'!$AB$5:$AB$177,0)),"")</f>
        <v>Std_CFLscw-A(16w)_60pInc-r0248</v>
      </c>
      <c r="AF15" s="103" t="s">
        <v>1074</v>
      </c>
      <c r="AG15" s="103"/>
      <c r="AH15" s="103" t="s">
        <v>156</v>
      </c>
      <c r="AI15" s="103" t="s">
        <v>156</v>
      </c>
      <c r="AJ15" s="103" t="s">
        <v>234</v>
      </c>
      <c r="AK15" s="103" t="s">
        <v>150</v>
      </c>
      <c r="AL15" s="103" t="s">
        <v>150</v>
      </c>
      <c r="AM15" s="103" t="s">
        <v>233</v>
      </c>
      <c r="AN15" s="103" t="s">
        <v>1090</v>
      </c>
      <c r="AO15" s="103" t="s">
        <v>1076</v>
      </c>
      <c r="AP15" s="156">
        <v>42156</v>
      </c>
      <c r="AQ15" s="103"/>
      <c r="AR15" s="103" t="s">
        <v>870</v>
      </c>
      <c r="AS15" s="103" t="s">
        <v>1077</v>
      </c>
      <c r="AT15" s="103" t="s">
        <v>1078</v>
      </c>
      <c r="AU15" s="103"/>
      <c r="AV15" s="103"/>
    </row>
    <row r="16" spans="1:48">
      <c r="A16" s="103">
        <v>5731</v>
      </c>
      <c r="B16" s="103" t="s">
        <v>1091</v>
      </c>
      <c r="C16" s="103" t="s">
        <v>1067</v>
      </c>
      <c r="D16" s="103" t="s">
        <v>1068</v>
      </c>
      <c r="E16" s="103" t="s">
        <v>1069</v>
      </c>
      <c r="F16" s="156"/>
      <c r="G16" s="103" t="s">
        <v>1070</v>
      </c>
      <c r="H16" s="103"/>
      <c r="I16" s="103"/>
      <c r="J16" s="103"/>
      <c r="K16" s="103"/>
      <c r="L16" s="103" t="s">
        <v>874</v>
      </c>
      <c r="M16" s="103" t="s">
        <v>1071</v>
      </c>
      <c r="N16" s="103" t="s">
        <v>871</v>
      </c>
      <c r="O16" s="103" t="s">
        <v>1072</v>
      </c>
      <c r="P16" s="103" t="s">
        <v>154</v>
      </c>
      <c r="Q16" s="103">
        <v>0</v>
      </c>
      <c r="R16" s="103">
        <v>0</v>
      </c>
      <c r="S16" s="103" t="s">
        <v>175</v>
      </c>
      <c r="T16" s="103"/>
      <c r="U16" s="103" t="b">
        <v>0</v>
      </c>
      <c r="V16" s="103"/>
      <c r="W16" s="103" t="b">
        <v>1</v>
      </c>
      <c r="X16" s="103" t="s">
        <v>863</v>
      </c>
      <c r="Y16" s="103" t="s">
        <v>153</v>
      </c>
      <c r="Z16" s="103" t="s">
        <v>864</v>
      </c>
      <c r="AA16" s="103" t="s">
        <v>1073</v>
      </c>
      <c r="AB16" s="103" t="s">
        <v>865</v>
      </c>
      <c r="AC16" s="103" t="s">
        <v>866</v>
      </c>
      <c r="AD16" s="103" t="str">
        <f>IF(ISNA(MATCH(AM16,'Measure &amp; Standard CostIDs'!$C$5:$C$177,0)),"",AM16)</f>
        <v>CFLscw-A(18w)</v>
      </c>
      <c r="AE16" s="103" t="str">
        <f>IFERROR(INDEX('Measure &amp; Standard CostIDs'!$S$5:$S$177,MATCH(AM16&amp;AL16,'Measure &amp; Standard CostIDs'!$AB$5:$AB$177,0)),"")</f>
        <v>Std_CFLscw-A(18w)_60pInc-r0248</v>
      </c>
      <c r="AF16" s="103" t="s">
        <v>1074</v>
      </c>
      <c r="AG16" s="103"/>
      <c r="AH16" s="103" t="s">
        <v>156</v>
      </c>
      <c r="AI16" s="103" t="s">
        <v>156</v>
      </c>
      <c r="AJ16" s="103" t="s">
        <v>236</v>
      </c>
      <c r="AK16" s="103" t="s">
        <v>150</v>
      </c>
      <c r="AL16" s="103" t="s">
        <v>150</v>
      </c>
      <c r="AM16" s="103" t="s">
        <v>235</v>
      </c>
      <c r="AN16" s="103" t="s">
        <v>1092</v>
      </c>
      <c r="AO16" s="103" t="s">
        <v>1076</v>
      </c>
      <c r="AP16" s="156">
        <v>42156</v>
      </c>
      <c r="AQ16" s="103"/>
      <c r="AR16" s="103" t="s">
        <v>870</v>
      </c>
      <c r="AS16" s="103" t="s">
        <v>1077</v>
      </c>
      <c r="AT16" s="103" t="s">
        <v>1078</v>
      </c>
      <c r="AU16" s="103"/>
      <c r="AV16" s="103"/>
    </row>
    <row r="17" spans="1:48">
      <c r="A17" s="103">
        <v>5732</v>
      </c>
      <c r="B17" s="103" t="s">
        <v>1093</v>
      </c>
      <c r="C17" s="103" t="s">
        <v>1067</v>
      </c>
      <c r="D17" s="103" t="s">
        <v>1068</v>
      </c>
      <c r="E17" s="103" t="s">
        <v>1069</v>
      </c>
      <c r="F17" s="156"/>
      <c r="G17" s="103" t="s">
        <v>1070</v>
      </c>
      <c r="H17" s="103"/>
      <c r="I17" s="103"/>
      <c r="J17" s="103"/>
      <c r="K17" s="103"/>
      <c r="L17" s="103" t="s">
        <v>874</v>
      </c>
      <c r="M17" s="103" t="s">
        <v>1071</v>
      </c>
      <c r="N17" s="103" t="s">
        <v>871</v>
      </c>
      <c r="O17" s="103" t="s">
        <v>1072</v>
      </c>
      <c r="P17" s="103" t="s">
        <v>154</v>
      </c>
      <c r="Q17" s="103">
        <v>0</v>
      </c>
      <c r="R17" s="103">
        <v>0</v>
      </c>
      <c r="S17" s="103" t="s">
        <v>175</v>
      </c>
      <c r="T17" s="103"/>
      <c r="U17" s="103" t="b">
        <v>0</v>
      </c>
      <c r="V17" s="103"/>
      <c r="W17" s="103" t="b">
        <v>1</v>
      </c>
      <c r="X17" s="103" t="s">
        <v>863</v>
      </c>
      <c r="Y17" s="103" t="s">
        <v>153</v>
      </c>
      <c r="Z17" s="103" t="s">
        <v>864</v>
      </c>
      <c r="AA17" s="103" t="s">
        <v>1073</v>
      </c>
      <c r="AB17" s="103" t="s">
        <v>865</v>
      </c>
      <c r="AC17" s="103" t="s">
        <v>866</v>
      </c>
      <c r="AD17" s="103" t="str">
        <f>IF(ISNA(MATCH(AM17,'Measure &amp; Standard CostIDs'!$C$5:$C$177,0)),"",AM17)</f>
        <v>CFLscw-A(19w)</v>
      </c>
      <c r="AE17" s="103" t="str">
        <f>IFERROR(INDEX('Measure &amp; Standard CostIDs'!$S$5:$S$177,MATCH(AM17&amp;AL17,'Measure &amp; Standard CostIDs'!$AB$5:$AB$177,0)),"")</f>
        <v>Std_CFLscw-A(19w)_60pInc-r0248</v>
      </c>
      <c r="AF17" s="103" t="s">
        <v>1074</v>
      </c>
      <c r="AG17" s="103"/>
      <c r="AH17" s="103" t="s">
        <v>156</v>
      </c>
      <c r="AI17" s="103" t="s">
        <v>156</v>
      </c>
      <c r="AJ17" s="103" t="s">
        <v>238</v>
      </c>
      <c r="AK17" s="103" t="s">
        <v>150</v>
      </c>
      <c r="AL17" s="103" t="s">
        <v>150</v>
      </c>
      <c r="AM17" s="103" t="s">
        <v>237</v>
      </c>
      <c r="AN17" s="103" t="s">
        <v>1094</v>
      </c>
      <c r="AO17" s="103" t="s">
        <v>1076</v>
      </c>
      <c r="AP17" s="156">
        <v>42156</v>
      </c>
      <c r="AQ17" s="103"/>
      <c r="AR17" s="103" t="s">
        <v>870</v>
      </c>
      <c r="AS17" s="103" t="s">
        <v>1077</v>
      </c>
      <c r="AT17" s="103" t="s">
        <v>1078</v>
      </c>
      <c r="AU17" s="103"/>
      <c r="AV17" s="103"/>
    </row>
    <row r="18" spans="1:48">
      <c r="A18" s="103">
        <v>5733</v>
      </c>
      <c r="B18" s="103" t="s">
        <v>1095</v>
      </c>
      <c r="C18" s="103" t="s">
        <v>1067</v>
      </c>
      <c r="D18" s="103" t="s">
        <v>1068</v>
      </c>
      <c r="E18" s="103" t="s">
        <v>1069</v>
      </c>
      <c r="F18" s="156"/>
      <c r="G18" s="103" t="s">
        <v>1070</v>
      </c>
      <c r="H18" s="103"/>
      <c r="I18" s="103"/>
      <c r="J18" s="103"/>
      <c r="K18" s="103"/>
      <c r="L18" s="103" t="s">
        <v>874</v>
      </c>
      <c r="M18" s="103" t="s">
        <v>1071</v>
      </c>
      <c r="N18" s="103" t="s">
        <v>871</v>
      </c>
      <c r="O18" s="103" t="s">
        <v>1072</v>
      </c>
      <c r="P18" s="103" t="s">
        <v>154</v>
      </c>
      <c r="Q18" s="103">
        <v>0</v>
      </c>
      <c r="R18" s="103">
        <v>0</v>
      </c>
      <c r="S18" s="103" t="s">
        <v>175</v>
      </c>
      <c r="T18" s="103"/>
      <c r="U18" s="103" t="b">
        <v>0</v>
      </c>
      <c r="V18" s="103"/>
      <c r="W18" s="103" t="b">
        <v>1</v>
      </c>
      <c r="X18" s="103" t="s">
        <v>863</v>
      </c>
      <c r="Y18" s="103" t="s">
        <v>153</v>
      </c>
      <c r="Z18" s="103" t="s">
        <v>864</v>
      </c>
      <c r="AA18" s="103" t="s">
        <v>1073</v>
      </c>
      <c r="AB18" s="103" t="s">
        <v>865</v>
      </c>
      <c r="AC18" s="103" t="s">
        <v>866</v>
      </c>
      <c r="AD18" s="103" t="str">
        <f>IF(ISNA(MATCH(AM18,'Measure &amp; Standard CostIDs'!$C$5:$C$177,0)),"",AM18)</f>
        <v>CFLscw-A(20w)</v>
      </c>
      <c r="AE18" s="103" t="str">
        <f>IFERROR(INDEX('Measure &amp; Standard CostIDs'!$S$5:$S$177,MATCH(AM18&amp;AL18,'Measure &amp; Standard CostIDs'!$AB$5:$AB$177,0)),"")</f>
        <v>Std_CFLscw-A(20w)_60pInc-r0248</v>
      </c>
      <c r="AF18" s="103" t="s">
        <v>1074</v>
      </c>
      <c r="AG18" s="103"/>
      <c r="AH18" s="103" t="s">
        <v>156</v>
      </c>
      <c r="AI18" s="103" t="s">
        <v>156</v>
      </c>
      <c r="AJ18" s="103" t="s">
        <v>240</v>
      </c>
      <c r="AK18" s="103" t="s">
        <v>150</v>
      </c>
      <c r="AL18" s="103" t="s">
        <v>150</v>
      </c>
      <c r="AM18" s="103" t="s">
        <v>239</v>
      </c>
      <c r="AN18" s="103" t="s">
        <v>1096</v>
      </c>
      <c r="AO18" s="103" t="s">
        <v>1076</v>
      </c>
      <c r="AP18" s="156">
        <v>42156</v>
      </c>
      <c r="AQ18" s="103"/>
      <c r="AR18" s="103" t="s">
        <v>870</v>
      </c>
      <c r="AS18" s="103" t="s">
        <v>1077</v>
      </c>
      <c r="AT18" s="103" t="s">
        <v>1078</v>
      </c>
      <c r="AU18" s="103"/>
      <c r="AV18" s="103"/>
    </row>
    <row r="19" spans="1:48">
      <c r="A19" s="103">
        <v>5734</v>
      </c>
      <c r="B19" s="103" t="s">
        <v>1097</v>
      </c>
      <c r="C19" s="103" t="s">
        <v>1067</v>
      </c>
      <c r="D19" s="103" t="s">
        <v>1068</v>
      </c>
      <c r="E19" s="103" t="s">
        <v>1069</v>
      </c>
      <c r="F19" s="156"/>
      <c r="G19" s="103" t="s">
        <v>1070</v>
      </c>
      <c r="H19" s="103"/>
      <c r="I19" s="103"/>
      <c r="J19" s="103"/>
      <c r="K19" s="103"/>
      <c r="L19" s="103" t="s">
        <v>874</v>
      </c>
      <c r="M19" s="103" t="s">
        <v>1071</v>
      </c>
      <c r="N19" s="103" t="s">
        <v>871</v>
      </c>
      <c r="O19" s="103" t="s">
        <v>1072</v>
      </c>
      <c r="P19" s="103" t="s">
        <v>154</v>
      </c>
      <c r="Q19" s="103">
        <v>0</v>
      </c>
      <c r="R19" s="103">
        <v>0</v>
      </c>
      <c r="S19" s="103" t="s">
        <v>175</v>
      </c>
      <c r="T19" s="103"/>
      <c r="U19" s="103" t="b">
        <v>0</v>
      </c>
      <c r="V19" s="103"/>
      <c r="W19" s="103" t="b">
        <v>1</v>
      </c>
      <c r="X19" s="103" t="s">
        <v>863</v>
      </c>
      <c r="Y19" s="103" t="s">
        <v>153</v>
      </c>
      <c r="Z19" s="103" t="s">
        <v>864</v>
      </c>
      <c r="AA19" s="103" t="s">
        <v>1073</v>
      </c>
      <c r="AB19" s="103" t="s">
        <v>865</v>
      </c>
      <c r="AC19" s="103" t="s">
        <v>866</v>
      </c>
      <c r="AD19" s="103" t="str">
        <f>IF(ISNA(MATCH(AM19,'Measure &amp; Standard CostIDs'!$C$5:$C$177,0)),"",AM19)</f>
        <v>CFLscw-A(22w)</v>
      </c>
      <c r="AE19" s="103" t="str">
        <f>IFERROR(INDEX('Measure &amp; Standard CostIDs'!$S$5:$S$177,MATCH(AM19&amp;AL19,'Measure &amp; Standard CostIDs'!$AB$5:$AB$177,0)),"")</f>
        <v>Std_CFLscw-A(22w)_60pInc-r0248</v>
      </c>
      <c r="AF19" s="103" t="s">
        <v>1074</v>
      </c>
      <c r="AG19" s="103"/>
      <c r="AH19" s="103" t="s">
        <v>156</v>
      </c>
      <c r="AI19" s="103" t="s">
        <v>156</v>
      </c>
      <c r="AJ19" s="103" t="s">
        <v>242</v>
      </c>
      <c r="AK19" s="103" t="s">
        <v>150</v>
      </c>
      <c r="AL19" s="103" t="s">
        <v>150</v>
      </c>
      <c r="AM19" s="103" t="s">
        <v>241</v>
      </c>
      <c r="AN19" s="103" t="s">
        <v>1098</v>
      </c>
      <c r="AO19" s="103" t="s">
        <v>1076</v>
      </c>
      <c r="AP19" s="156">
        <v>42156</v>
      </c>
      <c r="AQ19" s="103"/>
      <c r="AR19" s="103" t="s">
        <v>870</v>
      </c>
      <c r="AS19" s="103" t="s">
        <v>1077</v>
      </c>
      <c r="AT19" s="103" t="s">
        <v>1078</v>
      </c>
      <c r="AU19" s="103"/>
      <c r="AV19" s="103"/>
    </row>
    <row r="20" spans="1:48">
      <c r="A20" s="103">
        <v>5735</v>
      </c>
      <c r="B20" s="103" t="s">
        <v>1099</v>
      </c>
      <c r="C20" s="103" t="s">
        <v>1067</v>
      </c>
      <c r="D20" s="103" t="s">
        <v>1068</v>
      </c>
      <c r="E20" s="103" t="s">
        <v>1069</v>
      </c>
      <c r="F20" s="156"/>
      <c r="G20" s="103" t="s">
        <v>1070</v>
      </c>
      <c r="H20" s="103"/>
      <c r="I20" s="103"/>
      <c r="J20" s="103"/>
      <c r="K20" s="103"/>
      <c r="L20" s="103" t="s">
        <v>874</v>
      </c>
      <c r="M20" s="103" t="s">
        <v>1071</v>
      </c>
      <c r="N20" s="103" t="s">
        <v>871</v>
      </c>
      <c r="O20" s="103" t="s">
        <v>1072</v>
      </c>
      <c r="P20" s="103" t="s">
        <v>154</v>
      </c>
      <c r="Q20" s="103">
        <v>0</v>
      </c>
      <c r="R20" s="103">
        <v>0</v>
      </c>
      <c r="S20" s="103" t="s">
        <v>175</v>
      </c>
      <c r="T20" s="103"/>
      <c r="U20" s="103" t="b">
        <v>0</v>
      </c>
      <c r="V20" s="103"/>
      <c r="W20" s="103" t="b">
        <v>1</v>
      </c>
      <c r="X20" s="103" t="s">
        <v>863</v>
      </c>
      <c r="Y20" s="103" t="s">
        <v>153</v>
      </c>
      <c r="Z20" s="103" t="s">
        <v>864</v>
      </c>
      <c r="AA20" s="103" t="s">
        <v>1073</v>
      </c>
      <c r="AB20" s="103" t="s">
        <v>865</v>
      </c>
      <c r="AC20" s="103" t="s">
        <v>866</v>
      </c>
      <c r="AD20" s="103" t="str">
        <f>IF(ISNA(MATCH(AM20,'Measure &amp; Standard CostIDs'!$C$5:$C$177,0)),"",AM20)</f>
        <v>CFLscw-A(23w)</v>
      </c>
      <c r="AE20" s="103" t="str">
        <f>IFERROR(INDEX('Measure &amp; Standard CostIDs'!$S$5:$S$177,MATCH(AM20&amp;AL20,'Measure &amp; Standard CostIDs'!$AB$5:$AB$177,0)),"")</f>
        <v>Std_CFLscw-A(23w)_60pInc-r0248</v>
      </c>
      <c r="AF20" s="103" t="s">
        <v>1074</v>
      </c>
      <c r="AG20" s="103"/>
      <c r="AH20" s="103" t="s">
        <v>156</v>
      </c>
      <c r="AI20" s="103" t="s">
        <v>156</v>
      </c>
      <c r="AJ20" s="103" t="s">
        <v>244</v>
      </c>
      <c r="AK20" s="103" t="s">
        <v>150</v>
      </c>
      <c r="AL20" s="103" t="s">
        <v>150</v>
      </c>
      <c r="AM20" s="103" t="s">
        <v>243</v>
      </c>
      <c r="AN20" s="103" t="s">
        <v>1100</v>
      </c>
      <c r="AO20" s="103" t="s">
        <v>1076</v>
      </c>
      <c r="AP20" s="156">
        <v>42156</v>
      </c>
      <c r="AQ20" s="103"/>
      <c r="AR20" s="103" t="s">
        <v>870</v>
      </c>
      <c r="AS20" s="103" t="s">
        <v>1077</v>
      </c>
      <c r="AT20" s="103" t="s">
        <v>1078</v>
      </c>
      <c r="AU20" s="103"/>
      <c r="AV20" s="103"/>
    </row>
    <row r="21" spans="1:48">
      <c r="A21" s="103">
        <v>5736</v>
      </c>
      <c r="B21" s="103" t="s">
        <v>1101</v>
      </c>
      <c r="C21" s="103" t="s">
        <v>1067</v>
      </c>
      <c r="D21" s="103" t="s">
        <v>1068</v>
      </c>
      <c r="E21" s="103" t="s">
        <v>1069</v>
      </c>
      <c r="F21" s="156"/>
      <c r="G21" s="103" t="s">
        <v>1070</v>
      </c>
      <c r="H21" s="103"/>
      <c r="I21" s="103"/>
      <c r="J21" s="103"/>
      <c r="K21" s="103"/>
      <c r="L21" s="103" t="s">
        <v>874</v>
      </c>
      <c r="M21" s="103" t="s">
        <v>1071</v>
      </c>
      <c r="N21" s="103" t="s">
        <v>871</v>
      </c>
      <c r="O21" s="103" t="s">
        <v>1072</v>
      </c>
      <c r="P21" s="103" t="s">
        <v>154</v>
      </c>
      <c r="Q21" s="103">
        <v>0</v>
      </c>
      <c r="R21" s="103">
        <v>0</v>
      </c>
      <c r="S21" s="103" t="s">
        <v>175</v>
      </c>
      <c r="T21" s="103"/>
      <c r="U21" s="103" t="b">
        <v>0</v>
      </c>
      <c r="V21" s="103"/>
      <c r="W21" s="103" t="b">
        <v>1</v>
      </c>
      <c r="X21" s="103" t="s">
        <v>863</v>
      </c>
      <c r="Y21" s="103" t="s">
        <v>153</v>
      </c>
      <c r="Z21" s="103" t="s">
        <v>864</v>
      </c>
      <c r="AA21" s="103" t="s">
        <v>1073</v>
      </c>
      <c r="AB21" s="103" t="s">
        <v>865</v>
      </c>
      <c r="AC21" s="103" t="s">
        <v>866</v>
      </c>
      <c r="AD21" s="103" t="str">
        <f>IF(ISNA(MATCH(AM21,'Measure &amp; Standard CostIDs'!$C$5:$C$177,0)),"",AM21)</f>
        <v>CFLscw-A(24w)</v>
      </c>
      <c r="AE21" s="103" t="str">
        <f>IFERROR(INDEX('Measure &amp; Standard CostIDs'!$S$5:$S$177,MATCH(AM21&amp;AL21,'Measure &amp; Standard CostIDs'!$AB$5:$AB$177,0)),"")</f>
        <v>Std_CFLscw-A(24w)_60pInc-r0248</v>
      </c>
      <c r="AF21" s="103" t="s">
        <v>1074</v>
      </c>
      <c r="AG21" s="103"/>
      <c r="AH21" s="103" t="s">
        <v>156</v>
      </c>
      <c r="AI21" s="103" t="s">
        <v>156</v>
      </c>
      <c r="AJ21" s="103" t="s">
        <v>246</v>
      </c>
      <c r="AK21" s="103" t="s">
        <v>150</v>
      </c>
      <c r="AL21" s="103" t="s">
        <v>150</v>
      </c>
      <c r="AM21" s="103" t="s">
        <v>245</v>
      </c>
      <c r="AN21" s="103" t="s">
        <v>1102</v>
      </c>
      <c r="AO21" s="103" t="s">
        <v>1076</v>
      </c>
      <c r="AP21" s="156">
        <v>42156</v>
      </c>
      <c r="AQ21" s="103"/>
      <c r="AR21" s="103" t="s">
        <v>870</v>
      </c>
      <c r="AS21" s="103" t="s">
        <v>1077</v>
      </c>
      <c r="AT21" s="103" t="s">
        <v>1078</v>
      </c>
      <c r="AU21" s="103"/>
      <c r="AV21" s="103"/>
    </row>
    <row r="22" spans="1:48">
      <c r="A22" s="103">
        <v>5737</v>
      </c>
      <c r="B22" s="103" t="s">
        <v>1103</v>
      </c>
      <c r="C22" s="103" t="s">
        <v>1067</v>
      </c>
      <c r="D22" s="103" t="s">
        <v>1068</v>
      </c>
      <c r="E22" s="103" t="s">
        <v>1069</v>
      </c>
      <c r="F22" s="156"/>
      <c r="G22" s="103" t="s">
        <v>1070</v>
      </c>
      <c r="H22" s="103"/>
      <c r="I22" s="103"/>
      <c r="J22" s="103"/>
      <c r="K22" s="103"/>
      <c r="L22" s="103" t="s">
        <v>874</v>
      </c>
      <c r="M22" s="103" t="s">
        <v>1071</v>
      </c>
      <c r="N22" s="103" t="s">
        <v>871</v>
      </c>
      <c r="O22" s="103" t="s">
        <v>1072</v>
      </c>
      <c r="P22" s="103" t="s">
        <v>154</v>
      </c>
      <c r="Q22" s="103">
        <v>0</v>
      </c>
      <c r="R22" s="103">
        <v>0</v>
      </c>
      <c r="S22" s="103" t="s">
        <v>175</v>
      </c>
      <c r="T22" s="103"/>
      <c r="U22" s="103" t="b">
        <v>0</v>
      </c>
      <c r="V22" s="103"/>
      <c r="W22" s="103" t="b">
        <v>1</v>
      </c>
      <c r="X22" s="103" t="s">
        <v>863</v>
      </c>
      <c r="Y22" s="103" t="s">
        <v>153</v>
      </c>
      <c r="Z22" s="103" t="s">
        <v>864</v>
      </c>
      <c r="AA22" s="103" t="s">
        <v>1073</v>
      </c>
      <c r="AB22" s="103" t="s">
        <v>865</v>
      </c>
      <c r="AC22" s="103" t="s">
        <v>866</v>
      </c>
      <c r="AD22" s="103" t="str">
        <f>IF(ISNA(MATCH(AM22,'Measure &amp; Standard CostIDs'!$C$5:$C$177,0)),"",AM22)</f>
        <v>CFLscw-A(25w)</v>
      </c>
      <c r="AE22" s="103" t="str">
        <f>IFERROR(INDEX('Measure &amp; Standard CostIDs'!$S$5:$S$177,MATCH(AM22&amp;AL22,'Measure &amp; Standard CostIDs'!$AB$5:$AB$177,0)),"")</f>
        <v>Std_CFLscw-A(25w)_60pInc-r0248</v>
      </c>
      <c r="AF22" s="103" t="s">
        <v>1074</v>
      </c>
      <c r="AG22" s="103"/>
      <c r="AH22" s="103" t="s">
        <v>156</v>
      </c>
      <c r="AI22" s="103" t="s">
        <v>156</v>
      </c>
      <c r="AJ22" s="103" t="s">
        <v>248</v>
      </c>
      <c r="AK22" s="103" t="s">
        <v>150</v>
      </c>
      <c r="AL22" s="103" t="s">
        <v>150</v>
      </c>
      <c r="AM22" s="103" t="s">
        <v>247</v>
      </c>
      <c r="AN22" s="103" t="s">
        <v>1104</v>
      </c>
      <c r="AO22" s="103" t="s">
        <v>1076</v>
      </c>
      <c r="AP22" s="156">
        <v>42156</v>
      </c>
      <c r="AQ22" s="103"/>
      <c r="AR22" s="103" t="s">
        <v>870</v>
      </c>
      <c r="AS22" s="103" t="s">
        <v>1077</v>
      </c>
      <c r="AT22" s="103" t="s">
        <v>1078</v>
      </c>
      <c r="AU22" s="103"/>
      <c r="AV22" s="103"/>
    </row>
    <row r="23" spans="1:48">
      <c r="A23" s="103">
        <v>5738</v>
      </c>
      <c r="B23" s="103" t="s">
        <v>1105</v>
      </c>
      <c r="C23" s="103" t="s">
        <v>1067</v>
      </c>
      <c r="D23" s="103" t="s">
        <v>1068</v>
      </c>
      <c r="E23" s="103" t="s">
        <v>1069</v>
      </c>
      <c r="F23" s="156"/>
      <c r="G23" s="103" t="s">
        <v>1070</v>
      </c>
      <c r="H23" s="103"/>
      <c r="I23" s="103"/>
      <c r="J23" s="103"/>
      <c r="K23" s="103"/>
      <c r="L23" s="103" t="s">
        <v>874</v>
      </c>
      <c r="M23" s="103" t="s">
        <v>1071</v>
      </c>
      <c r="N23" s="103" t="s">
        <v>871</v>
      </c>
      <c r="O23" s="103" t="s">
        <v>1072</v>
      </c>
      <c r="P23" s="103" t="s">
        <v>154</v>
      </c>
      <c r="Q23" s="103">
        <v>0</v>
      </c>
      <c r="R23" s="103">
        <v>0</v>
      </c>
      <c r="S23" s="103" t="s">
        <v>175</v>
      </c>
      <c r="T23" s="103"/>
      <c r="U23" s="103" t="b">
        <v>0</v>
      </c>
      <c r="V23" s="103"/>
      <c r="W23" s="103" t="b">
        <v>1</v>
      </c>
      <c r="X23" s="103" t="s">
        <v>863</v>
      </c>
      <c r="Y23" s="103" t="s">
        <v>153</v>
      </c>
      <c r="Z23" s="103" t="s">
        <v>864</v>
      </c>
      <c r="AA23" s="103" t="s">
        <v>1073</v>
      </c>
      <c r="AB23" s="103" t="s">
        <v>865</v>
      </c>
      <c r="AC23" s="103" t="s">
        <v>866</v>
      </c>
      <c r="AD23" s="103" t="str">
        <f>IF(ISNA(MATCH(AM23,'Measure &amp; Standard CostIDs'!$C$5:$C$177,0)),"",AM23)</f>
        <v>CFLscw-A(26w)</v>
      </c>
      <c r="AE23" s="103" t="str">
        <f>IFERROR(INDEX('Measure &amp; Standard CostIDs'!$S$5:$S$177,MATCH(AM23&amp;AL23,'Measure &amp; Standard CostIDs'!$AB$5:$AB$177,0)),"")</f>
        <v>Std_CFLscw-A(26w)_60pInc-r0248</v>
      </c>
      <c r="AF23" s="103" t="s">
        <v>1074</v>
      </c>
      <c r="AG23" s="103"/>
      <c r="AH23" s="103" t="s">
        <v>156</v>
      </c>
      <c r="AI23" s="103" t="s">
        <v>156</v>
      </c>
      <c r="AJ23" s="103" t="s">
        <v>250</v>
      </c>
      <c r="AK23" s="103" t="s">
        <v>150</v>
      </c>
      <c r="AL23" s="103" t="s">
        <v>150</v>
      </c>
      <c r="AM23" s="103" t="s">
        <v>249</v>
      </c>
      <c r="AN23" s="103" t="s">
        <v>1106</v>
      </c>
      <c r="AO23" s="103" t="s">
        <v>1076</v>
      </c>
      <c r="AP23" s="156">
        <v>42156</v>
      </c>
      <c r="AQ23" s="103"/>
      <c r="AR23" s="103" t="s">
        <v>870</v>
      </c>
      <c r="AS23" s="103" t="s">
        <v>1077</v>
      </c>
      <c r="AT23" s="103" t="s">
        <v>1078</v>
      </c>
      <c r="AU23" s="103"/>
      <c r="AV23" s="103"/>
    </row>
    <row r="24" spans="1:48">
      <c r="A24" s="103">
        <v>5739</v>
      </c>
      <c r="B24" s="103" t="s">
        <v>1107</v>
      </c>
      <c r="C24" s="103" t="s">
        <v>1067</v>
      </c>
      <c r="D24" s="103" t="s">
        <v>1068</v>
      </c>
      <c r="E24" s="103" t="s">
        <v>1069</v>
      </c>
      <c r="F24" s="156"/>
      <c r="G24" s="103" t="s">
        <v>1070</v>
      </c>
      <c r="H24" s="103"/>
      <c r="I24" s="103"/>
      <c r="J24" s="103"/>
      <c r="K24" s="103"/>
      <c r="L24" s="103" t="s">
        <v>874</v>
      </c>
      <c r="M24" s="103" t="s">
        <v>1071</v>
      </c>
      <c r="N24" s="103" t="s">
        <v>871</v>
      </c>
      <c r="O24" s="103" t="s">
        <v>1072</v>
      </c>
      <c r="P24" s="103" t="s">
        <v>154</v>
      </c>
      <c r="Q24" s="103">
        <v>0</v>
      </c>
      <c r="R24" s="103">
        <v>0</v>
      </c>
      <c r="S24" s="103" t="s">
        <v>175</v>
      </c>
      <c r="T24" s="103"/>
      <c r="U24" s="103" t="b">
        <v>0</v>
      </c>
      <c r="V24" s="103"/>
      <c r="W24" s="103" t="b">
        <v>1</v>
      </c>
      <c r="X24" s="103" t="s">
        <v>863</v>
      </c>
      <c r="Y24" s="103" t="s">
        <v>153</v>
      </c>
      <c r="Z24" s="103" t="s">
        <v>864</v>
      </c>
      <c r="AA24" s="103" t="s">
        <v>1073</v>
      </c>
      <c r="AB24" s="103" t="s">
        <v>865</v>
      </c>
      <c r="AC24" s="103" t="s">
        <v>866</v>
      </c>
      <c r="AD24" s="103" t="str">
        <f>IF(ISNA(MATCH(AM24,'Measure &amp; Standard CostIDs'!$C$5:$C$177,0)),"",AM24)</f>
        <v>CFLscw-A(27w)</v>
      </c>
      <c r="AE24" s="103" t="str">
        <f>IFERROR(INDEX('Measure &amp; Standard CostIDs'!$S$5:$S$177,MATCH(AM24&amp;AL24,'Measure &amp; Standard CostIDs'!$AB$5:$AB$177,0)),"")</f>
        <v>Std_CFLscw-A(27w)_60pInc-r0248</v>
      </c>
      <c r="AF24" s="103" t="s">
        <v>1074</v>
      </c>
      <c r="AG24" s="103"/>
      <c r="AH24" s="103" t="s">
        <v>156</v>
      </c>
      <c r="AI24" s="103" t="s">
        <v>156</v>
      </c>
      <c r="AJ24" s="103" t="s">
        <v>252</v>
      </c>
      <c r="AK24" s="103" t="s">
        <v>150</v>
      </c>
      <c r="AL24" s="103" t="s">
        <v>150</v>
      </c>
      <c r="AM24" s="103" t="s">
        <v>251</v>
      </c>
      <c r="AN24" s="103" t="s">
        <v>1108</v>
      </c>
      <c r="AO24" s="103" t="s">
        <v>1076</v>
      </c>
      <c r="AP24" s="156">
        <v>42156</v>
      </c>
      <c r="AQ24" s="103"/>
      <c r="AR24" s="103" t="s">
        <v>870</v>
      </c>
      <c r="AS24" s="103" t="s">
        <v>1077</v>
      </c>
      <c r="AT24" s="103" t="s">
        <v>1078</v>
      </c>
      <c r="AU24" s="103"/>
      <c r="AV24" s="103"/>
    </row>
    <row r="25" spans="1:48">
      <c r="A25" s="103">
        <v>5740</v>
      </c>
      <c r="B25" s="103" t="s">
        <v>1109</v>
      </c>
      <c r="C25" s="103" t="s">
        <v>1067</v>
      </c>
      <c r="D25" s="103" t="s">
        <v>1068</v>
      </c>
      <c r="E25" s="103" t="s">
        <v>1069</v>
      </c>
      <c r="F25" s="156"/>
      <c r="G25" s="103" t="s">
        <v>1070</v>
      </c>
      <c r="H25" s="103"/>
      <c r="I25" s="103"/>
      <c r="J25" s="103"/>
      <c r="K25" s="103"/>
      <c r="L25" s="103" t="s">
        <v>874</v>
      </c>
      <c r="M25" s="103" t="s">
        <v>1071</v>
      </c>
      <c r="N25" s="103" t="s">
        <v>871</v>
      </c>
      <c r="O25" s="103" t="s">
        <v>1072</v>
      </c>
      <c r="P25" s="103" t="s">
        <v>154</v>
      </c>
      <c r="Q25" s="103">
        <v>0</v>
      </c>
      <c r="R25" s="103">
        <v>0</v>
      </c>
      <c r="S25" s="103" t="s">
        <v>175</v>
      </c>
      <c r="T25" s="103"/>
      <c r="U25" s="103" t="b">
        <v>0</v>
      </c>
      <c r="V25" s="103"/>
      <c r="W25" s="103" t="b">
        <v>1</v>
      </c>
      <c r="X25" s="103" t="s">
        <v>863</v>
      </c>
      <c r="Y25" s="103" t="s">
        <v>153</v>
      </c>
      <c r="Z25" s="103" t="s">
        <v>864</v>
      </c>
      <c r="AA25" s="103" t="s">
        <v>1073</v>
      </c>
      <c r="AB25" s="103" t="s">
        <v>865</v>
      </c>
      <c r="AC25" s="103" t="s">
        <v>866</v>
      </c>
      <c r="AD25" s="103" t="str">
        <f>IF(ISNA(MATCH(AM25,'Measure &amp; Standard CostIDs'!$C$5:$C$177,0)),"",AM25)</f>
        <v>CFLscw-A(28w)</v>
      </c>
      <c r="AE25" s="103" t="str">
        <f>IFERROR(INDEX('Measure &amp; Standard CostIDs'!$S$5:$S$177,MATCH(AM25&amp;AL25,'Measure &amp; Standard CostIDs'!$AB$5:$AB$177,0)),"")</f>
        <v>Std_CFLscw-A(28w)_60pInc-r0248</v>
      </c>
      <c r="AF25" s="103" t="s">
        <v>1074</v>
      </c>
      <c r="AG25" s="103"/>
      <c r="AH25" s="103" t="s">
        <v>156</v>
      </c>
      <c r="AI25" s="103" t="s">
        <v>156</v>
      </c>
      <c r="AJ25" s="103" t="s">
        <v>254</v>
      </c>
      <c r="AK25" s="103" t="s">
        <v>150</v>
      </c>
      <c r="AL25" s="103" t="s">
        <v>150</v>
      </c>
      <c r="AM25" s="103" t="s">
        <v>253</v>
      </c>
      <c r="AN25" s="103" t="s">
        <v>1110</v>
      </c>
      <c r="AO25" s="103" t="s">
        <v>1076</v>
      </c>
      <c r="AP25" s="156">
        <v>42156</v>
      </c>
      <c r="AQ25" s="103"/>
      <c r="AR25" s="103" t="s">
        <v>870</v>
      </c>
      <c r="AS25" s="103" t="s">
        <v>1077</v>
      </c>
      <c r="AT25" s="103" t="s">
        <v>1078</v>
      </c>
      <c r="AU25" s="103"/>
      <c r="AV25" s="103"/>
    </row>
    <row r="26" spans="1:48">
      <c r="A26" s="103">
        <v>5741</v>
      </c>
      <c r="B26" s="103" t="s">
        <v>1111</v>
      </c>
      <c r="C26" s="103" t="s">
        <v>1067</v>
      </c>
      <c r="D26" s="103" t="s">
        <v>1068</v>
      </c>
      <c r="E26" s="103" t="s">
        <v>1069</v>
      </c>
      <c r="F26" s="156"/>
      <c r="G26" s="103" t="s">
        <v>1070</v>
      </c>
      <c r="H26" s="103"/>
      <c r="I26" s="103"/>
      <c r="J26" s="103"/>
      <c r="K26" s="103"/>
      <c r="L26" s="103" t="s">
        <v>874</v>
      </c>
      <c r="M26" s="103" t="s">
        <v>1071</v>
      </c>
      <c r="N26" s="103" t="s">
        <v>871</v>
      </c>
      <c r="O26" s="103" t="s">
        <v>1072</v>
      </c>
      <c r="P26" s="103" t="s">
        <v>154</v>
      </c>
      <c r="Q26" s="103">
        <v>0</v>
      </c>
      <c r="R26" s="103">
        <v>0</v>
      </c>
      <c r="S26" s="103" t="s">
        <v>175</v>
      </c>
      <c r="T26" s="103"/>
      <c r="U26" s="103" t="b">
        <v>0</v>
      </c>
      <c r="V26" s="103"/>
      <c r="W26" s="103" t="b">
        <v>1</v>
      </c>
      <c r="X26" s="103" t="s">
        <v>863</v>
      </c>
      <c r="Y26" s="103" t="s">
        <v>153</v>
      </c>
      <c r="Z26" s="103" t="s">
        <v>864</v>
      </c>
      <c r="AA26" s="103" t="s">
        <v>1073</v>
      </c>
      <c r="AB26" s="103" t="s">
        <v>865</v>
      </c>
      <c r="AC26" s="103" t="s">
        <v>866</v>
      </c>
      <c r="AD26" s="103" t="str">
        <f>IF(ISNA(MATCH(AM26,'Measure &amp; Standard CostIDs'!$C$5:$C$177,0)),"",AM26)</f>
        <v>CFLscw-A(30w)</v>
      </c>
      <c r="AE26" s="103" t="str">
        <f>IFERROR(INDEX('Measure &amp; Standard CostIDs'!$S$5:$S$177,MATCH(AM26&amp;AL26,'Measure &amp; Standard CostIDs'!$AB$5:$AB$177,0)),"")</f>
        <v>Std_CFLscw-A(30w)_60pInc-r0248</v>
      </c>
      <c r="AF26" s="103" t="s">
        <v>1074</v>
      </c>
      <c r="AG26" s="103"/>
      <c r="AH26" s="103" t="s">
        <v>156</v>
      </c>
      <c r="AI26" s="103" t="s">
        <v>156</v>
      </c>
      <c r="AJ26" s="103" t="s">
        <v>256</v>
      </c>
      <c r="AK26" s="103" t="s">
        <v>150</v>
      </c>
      <c r="AL26" s="103" t="s">
        <v>150</v>
      </c>
      <c r="AM26" s="103" t="s">
        <v>255</v>
      </c>
      <c r="AN26" s="103" t="s">
        <v>1112</v>
      </c>
      <c r="AO26" s="103" t="s">
        <v>1076</v>
      </c>
      <c r="AP26" s="156">
        <v>42156</v>
      </c>
      <c r="AQ26" s="103"/>
      <c r="AR26" s="103" t="s">
        <v>870</v>
      </c>
      <c r="AS26" s="103" t="s">
        <v>1077</v>
      </c>
      <c r="AT26" s="103" t="s">
        <v>1078</v>
      </c>
      <c r="AU26" s="103"/>
      <c r="AV26" s="103"/>
    </row>
    <row r="27" spans="1:48">
      <c r="A27" s="103">
        <v>5859</v>
      </c>
      <c r="B27" s="103" t="s">
        <v>1113</v>
      </c>
      <c r="C27" s="103" t="s">
        <v>1067</v>
      </c>
      <c r="D27" s="103" t="s">
        <v>151</v>
      </c>
      <c r="E27" s="103" t="s">
        <v>1114</v>
      </c>
      <c r="F27" s="156"/>
      <c r="G27" s="103" t="s">
        <v>1070</v>
      </c>
      <c r="H27" s="103"/>
      <c r="I27" s="103"/>
      <c r="J27" s="103"/>
      <c r="K27" s="103"/>
      <c r="L27" s="103" t="s">
        <v>874</v>
      </c>
      <c r="M27" s="103" t="s">
        <v>1071</v>
      </c>
      <c r="N27" s="103" t="s">
        <v>1115</v>
      </c>
      <c r="O27" s="103" t="s">
        <v>1072</v>
      </c>
      <c r="P27" s="103" t="s">
        <v>154</v>
      </c>
      <c r="Q27" s="103">
        <v>0</v>
      </c>
      <c r="R27" s="103">
        <v>0</v>
      </c>
      <c r="S27" s="103" t="s">
        <v>175</v>
      </c>
      <c r="T27" s="103"/>
      <c r="U27" s="103" t="b">
        <v>0</v>
      </c>
      <c r="V27" s="103"/>
      <c r="W27" s="103" t="b">
        <v>1</v>
      </c>
      <c r="X27" s="103" t="s">
        <v>863</v>
      </c>
      <c r="Y27" s="103" t="s">
        <v>153</v>
      </c>
      <c r="Z27" s="103" t="s">
        <v>864</v>
      </c>
      <c r="AA27" s="103" t="s">
        <v>1073</v>
      </c>
      <c r="AB27" s="103" t="s">
        <v>865</v>
      </c>
      <c r="AC27" s="103" t="s">
        <v>866</v>
      </c>
      <c r="AD27" s="103" t="str">
        <f>IF(ISNA(MATCH(AM27,'Measure &amp; Standard CostIDs'!$C$5:$C$177,0)),"",AM27)</f>
        <v>CFLscw-A(32w)</v>
      </c>
      <c r="AE27" s="103" t="str">
        <f>IFERROR(INDEX('Measure &amp; Standard CostIDs'!$S$5:$S$177,MATCH(AM27&amp;AL27,'Measure &amp; Standard CostIDs'!$AB$5:$AB$177,0)),"")</f>
        <v>Std_CFLscw-A(32w)_60pInc-r0248</v>
      </c>
      <c r="AF27" s="103" t="s">
        <v>1074</v>
      </c>
      <c r="AG27" s="103"/>
      <c r="AH27" s="103" t="s">
        <v>156</v>
      </c>
      <c r="AI27" s="103" t="s">
        <v>156</v>
      </c>
      <c r="AJ27" s="103" t="s">
        <v>258</v>
      </c>
      <c r="AK27" s="103" t="s">
        <v>150</v>
      </c>
      <c r="AL27" s="103" t="s">
        <v>150</v>
      </c>
      <c r="AM27" s="103" t="s">
        <v>257</v>
      </c>
      <c r="AN27" s="103" t="s">
        <v>1116</v>
      </c>
      <c r="AO27" s="103" t="s">
        <v>1117</v>
      </c>
      <c r="AP27" s="156">
        <v>42370</v>
      </c>
      <c r="AQ27" s="103"/>
      <c r="AR27" s="103" t="s">
        <v>870</v>
      </c>
      <c r="AS27" s="103" t="s">
        <v>1118</v>
      </c>
      <c r="AT27" s="103" t="s">
        <v>1078</v>
      </c>
      <c r="AU27" s="103"/>
      <c r="AV27" s="103"/>
    </row>
    <row r="28" spans="1:48">
      <c r="A28" s="103">
        <v>5860</v>
      </c>
      <c r="B28" s="103" t="s">
        <v>1119</v>
      </c>
      <c r="C28" s="103" t="s">
        <v>1067</v>
      </c>
      <c r="D28" s="103" t="s">
        <v>151</v>
      </c>
      <c r="E28" s="103" t="s">
        <v>1114</v>
      </c>
      <c r="F28" s="156"/>
      <c r="G28" s="103" t="s">
        <v>1070</v>
      </c>
      <c r="H28" s="103"/>
      <c r="I28" s="103"/>
      <c r="J28" s="103"/>
      <c r="K28" s="103"/>
      <c r="L28" s="103" t="s">
        <v>874</v>
      </c>
      <c r="M28" s="103" t="s">
        <v>1071</v>
      </c>
      <c r="N28" s="103" t="s">
        <v>1115</v>
      </c>
      <c r="O28" s="103" t="s">
        <v>1072</v>
      </c>
      <c r="P28" s="103" t="s">
        <v>154</v>
      </c>
      <c r="Q28" s="103">
        <v>0</v>
      </c>
      <c r="R28" s="103">
        <v>0</v>
      </c>
      <c r="S28" s="103" t="s">
        <v>175</v>
      </c>
      <c r="T28" s="103"/>
      <c r="U28" s="103" t="b">
        <v>0</v>
      </c>
      <c r="V28" s="103"/>
      <c r="W28" s="103" t="b">
        <v>1</v>
      </c>
      <c r="X28" s="103" t="s">
        <v>863</v>
      </c>
      <c r="Y28" s="103" t="s">
        <v>153</v>
      </c>
      <c r="Z28" s="103" t="s">
        <v>864</v>
      </c>
      <c r="AA28" s="103" t="s">
        <v>1073</v>
      </c>
      <c r="AB28" s="103" t="s">
        <v>865</v>
      </c>
      <c r="AC28" s="103" t="s">
        <v>866</v>
      </c>
      <c r="AD28" s="103" t="str">
        <f>IF(ISNA(MATCH(AM28,'Measure &amp; Standard CostIDs'!$C$5:$C$177,0)),"",AM28)</f>
        <v>CFLscw-A(40w)</v>
      </c>
      <c r="AE28" s="103" t="str">
        <f>IFERROR(INDEX('Measure &amp; Standard CostIDs'!$S$5:$S$177,MATCH(AM28&amp;AL28,'Measure &amp; Standard CostIDs'!$AB$5:$AB$177,0)),"")</f>
        <v>Std_CFLscw-A(40w)_60pInc-r0248</v>
      </c>
      <c r="AF28" s="103" t="s">
        <v>1074</v>
      </c>
      <c r="AG28" s="103"/>
      <c r="AH28" s="103" t="s">
        <v>156</v>
      </c>
      <c r="AI28" s="103" t="s">
        <v>156</v>
      </c>
      <c r="AJ28" s="103" t="s">
        <v>260</v>
      </c>
      <c r="AK28" s="103" t="s">
        <v>150</v>
      </c>
      <c r="AL28" s="103" t="s">
        <v>150</v>
      </c>
      <c r="AM28" s="103" t="s">
        <v>259</v>
      </c>
      <c r="AN28" s="103" t="s">
        <v>1120</v>
      </c>
      <c r="AO28" s="103" t="s">
        <v>1117</v>
      </c>
      <c r="AP28" s="156">
        <v>42370</v>
      </c>
      <c r="AQ28" s="103"/>
      <c r="AR28" s="103" t="s">
        <v>870</v>
      </c>
      <c r="AS28" s="103" t="s">
        <v>1118</v>
      </c>
      <c r="AT28" s="103" t="s">
        <v>1078</v>
      </c>
      <c r="AU28" s="103"/>
      <c r="AV28" s="103"/>
    </row>
    <row r="29" spans="1:48">
      <c r="A29" s="103">
        <v>5861</v>
      </c>
      <c r="B29" s="103" t="s">
        <v>1121</v>
      </c>
      <c r="C29" s="103" t="s">
        <v>1067</v>
      </c>
      <c r="D29" s="103" t="s">
        <v>151</v>
      </c>
      <c r="E29" s="103" t="s">
        <v>1114</v>
      </c>
      <c r="F29" s="156"/>
      <c r="G29" s="103" t="s">
        <v>1070</v>
      </c>
      <c r="H29" s="103"/>
      <c r="I29" s="103"/>
      <c r="J29" s="103"/>
      <c r="K29" s="103"/>
      <c r="L29" s="103" t="s">
        <v>874</v>
      </c>
      <c r="M29" s="103" t="s">
        <v>1071</v>
      </c>
      <c r="N29" s="103" t="s">
        <v>1115</v>
      </c>
      <c r="O29" s="103" t="s">
        <v>1072</v>
      </c>
      <c r="P29" s="103" t="s">
        <v>154</v>
      </c>
      <c r="Q29" s="103">
        <v>0</v>
      </c>
      <c r="R29" s="103">
        <v>0</v>
      </c>
      <c r="S29" s="103" t="s">
        <v>175</v>
      </c>
      <c r="T29" s="103"/>
      <c r="U29" s="103" t="b">
        <v>0</v>
      </c>
      <c r="V29" s="103"/>
      <c r="W29" s="103" t="b">
        <v>1</v>
      </c>
      <c r="X29" s="103" t="s">
        <v>863</v>
      </c>
      <c r="Y29" s="103" t="s">
        <v>153</v>
      </c>
      <c r="Z29" s="103" t="s">
        <v>864</v>
      </c>
      <c r="AA29" s="103" t="s">
        <v>1073</v>
      </c>
      <c r="AB29" s="103" t="s">
        <v>865</v>
      </c>
      <c r="AC29" s="103" t="s">
        <v>866</v>
      </c>
      <c r="AD29" s="103" t="str">
        <f>IF(ISNA(MATCH(AM29,'Measure &amp; Standard CostIDs'!$C$5:$C$177,0)),"",AM29)</f>
        <v>CFLscw-A(42w)</v>
      </c>
      <c r="AE29" s="103" t="str">
        <f>IFERROR(INDEX('Measure &amp; Standard CostIDs'!$S$5:$S$177,MATCH(AM29&amp;AL29,'Measure &amp; Standard CostIDs'!$AB$5:$AB$177,0)),"")</f>
        <v>Std_CFLscw-A(42w)_60pInc-r0248</v>
      </c>
      <c r="AF29" s="103" t="s">
        <v>1074</v>
      </c>
      <c r="AG29" s="103"/>
      <c r="AH29" s="103" t="s">
        <v>156</v>
      </c>
      <c r="AI29" s="103" t="s">
        <v>156</v>
      </c>
      <c r="AJ29" s="103" t="s">
        <v>262</v>
      </c>
      <c r="AK29" s="103" t="s">
        <v>150</v>
      </c>
      <c r="AL29" s="103" t="s">
        <v>150</v>
      </c>
      <c r="AM29" s="103" t="s">
        <v>261</v>
      </c>
      <c r="AN29" s="103" t="s">
        <v>1122</v>
      </c>
      <c r="AO29" s="103" t="s">
        <v>1117</v>
      </c>
      <c r="AP29" s="156">
        <v>42370</v>
      </c>
      <c r="AQ29" s="103"/>
      <c r="AR29" s="103" t="s">
        <v>870</v>
      </c>
      <c r="AS29" s="103" t="s">
        <v>1118</v>
      </c>
      <c r="AT29" s="103" t="s">
        <v>1078</v>
      </c>
      <c r="AU29" s="103"/>
      <c r="AV29" s="103"/>
    </row>
    <row r="30" spans="1:48">
      <c r="A30" s="103">
        <v>5862</v>
      </c>
      <c r="B30" s="103" t="s">
        <v>1123</v>
      </c>
      <c r="C30" s="103" t="s">
        <v>1067</v>
      </c>
      <c r="D30" s="103" t="s">
        <v>151</v>
      </c>
      <c r="E30" s="103" t="s">
        <v>1114</v>
      </c>
      <c r="F30" s="156"/>
      <c r="G30" s="103" t="s">
        <v>1070</v>
      </c>
      <c r="H30" s="103"/>
      <c r="I30" s="103"/>
      <c r="J30" s="103"/>
      <c r="K30" s="103"/>
      <c r="L30" s="103" t="s">
        <v>874</v>
      </c>
      <c r="M30" s="103" t="s">
        <v>1071</v>
      </c>
      <c r="N30" s="103" t="s">
        <v>1115</v>
      </c>
      <c r="O30" s="103" t="s">
        <v>1072</v>
      </c>
      <c r="P30" s="103" t="s">
        <v>154</v>
      </c>
      <c r="Q30" s="103">
        <v>0</v>
      </c>
      <c r="R30" s="103">
        <v>0</v>
      </c>
      <c r="S30" s="103" t="s">
        <v>175</v>
      </c>
      <c r="T30" s="103"/>
      <c r="U30" s="103" t="b">
        <v>0</v>
      </c>
      <c r="V30" s="103"/>
      <c r="W30" s="103" t="b">
        <v>1</v>
      </c>
      <c r="X30" s="103" t="s">
        <v>863</v>
      </c>
      <c r="Y30" s="103" t="s">
        <v>153</v>
      </c>
      <c r="Z30" s="103" t="s">
        <v>864</v>
      </c>
      <c r="AA30" s="103" t="s">
        <v>1073</v>
      </c>
      <c r="AB30" s="103" t="s">
        <v>865</v>
      </c>
      <c r="AC30" s="103" t="s">
        <v>866</v>
      </c>
      <c r="AD30" s="103" t="str">
        <f>IF(ISNA(MATCH(AM30,'Measure &amp; Standard CostIDs'!$C$5:$C$177,0)),"",AM30)</f>
        <v>CFLscw-A(45w)</v>
      </c>
      <c r="AE30" s="103" t="str">
        <f>IFERROR(INDEX('Measure &amp; Standard CostIDs'!$S$5:$S$177,MATCH(AM30&amp;AL30,'Measure &amp; Standard CostIDs'!$AB$5:$AB$177,0)),"")</f>
        <v/>
      </c>
      <c r="AF30" s="103" t="s">
        <v>1074</v>
      </c>
      <c r="AG30" s="103"/>
      <c r="AH30" s="103" t="s">
        <v>156</v>
      </c>
      <c r="AI30" s="103" t="s">
        <v>156</v>
      </c>
      <c r="AJ30" s="103" t="s">
        <v>264</v>
      </c>
      <c r="AK30" s="103" t="s">
        <v>150</v>
      </c>
      <c r="AL30" s="103" t="s">
        <v>150</v>
      </c>
      <c r="AM30" s="103" t="s">
        <v>263</v>
      </c>
      <c r="AN30" s="103" t="s">
        <v>1124</v>
      </c>
      <c r="AO30" s="103" t="s">
        <v>1117</v>
      </c>
      <c r="AP30" s="156">
        <v>42370</v>
      </c>
      <c r="AQ30" s="103"/>
      <c r="AR30" s="103" t="s">
        <v>870</v>
      </c>
      <c r="AS30" s="103" t="s">
        <v>1118</v>
      </c>
      <c r="AT30" s="103" t="s">
        <v>1078</v>
      </c>
      <c r="AU30" s="103"/>
      <c r="AV30" s="103"/>
    </row>
    <row r="31" spans="1:48">
      <c r="A31" s="103">
        <v>5863</v>
      </c>
      <c r="B31" s="103" t="s">
        <v>1125</v>
      </c>
      <c r="C31" s="103" t="s">
        <v>1067</v>
      </c>
      <c r="D31" s="103" t="s">
        <v>151</v>
      </c>
      <c r="E31" s="103" t="s">
        <v>1114</v>
      </c>
      <c r="F31" s="156"/>
      <c r="G31" s="103" t="s">
        <v>1070</v>
      </c>
      <c r="H31" s="103"/>
      <c r="I31" s="103"/>
      <c r="J31" s="103"/>
      <c r="K31" s="103"/>
      <c r="L31" s="103" t="s">
        <v>874</v>
      </c>
      <c r="M31" s="103" t="s">
        <v>1071</v>
      </c>
      <c r="N31" s="103" t="s">
        <v>1115</v>
      </c>
      <c r="O31" s="103" t="s">
        <v>1072</v>
      </c>
      <c r="P31" s="103" t="s">
        <v>154</v>
      </c>
      <c r="Q31" s="103">
        <v>0</v>
      </c>
      <c r="R31" s="103">
        <v>0</v>
      </c>
      <c r="S31" s="103" t="s">
        <v>175</v>
      </c>
      <c r="T31" s="103"/>
      <c r="U31" s="103" t="b">
        <v>0</v>
      </c>
      <c r="V31" s="103"/>
      <c r="W31" s="103" t="b">
        <v>1</v>
      </c>
      <c r="X31" s="103" t="s">
        <v>863</v>
      </c>
      <c r="Y31" s="103" t="s">
        <v>153</v>
      </c>
      <c r="Z31" s="103" t="s">
        <v>864</v>
      </c>
      <c r="AA31" s="103" t="s">
        <v>1073</v>
      </c>
      <c r="AB31" s="103" t="s">
        <v>865</v>
      </c>
      <c r="AC31" s="103" t="s">
        <v>866</v>
      </c>
      <c r="AD31" s="103" t="str">
        <f>IF(ISNA(MATCH(AM31,'Measure &amp; Standard CostIDs'!$C$5:$C$177,0)),"",AM31)</f>
        <v>CFLscw-A(55w)</v>
      </c>
      <c r="AE31" s="103" t="str">
        <f>IFERROR(INDEX('Measure &amp; Standard CostIDs'!$S$5:$S$177,MATCH(AM31&amp;AL31,'Measure &amp; Standard CostIDs'!$AB$5:$AB$177,0)),"")</f>
        <v/>
      </c>
      <c r="AF31" s="103" t="s">
        <v>1074</v>
      </c>
      <c r="AG31" s="103"/>
      <c r="AH31" s="103" t="s">
        <v>156</v>
      </c>
      <c r="AI31" s="103" t="s">
        <v>156</v>
      </c>
      <c r="AJ31" s="103" t="s">
        <v>266</v>
      </c>
      <c r="AK31" s="103" t="s">
        <v>150</v>
      </c>
      <c r="AL31" s="103" t="s">
        <v>150</v>
      </c>
      <c r="AM31" s="103" t="s">
        <v>265</v>
      </c>
      <c r="AN31" s="103" t="s">
        <v>1126</v>
      </c>
      <c r="AO31" s="103" t="s">
        <v>1117</v>
      </c>
      <c r="AP31" s="156">
        <v>42370</v>
      </c>
      <c r="AQ31" s="103"/>
      <c r="AR31" s="103" t="s">
        <v>870</v>
      </c>
      <c r="AS31" s="103" t="s">
        <v>1118</v>
      </c>
      <c r="AT31" s="103" t="s">
        <v>1078</v>
      </c>
      <c r="AU31" s="103"/>
      <c r="AV31" s="103"/>
    </row>
    <row r="32" spans="1:48">
      <c r="A32" s="103">
        <v>5742</v>
      </c>
      <c r="B32" s="103" t="s">
        <v>1127</v>
      </c>
      <c r="C32" s="103" t="s">
        <v>1067</v>
      </c>
      <c r="D32" s="103" t="s">
        <v>1068</v>
      </c>
      <c r="E32" s="103" t="s">
        <v>1069</v>
      </c>
      <c r="F32" s="156"/>
      <c r="G32" s="103" t="s">
        <v>1070</v>
      </c>
      <c r="H32" s="103"/>
      <c r="I32" s="103"/>
      <c r="J32" s="103"/>
      <c r="K32" s="103"/>
      <c r="L32" s="103" t="s">
        <v>874</v>
      </c>
      <c r="M32" s="103" t="s">
        <v>1071</v>
      </c>
      <c r="N32" s="103" t="s">
        <v>871</v>
      </c>
      <c r="O32" s="103" t="s">
        <v>1072</v>
      </c>
      <c r="P32" s="103" t="s">
        <v>154</v>
      </c>
      <c r="Q32" s="103">
        <v>0</v>
      </c>
      <c r="R32" s="103">
        <v>0</v>
      </c>
      <c r="S32" s="103" t="s">
        <v>175</v>
      </c>
      <c r="T32" s="103"/>
      <c r="U32" s="103" t="b">
        <v>0</v>
      </c>
      <c r="V32" s="103"/>
      <c r="W32" s="103" t="b">
        <v>1</v>
      </c>
      <c r="X32" s="103" t="s">
        <v>863</v>
      </c>
      <c r="Y32" s="103" t="s">
        <v>153</v>
      </c>
      <c r="Z32" s="103" t="s">
        <v>864</v>
      </c>
      <c r="AA32" s="103" t="s">
        <v>1073</v>
      </c>
      <c r="AB32" s="103" t="s">
        <v>865</v>
      </c>
      <c r="AC32" s="103" t="s">
        <v>866</v>
      </c>
      <c r="AD32" s="103" t="str">
        <f>IF(ISNA(MATCH(AM32,'Measure &amp; Standard CostIDs'!$C$5:$C$177,0)),"",AM32)</f>
        <v>CFLscw-A(7w)</v>
      </c>
      <c r="AE32" s="103" t="str">
        <f>IFERROR(INDEX('Measure &amp; Standard CostIDs'!$S$5:$S$177,MATCH(AM32&amp;AL32,'Measure &amp; Standard CostIDs'!$AB$5:$AB$177,0)),"")</f>
        <v>Std_CFLscw-A(7w)_60pInc-r0248</v>
      </c>
      <c r="AF32" s="103" t="s">
        <v>1074</v>
      </c>
      <c r="AG32" s="103"/>
      <c r="AH32" s="103" t="s">
        <v>156</v>
      </c>
      <c r="AI32" s="103" t="s">
        <v>156</v>
      </c>
      <c r="AJ32" s="103" t="s">
        <v>268</v>
      </c>
      <c r="AK32" s="103" t="s">
        <v>150</v>
      </c>
      <c r="AL32" s="103" t="s">
        <v>150</v>
      </c>
      <c r="AM32" s="103" t="s">
        <v>267</v>
      </c>
      <c r="AN32" s="103" t="s">
        <v>1128</v>
      </c>
      <c r="AO32" s="103" t="s">
        <v>1076</v>
      </c>
      <c r="AP32" s="156">
        <v>42156</v>
      </c>
      <c r="AQ32" s="103"/>
      <c r="AR32" s="103" t="s">
        <v>870</v>
      </c>
      <c r="AS32" s="103" t="s">
        <v>1077</v>
      </c>
      <c r="AT32" s="103" t="s">
        <v>1078</v>
      </c>
      <c r="AU32" s="103"/>
      <c r="AV32" s="103"/>
    </row>
    <row r="33" spans="1:48">
      <c r="A33" s="103">
        <v>5743</v>
      </c>
      <c r="B33" s="103" t="s">
        <v>1129</v>
      </c>
      <c r="C33" s="103" t="s">
        <v>1067</v>
      </c>
      <c r="D33" s="103" t="s">
        <v>1068</v>
      </c>
      <c r="E33" s="103" t="s">
        <v>1069</v>
      </c>
      <c r="F33" s="156"/>
      <c r="G33" s="103" t="s">
        <v>1070</v>
      </c>
      <c r="H33" s="103"/>
      <c r="I33" s="103"/>
      <c r="J33" s="103"/>
      <c r="K33" s="103"/>
      <c r="L33" s="103" t="s">
        <v>874</v>
      </c>
      <c r="M33" s="103" t="s">
        <v>1071</v>
      </c>
      <c r="N33" s="103" t="s">
        <v>871</v>
      </c>
      <c r="O33" s="103" t="s">
        <v>1072</v>
      </c>
      <c r="P33" s="103" t="s">
        <v>154</v>
      </c>
      <c r="Q33" s="103">
        <v>0</v>
      </c>
      <c r="R33" s="103">
        <v>0</v>
      </c>
      <c r="S33" s="103" t="s">
        <v>175</v>
      </c>
      <c r="T33" s="103"/>
      <c r="U33" s="103" t="b">
        <v>0</v>
      </c>
      <c r="V33" s="103"/>
      <c r="W33" s="103" t="b">
        <v>1</v>
      </c>
      <c r="X33" s="103" t="s">
        <v>863</v>
      </c>
      <c r="Y33" s="103" t="s">
        <v>153</v>
      </c>
      <c r="Z33" s="103" t="s">
        <v>864</v>
      </c>
      <c r="AA33" s="103" t="s">
        <v>1073</v>
      </c>
      <c r="AB33" s="103" t="s">
        <v>865</v>
      </c>
      <c r="AC33" s="103" t="s">
        <v>866</v>
      </c>
      <c r="AD33" s="103" t="str">
        <f>IF(ISNA(MATCH(AM33,'Measure &amp; Standard CostIDs'!$C$5:$C$177,0)),"",AM33)</f>
        <v>CFLscw-A(8w)</v>
      </c>
      <c r="AE33" s="103" t="str">
        <f>IFERROR(INDEX('Measure &amp; Standard CostIDs'!$S$5:$S$177,MATCH(AM33&amp;AL33,'Measure &amp; Standard CostIDs'!$AB$5:$AB$177,0)),"")</f>
        <v>Std_CFLscw-A(8w)_60pInc-r0248</v>
      </c>
      <c r="AF33" s="103" t="s">
        <v>1074</v>
      </c>
      <c r="AG33" s="103"/>
      <c r="AH33" s="103" t="s">
        <v>156</v>
      </c>
      <c r="AI33" s="103" t="s">
        <v>156</v>
      </c>
      <c r="AJ33" s="103" t="s">
        <v>270</v>
      </c>
      <c r="AK33" s="103" t="s">
        <v>150</v>
      </c>
      <c r="AL33" s="103" t="s">
        <v>150</v>
      </c>
      <c r="AM33" s="103" t="s">
        <v>269</v>
      </c>
      <c r="AN33" s="103" t="s">
        <v>1130</v>
      </c>
      <c r="AO33" s="103" t="s">
        <v>1076</v>
      </c>
      <c r="AP33" s="156">
        <v>42156</v>
      </c>
      <c r="AQ33" s="103"/>
      <c r="AR33" s="103" t="s">
        <v>870</v>
      </c>
      <c r="AS33" s="103" t="s">
        <v>1077</v>
      </c>
      <c r="AT33" s="103" t="s">
        <v>1078</v>
      </c>
      <c r="AU33" s="103"/>
      <c r="AV33" s="103"/>
    </row>
    <row r="34" spans="1:48">
      <c r="A34" s="103">
        <v>5744</v>
      </c>
      <c r="B34" s="103" t="s">
        <v>1131</v>
      </c>
      <c r="C34" s="103" t="s">
        <v>1067</v>
      </c>
      <c r="D34" s="103" t="s">
        <v>1068</v>
      </c>
      <c r="E34" s="103" t="s">
        <v>1069</v>
      </c>
      <c r="F34" s="156"/>
      <c r="G34" s="103" t="s">
        <v>1070</v>
      </c>
      <c r="H34" s="103"/>
      <c r="I34" s="103"/>
      <c r="J34" s="103"/>
      <c r="K34" s="103"/>
      <c r="L34" s="103" t="s">
        <v>874</v>
      </c>
      <c r="M34" s="103" t="s">
        <v>1071</v>
      </c>
      <c r="N34" s="103" t="s">
        <v>871</v>
      </c>
      <c r="O34" s="103" t="s">
        <v>1072</v>
      </c>
      <c r="P34" s="103" t="s">
        <v>154</v>
      </c>
      <c r="Q34" s="103">
        <v>0</v>
      </c>
      <c r="R34" s="103">
        <v>0</v>
      </c>
      <c r="S34" s="103" t="s">
        <v>175</v>
      </c>
      <c r="T34" s="103"/>
      <c r="U34" s="103" t="b">
        <v>0</v>
      </c>
      <c r="V34" s="103"/>
      <c r="W34" s="103" t="b">
        <v>1</v>
      </c>
      <c r="X34" s="103" t="s">
        <v>863</v>
      </c>
      <c r="Y34" s="103" t="s">
        <v>153</v>
      </c>
      <c r="Z34" s="103" t="s">
        <v>864</v>
      </c>
      <c r="AA34" s="103" t="s">
        <v>1073</v>
      </c>
      <c r="AB34" s="103" t="s">
        <v>865</v>
      </c>
      <c r="AC34" s="103" t="s">
        <v>866</v>
      </c>
      <c r="AD34" s="103" t="str">
        <f>IF(ISNA(MATCH(AM34,'Measure &amp; Standard CostIDs'!$C$5:$C$177,0)),"",AM34)</f>
        <v>CFLscw-A(9w)</v>
      </c>
      <c r="AE34" s="103" t="str">
        <f>IFERROR(INDEX('Measure &amp; Standard CostIDs'!$S$5:$S$177,MATCH(AM34&amp;AL34,'Measure &amp; Standard CostIDs'!$AB$5:$AB$177,0)),"")</f>
        <v>Std_CFLscw-A(9w)_60pInc-r0248</v>
      </c>
      <c r="AF34" s="103" t="s">
        <v>1074</v>
      </c>
      <c r="AG34" s="103"/>
      <c r="AH34" s="103" t="s">
        <v>156</v>
      </c>
      <c r="AI34" s="103" t="s">
        <v>156</v>
      </c>
      <c r="AJ34" s="103" t="s">
        <v>272</v>
      </c>
      <c r="AK34" s="103" t="s">
        <v>150</v>
      </c>
      <c r="AL34" s="103" t="s">
        <v>150</v>
      </c>
      <c r="AM34" s="103" t="s">
        <v>271</v>
      </c>
      <c r="AN34" s="103" t="s">
        <v>1132</v>
      </c>
      <c r="AO34" s="103" t="s">
        <v>1076</v>
      </c>
      <c r="AP34" s="156">
        <v>42156</v>
      </c>
      <c r="AQ34" s="103"/>
      <c r="AR34" s="103" t="s">
        <v>870</v>
      </c>
      <c r="AS34" s="103" t="s">
        <v>1077</v>
      </c>
      <c r="AT34" s="103" t="s">
        <v>1078</v>
      </c>
      <c r="AU34" s="103"/>
      <c r="AV34" s="103"/>
    </row>
    <row r="35" spans="1:48">
      <c r="A35" s="103">
        <v>5745</v>
      </c>
      <c r="B35" s="103" t="s">
        <v>1133</v>
      </c>
      <c r="C35" s="103" t="s">
        <v>1067</v>
      </c>
      <c r="D35" s="103" t="s">
        <v>1068</v>
      </c>
      <c r="E35" s="103" t="s">
        <v>1069</v>
      </c>
      <c r="F35" s="156"/>
      <c r="G35" s="103" t="s">
        <v>1070</v>
      </c>
      <c r="H35" s="103"/>
      <c r="I35" s="103"/>
      <c r="J35" s="103"/>
      <c r="K35" s="103"/>
      <c r="L35" s="103" t="s">
        <v>874</v>
      </c>
      <c r="M35" s="103" t="s">
        <v>1071</v>
      </c>
      <c r="N35" s="103" t="s">
        <v>871</v>
      </c>
      <c r="O35" s="103" t="s">
        <v>1072</v>
      </c>
      <c r="P35" s="103" t="s">
        <v>154</v>
      </c>
      <c r="Q35" s="103">
        <v>0</v>
      </c>
      <c r="R35" s="103">
        <v>0</v>
      </c>
      <c r="S35" s="103" t="s">
        <v>175</v>
      </c>
      <c r="T35" s="103"/>
      <c r="U35" s="103" t="b">
        <v>0</v>
      </c>
      <c r="V35" s="103"/>
      <c r="W35" s="103" t="b">
        <v>1</v>
      </c>
      <c r="X35" s="103" t="s">
        <v>863</v>
      </c>
      <c r="Y35" s="103" t="s">
        <v>153</v>
      </c>
      <c r="Z35" s="103" t="s">
        <v>864</v>
      </c>
      <c r="AA35" s="103" t="s">
        <v>1073</v>
      </c>
      <c r="AB35" s="103" t="s">
        <v>865</v>
      </c>
      <c r="AC35" s="103" t="s">
        <v>866</v>
      </c>
      <c r="AD35" s="103" t="str">
        <f>IF(ISNA(MATCH(AM35,'Measure &amp; Standard CostIDs'!$C$5:$C$177,0)),"",AM35)</f>
        <v>CFLscw-Candle(10w)</v>
      </c>
      <c r="AE35" s="103" t="str">
        <f>IFERROR(INDEX('Measure &amp; Standard CostIDs'!$S$5:$S$177,MATCH(AM35&amp;AL35,'Measure &amp; Standard CostIDs'!$AB$5:$AB$177,0)),"")</f>
        <v>Std_CFLscw-Candle(10w)_60pInc-r0248</v>
      </c>
      <c r="AF35" s="103" t="s">
        <v>1074</v>
      </c>
      <c r="AG35" s="103"/>
      <c r="AH35" s="103" t="s">
        <v>156</v>
      </c>
      <c r="AI35" s="103" t="s">
        <v>156</v>
      </c>
      <c r="AJ35" s="103" t="s">
        <v>275</v>
      </c>
      <c r="AK35" s="103" t="s">
        <v>150</v>
      </c>
      <c r="AL35" s="103" t="s">
        <v>150</v>
      </c>
      <c r="AM35" s="103" t="s">
        <v>273</v>
      </c>
      <c r="AN35" s="103" t="s">
        <v>1134</v>
      </c>
      <c r="AO35" s="103" t="s">
        <v>1076</v>
      </c>
      <c r="AP35" s="156">
        <v>42156</v>
      </c>
      <c r="AQ35" s="103"/>
      <c r="AR35" s="103" t="s">
        <v>870</v>
      </c>
      <c r="AS35" s="103" t="s">
        <v>1077</v>
      </c>
      <c r="AT35" s="103" t="s">
        <v>1078</v>
      </c>
      <c r="AU35" s="103"/>
      <c r="AV35" s="103"/>
    </row>
    <row r="36" spans="1:48">
      <c r="A36" s="103">
        <v>5746</v>
      </c>
      <c r="B36" s="103" t="s">
        <v>1135</v>
      </c>
      <c r="C36" s="103" t="s">
        <v>1067</v>
      </c>
      <c r="D36" s="103" t="s">
        <v>1068</v>
      </c>
      <c r="E36" s="103" t="s">
        <v>1069</v>
      </c>
      <c r="F36" s="156"/>
      <c r="G36" s="103" t="s">
        <v>1070</v>
      </c>
      <c r="H36" s="103"/>
      <c r="I36" s="103"/>
      <c r="J36" s="103"/>
      <c r="K36" s="103"/>
      <c r="L36" s="103" t="s">
        <v>874</v>
      </c>
      <c r="M36" s="103" t="s">
        <v>1071</v>
      </c>
      <c r="N36" s="103" t="s">
        <v>871</v>
      </c>
      <c r="O36" s="103" t="s">
        <v>1072</v>
      </c>
      <c r="P36" s="103" t="s">
        <v>154</v>
      </c>
      <c r="Q36" s="103">
        <v>0</v>
      </c>
      <c r="R36" s="103">
        <v>0</v>
      </c>
      <c r="S36" s="103" t="s">
        <v>175</v>
      </c>
      <c r="T36" s="103"/>
      <c r="U36" s="103" t="b">
        <v>0</v>
      </c>
      <c r="V36" s="103"/>
      <c r="W36" s="103" t="b">
        <v>1</v>
      </c>
      <c r="X36" s="103" t="s">
        <v>863</v>
      </c>
      <c r="Y36" s="103" t="s">
        <v>153</v>
      </c>
      <c r="Z36" s="103" t="s">
        <v>864</v>
      </c>
      <c r="AA36" s="103" t="s">
        <v>1073</v>
      </c>
      <c r="AB36" s="103" t="s">
        <v>865</v>
      </c>
      <c r="AC36" s="103" t="s">
        <v>866</v>
      </c>
      <c r="AD36" s="103" t="str">
        <f>IF(ISNA(MATCH(AM36,'Measure &amp; Standard CostIDs'!$C$5:$C$177,0)),"",AM36)</f>
        <v>CFLscw-Candle(11w)</v>
      </c>
      <c r="AE36" s="103" t="str">
        <f>IFERROR(INDEX('Measure &amp; Standard CostIDs'!$S$5:$S$177,MATCH(AM36&amp;AL36,'Measure &amp; Standard CostIDs'!$AB$5:$AB$177,0)),"")</f>
        <v>Std_CFLscw-Candle(11w)_60pInc-r0248</v>
      </c>
      <c r="AF36" s="103" t="s">
        <v>1074</v>
      </c>
      <c r="AG36" s="103"/>
      <c r="AH36" s="103" t="s">
        <v>156</v>
      </c>
      <c r="AI36" s="103" t="s">
        <v>156</v>
      </c>
      <c r="AJ36" s="103" t="s">
        <v>277</v>
      </c>
      <c r="AK36" s="103" t="s">
        <v>150</v>
      </c>
      <c r="AL36" s="103" t="s">
        <v>150</v>
      </c>
      <c r="AM36" s="103" t="s">
        <v>276</v>
      </c>
      <c r="AN36" s="103" t="s">
        <v>1136</v>
      </c>
      <c r="AO36" s="103" t="s">
        <v>1076</v>
      </c>
      <c r="AP36" s="156">
        <v>42156</v>
      </c>
      <c r="AQ36" s="103"/>
      <c r="AR36" s="103" t="s">
        <v>870</v>
      </c>
      <c r="AS36" s="103" t="s">
        <v>1077</v>
      </c>
      <c r="AT36" s="103" t="s">
        <v>1078</v>
      </c>
      <c r="AU36" s="103"/>
      <c r="AV36" s="103"/>
    </row>
    <row r="37" spans="1:48">
      <c r="A37" s="103">
        <v>5747</v>
      </c>
      <c r="B37" s="103" t="s">
        <v>1137</v>
      </c>
      <c r="C37" s="103" t="s">
        <v>1067</v>
      </c>
      <c r="D37" s="103" t="s">
        <v>1068</v>
      </c>
      <c r="E37" s="103" t="s">
        <v>1069</v>
      </c>
      <c r="F37" s="156"/>
      <c r="G37" s="103" t="s">
        <v>1070</v>
      </c>
      <c r="H37" s="103"/>
      <c r="I37" s="103"/>
      <c r="J37" s="103"/>
      <c r="K37" s="103"/>
      <c r="L37" s="103" t="s">
        <v>874</v>
      </c>
      <c r="M37" s="103" t="s">
        <v>1071</v>
      </c>
      <c r="N37" s="103" t="s">
        <v>871</v>
      </c>
      <c r="O37" s="103" t="s">
        <v>1072</v>
      </c>
      <c r="P37" s="103" t="s">
        <v>154</v>
      </c>
      <c r="Q37" s="103">
        <v>0</v>
      </c>
      <c r="R37" s="103">
        <v>0</v>
      </c>
      <c r="S37" s="103" t="s">
        <v>175</v>
      </c>
      <c r="T37" s="103"/>
      <c r="U37" s="103" t="b">
        <v>0</v>
      </c>
      <c r="V37" s="103"/>
      <c r="W37" s="103" t="b">
        <v>1</v>
      </c>
      <c r="X37" s="103" t="s">
        <v>863</v>
      </c>
      <c r="Y37" s="103" t="s">
        <v>153</v>
      </c>
      <c r="Z37" s="103" t="s">
        <v>864</v>
      </c>
      <c r="AA37" s="103" t="s">
        <v>1073</v>
      </c>
      <c r="AB37" s="103" t="s">
        <v>865</v>
      </c>
      <c r="AC37" s="103" t="s">
        <v>866</v>
      </c>
      <c r="AD37" s="103" t="str">
        <f>IF(ISNA(MATCH(AM37,'Measure &amp; Standard CostIDs'!$C$5:$C$177,0)),"",AM37)</f>
        <v>CFLscw-Candle(12w)</v>
      </c>
      <c r="AE37" s="103" t="str">
        <f>IFERROR(INDEX('Measure &amp; Standard CostIDs'!$S$5:$S$177,MATCH(AM37&amp;AL37,'Measure &amp; Standard CostIDs'!$AB$5:$AB$177,0)),"")</f>
        <v>Std_CFLscw-Candle(12w)_60pInc-r0248</v>
      </c>
      <c r="AF37" s="103" t="s">
        <v>1074</v>
      </c>
      <c r="AG37" s="103"/>
      <c r="AH37" s="103" t="s">
        <v>156</v>
      </c>
      <c r="AI37" s="103" t="s">
        <v>156</v>
      </c>
      <c r="AJ37" s="103" t="s">
        <v>279</v>
      </c>
      <c r="AK37" s="103" t="s">
        <v>150</v>
      </c>
      <c r="AL37" s="103" t="s">
        <v>150</v>
      </c>
      <c r="AM37" s="103" t="s">
        <v>278</v>
      </c>
      <c r="AN37" s="103" t="s">
        <v>1138</v>
      </c>
      <c r="AO37" s="103" t="s">
        <v>1076</v>
      </c>
      <c r="AP37" s="156">
        <v>42156</v>
      </c>
      <c r="AQ37" s="103"/>
      <c r="AR37" s="103" t="s">
        <v>870</v>
      </c>
      <c r="AS37" s="103" t="s">
        <v>1077</v>
      </c>
      <c r="AT37" s="103" t="s">
        <v>1078</v>
      </c>
      <c r="AU37" s="103"/>
      <c r="AV37" s="103"/>
    </row>
    <row r="38" spans="1:48">
      <c r="A38" s="103">
        <v>5748</v>
      </c>
      <c r="B38" s="103" t="s">
        <v>1139</v>
      </c>
      <c r="C38" s="103" t="s">
        <v>1067</v>
      </c>
      <c r="D38" s="103" t="s">
        <v>1068</v>
      </c>
      <c r="E38" s="103" t="s">
        <v>1069</v>
      </c>
      <c r="F38" s="156"/>
      <c r="G38" s="103" t="s">
        <v>1070</v>
      </c>
      <c r="H38" s="103"/>
      <c r="I38" s="103"/>
      <c r="J38" s="103"/>
      <c r="K38" s="103"/>
      <c r="L38" s="103" t="s">
        <v>874</v>
      </c>
      <c r="M38" s="103" t="s">
        <v>1071</v>
      </c>
      <c r="N38" s="103" t="s">
        <v>871</v>
      </c>
      <c r="O38" s="103" t="s">
        <v>1072</v>
      </c>
      <c r="P38" s="103" t="s">
        <v>154</v>
      </c>
      <c r="Q38" s="103">
        <v>0</v>
      </c>
      <c r="R38" s="103">
        <v>0</v>
      </c>
      <c r="S38" s="103" t="s">
        <v>175</v>
      </c>
      <c r="T38" s="103"/>
      <c r="U38" s="103" t="b">
        <v>0</v>
      </c>
      <c r="V38" s="103"/>
      <c r="W38" s="103" t="b">
        <v>1</v>
      </c>
      <c r="X38" s="103" t="s">
        <v>863</v>
      </c>
      <c r="Y38" s="103" t="s">
        <v>153</v>
      </c>
      <c r="Z38" s="103" t="s">
        <v>864</v>
      </c>
      <c r="AA38" s="103" t="s">
        <v>1073</v>
      </c>
      <c r="AB38" s="103" t="s">
        <v>865</v>
      </c>
      <c r="AC38" s="103" t="s">
        <v>866</v>
      </c>
      <c r="AD38" s="103" t="str">
        <f>IF(ISNA(MATCH(AM38,'Measure &amp; Standard CostIDs'!$C$5:$C$177,0)),"",AM38)</f>
        <v>CFLscw-Candle(13w)</v>
      </c>
      <c r="AE38" s="103" t="str">
        <f>IFERROR(INDEX('Measure &amp; Standard CostIDs'!$S$5:$S$177,MATCH(AM38&amp;AL38,'Measure &amp; Standard CostIDs'!$AB$5:$AB$177,0)),"")</f>
        <v>Std_CFLscw-Candle(13w)_60pInc-r0248</v>
      </c>
      <c r="AF38" s="103" t="s">
        <v>1074</v>
      </c>
      <c r="AG38" s="103"/>
      <c r="AH38" s="103" t="s">
        <v>156</v>
      </c>
      <c r="AI38" s="103" t="s">
        <v>156</v>
      </c>
      <c r="AJ38" s="103" t="s">
        <v>281</v>
      </c>
      <c r="AK38" s="103" t="s">
        <v>150</v>
      </c>
      <c r="AL38" s="103" t="s">
        <v>150</v>
      </c>
      <c r="AM38" s="103" t="s">
        <v>280</v>
      </c>
      <c r="AN38" s="103" t="s">
        <v>1140</v>
      </c>
      <c r="AO38" s="103" t="s">
        <v>1076</v>
      </c>
      <c r="AP38" s="156">
        <v>42156</v>
      </c>
      <c r="AQ38" s="103"/>
      <c r="AR38" s="103" t="s">
        <v>870</v>
      </c>
      <c r="AS38" s="103" t="s">
        <v>1077</v>
      </c>
      <c r="AT38" s="103" t="s">
        <v>1078</v>
      </c>
      <c r="AU38" s="103"/>
      <c r="AV38" s="103"/>
    </row>
    <row r="39" spans="1:48">
      <c r="A39" s="103">
        <v>5749</v>
      </c>
      <c r="B39" s="103" t="s">
        <v>1141</v>
      </c>
      <c r="C39" s="103" t="s">
        <v>1067</v>
      </c>
      <c r="D39" s="103" t="s">
        <v>1068</v>
      </c>
      <c r="E39" s="103" t="s">
        <v>1069</v>
      </c>
      <c r="F39" s="156"/>
      <c r="G39" s="103" t="s">
        <v>1070</v>
      </c>
      <c r="H39" s="103"/>
      <c r="I39" s="103"/>
      <c r="J39" s="103"/>
      <c r="K39" s="103"/>
      <c r="L39" s="103" t="s">
        <v>874</v>
      </c>
      <c r="M39" s="103" t="s">
        <v>1071</v>
      </c>
      <c r="N39" s="103" t="s">
        <v>871</v>
      </c>
      <c r="O39" s="103" t="s">
        <v>1072</v>
      </c>
      <c r="P39" s="103" t="s">
        <v>154</v>
      </c>
      <c r="Q39" s="103">
        <v>0</v>
      </c>
      <c r="R39" s="103">
        <v>0</v>
      </c>
      <c r="S39" s="103" t="s">
        <v>175</v>
      </c>
      <c r="T39" s="103"/>
      <c r="U39" s="103" t="b">
        <v>0</v>
      </c>
      <c r="V39" s="103"/>
      <c r="W39" s="103" t="b">
        <v>1</v>
      </c>
      <c r="X39" s="103" t="s">
        <v>863</v>
      </c>
      <c r="Y39" s="103" t="s">
        <v>153</v>
      </c>
      <c r="Z39" s="103" t="s">
        <v>864</v>
      </c>
      <c r="AA39" s="103" t="s">
        <v>1073</v>
      </c>
      <c r="AB39" s="103" t="s">
        <v>865</v>
      </c>
      <c r="AC39" s="103" t="s">
        <v>866</v>
      </c>
      <c r="AD39" s="103" t="str">
        <f>IF(ISNA(MATCH(AM39,'Measure &amp; Standard CostIDs'!$C$5:$C$177,0)),"",AM39)</f>
        <v>CFLscw-Candle(14w)</v>
      </c>
      <c r="AE39" s="103" t="str">
        <f>IFERROR(INDEX('Measure &amp; Standard CostIDs'!$S$5:$S$177,MATCH(AM39&amp;AL39,'Measure &amp; Standard CostIDs'!$AB$5:$AB$177,0)),"")</f>
        <v>Std_CFLscw-Candle(14w)_60pInc-r0248</v>
      </c>
      <c r="AF39" s="103" t="s">
        <v>1074</v>
      </c>
      <c r="AG39" s="103"/>
      <c r="AH39" s="103" t="s">
        <v>156</v>
      </c>
      <c r="AI39" s="103" t="s">
        <v>156</v>
      </c>
      <c r="AJ39" s="103" t="s">
        <v>283</v>
      </c>
      <c r="AK39" s="103" t="s">
        <v>150</v>
      </c>
      <c r="AL39" s="103" t="s">
        <v>150</v>
      </c>
      <c r="AM39" s="103" t="s">
        <v>282</v>
      </c>
      <c r="AN39" s="103" t="s">
        <v>1142</v>
      </c>
      <c r="AO39" s="103" t="s">
        <v>1076</v>
      </c>
      <c r="AP39" s="156">
        <v>42156</v>
      </c>
      <c r="AQ39" s="103"/>
      <c r="AR39" s="103" t="s">
        <v>870</v>
      </c>
      <c r="AS39" s="103" t="s">
        <v>1077</v>
      </c>
      <c r="AT39" s="103" t="s">
        <v>1078</v>
      </c>
      <c r="AU39" s="103"/>
      <c r="AV39" s="103"/>
    </row>
    <row r="40" spans="1:48">
      <c r="A40" s="103">
        <v>5750</v>
      </c>
      <c r="B40" s="103" t="s">
        <v>1143</v>
      </c>
      <c r="C40" s="103" t="s">
        <v>1067</v>
      </c>
      <c r="D40" s="103" t="s">
        <v>1068</v>
      </c>
      <c r="E40" s="103" t="s">
        <v>1069</v>
      </c>
      <c r="F40" s="156"/>
      <c r="G40" s="103" t="s">
        <v>1070</v>
      </c>
      <c r="H40" s="103"/>
      <c r="I40" s="103"/>
      <c r="J40" s="103"/>
      <c r="K40" s="103"/>
      <c r="L40" s="103" t="s">
        <v>874</v>
      </c>
      <c r="M40" s="103" t="s">
        <v>1071</v>
      </c>
      <c r="N40" s="103" t="s">
        <v>871</v>
      </c>
      <c r="O40" s="103" t="s">
        <v>1072</v>
      </c>
      <c r="P40" s="103" t="s">
        <v>154</v>
      </c>
      <c r="Q40" s="103">
        <v>0</v>
      </c>
      <c r="R40" s="103">
        <v>0</v>
      </c>
      <c r="S40" s="103" t="s">
        <v>175</v>
      </c>
      <c r="T40" s="103"/>
      <c r="U40" s="103" t="b">
        <v>0</v>
      </c>
      <c r="V40" s="103"/>
      <c r="W40" s="103" t="b">
        <v>1</v>
      </c>
      <c r="X40" s="103" t="s">
        <v>863</v>
      </c>
      <c r="Y40" s="103" t="s">
        <v>153</v>
      </c>
      <c r="Z40" s="103" t="s">
        <v>864</v>
      </c>
      <c r="AA40" s="103" t="s">
        <v>1073</v>
      </c>
      <c r="AB40" s="103" t="s">
        <v>865</v>
      </c>
      <c r="AC40" s="103" t="s">
        <v>866</v>
      </c>
      <c r="AD40" s="103" t="str">
        <f>IF(ISNA(MATCH(AM40,'Measure &amp; Standard CostIDs'!$C$5:$C$177,0)),"",AM40)</f>
        <v>CFLscw-Candle(15w)</v>
      </c>
      <c r="AE40" s="103" t="str">
        <f>IFERROR(INDEX('Measure &amp; Standard CostIDs'!$S$5:$S$177,MATCH(AM40&amp;AL40,'Measure &amp; Standard CostIDs'!$AB$5:$AB$177,0)),"")</f>
        <v>Std_CFLscw-Candle(15w)_60pInc-r0248</v>
      </c>
      <c r="AF40" s="103" t="s">
        <v>1074</v>
      </c>
      <c r="AG40" s="103"/>
      <c r="AH40" s="103" t="s">
        <v>156</v>
      </c>
      <c r="AI40" s="103" t="s">
        <v>156</v>
      </c>
      <c r="AJ40" s="103" t="s">
        <v>285</v>
      </c>
      <c r="AK40" s="103" t="s">
        <v>150</v>
      </c>
      <c r="AL40" s="103" t="s">
        <v>150</v>
      </c>
      <c r="AM40" s="103" t="s">
        <v>284</v>
      </c>
      <c r="AN40" s="103" t="s">
        <v>1144</v>
      </c>
      <c r="AO40" s="103" t="s">
        <v>1076</v>
      </c>
      <c r="AP40" s="156">
        <v>42156</v>
      </c>
      <c r="AQ40" s="103"/>
      <c r="AR40" s="103" t="s">
        <v>870</v>
      </c>
      <c r="AS40" s="103" t="s">
        <v>1077</v>
      </c>
      <c r="AT40" s="103" t="s">
        <v>1078</v>
      </c>
      <c r="AU40" s="103"/>
      <c r="AV40" s="103"/>
    </row>
    <row r="41" spans="1:48">
      <c r="A41" s="103">
        <v>5751</v>
      </c>
      <c r="B41" s="103" t="s">
        <v>1145</v>
      </c>
      <c r="C41" s="103" t="s">
        <v>1067</v>
      </c>
      <c r="D41" s="103" t="s">
        <v>1068</v>
      </c>
      <c r="E41" s="103" t="s">
        <v>1069</v>
      </c>
      <c r="F41" s="156"/>
      <c r="G41" s="103" t="s">
        <v>1070</v>
      </c>
      <c r="H41" s="103"/>
      <c r="I41" s="103"/>
      <c r="J41" s="103"/>
      <c r="K41" s="103"/>
      <c r="L41" s="103" t="s">
        <v>874</v>
      </c>
      <c r="M41" s="103" t="s">
        <v>1071</v>
      </c>
      <c r="N41" s="103" t="s">
        <v>871</v>
      </c>
      <c r="O41" s="103" t="s">
        <v>1072</v>
      </c>
      <c r="P41" s="103" t="s">
        <v>154</v>
      </c>
      <c r="Q41" s="103">
        <v>0</v>
      </c>
      <c r="R41" s="103">
        <v>0</v>
      </c>
      <c r="S41" s="103" t="s">
        <v>175</v>
      </c>
      <c r="T41" s="103"/>
      <c r="U41" s="103" t="b">
        <v>0</v>
      </c>
      <c r="V41" s="103"/>
      <c r="W41" s="103" t="b">
        <v>1</v>
      </c>
      <c r="X41" s="103" t="s">
        <v>863</v>
      </c>
      <c r="Y41" s="103" t="s">
        <v>153</v>
      </c>
      <c r="Z41" s="103" t="s">
        <v>864</v>
      </c>
      <c r="AA41" s="103" t="s">
        <v>1073</v>
      </c>
      <c r="AB41" s="103" t="s">
        <v>865</v>
      </c>
      <c r="AC41" s="103" t="s">
        <v>866</v>
      </c>
      <c r="AD41" s="103" t="str">
        <f>IF(ISNA(MATCH(AM41,'Measure &amp; Standard CostIDs'!$C$5:$C$177,0)),"",AM41)</f>
        <v/>
      </c>
      <c r="AE41" s="103" t="str">
        <f>IFERROR(INDEX('Measure &amp; Standard CostIDs'!$S$5:$S$177,MATCH(AM41&amp;AL41,'Measure &amp; Standard CostIDs'!$AB$5:$AB$177,0)),"")</f>
        <v/>
      </c>
      <c r="AF41" s="103" t="s">
        <v>1074</v>
      </c>
      <c r="AG41" s="103"/>
      <c r="AH41" s="103" t="s">
        <v>156</v>
      </c>
      <c r="AI41" s="103" t="s">
        <v>156</v>
      </c>
      <c r="AJ41" s="103" t="s">
        <v>287</v>
      </c>
      <c r="AK41" s="103" t="s">
        <v>150</v>
      </c>
      <c r="AL41" s="103" t="s">
        <v>150</v>
      </c>
      <c r="AM41" s="103" t="s">
        <v>286</v>
      </c>
      <c r="AN41" s="103" t="s">
        <v>1146</v>
      </c>
      <c r="AO41" s="103" t="s">
        <v>1076</v>
      </c>
      <c r="AP41" s="156">
        <v>42156</v>
      </c>
      <c r="AQ41" s="103"/>
      <c r="AR41" s="103" t="s">
        <v>870</v>
      </c>
      <c r="AS41" s="103" t="s">
        <v>1077</v>
      </c>
      <c r="AT41" s="103" t="s">
        <v>1078</v>
      </c>
      <c r="AU41" s="103"/>
      <c r="AV41" s="103"/>
    </row>
    <row r="42" spans="1:48">
      <c r="A42" s="103">
        <v>5752</v>
      </c>
      <c r="B42" s="103" t="s">
        <v>1147</v>
      </c>
      <c r="C42" s="103" t="s">
        <v>1067</v>
      </c>
      <c r="D42" s="103" t="s">
        <v>1068</v>
      </c>
      <c r="E42" s="103" t="s">
        <v>1069</v>
      </c>
      <c r="F42" s="156"/>
      <c r="G42" s="103" t="s">
        <v>1070</v>
      </c>
      <c r="H42" s="103"/>
      <c r="I42" s="103"/>
      <c r="J42" s="103"/>
      <c r="K42" s="103"/>
      <c r="L42" s="103" t="s">
        <v>874</v>
      </c>
      <c r="M42" s="103" t="s">
        <v>1071</v>
      </c>
      <c r="N42" s="103" t="s">
        <v>871</v>
      </c>
      <c r="O42" s="103" t="s">
        <v>1072</v>
      </c>
      <c r="P42" s="103" t="s">
        <v>154</v>
      </c>
      <c r="Q42" s="103">
        <v>0</v>
      </c>
      <c r="R42" s="103">
        <v>0</v>
      </c>
      <c r="S42" s="103" t="s">
        <v>175</v>
      </c>
      <c r="T42" s="103"/>
      <c r="U42" s="103" t="b">
        <v>0</v>
      </c>
      <c r="V42" s="103"/>
      <c r="W42" s="103" t="b">
        <v>1</v>
      </c>
      <c r="X42" s="103" t="s">
        <v>863</v>
      </c>
      <c r="Y42" s="103" t="s">
        <v>153</v>
      </c>
      <c r="Z42" s="103" t="s">
        <v>864</v>
      </c>
      <c r="AA42" s="103" t="s">
        <v>1073</v>
      </c>
      <c r="AB42" s="103" t="s">
        <v>865</v>
      </c>
      <c r="AC42" s="103" t="s">
        <v>866</v>
      </c>
      <c r="AD42" s="103" t="str">
        <f>IF(ISNA(MATCH(AM42,'Measure &amp; Standard CostIDs'!$C$5:$C$177,0)),"",AM42)</f>
        <v/>
      </c>
      <c r="AE42" s="103" t="str">
        <f>IFERROR(INDEX('Measure &amp; Standard CostIDs'!$S$5:$S$177,MATCH(AM42&amp;AL42,'Measure &amp; Standard CostIDs'!$AB$5:$AB$177,0)),"")</f>
        <v/>
      </c>
      <c r="AF42" s="103" t="s">
        <v>1074</v>
      </c>
      <c r="AG42" s="103"/>
      <c r="AH42" s="103" t="s">
        <v>156</v>
      </c>
      <c r="AI42" s="103" t="s">
        <v>156</v>
      </c>
      <c r="AJ42" s="103" t="s">
        <v>289</v>
      </c>
      <c r="AK42" s="103" t="s">
        <v>150</v>
      </c>
      <c r="AL42" s="103" t="s">
        <v>150</v>
      </c>
      <c r="AM42" s="103" t="s">
        <v>288</v>
      </c>
      <c r="AN42" s="103" t="s">
        <v>1148</v>
      </c>
      <c r="AO42" s="103" t="s">
        <v>1076</v>
      </c>
      <c r="AP42" s="156">
        <v>42156</v>
      </c>
      <c r="AQ42" s="103"/>
      <c r="AR42" s="103" t="s">
        <v>870</v>
      </c>
      <c r="AS42" s="103" t="s">
        <v>1077</v>
      </c>
      <c r="AT42" s="103" t="s">
        <v>1078</v>
      </c>
      <c r="AU42" s="103"/>
      <c r="AV42" s="103"/>
    </row>
    <row r="43" spans="1:48">
      <c r="A43" s="103">
        <v>5753</v>
      </c>
      <c r="B43" s="103" t="s">
        <v>1149</v>
      </c>
      <c r="C43" s="103" t="s">
        <v>1067</v>
      </c>
      <c r="D43" s="103" t="s">
        <v>1068</v>
      </c>
      <c r="E43" s="103" t="s">
        <v>1069</v>
      </c>
      <c r="F43" s="156"/>
      <c r="G43" s="103" t="s">
        <v>1070</v>
      </c>
      <c r="H43" s="103"/>
      <c r="I43" s="103"/>
      <c r="J43" s="103"/>
      <c r="K43" s="103"/>
      <c r="L43" s="103" t="s">
        <v>874</v>
      </c>
      <c r="M43" s="103" t="s">
        <v>1071</v>
      </c>
      <c r="N43" s="103" t="s">
        <v>871</v>
      </c>
      <c r="O43" s="103" t="s">
        <v>1072</v>
      </c>
      <c r="P43" s="103" t="s">
        <v>154</v>
      </c>
      <c r="Q43" s="103">
        <v>0</v>
      </c>
      <c r="R43" s="103">
        <v>0</v>
      </c>
      <c r="S43" s="103" t="s">
        <v>175</v>
      </c>
      <c r="T43" s="103"/>
      <c r="U43" s="103" t="b">
        <v>0</v>
      </c>
      <c r="V43" s="103"/>
      <c r="W43" s="103" t="b">
        <v>1</v>
      </c>
      <c r="X43" s="103" t="s">
        <v>863</v>
      </c>
      <c r="Y43" s="103" t="s">
        <v>153</v>
      </c>
      <c r="Z43" s="103" t="s">
        <v>864</v>
      </c>
      <c r="AA43" s="103" t="s">
        <v>1073</v>
      </c>
      <c r="AB43" s="103" t="s">
        <v>865</v>
      </c>
      <c r="AC43" s="103" t="s">
        <v>866</v>
      </c>
      <c r="AD43" s="103" t="str">
        <f>IF(ISNA(MATCH(AM43,'Measure &amp; Standard CostIDs'!$C$5:$C$177,0)),"",AM43)</f>
        <v/>
      </c>
      <c r="AE43" s="103" t="str">
        <f>IFERROR(INDEX('Measure &amp; Standard CostIDs'!$S$5:$S$177,MATCH(AM43&amp;AL43,'Measure &amp; Standard CostIDs'!$AB$5:$AB$177,0)),"")</f>
        <v/>
      </c>
      <c r="AF43" s="103" t="s">
        <v>1074</v>
      </c>
      <c r="AG43" s="103"/>
      <c r="AH43" s="103" t="s">
        <v>156</v>
      </c>
      <c r="AI43" s="103" t="s">
        <v>156</v>
      </c>
      <c r="AJ43" s="103" t="s">
        <v>291</v>
      </c>
      <c r="AK43" s="103" t="s">
        <v>150</v>
      </c>
      <c r="AL43" s="103" t="s">
        <v>150</v>
      </c>
      <c r="AM43" s="103" t="s">
        <v>290</v>
      </c>
      <c r="AN43" s="103" t="s">
        <v>1150</v>
      </c>
      <c r="AO43" s="103" t="s">
        <v>1076</v>
      </c>
      <c r="AP43" s="156">
        <v>42156</v>
      </c>
      <c r="AQ43" s="103"/>
      <c r="AR43" s="103" t="s">
        <v>870</v>
      </c>
      <c r="AS43" s="103" t="s">
        <v>1077</v>
      </c>
      <c r="AT43" s="103" t="s">
        <v>1078</v>
      </c>
      <c r="AU43" s="103"/>
      <c r="AV43" s="103"/>
    </row>
    <row r="44" spans="1:48">
      <c r="A44" s="103">
        <v>5754</v>
      </c>
      <c r="B44" s="103" t="s">
        <v>1151</v>
      </c>
      <c r="C44" s="103" t="s">
        <v>1067</v>
      </c>
      <c r="D44" s="103" t="s">
        <v>1068</v>
      </c>
      <c r="E44" s="103" t="s">
        <v>1069</v>
      </c>
      <c r="F44" s="156"/>
      <c r="G44" s="103" t="s">
        <v>1070</v>
      </c>
      <c r="H44" s="103"/>
      <c r="I44" s="103"/>
      <c r="J44" s="103"/>
      <c r="K44" s="103"/>
      <c r="L44" s="103" t="s">
        <v>874</v>
      </c>
      <c r="M44" s="103" t="s">
        <v>1071</v>
      </c>
      <c r="N44" s="103" t="s">
        <v>871</v>
      </c>
      <c r="O44" s="103" t="s">
        <v>1072</v>
      </c>
      <c r="P44" s="103" t="s">
        <v>154</v>
      </c>
      <c r="Q44" s="103">
        <v>0</v>
      </c>
      <c r="R44" s="103">
        <v>0</v>
      </c>
      <c r="S44" s="103" t="s">
        <v>175</v>
      </c>
      <c r="T44" s="103"/>
      <c r="U44" s="103" t="b">
        <v>0</v>
      </c>
      <c r="V44" s="103"/>
      <c r="W44" s="103" t="b">
        <v>1</v>
      </c>
      <c r="X44" s="103" t="s">
        <v>863</v>
      </c>
      <c r="Y44" s="103" t="s">
        <v>153</v>
      </c>
      <c r="Z44" s="103" t="s">
        <v>864</v>
      </c>
      <c r="AA44" s="103" t="s">
        <v>1073</v>
      </c>
      <c r="AB44" s="103" t="s">
        <v>865</v>
      </c>
      <c r="AC44" s="103" t="s">
        <v>866</v>
      </c>
      <c r="AD44" s="103" t="str">
        <f>IF(ISNA(MATCH(AM44,'Measure &amp; Standard CostIDs'!$C$5:$C$177,0)),"",AM44)</f>
        <v/>
      </c>
      <c r="AE44" s="103" t="str">
        <f>IFERROR(INDEX('Measure &amp; Standard CostIDs'!$S$5:$S$177,MATCH(AM44&amp;AL44,'Measure &amp; Standard CostIDs'!$AB$5:$AB$177,0)),"")</f>
        <v/>
      </c>
      <c r="AF44" s="103" t="s">
        <v>1074</v>
      </c>
      <c r="AG44" s="103"/>
      <c r="AH44" s="103" t="s">
        <v>156</v>
      </c>
      <c r="AI44" s="103" t="s">
        <v>156</v>
      </c>
      <c r="AJ44" s="103" t="s">
        <v>293</v>
      </c>
      <c r="AK44" s="103" t="s">
        <v>150</v>
      </c>
      <c r="AL44" s="103" t="s">
        <v>150</v>
      </c>
      <c r="AM44" s="103" t="s">
        <v>292</v>
      </c>
      <c r="AN44" s="103" t="s">
        <v>1152</v>
      </c>
      <c r="AO44" s="103" t="s">
        <v>1076</v>
      </c>
      <c r="AP44" s="156">
        <v>42156</v>
      </c>
      <c r="AQ44" s="103"/>
      <c r="AR44" s="103" t="s">
        <v>870</v>
      </c>
      <c r="AS44" s="103" t="s">
        <v>1077</v>
      </c>
      <c r="AT44" s="103" t="s">
        <v>1078</v>
      </c>
      <c r="AU44" s="103"/>
      <c r="AV44" s="103"/>
    </row>
    <row r="45" spans="1:48">
      <c r="A45" s="103">
        <v>5755</v>
      </c>
      <c r="B45" s="103" t="s">
        <v>1153</v>
      </c>
      <c r="C45" s="103" t="s">
        <v>1067</v>
      </c>
      <c r="D45" s="103" t="s">
        <v>1068</v>
      </c>
      <c r="E45" s="103" t="s">
        <v>1069</v>
      </c>
      <c r="F45" s="156"/>
      <c r="G45" s="103" t="s">
        <v>1070</v>
      </c>
      <c r="H45" s="103"/>
      <c r="I45" s="103"/>
      <c r="J45" s="103"/>
      <c r="K45" s="103"/>
      <c r="L45" s="103" t="s">
        <v>874</v>
      </c>
      <c r="M45" s="103" t="s">
        <v>1071</v>
      </c>
      <c r="N45" s="103" t="s">
        <v>871</v>
      </c>
      <c r="O45" s="103" t="s">
        <v>1072</v>
      </c>
      <c r="P45" s="103" t="s">
        <v>154</v>
      </c>
      <c r="Q45" s="103">
        <v>0</v>
      </c>
      <c r="R45" s="103">
        <v>0</v>
      </c>
      <c r="S45" s="103" t="s">
        <v>175</v>
      </c>
      <c r="T45" s="103"/>
      <c r="U45" s="103" t="b">
        <v>0</v>
      </c>
      <c r="V45" s="103"/>
      <c r="W45" s="103" t="b">
        <v>1</v>
      </c>
      <c r="X45" s="103" t="s">
        <v>863</v>
      </c>
      <c r="Y45" s="103" t="s">
        <v>153</v>
      </c>
      <c r="Z45" s="103" t="s">
        <v>864</v>
      </c>
      <c r="AA45" s="103" t="s">
        <v>1073</v>
      </c>
      <c r="AB45" s="103" t="s">
        <v>865</v>
      </c>
      <c r="AC45" s="103" t="s">
        <v>866</v>
      </c>
      <c r="AD45" s="103" t="str">
        <f>IF(ISNA(MATCH(AM45,'Measure &amp; Standard CostIDs'!$C$5:$C$177,0)),"",AM45)</f>
        <v/>
      </c>
      <c r="AE45" s="103" t="str">
        <f>IFERROR(INDEX('Measure &amp; Standard CostIDs'!$S$5:$S$177,MATCH(AM45&amp;AL45,'Measure &amp; Standard CostIDs'!$AB$5:$AB$177,0)),"")</f>
        <v/>
      </c>
      <c r="AF45" s="103" t="s">
        <v>1074</v>
      </c>
      <c r="AG45" s="103"/>
      <c r="AH45" s="103" t="s">
        <v>156</v>
      </c>
      <c r="AI45" s="103" t="s">
        <v>156</v>
      </c>
      <c r="AJ45" s="103" t="s">
        <v>295</v>
      </c>
      <c r="AK45" s="103" t="s">
        <v>150</v>
      </c>
      <c r="AL45" s="103" t="s">
        <v>150</v>
      </c>
      <c r="AM45" s="103" t="s">
        <v>294</v>
      </c>
      <c r="AN45" s="103" t="s">
        <v>1154</v>
      </c>
      <c r="AO45" s="103" t="s">
        <v>1076</v>
      </c>
      <c r="AP45" s="156">
        <v>42156</v>
      </c>
      <c r="AQ45" s="103"/>
      <c r="AR45" s="103" t="s">
        <v>870</v>
      </c>
      <c r="AS45" s="103" t="s">
        <v>1077</v>
      </c>
      <c r="AT45" s="103" t="s">
        <v>1078</v>
      </c>
      <c r="AU45" s="103"/>
      <c r="AV45" s="103"/>
    </row>
    <row r="46" spans="1:48">
      <c r="A46" s="103">
        <v>5756</v>
      </c>
      <c r="B46" s="103" t="s">
        <v>1155</v>
      </c>
      <c r="C46" s="103" t="s">
        <v>1067</v>
      </c>
      <c r="D46" s="103" t="s">
        <v>1068</v>
      </c>
      <c r="E46" s="103" t="s">
        <v>1069</v>
      </c>
      <c r="F46" s="156"/>
      <c r="G46" s="103" t="s">
        <v>1070</v>
      </c>
      <c r="H46" s="103"/>
      <c r="I46" s="103"/>
      <c r="J46" s="103"/>
      <c r="K46" s="103"/>
      <c r="L46" s="103" t="s">
        <v>874</v>
      </c>
      <c r="M46" s="103" t="s">
        <v>1071</v>
      </c>
      <c r="N46" s="103" t="s">
        <v>871</v>
      </c>
      <c r="O46" s="103" t="s">
        <v>1072</v>
      </c>
      <c r="P46" s="103" t="s">
        <v>154</v>
      </c>
      <c r="Q46" s="103">
        <v>0</v>
      </c>
      <c r="R46" s="103">
        <v>0</v>
      </c>
      <c r="S46" s="103" t="s">
        <v>175</v>
      </c>
      <c r="T46" s="103"/>
      <c r="U46" s="103" t="b">
        <v>0</v>
      </c>
      <c r="V46" s="103"/>
      <c r="W46" s="103" t="b">
        <v>1</v>
      </c>
      <c r="X46" s="103" t="s">
        <v>863</v>
      </c>
      <c r="Y46" s="103" t="s">
        <v>153</v>
      </c>
      <c r="Z46" s="103" t="s">
        <v>864</v>
      </c>
      <c r="AA46" s="103" t="s">
        <v>1073</v>
      </c>
      <c r="AB46" s="103" t="s">
        <v>865</v>
      </c>
      <c r="AC46" s="103" t="s">
        <v>866</v>
      </c>
      <c r="AD46" s="103" t="str">
        <f>IF(ISNA(MATCH(AM46,'Measure &amp; Standard CostIDs'!$C$5:$C$177,0)),"",AM46)</f>
        <v/>
      </c>
      <c r="AE46" s="103" t="str">
        <f>IFERROR(INDEX('Measure &amp; Standard CostIDs'!$S$5:$S$177,MATCH(AM46&amp;AL46,'Measure &amp; Standard CostIDs'!$AB$5:$AB$177,0)),"")</f>
        <v/>
      </c>
      <c r="AF46" s="103" t="s">
        <v>1074</v>
      </c>
      <c r="AG46" s="103"/>
      <c r="AH46" s="103" t="s">
        <v>156</v>
      </c>
      <c r="AI46" s="103" t="s">
        <v>156</v>
      </c>
      <c r="AJ46" s="103" t="s">
        <v>297</v>
      </c>
      <c r="AK46" s="103" t="s">
        <v>150</v>
      </c>
      <c r="AL46" s="103" t="s">
        <v>150</v>
      </c>
      <c r="AM46" s="103" t="s">
        <v>296</v>
      </c>
      <c r="AN46" s="103" t="s">
        <v>1156</v>
      </c>
      <c r="AO46" s="103" t="s">
        <v>1076</v>
      </c>
      <c r="AP46" s="156">
        <v>42156</v>
      </c>
      <c r="AQ46" s="103"/>
      <c r="AR46" s="103" t="s">
        <v>870</v>
      </c>
      <c r="AS46" s="103" t="s">
        <v>1077</v>
      </c>
      <c r="AT46" s="103" t="s">
        <v>1078</v>
      </c>
      <c r="AU46" s="103"/>
      <c r="AV46" s="103"/>
    </row>
    <row r="47" spans="1:48">
      <c r="A47" s="103">
        <v>5757</v>
      </c>
      <c r="B47" s="103" t="s">
        <v>1157</v>
      </c>
      <c r="C47" s="103" t="s">
        <v>1067</v>
      </c>
      <c r="D47" s="103" t="s">
        <v>1068</v>
      </c>
      <c r="E47" s="103" t="s">
        <v>1069</v>
      </c>
      <c r="F47" s="156"/>
      <c r="G47" s="103" t="s">
        <v>1070</v>
      </c>
      <c r="H47" s="103"/>
      <c r="I47" s="103"/>
      <c r="J47" s="103"/>
      <c r="K47" s="103"/>
      <c r="L47" s="103" t="s">
        <v>874</v>
      </c>
      <c r="M47" s="103" t="s">
        <v>1071</v>
      </c>
      <c r="N47" s="103" t="s">
        <v>871</v>
      </c>
      <c r="O47" s="103" t="s">
        <v>1072</v>
      </c>
      <c r="P47" s="103" t="s">
        <v>154</v>
      </c>
      <c r="Q47" s="103">
        <v>0</v>
      </c>
      <c r="R47" s="103">
        <v>0</v>
      </c>
      <c r="S47" s="103" t="s">
        <v>175</v>
      </c>
      <c r="T47" s="103"/>
      <c r="U47" s="103" t="b">
        <v>0</v>
      </c>
      <c r="V47" s="103"/>
      <c r="W47" s="103" t="b">
        <v>1</v>
      </c>
      <c r="X47" s="103" t="s">
        <v>863</v>
      </c>
      <c r="Y47" s="103" t="s">
        <v>153</v>
      </c>
      <c r="Z47" s="103" t="s">
        <v>864</v>
      </c>
      <c r="AA47" s="103" t="s">
        <v>1073</v>
      </c>
      <c r="AB47" s="103" t="s">
        <v>865</v>
      </c>
      <c r="AC47" s="103" t="s">
        <v>866</v>
      </c>
      <c r="AD47" s="103" t="str">
        <f>IF(ISNA(MATCH(AM47,'Measure &amp; Standard CostIDs'!$C$5:$C$177,0)),"",AM47)</f>
        <v/>
      </c>
      <c r="AE47" s="103" t="str">
        <f>IFERROR(INDEX('Measure &amp; Standard CostIDs'!$S$5:$S$177,MATCH(AM47&amp;AL47,'Measure &amp; Standard CostIDs'!$AB$5:$AB$177,0)),"")</f>
        <v/>
      </c>
      <c r="AF47" s="103" t="s">
        <v>1074</v>
      </c>
      <c r="AG47" s="103"/>
      <c r="AH47" s="103" t="s">
        <v>156</v>
      </c>
      <c r="AI47" s="103" t="s">
        <v>156</v>
      </c>
      <c r="AJ47" s="103" t="s">
        <v>299</v>
      </c>
      <c r="AK47" s="103" t="s">
        <v>150</v>
      </c>
      <c r="AL47" s="103" t="s">
        <v>150</v>
      </c>
      <c r="AM47" s="103" t="s">
        <v>298</v>
      </c>
      <c r="AN47" s="103" t="s">
        <v>1158</v>
      </c>
      <c r="AO47" s="103" t="s">
        <v>1076</v>
      </c>
      <c r="AP47" s="156">
        <v>42156</v>
      </c>
      <c r="AQ47" s="103"/>
      <c r="AR47" s="103" t="s">
        <v>870</v>
      </c>
      <c r="AS47" s="103" t="s">
        <v>1077</v>
      </c>
      <c r="AT47" s="103" t="s">
        <v>1078</v>
      </c>
      <c r="AU47" s="103"/>
      <c r="AV47" s="103"/>
    </row>
    <row r="48" spans="1:48">
      <c r="A48" s="103">
        <v>5758</v>
      </c>
      <c r="B48" s="103" t="s">
        <v>1159</v>
      </c>
      <c r="C48" s="103" t="s">
        <v>1067</v>
      </c>
      <c r="D48" s="103" t="s">
        <v>1068</v>
      </c>
      <c r="E48" s="103" t="s">
        <v>1069</v>
      </c>
      <c r="F48" s="156"/>
      <c r="G48" s="103" t="s">
        <v>1070</v>
      </c>
      <c r="H48" s="103"/>
      <c r="I48" s="103"/>
      <c r="J48" s="103"/>
      <c r="K48" s="103"/>
      <c r="L48" s="103" t="s">
        <v>874</v>
      </c>
      <c r="M48" s="103" t="s">
        <v>1071</v>
      </c>
      <c r="N48" s="103" t="s">
        <v>871</v>
      </c>
      <c r="O48" s="103" t="s">
        <v>1072</v>
      </c>
      <c r="P48" s="103" t="s">
        <v>154</v>
      </c>
      <c r="Q48" s="103">
        <v>0</v>
      </c>
      <c r="R48" s="103">
        <v>0</v>
      </c>
      <c r="S48" s="103" t="s">
        <v>175</v>
      </c>
      <c r="T48" s="103"/>
      <c r="U48" s="103" t="b">
        <v>0</v>
      </c>
      <c r="V48" s="103"/>
      <c r="W48" s="103" t="b">
        <v>1</v>
      </c>
      <c r="X48" s="103" t="s">
        <v>863</v>
      </c>
      <c r="Y48" s="103" t="s">
        <v>153</v>
      </c>
      <c r="Z48" s="103" t="s">
        <v>864</v>
      </c>
      <c r="AA48" s="103" t="s">
        <v>1073</v>
      </c>
      <c r="AB48" s="103" t="s">
        <v>865</v>
      </c>
      <c r="AC48" s="103" t="s">
        <v>866</v>
      </c>
      <c r="AD48" s="103" t="str">
        <f>IF(ISNA(MATCH(AM48,'Measure &amp; Standard CostIDs'!$C$5:$C$177,0)),"",AM48)</f>
        <v/>
      </c>
      <c r="AE48" s="103" t="str">
        <f>IFERROR(INDEX('Measure &amp; Standard CostIDs'!$S$5:$S$177,MATCH(AM48&amp;AL48,'Measure &amp; Standard CostIDs'!$AB$5:$AB$177,0)),"")</f>
        <v/>
      </c>
      <c r="AF48" s="103" t="s">
        <v>1074</v>
      </c>
      <c r="AG48" s="103"/>
      <c r="AH48" s="103" t="s">
        <v>156</v>
      </c>
      <c r="AI48" s="103" t="s">
        <v>156</v>
      </c>
      <c r="AJ48" s="103" t="s">
        <v>301</v>
      </c>
      <c r="AK48" s="103" t="s">
        <v>150</v>
      </c>
      <c r="AL48" s="103" t="s">
        <v>150</v>
      </c>
      <c r="AM48" s="103" t="s">
        <v>300</v>
      </c>
      <c r="AN48" s="103" t="s">
        <v>1160</v>
      </c>
      <c r="AO48" s="103" t="s">
        <v>1076</v>
      </c>
      <c r="AP48" s="156">
        <v>42156</v>
      </c>
      <c r="AQ48" s="103"/>
      <c r="AR48" s="103" t="s">
        <v>870</v>
      </c>
      <c r="AS48" s="103" t="s">
        <v>1077</v>
      </c>
      <c r="AT48" s="103" t="s">
        <v>1078</v>
      </c>
      <c r="AU48" s="103"/>
      <c r="AV48" s="103"/>
    </row>
    <row r="49" spans="1:48">
      <c r="A49" s="103">
        <v>5759</v>
      </c>
      <c r="B49" s="103" t="s">
        <v>1161</v>
      </c>
      <c r="C49" s="103" t="s">
        <v>1067</v>
      </c>
      <c r="D49" s="103" t="s">
        <v>1068</v>
      </c>
      <c r="E49" s="103" t="s">
        <v>1069</v>
      </c>
      <c r="F49" s="156"/>
      <c r="G49" s="103" t="s">
        <v>1070</v>
      </c>
      <c r="H49" s="103"/>
      <c r="I49" s="103"/>
      <c r="J49" s="103"/>
      <c r="K49" s="103"/>
      <c r="L49" s="103" t="s">
        <v>874</v>
      </c>
      <c r="M49" s="103" t="s">
        <v>1071</v>
      </c>
      <c r="N49" s="103" t="s">
        <v>871</v>
      </c>
      <c r="O49" s="103" t="s">
        <v>1072</v>
      </c>
      <c r="P49" s="103" t="s">
        <v>154</v>
      </c>
      <c r="Q49" s="103">
        <v>0</v>
      </c>
      <c r="R49" s="103">
        <v>0</v>
      </c>
      <c r="S49" s="103" t="s">
        <v>175</v>
      </c>
      <c r="T49" s="103"/>
      <c r="U49" s="103" t="b">
        <v>0</v>
      </c>
      <c r="V49" s="103"/>
      <c r="W49" s="103" t="b">
        <v>1</v>
      </c>
      <c r="X49" s="103" t="s">
        <v>863</v>
      </c>
      <c r="Y49" s="103" t="s">
        <v>153</v>
      </c>
      <c r="Z49" s="103" t="s">
        <v>864</v>
      </c>
      <c r="AA49" s="103" t="s">
        <v>1073</v>
      </c>
      <c r="AB49" s="103" t="s">
        <v>865</v>
      </c>
      <c r="AC49" s="103" t="s">
        <v>866</v>
      </c>
      <c r="AD49" s="103" t="str">
        <f>IF(ISNA(MATCH(AM49,'Measure &amp; Standard CostIDs'!$C$5:$C$177,0)),"",AM49)</f>
        <v/>
      </c>
      <c r="AE49" s="103" t="str">
        <f>IFERROR(INDEX('Measure &amp; Standard CostIDs'!$S$5:$S$177,MATCH(AM49&amp;AL49,'Measure &amp; Standard CostIDs'!$AB$5:$AB$177,0)),"")</f>
        <v/>
      </c>
      <c r="AF49" s="103" t="s">
        <v>1074</v>
      </c>
      <c r="AG49" s="103"/>
      <c r="AH49" s="103" t="s">
        <v>156</v>
      </c>
      <c r="AI49" s="103" t="s">
        <v>156</v>
      </c>
      <c r="AJ49" s="103" t="s">
        <v>303</v>
      </c>
      <c r="AK49" s="103" t="s">
        <v>150</v>
      </c>
      <c r="AL49" s="103" t="s">
        <v>150</v>
      </c>
      <c r="AM49" s="103" t="s">
        <v>302</v>
      </c>
      <c r="AN49" s="103" t="s">
        <v>1162</v>
      </c>
      <c r="AO49" s="103" t="s">
        <v>1076</v>
      </c>
      <c r="AP49" s="156">
        <v>42156</v>
      </c>
      <c r="AQ49" s="103"/>
      <c r="AR49" s="103" t="s">
        <v>870</v>
      </c>
      <c r="AS49" s="103" t="s">
        <v>1077</v>
      </c>
      <c r="AT49" s="103" t="s">
        <v>1078</v>
      </c>
      <c r="AU49" s="103"/>
      <c r="AV49" s="103"/>
    </row>
    <row r="50" spans="1:48">
      <c r="A50" s="103">
        <v>5760</v>
      </c>
      <c r="B50" s="103" t="s">
        <v>1163</v>
      </c>
      <c r="C50" s="103" t="s">
        <v>1067</v>
      </c>
      <c r="D50" s="103" t="s">
        <v>1068</v>
      </c>
      <c r="E50" s="103" t="s">
        <v>1069</v>
      </c>
      <c r="F50" s="156"/>
      <c r="G50" s="103" t="s">
        <v>1070</v>
      </c>
      <c r="H50" s="103"/>
      <c r="I50" s="103"/>
      <c r="J50" s="103"/>
      <c r="K50" s="103"/>
      <c r="L50" s="103" t="s">
        <v>874</v>
      </c>
      <c r="M50" s="103" t="s">
        <v>1071</v>
      </c>
      <c r="N50" s="103" t="s">
        <v>871</v>
      </c>
      <c r="O50" s="103" t="s">
        <v>1072</v>
      </c>
      <c r="P50" s="103" t="s">
        <v>154</v>
      </c>
      <c r="Q50" s="103">
        <v>0</v>
      </c>
      <c r="R50" s="103">
        <v>0</v>
      </c>
      <c r="S50" s="103" t="s">
        <v>175</v>
      </c>
      <c r="T50" s="103"/>
      <c r="U50" s="103" t="b">
        <v>0</v>
      </c>
      <c r="V50" s="103"/>
      <c r="W50" s="103" t="b">
        <v>1</v>
      </c>
      <c r="X50" s="103" t="s">
        <v>863</v>
      </c>
      <c r="Y50" s="103" t="s">
        <v>153</v>
      </c>
      <c r="Z50" s="103" t="s">
        <v>864</v>
      </c>
      <c r="AA50" s="103" t="s">
        <v>1073</v>
      </c>
      <c r="AB50" s="103" t="s">
        <v>865</v>
      </c>
      <c r="AC50" s="103" t="s">
        <v>866</v>
      </c>
      <c r="AD50" s="103" t="str">
        <f>IF(ISNA(MATCH(AM50,'Measure &amp; Standard CostIDs'!$C$5:$C$177,0)),"",AM50)</f>
        <v/>
      </c>
      <c r="AE50" s="103" t="str">
        <f>IFERROR(INDEX('Measure &amp; Standard CostIDs'!$S$5:$S$177,MATCH(AM50&amp;AL50,'Measure &amp; Standard CostIDs'!$AB$5:$AB$177,0)),"")</f>
        <v/>
      </c>
      <c r="AF50" s="103" t="s">
        <v>1074</v>
      </c>
      <c r="AG50" s="103"/>
      <c r="AH50" s="103" t="s">
        <v>156</v>
      </c>
      <c r="AI50" s="103" t="s">
        <v>156</v>
      </c>
      <c r="AJ50" s="103" t="s">
        <v>305</v>
      </c>
      <c r="AK50" s="103" t="s">
        <v>150</v>
      </c>
      <c r="AL50" s="103" t="s">
        <v>150</v>
      </c>
      <c r="AM50" s="103" t="s">
        <v>304</v>
      </c>
      <c r="AN50" s="103" t="s">
        <v>1164</v>
      </c>
      <c r="AO50" s="103" t="s">
        <v>1076</v>
      </c>
      <c r="AP50" s="156">
        <v>42156</v>
      </c>
      <c r="AQ50" s="103"/>
      <c r="AR50" s="103" t="s">
        <v>870</v>
      </c>
      <c r="AS50" s="103" t="s">
        <v>1077</v>
      </c>
      <c r="AT50" s="103" t="s">
        <v>1078</v>
      </c>
      <c r="AU50" s="103"/>
      <c r="AV50" s="103"/>
    </row>
    <row r="51" spans="1:48">
      <c r="A51" s="103">
        <v>5761</v>
      </c>
      <c r="B51" s="103" t="s">
        <v>1165</v>
      </c>
      <c r="C51" s="103" t="s">
        <v>1067</v>
      </c>
      <c r="D51" s="103" t="s">
        <v>1068</v>
      </c>
      <c r="E51" s="103" t="s">
        <v>1069</v>
      </c>
      <c r="F51" s="156"/>
      <c r="G51" s="103" t="s">
        <v>1070</v>
      </c>
      <c r="H51" s="103"/>
      <c r="I51" s="103"/>
      <c r="J51" s="103"/>
      <c r="K51" s="103"/>
      <c r="L51" s="103" t="s">
        <v>874</v>
      </c>
      <c r="M51" s="103" t="s">
        <v>1071</v>
      </c>
      <c r="N51" s="103" t="s">
        <v>871</v>
      </c>
      <c r="O51" s="103" t="s">
        <v>1072</v>
      </c>
      <c r="P51" s="103" t="s">
        <v>154</v>
      </c>
      <c r="Q51" s="103">
        <v>0</v>
      </c>
      <c r="R51" s="103">
        <v>0</v>
      </c>
      <c r="S51" s="103" t="s">
        <v>175</v>
      </c>
      <c r="T51" s="103"/>
      <c r="U51" s="103" t="b">
        <v>0</v>
      </c>
      <c r="V51" s="103"/>
      <c r="W51" s="103" t="b">
        <v>1</v>
      </c>
      <c r="X51" s="103" t="s">
        <v>863</v>
      </c>
      <c r="Y51" s="103" t="s">
        <v>153</v>
      </c>
      <c r="Z51" s="103" t="s">
        <v>864</v>
      </c>
      <c r="AA51" s="103" t="s">
        <v>1073</v>
      </c>
      <c r="AB51" s="103" t="s">
        <v>865</v>
      </c>
      <c r="AC51" s="103" t="s">
        <v>866</v>
      </c>
      <c r="AD51" s="103" t="str">
        <f>IF(ISNA(MATCH(AM51,'Measure &amp; Standard CostIDs'!$C$5:$C$177,0)),"",AM51)</f>
        <v/>
      </c>
      <c r="AE51" s="103" t="str">
        <f>IFERROR(INDEX('Measure &amp; Standard CostIDs'!$S$5:$S$177,MATCH(AM51&amp;AL51,'Measure &amp; Standard CostIDs'!$AB$5:$AB$177,0)),"")</f>
        <v/>
      </c>
      <c r="AF51" s="103" t="s">
        <v>1074</v>
      </c>
      <c r="AG51" s="103"/>
      <c r="AH51" s="103" t="s">
        <v>156</v>
      </c>
      <c r="AI51" s="103" t="s">
        <v>156</v>
      </c>
      <c r="AJ51" s="103" t="s">
        <v>307</v>
      </c>
      <c r="AK51" s="103" t="s">
        <v>150</v>
      </c>
      <c r="AL51" s="103" t="s">
        <v>150</v>
      </c>
      <c r="AM51" s="103" t="s">
        <v>306</v>
      </c>
      <c r="AN51" s="103" t="s">
        <v>1166</v>
      </c>
      <c r="AO51" s="103" t="s">
        <v>1076</v>
      </c>
      <c r="AP51" s="156">
        <v>42156</v>
      </c>
      <c r="AQ51" s="103"/>
      <c r="AR51" s="103" t="s">
        <v>870</v>
      </c>
      <c r="AS51" s="103" t="s">
        <v>1077</v>
      </c>
      <c r="AT51" s="103" t="s">
        <v>1078</v>
      </c>
      <c r="AU51" s="103"/>
      <c r="AV51" s="103"/>
    </row>
    <row r="52" spans="1:48">
      <c r="A52" s="103">
        <v>5762</v>
      </c>
      <c r="B52" s="103" t="s">
        <v>1167</v>
      </c>
      <c r="C52" s="103" t="s">
        <v>1067</v>
      </c>
      <c r="D52" s="103" t="s">
        <v>1068</v>
      </c>
      <c r="E52" s="103" t="s">
        <v>1069</v>
      </c>
      <c r="F52" s="156"/>
      <c r="G52" s="103" t="s">
        <v>1070</v>
      </c>
      <c r="H52" s="103"/>
      <c r="I52" s="103"/>
      <c r="J52" s="103"/>
      <c r="K52" s="103"/>
      <c r="L52" s="103" t="s">
        <v>874</v>
      </c>
      <c r="M52" s="103" t="s">
        <v>1071</v>
      </c>
      <c r="N52" s="103" t="s">
        <v>871</v>
      </c>
      <c r="O52" s="103" t="s">
        <v>1072</v>
      </c>
      <c r="P52" s="103" t="s">
        <v>154</v>
      </c>
      <c r="Q52" s="103">
        <v>0</v>
      </c>
      <c r="R52" s="103">
        <v>0</v>
      </c>
      <c r="S52" s="103" t="s">
        <v>175</v>
      </c>
      <c r="T52" s="103"/>
      <c r="U52" s="103" t="b">
        <v>0</v>
      </c>
      <c r="V52" s="103"/>
      <c r="W52" s="103" t="b">
        <v>1</v>
      </c>
      <c r="X52" s="103" t="s">
        <v>863</v>
      </c>
      <c r="Y52" s="103" t="s">
        <v>153</v>
      </c>
      <c r="Z52" s="103" t="s">
        <v>864</v>
      </c>
      <c r="AA52" s="103" t="s">
        <v>1073</v>
      </c>
      <c r="AB52" s="103" t="s">
        <v>865</v>
      </c>
      <c r="AC52" s="103" t="s">
        <v>866</v>
      </c>
      <c r="AD52" s="103" t="str">
        <f>IF(ISNA(MATCH(AM52,'Measure &amp; Standard CostIDs'!$C$5:$C$177,0)),"",AM52)</f>
        <v/>
      </c>
      <c r="AE52" s="103" t="str">
        <f>IFERROR(INDEX('Measure &amp; Standard CostIDs'!$S$5:$S$177,MATCH(AM52&amp;AL52,'Measure &amp; Standard CostIDs'!$AB$5:$AB$177,0)),"")</f>
        <v/>
      </c>
      <c r="AF52" s="103" t="s">
        <v>1074</v>
      </c>
      <c r="AG52" s="103"/>
      <c r="AH52" s="103" t="s">
        <v>156</v>
      </c>
      <c r="AI52" s="103" t="s">
        <v>156</v>
      </c>
      <c r="AJ52" s="103" t="s">
        <v>309</v>
      </c>
      <c r="AK52" s="103" t="s">
        <v>150</v>
      </c>
      <c r="AL52" s="103" t="s">
        <v>150</v>
      </c>
      <c r="AM52" s="103" t="s">
        <v>308</v>
      </c>
      <c r="AN52" s="103" t="s">
        <v>1168</v>
      </c>
      <c r="AO52" s="103" t="s">
        <v>1076</v>
      </c>
      <c r="AP52" s="156">
        <v>42156</v>
      </c>
      <c r="AQ52" s="103"/>
      <c r="AR52" s="103" t="s">
        <v>870</v>
      </c>
      <c r="AS52" s="103" t="s">
        <v>1077</v>
      </c>
      <c r="AT52" s="103" t="s">
        <v>1078</v>
      </c>
      <c r="AU52" s="103"/>
      <c r="AV52" s="103"/>
    </row>
    <row r="53" spans="1:48">
      <c r="A53" s="103">
        <v>5864</v>
      </c>
      <c r="B53" s="103" t="s">
        <v>1169</v>
      </c>
      <c r="C53" s="103" t="s">
        <v>1067</v>
      </c>
      <c r="D53" s="103" t="s">
        <v>151</v>
      </c>
      <c r="E53" s="103" t="s">
        <v>1114</v>
      </c>
      <c r="F53" s="156"/>
      <c r="G53" s="103" t="s">
        <v>1070</v>
      </c>
      <c r="H53" s="103"/>
      <c r="I53" s="103"/>
      <c r="J53" s="103"/>
      <c r="K53" s="103"/>
      <c r="L53" s="103" t="s">
        <v>874</v>
      </c>
      <c r="M53" s="103" t="s">
        <v>1071</v>
      </c>
      <c r="N53" s="103" t="s">
        <v>1115</v>
      </c>
      <c r="O53" s="103" t="s">
        <v>1072</v>
      </c>
      <c r="P53" s="103" t="s">
        <v>154</v>
      </c>
      <c r="Q53" s="103">
        <v>0</v>
      </c>
      <c r="R53" s="103">
        <v>0</v>
      </c>
      <c r="S53" s="103" t="s">
        <v>175</v>
      </c>
      <c r="T53" s="103"/>
      <c r="U53" s="103" t="b">
        <v>0</v>
      </c>
      <c r="V53" s="103"/>
      <c r="W53" s="103" t="b">
        <v>1</v>
      </c>
      <c r="X53" s="103" t="s">
        <v>863</v>
      </c>
      <c r="Y53" s="103" t="s">
        <v>153</v>
      </c>
      <c r="Z53" s="103" t="s">
        <v>864</v>
      </c>
      <c r="AA53" s="103" t="s">
        <v>1073</v>
      </c>
      <c r="AB53" s="103" t="s">
        <v>865</v>
      </c>
      <c r="AC53" s="103" t="s">
        <v>866</v>
      </c>
      <c r="AD53" s="103" t="str">
        <f>IF(ISNA(MATCH(AM53,'Measure &amp; Standard CostIDs'!$C$5:$C$177,0)),"",AM53)</f>
        <v/>
      </c>
      <c r="AE53" s="103" t="str">
        <f>IFERROR(INDEX('Measure &amp; Standard CostIDs'!$S$5:$S$177,MATCH(AM53&amp;AL53,'Measure &amp; Standard CostIDs'!$AB$5:$AB$177,0)),"")</f>
        <v/>
      </c>
      <c r="AF53" s="103" t="s">
        <v>1074</v>
      </c>
      <c r="AG53" s="103"/>
      <c r="AH53" s="103" t="s">
        <v>156</v>
      </c>
      <c r="AI53" s="103" t="s">
        <v>156</v>
      </c>
      <c r="AJ53" s="103" t="s">
        <v>311</v>
      </c>
      <c r="AK53" s="103" t="s">
        <v>150</v>
      </c>
      <c r="AL53" s="103" t="s">
        <v>150</v>
      </c>
      <c r="AM53" s="103" t="s">
        <v>310</v>
      </c>
      <c r="AN53" s="103" t="s">
        <v>1170</v>
      </c>
      <c r="AO53" s="103" t="s">
        <v>1117</v>
      </c>
      <c r="AP53" s="156">
        <v>42370</v>
      </c>
      <c r="AQ53" s="103"/>
      <c r="AR53" s="103" t="s">
        <v>870</v>
      </c>
      <c r="AS53" s="103" t="s">
        <v>1118</v>
      </c>
      <c r="AT53" s="103" t="s">
        <v>1078</v>
      </c>
      <c r="AU53" s="103"/>
      <c r="AV53" s="103"/>
    </row>
    <row r="54" spans="1:48">
      <c r="A54" s="103">
        <v>5865</v>
      </c>
      <c r="B54" s="103" t="s">
        <v>1171</v>
      </c>
      <c r="C54" s="103" t="s">
        <v>1067</v>
      </c>
      <c r="D54" s="103" t="s">
        <v>151</v>
      </c>
      <c r="E54" s="103" t="s">
        <v>1114</v>
      </c>
      <c r="F54" s="156"/>
      <c r="G54" s="103" t="s">
        <v>1070</v>
      </c>
      <c r="H54" s="103"/>
      <c r="I54" s="103"/>
      <c r="J54" s="103"/>
      <c r="K54" s="103"/>
      <c r="L54" s="103" t="s">
        <v>874</v>
      </c>
      <c r="M54" s="103" t="s">
        <v>1071</v>
      </c>
      <c r="N54" s="103" t="s">
        <v>1115</v>
      </c>
      <c r="O54" s="103" t="s">
        <v>1072</v>
      </c>
      <c r="P54" s="103" t="s">
        <v>154</v>
      </c>
      <c r="Q54" s="103">
        <v>0</v>
      </c>
      <c r="R54" s="103">
        <v>0</v>
      </c>
      <c r="S54" s="103" t="s">
        <v>175</v>
      </c>
      <c r="T54" s="103"/>
      <c r="U54" s="103" t="b">
        <v>0</v>
      </c>
      <c r="V54" s="103"/>
      <c r="W54" s="103" t="b">
        <v>1</v>
      </c>
      <c r="X54" s="103" t="s">
        <v>863</v>
      </c>
      <c r="Y54" s="103" t="s">
        <v>153</v>
      </c>
      <c r="Z54" s="103" t="s">
        <v>864</v>
      </c>
      <c r="AA54" s="103" t="s">
        <v>1073</v>
      </c>
      <c r="AB54" s="103" t="s">
        <v>865</v>
      </c>
      <c r="AC54" s="103" t="s">
        <v>866</v>
      </c>
      <c r="AD54" s="103" t="str">
        <f>IF(ISNA(MATCH(AM54,'Measure &amp; Standard CostIDs'!$C$5:$C$177,0)),"",AM54)</f>
        <v/>
      </c>
      <c r="AE54" s="103" t="str">
        <f>IFERROR(INDEX('Measure &amp; Standard CostIDs'!$S$5:$S$177,MATCH(AM54&amp;AL54,'Measure &amp; Standard CostIDs'!$AB$5:$AB$177,0)),"")</f>
        <v/>
      </c>
      <c r="AF54" s="103" t="s">
        <v>1074</v>
      </c>
      <c r="AG54" s="103"/>
      <c r="AH54" s="103" t="s">
        <v>156</v>
      </c>
      <c r="AI54" s="103" t="s">
        <v>156</v>
      </c>
      <c r="AJ54" s="103" t="s">
        <v>313</v>
      </c>
      <c r="AK54" s="103" t="s">
        <v>150</v>
      </c>
      <c r="AL54" s="103" t="s">
        <v>150</v>
      </c>
      <c r="AM54" s="103" t="s">
        <v>312</v>
      </c>
      <c r="AN54" s="103" t="s">
        <v>1172</v>
      </c>
      <c r="AO54" s="103" t="s">
        <v>1117</v>
      </c>
      <c r="AP54" s="156">
        <v>42370</v>
      </c>
      <c r="AQ54" s="103"/>
      <c r="AR54" s="103" t="s">
        <v>870</v>
      </c>
      <c r="AS54" s="103" t="s">
        <v>1118</v>
      </c>
      <c r="AT54" s="103" t="s">
        <v>1078</v>
      </c>
      <c r="AU54" s="103"/>
      <c r="AV54" s="103"/>
    </row>
    <row r="55" spans="1:48">
      <c r="A55" s="103">
        <v>5866</v>
      </c>
      <c r="B55" s="103" t="s">
        <v>1173</v>
      </c>
      <c r="C55" s="103" t="s">
        <v>1067</v>
      </c>
      <c r="D55" s="103" t="s">
        <v>151</v>
      </c>
      <c r="E55" s="103" t="s">
        <v>1114</v>
      </c>
      <c r="F55" s="156"/>
      <c r="G55" s="103" t="s">
        <v>1070</v>
      </c>
      <c r="H55" s="103"/>
      <c r="I55" s="103"/>
      <c r="J55" s="103"/>
      <c r="K55" s="103"/>
      <c r="L55" s="103" t="s">
        <v>874</v>
      </c>
      <c r="M55" s="103" t="s">
        <v>1071</v>
      </c>
      <c r="N55" s="103" t="s">
        <v>1115</v>
      </c>
      <c r="O55" s="103" t="s">
        <v>1072</v>
      </c>
      <c r="P55" s="103" t="s">
        <v>154</v>
      </c>
      <c r="Q55" s="103">
        <v>0</v>
      </c>
      <c r="R55" s="103">
        <v>0</v>
      </c>
      <c r="S55" s="103" t="s">
        <v>175</v>
      </c>
      <c r="T55" s="103"/>
      <c r="U55" s="103" t="b">
        <v>0</v>
      </c>
      <c r="V55" s="103"/>
      <c r="W55" s="103" t="b">
        <v>1</v>
      </c>
      <c r="X55" s="103" t="s">
        <v>863</v>
      </c>
      <c r="Y55" s="103" t="s">
        <v>153</v>
      </c>
      <c r="Z55" s="103" t="s">
        <v>864</v>
      </c>
      <c r="AA55" s="103" t="s">
        <v>1073</v>
      </c>
      <c r="AB55" s="103" t="s">
        <v>865</v>
      </c>
      <c r="AC55" s="103" t="s">
        <v>866</v>
      </c>
      <c r="AD55" s="103" t="str">
        <f>IF(ISNA(MATCH(AM55,'Measure &amp; Standard CostIDs'!$C$5:$C$177,0)),"",AM55)</f>
        <v/>
      </c>
      <c r="AE55" s="103" t="str">
        <f>IFERROR(INDEX('Measure &amp; Standard CostIDs'!$S$5:$S$177,MATCH(AM55&amp;AL55,'Measure &amp; Standard CostIDs'!$AB$5:$AB$177,0)),"")</f>
        <v/>
      </c>
      <c r="AF55" s="103" t="s">
        <v>1074</v>
      </c>
      <c r="AG55" s="103"/>
      <c r="AH55" s="103" t="s">
        <v>156</v>
      </c>
      <c r="AI55" s="103" t="s">
        <v>156</v>
      </c>
      <c r="AJ55" s="103" t="s">
        <v>315</v>
      </c>
      <c r="AK55" s="103" t="s">
        <v>150</v>
      </c>
      <c r="AL55" s="103" t="s">
        <v>150</v>
      </c>
      <c r="AM55" s="103" t="s">
        <v>314</v>
      </c>
      <c r="AN55" s="103" t="s">
        <v>1174</v>
      </c>
      <c r="AO55" s="103" t="s">
        <v>1117</v>
      </c>
      <c r="AP55" s="156">
        <v>42370</v>
      </c>
      <c r="AQ55" s="103"/>
      <c r="AR55" s="103" t="s">
        <v>870</v>
      </c>
      <c r="AS55" s="103" t="s">
        <v>1118</v>
      </c>
      <c r="AT55" s="103" t="s">
        <v>1078</v>
      </c>
      <c r="AU55" s="103"/>
      <c r="AV55" s="103"/>
    </row>
    <row r="56" spans="1:48">
      <c r="A56" s="103">
        <v>5867</v>
      </c>
      <c r="B56" s="103" t="s">
        <v>1175</v>
      </c>
      <c r="C56" s="103" t="s">
        <v>1067</v>
      </c>
      <c r="D56" s="103" t="s">
        <v>151</v>
      </c>
      <c r="E56" s="103" t="s">
        <v>1114</v>
      </c>
      <c r="F56" s="156"/>
      <c r="G56" s="103" t="s">
        <v>1070</v>
      </c>
      <c r="H56" s="103"/>
      <c r="I56" s="103"/>
      <c r="J56" s="103"/>
      <c r="K56" s="103"/>
      <c r="L56" s="103" t="s">
        <v>874</v>
      </c>
      <c r="M56" s="103" t="s">
        <v>1071</v>
      </c>
      <c r="N56" s="103" t="s">
        <v>1115</v>
      </c>
      <c r="O56" s="103" t="s">
        <v>1072</v>
      </c>
      <c r="P56" s="103" t="s">
        <v>154</v>
      </c>
      <c r="Q56" s="103">
        <v>0</v>
      </c>
      <c r="R56" s="103">
        <v>0</v>
      </c>
      <c r="S56" s="103" t="s">
        <v>175</v>
      </c>
      <c r="T56" s="103"/>
      <c r="U56" s="103" t="b">
        <v>0</v>
      </c>
      <c r="V56" s="103"/>
      <c r="W56" s="103" t="b">
        <v>1</v>
      </c>
      <c r="X56" s="103" t="s">
        <v>863</v>
      </c>
      <c r="Y56" s="103" t="s">
        <v>153</v>
      </c>
      <c r="Z56" s="103" t="s">
        <v>864</v>
      </c>
      <c r="AA56" s="103" t="s">
        <v>1073</v>
      </c>
      <c r="AB56" s="103" t="s">
        <v>865</v>
      </c>
      <c r="AC56" s="103" t="s">
        <v>866</v>
      </c>
      <c r="AD56" s="103" t="str">
        <f>IF(ISNA(MATCH(AM56,'Measure &amp; Standard CostIDs'!$C$5:$C$177,0)),"",AM56)</f>
        <v/>
      </c>
      <c r="AE56" s="103" t="str">
        <f>IFERROR(INDEX('Measure &amp; Standard CostIDs'!$S$5:$S$177,MATCH(AM56&amp;AL56,'Measure &amp; Standard CostIDs'!$AB$5:$AB$177,0)),"")</f>
        <v/>
      </c>
      <c r="AF56" s="103" t="s">
        <v>1074</v>
      </c>
      <c r="AG56" s="103"/>
      <c r="AH56" s="103" t="s">
        <v>156</v>
      </c>
      <c r="AI56" s="103" t="s">
        <v>156</v>
      </c>
      <c r="AJ56" s="103" t="s">
        <v>317</v>
      </c>
      <c r="AK56" s="103" t="s">
        <v>150</v>
      </c>
      <c r="AL56" s="103" t="s">
        <v>150</v>
      </c>
      <c r="AM56" s="103" t="s">
        <v>316</v>
      </c>
      <c r="AN56" s="103" t="s">
        <v>1176</v>
      </c>
      <c r="AO56" s="103" t="s">
        <v>1117</v>
      </c>
      <c r="AP56" s="156">
        <v>42370</v>
      </c>
      <c r="AQ56" s="103"/>
      <c r="AR56" s="103" t="s">
        <v>870</v>
      </c>
      <c r="AS56" s="103" t="s">
        <v>1118</v>
      </c>
      <c r="AT56" s="103" t="s">
        <v>1078</v>
      </c>
      <c r="AU56" s="103"/>
      <c r="AV56" s="103"/>
    </row>
    <row r="57" spans="1:48">
      <c r="A57" s="103">
        <v>5868</v>
      </c>
      <c r="B57" s="103" t="s">
        <v>1177</v>
      </c>
      <c r="C57" s="103" t="s">
        <v>1067</v>
      </c>
      <c r="D57" s="103" t="s">
        <v>151</v>
      </c>
      <c r="E57" s="103" t="s">
        <v>1114</v>
      </c>
      <c r="F57" s="156"/>
      <c r="G57" s="103" t="s">
        <v>1070</v>
      </c>
      <c r="H57" s="103"/>
      <c r="I57" s="103"/>
      <c r="J57" s="103"/>
      <c r="K57" s="103"/>
      <c r="L57" s="103" t="s">
        <v>874</v>
      </c>
      <c r="M57" s="103" t="s">
        <v>1071</v>
      </c>
      <c r="N57" s="103" t="s">
        <v>1115</v>
      </c>
      <c r="O57" s="103" t="s">
        <v>1072</v>
      </c>
      <c r="P57" s="103" t="s">
        <v>154</v>
      </c>
      <c r="Q57" s="103">
        <v>0</v>
      </c>
      <c r="R57" s="103">
        <v>0</v>
      </c>
      <c r="S57" s="103" t="s">
        <v>175</v>
      </c>
      <c r="T57" s="103"/>
      <c r="U57" s="103" t="b">
        <v>0</v>
      </c>
      <c r="V57" s="103"/>
      <c r="W57" s="103" t="b">
        <v>1</v>
      </c>
      <c r="X57" s="103" t="s">
        <v>863</v>
      </c>
      <c r="Y57" s="103" t="s">
        <v>153</v>
      </c>
      <c r="Z57" s="103" t="s">
        <v>864</v>
      </c>
      <c r="AA57" s="103" t="s">
        <v>1073</v>
      </c>
      <c r="AB57" s="103" t="s">
        <v>865</v>
      </c>
      <c r="AC57" s="103" t="s">
        <v>866</v>
      </c>
      <c r="AD57" s="103" t="str">
        <f>IF(ISNA(MATCH(AM57,'Measure &amp; Standard CostIDs'!$C$5:$C$177,0)),"",AM57)</f>
        <v/>
      </c>
      <c r="AE57" s="103" t="str">
        <f>IFERROR(INDEX('Measure &amp; Standard CostIDs'!$S$5:$S$177,MATCH(AM57&amp;AL57,'Measure &amp; Standard CostIDs'!$AB$5:$AB$177,0)),"")</f>
        <v/>
      </c>
      <c r="AF57" s="103" t="s">
        <v>1074</v>
      </c>
      <c r="AG57" s="103"/>
      <c r="AH57" s="103" t="s">
        <v>156</v>
      </c>
      <c r="AI57" s="103" t="s">
        <v>156</v>
      </c>
      <c r="AJ57" s="103" t="s">
        <v>319</v>
      </c>
      <c r="AK57" s="103" t="s">
        <v>150</v>
      </c>
      <c r="AL57" s="103" t="s">
        <v>150</v>
      </c>
      <c r="AM57" s="103" t="s">
        <v>318</v>
      </c>
      <c r="AN57" s="103" t="s">
        <v>1178</v>
      </c>
      <c r="AO57" s="103" t="s">
        <v>1117</v>
      </c>
      <c r="AP57" s="156">
        <v>42370</v>
      </c>
      <c r="AQ57" s="103"/>
      <c r="AR57" s="103" t="s">
        <v>870</v>
      </c>
      <c r="AS57" s="103" t="s">
        <v>1118</v>
      </c>
      <c r="AT57" s="103" t="s">
        <v>1078</v>
      </c>
      <c r="AU57" s="103"/>
      <c r="AV57" s="103"/>
    </row>
    <row r="58" spans="1:48">
      <c r="A58" s="103">
        <v>5763</v>
      </c>
      <c r="B58" s="103" t="s">
        <v>1179</v>
      </c>
      <c r="C58" s="103" t="s">
        <v>1067</v>
      </c>
      <c r="D58" s="103" t="s">
        <v>1068</v>
      </c>
      <c r="E58" s="103" t="s">
        <v>1069</v>
      </c>
      <c r="F58" s="156"/>
      <c r="G58" s="103" t="s">
        <v>1070</v>
      </c>
      <c r="H58" s="103"/>
      <c r="I58" s="103"/>
      <c r="J58" s="103"/>
      <c r="K58" s="103"/>
      <c r="L58" s="103" t="s">
        <v>874</v>
      </c>
      <c r="M58" s="103" t="s">
        <v>1071</v>
      </c>
      <c r="N58" s="103" t="s">
        <v>871</v>
      </c>
      <c r="O58" s="103" t="s">
        <v>1072</v>
      </c>
      <c r="P58" s="103" t="s">
        <v>154</v>
      </c>
      <c r="Q58" s="103">
        <v>0</v>
      </c>
      <c r="R58" s="103">
        <v>0</v>
      </c>
      <c r="S58" s="103" t="s">
        <v>175</v>
      </c>
      <c r="T58" s="103"/>
      <c r="U58" s="103" t="b">
        <v>0</v>
      </c>
      <c r="V58" s="103"/>
      <c r="W58" s="103" t="b">
        <v>1</v>
      </c>
      <c r="X58" s="103" t="s">
        <v>863</v>
      </c>
      <c r="Y58" s="103" t="s">
        <v>153</v>
      </c>
      <c r="Z58" s="103" t="s">
        <v>864</v>
      </c>
      <c r="AA58" s="103" t="s">
        <v>1073</v>
      </c>
      <c r="AB58" s="103" t="s">
        <v>865</v>
      </c>
      <c r="AC58" s="103" t="s">
        <v>866</v>
      </c>
      <c r="AD58" s="103" t="str">
        <f>IF(ISNA(MATCH(AM58,'Measure &amp; Standard CostIDs'!$C$5:$C$177,0)),"",AM58)</f>
        <v>CFLscw-Candle(7w)</v>
      </c>
      <c r="AE58" s="103" t="str">
        <f>IFERROR(INDEX('Measure &amp; Standard CostIDs'!$S$5:$S$177,MATCH(AM58&amp;AL58,'Measure &amp; Standard CostIDs'!$AB$5:$AB$177,0)),"")</f>
        <v>Std_CFLscw-Candle(7w)_60pInc-r0248</v>
      </c>
      <c r="AF58" s="103" t="s">
        <v>1074</v>
      </c>
      <c r="AG58" s="103"/>
      <c r="AH58" s="103" t="s">
        <v>156</v>
      </c>
      <c r="AI58" s="103" t="s">
        <v>156</v>
      </c>
      <c r="AJ58" s="103" t="s">
        <v>321</v>
      </c>
      <c r="AK58" s="103" t="s">
        <v>150</v>
      </c>
      <c r="AL58" s="103" t="s">
        <v>150</v>
      </c>
      <c r="AM58" s="103" t="s">
        <v>320</v>
      </c>
      <c r="AN58" s="103" t="s">
        <v>1180</v>
      </c>
      <c r="AO58" s="103" t="s">
        <v>1076</v>
      </c>
      <c r="AP58" s="156">
        <v>42156</v>
      </c>
      <c r="AQ58" s="103"/>
      <c r="AR58" s="103" t="s">
        <v>870</v>
      </c>
      <c r="AS58" s="103" t="s">
        <v>1077</v>
      </c>
      <c r="AT58" s="103" t="s">
        <v>1078</v>
      </c>
      <c r="AU58" s="103"/>
      <c r="AV58" s="103"/>
    </row>
    <row r="59" spans="1:48">
      <c r="A59" s="103">
        <v>5764</v>
      </c>
      <c r="B59" s="103" t="s">
        <v>1181</v>
      </c>
      <c r="C59" s="103" t="s">
        <v>1067</v>
      </c>
      <c r="D59" s="103" t="s">
        <v>1068</v>
      </c>
      <c r="E59" s="103" t="s">
        <v>1069</v>
      </c>
      <c r="F59" s="156"/>
      <c r="G59" s="103" t="s">
        <v>1070</v>
      </c>
      <c r="H59" s="103"/>
      <c r="I59" s="103"/>
      <c r="J59" s="103"/>
      <c r="K59" s="103"/>
      <c r="L59" s="103" t="s">
        <v>874</v>
      </c>
      <c r="M59" s="103" t="s">
        <v>1071</v>
      </c>
      <c r="N59" s="103" t="s">
        <v>871</v>
      </c>
      <c r="O59" s="103" t="s">
        <v>1072</v>
      </c>
      <c r="P59" s="103" t="s">
        <v>154</v>
      </c>
      <c r="Q59" s="103">
        <v>0</v>
      </c>
      <c r="R59" s="103">
        <v>0</v>
      </c>
      <c r="S59" s="103" t="s">
        <v>175</v>
      </c>
      <c r="T59" s="103"/>
      <c r="U59" s="103" t="b">
        <v>0</v>
      </c>
      <c r="V59" s="103"/>
      <c r="W59" s="103" t="b">
        <v>1</v>
      </c>
      <c r="X59" s="103" t="s">
        <v>863</v>
      </c>
      <c r="Y59" s="103" t="s">
        <v>153</v>
      </c>
      <c r="Z59" s="103" t="s">
        <v>864</v>
      </c>
      <c r="AA59" s="103" t="s">
        <v>1073</v>
      </c>
      <c r="AB59" s="103" t="s">
        <v>865</v>
      </c>
      <c r="AC59" s="103" t="s">
        <v>866</v>
      </c>
      <c r="AD59" s="103" t="str">
        <f>IF(ISNA(MATCH(AM59,'Measure &amp; Standard CostIDs'!$C$5:$C$177,0)),"",AM59)</f>
        <v>CFLscw-Candle(8w)</v>
      </c>
      <c r="AE59" s="103" t="str">
        <f>IFERROR(INDEX('Measure &amp; Standard CostIDs'!$S$5:$S$177,MATCH(AM59&amp;AL59,'Measure &amp; Standard CostIDs'!$AB$5:$AB$177,0)),"")</f>
        <v>Std_CFLscw-Candle(8w)_60pInc-r0248</v>
      </c>
      <c r="AF59" s="103" t="s">
        <v>1074</v>
      </c>
      <c r="AG59" s="103"/>
      <c r="AH59" s="103" t="s">
        <v>156</v>
      </c>
      <c r="AI59" s="103" t="s">
        <v>156</v>
      </c>
      <c r="AJ59" s="103" t="s">
        <v>323</v>
      </c>
      <c r="AK59" s="103" t="s">
        <v>150</v>
      </c>
      <c r="AL59" s="103" t="s">
        <v>150</v>
      </c>
      <c r="AM59" s="103" t="s">
        <v>322</v>
      </c>
      <c r="AN59" s="103" t="s">
        <v>1182</v>
      </c>
      <c r="AO59" s="103" t="s">
        <v>1076</v>
      </c>
      <c r="AP59" s="156">
        <v>42156</v>
      </c>
      <c r="AQ59" s="103"/>
      <c r="AR59" s="103" t="s">
        <v>870</v>
      </c>
      <c r="AS59" s="103" t="s">
        <v>1077</v>
      </c>
      <c r="AT59" s="103" t="s">
        <v>1078</v>
      </c>
      <c r="AU59" s="103"/>
      <c r="AV59" s="103"/>
    </row>
    <row r="60" spans="1:48">
      <c r="A60" s="103">
        <v>5765</v>
      </c>
      <c r="B60" s="103" t="s">
        <v>1183</v>
      </c>
      <c r="C60" s="103" t="s">
        <v>1067</v>
      </c>
      <c r="D60" s="103" t="s">
        <v>1068</v>
      </c>
      <c r="E60" s="103" t="s">
        <v>1069</v>
      </c>
      <c r="F60" s="156"/>
      <c r="G60" s="103" t="s">
        <v>1070</v>
      </c>
      <c r="H60" s="103"/>
      <c r="I60" s="103"/>
      <c r="J60" s="103"/>
      <c r="K60" s="103"/>
      <c r="L60" s="103" t="s">
        <v>874</v>
      </c>
      <c r="M60" s="103" t="s">
        <v>1071</v>
      </c>
      <c r="N60" s="103" t="s">
        <v>871</v>
      </c>
      <c r="O60" s="103" t="s">
        <v>1072</v>
      </c>
      <c r="P60" s="103" t="s">
        <v>154</v>
      </c>
      <c r="Q60" s="103">
        <v>0</v>
      </c>
      <c r="R60" s="103">
        <v>0</v>
      </c>
      <c r="S60" s="103" t="s">
        <v>175</v>
      </c>
      <c r="T60" s="103"/>
      <c r="U60" s="103" t="b">
        <v>0</v>
      </c>
      <c r="V60" s="103"/>
      <c r="W60" s="103" t="b">
        <v>1</v>
      </c>
      <c r="X60" s="103" t="s">
        <v>863</v>
      </c>
      <c r="Y60" s="103" t="s">
        <v>153</v>
      </c>
      <c r="Z60" s="103" t="s">
        <v>864</v>
      </c>
      <c r="AA60" s="103" t="s">
        <v>1073</v>
      </c>
      <c r="AB60" s="103" t="s">
        <v>865</v>
      </c>
      <c r="AC60" s="103" t="s">
        <v>866</v>
      </c>
      <c r="AD60" s="103" t="str">
        <f>IF(ISNA(MATCH(AM60,'Measure &amp; Standard CostIDs'!$C$5:$C$177,0)),"",AM60)</f>
        <v>CFLscw-Candle(9w)</v>
      </c>
      <c r="AE60" s="103" t="str">
        <f>IFERROR(INDEX('Measure &amp; Standard CostIDs'!$S$5:$S$177,MATCH(AM60&amp;AL60,'Measure &amp; Standard CostIDs'!$AB$5:$AB$177,0)),"")</f>
        <v>Std_CFLscw-Candle(9w)_60pInc-r0248</v>
      </c>
      <c r="AF60" s="103" t="s">
        <v>1074</v>
      </c>
      <c r="AG60" s="103"/>
      <c r="AH60" s="103" t="s">
        <v>156</v>
      </c>
      <c r="AI60" s="103" t="s">
        <v>156</v>
      </c>
      <c r="AJ60" s="103" t="s">
        <v>325</v>
      </c>
      <c r="AK60" s="103" t="s">
        <v>150</v>
      </c>
      <c r="AL60" s="103" t="s">
        <v>150</v>
      </c>
      <c r="AM60" s="103" t="s">
        <v>324</v>
      </c>
      <c r="AN60" s="103" t="s">
        <v>1184</v>
      </c>
      <c r="AO60" s="103" t="s">
        <v>1076</v>
      </c>
      <c r="AP60" s="156">
        <v>42156</v>
      </c>
      <c r="AQ60" s="103"/>
      <c r="AR60" s="103" t="s">
        <v>870</v>
      </c>
      <c r="AS60" s="103" t="s">
        <v>1077</v>
      </c>
      <c r="AT60" s="103" t="s">
        <v>1078</v>
      </c>
      <c r="AU60" s="103"/>
      <c r="AV60" s="103"/>
    </row>
    <row r="61" spans="1:48">
      <c r="A61" s="103">
        <v>5766</v>
      </c>
      <c r="B61" s="103" t="s">
        <v>1185</v>
      </c>
      <c r="C61" s="103" t="s">
        <v>1067</v>
      </c>
      <c r="D61" s="103" t="s">
        <v>1068</v>
      </c>
      <c r="E61" s="103" t="s">
        <v>1069</v>
      </c>
      <c r="F61" s="156"/>
      <c r="G61" s="103" t="s">
        <v>1070</v>
      </c>
      <c r="H61" s="103"/>
      <c r="I61" s="103"/>
      <c r="J61" s="103"/>
      <c r="K61" s="103"/>
      <c r="L61" s="103" t="s">
        <v>874</v>
      </c>
      <c r="M61" s="103" t="s">
        <v>1071</v>
      </c>
      <c r="N61" s="103" t="s">
        <v>871</v>
      </c>
      <c r="O61" s="103" t="s">
        <v>1072</v>
      </c>
      <c r="P61" s="103" t="s">
        <v>154</v>
      </c>
      <c r="Q61" s="103">
        <v>0</v>
      </c>
      <c r="R61" s="103">
        <v>0</v>
      </c>
      <c r="S61" s="103" t="s">
        <v>175</v>
      </c>
      <c r="T61" s="103"/>
      <c r="U61" s="103" t="b">
        <v>0</v>
      </c>
      <c r="V61" s="103"/>
      <c r="W61" s="103" t="b">
        <v>1</v>
      </c>
      <c r="X61" s="103" t="s">
        <v>863</v>
      </c>
      <c r="Y61" s="103" t="s">
        <v>153</v>
      </c>
      <c r="Z61" s="103" t="s">
        <v>864</v>
      </c>
      <c r="AA61" s="103" t="s">
        <v>1073</v>
      </c>
      <c r="AB61" s="103" t="s">
        <v>865</v>
      </c>
      <c r="AC61" s="103" t="s">
        <v>866</v>
      </c>
      <c r="AD61" s="103" t="str">
        <f>IF(ISNA(MATCH(AM61,'Measure &amp; Standard CostIDs'!$C$5:$C$177,0)),"",AM61)</f>
        <v/>
      </c>
      <c r="AE61" s="103" t="str">
        <f>IFERROR(INDEX('Measure &amp; Standard CostIDs'!$S$5:$S$177,MATCH(AM61&amp;AL61,'Measure &amp; Standard CostIDs'!$AB$5:$AB$177,0)),"")</f>
        <v/>
      </c>
      <c r="AF61" s="103" t="s">
        <v>1074</v>
      </c>
      <c r="AG61" s="103"/>
      <c r="AH61" s="103" t="s">
        <v>156</v>
      </c>
      <c r="AI61" s="103" t="s">
        <v>156</v>
      </c>
      <c r="AJ61" s="103" t="s">
        <v>337</v>
      </c>
      <c r="AK61" s="103" t="s">
        <v>150</v>
      </c>
      <c r="AL61" s="103" t="s">
        <v>150</v>
      </c>
      <c r="AM61" s="103" t="s">
        <v>336</v>
      </c>
      <c r="AN61" s="103" t="s">
        <v>1186</v>
      </c>
      <c r="AO61" s="103" t="s">
        <v>1076</v>
      </c>
      <c r="AP61" s="156">
        <v>42156</v>
      </c>
      <c r="AQ61" s="103"/>
      <c r="AR61" s="103" t="s">
        <v>870</v>
      </c>
      <c r="AS61" s="103" t="s">
        <v>1077</v>
      </c>
      <c r="AT61" s="103" t="s">
        <v>1078</v>
      </c>
      <c r="AU61" s="103"/>
      <c r="AV61" s="103"/>
    </row>
    <row r="62" spans="1:48">
      <c r="A62" s="103">
        <v>4961</v>
      </c>
      <c r="B62" s="103" t="s">
        <v>1187</v>
      </c>
      <c r="C62" s="103" t="s">
        <v>1188</v>
      </c>
      <c r="D62" s="103" t="s">
        <v>1189</v>
      </c>
      <c r="E62" s="103" t="s">
        <v>1190</v>
      </c>
      <c r="F62" s="156"/>
      <c r="G62" s="103" t="s">
        <v>1070</v>
      </c>
      <c r="H62" s="103"/>
      <c r="I62" s="103"/>
      <c r="J62" s="103"/>
      <c r="K62" s="103"/>
      <c r="L62" s="103" t="s">
        <v>874</v>
      </c>
      <c r="M62" s="103" t="s">
        <v>1071</v>
      </c>
      <c r="N62" s="103" t="s">
        <v>871</v>
      </c>
      <c r="O62" s="103" t="s">
        <v>1072</v>
      </c>
      <c r="P62" s="103" t="s">
        <v>1191</v>
      </c>
      <c r="Q62" s="103">
        <v>0</v>
      </c>
      <c r="R62" s="103">
        <v>0</v>
      </c>
      <c r="S62" s="103" t="s">
        <v>175</v>
      </c>
      <c r="T62" s="103"/>
      <c r="U62" s="103" t="b">
        <v>0</v>
      </c>
      <c r="V62" s="103"/>
      <c r="W62" s="103" t="b">
        <v>1</v>
      </c>
      <c r="X62" s="103" t="s">
        <v>863</v>
      </c>
      <c r="Y62" s="103" t="s">
        <v>153</v>
      </c>
      <c r="Z62" s="103" t="s">
        <v>864</v>
      </c>
      <c r="AA62" s="103" t="s">
        <v>1073</v>
      </c>
      <c r="AB62" s="103" t="s">
        <v>865</v>
      </c>
      <c r="AC62" s="103" t="s">
        <v>866</v>
      </c>
      <c r="AD62" s="103" t="str">
        <f>IF(ISNA(MATCH(AM62,'Measure &amp; Standard CostIDs'!$C$5:$C$177,0)),"",AM62)</f>
        <v/>
      </c>
      <c r="AE62" s="103" t="str">
        <f>IFERROR(INDEX('Measure &amp; Standard CostIDs'!$S$5:$S$177,MATCH(AM62&amp;AL62,'Measure &amp; Standard CostIDs'!$AB$5:$AB$177,0)),"")</f>
        <v/>
      </c>
      <c r="AF62" s="103" t="s">
        <v>1074</v>
      </c>
      <c r="AG62" s="103" t="s">
        <v>1192</v>
      </c>
      <c r="AH62" s="103" t="s">
        <v>1193</v>
      </c>
      <c r="AI62" s="103" t="s">
        <v>1193</v>
      </c>
      <c r="AJ62" s="103" t="s">
        <v>337</v>
      </c>
      <c r="AK62" s="103" t="s">
        <v>1194</v>
      </c>
      <c r="AL62" s="103" t="s">
        <v>1194</v>
      </c>
      <c r="AM62" s="103" t="s">
        <v>336</v>
      </c>
      <c r="AN62" s="103"/>
      <c r="AO62" s="103" t="s">
        <v>175</v>
      </c>
      <c r="AP62" s="156">
        <v>41943</v>
      </c>
      <c r="AQ62" s="103"/>
      <c r="AR62" s="103" t="s">
        <v>1195</v>
      </c>
      <c r="AS62" s="103" t="s">
        <v>871</v>
      </c>
      <c r="AT62" s="103" t="s">
        <v>1078</v>
      </c>
      <c r="AU62" s="103" t="s">
        <v>1196</v>
      </c>
      <c r="AV62" s="103"/>
    </row>
    <row r="63" spans="1:48">
      <c r="A63" s="103">
        <v>5767</v>
      </c>
      <c r="B63" s="103" t="s">
        <v>1197</v>
      </c>
      <c r="C63" s="103" t="s">
        <v>1067</v>
      </c>
      <c r="D63" s="103" t="s">
        <v>1068</v>
      </c>
      <c r="E63" s="103" t="s">
        <v>1069</v>
      </c>
      <c r="F63" s="156"/>
      <c r="G63" s="103" t="s">
        <v>1070</v>
      </c>
      <c r="H63" s="103"/>
      <c r="I63" s="103"/>
      <c r="J63" s="103"/>
      <c r="K63" s="103"/>
      <c r="L63" s="103" t="s">
        <v>874</v>
      </c>
      <c r="M63" s="103" t="s">
        <v>1071</v>
      </c>
      <c r="N63" s="103" t="s">
        <v>871</v>
      </c>
      <c r="O63" s="103" t="s">
        <v>1072</v>
      </c>
      <c r="P63" s="103" t="s">
        <v>154</v>
      </c>
      <c r="Q63" s="103">
        <v>0</v>
      </c>
      <c r="R63" s="103">
        <v>0</v>
      </c>
      <c r="S63" s="103" t="s">
        <v>175</v>
      </c>
      <c r="T63" s="103"/>
      <c r="U63" s="103" t="b">
        <v>0</v>
      </c>
      <c r="V63" s="103"/>
      <c r="W63" s="103" t="b">
        <v>1</v>
      </c>
      <c r="X63" s="103" t="s">
        <v>863</v>
      </c>
      <c r="Y63" s="103" t="s">
        <v>153</v>
      </c>
      <c r="Z63" s="103" t="s">
        <v>864</v>
      </c>
      <c r="AA63" s="103" t="s">
        <v>1073</v>
      </c>
      <c r="AB63" s="103" t="s">
        <v>865</v>
      </c>
      <c r="AC63" s="103" t="s">
        <v>866</v>
      </c>
      <c r="AD63" s="103" t="str">
        <f>IF(ISNA(MATCH(AM63,'Measure &amp; Standard CostIDs'!$C$5:$C$177,0)),"",AM63)</f>
        <v/>
      </c>
      <c r="AE63" s="103" t="str">
        <f>IFERROR(INDEX('Measure &amp; Standard CostIDs'!$S$5:$S$177,MATCH(AM63&amp;AL63,'Measure &amp; Standard CostIDs'!$AB$5:$AB$177,0)),"")</f>
        <v/>
      </c>
      <c r="AF63" s="103" t="s">
        <v>1074</v>
      </c>
      <c r="AG63" s="103"/>
      <c r="AH63" s="103" t="s">
        <v>156</v>
      </c>
      <c r="AI63" s="103" t="s">
        <v>156</v>
      </c>
      <c r="AJ63" s="103" t="s">
        <v>339</v>
      </c>
      <c r="AK63" s="103" t="s">
        <v>150</v>
      </c>
      <c r="AL63" s="103" t="s">
        <v>150</v>
      </c>
      <c r="AM63" s="103" t="s">
        <v>338</v>
      </c>
      <c r="AN63" s="103" t="s">
        <v>1198</v>
      </c>
      <c r="AO63" s="103" t="s">
        <v>1076</v>
      </c>
      <c r="AP63" s="156">
        <v>42156</v>
      </c>
      <c r="AQ63" s="103"/>
      <c r="AR63" s="103" t="s">
        <v>870</v>
      </c>
      <c r="AS63" s="103" t="s">
        <v>1077</v>
      </c>
      <c r="AT63" s="103" t="s">
        <v>1078</v>
      </c>
      <c r="AU63" s="103"/>
      <c r="AV63" s="103"/>
    </row>
    <row r="64" spans="1:48">
      <c r="A64" s="103">
        <v>5869</v>
      </c>
      <c r="B64" s="103" t="s">
        <v>1199</v>
      </c>
      <c r="C64" s="103" t="s">
        <v>1067</v>
      </c>
      <c r="D64" s="103" t="s">
        <v>151</v>
      </c>
      <c r="E64" s="103" t="s">
        <v>1114</v>
      </c>
      <c r="F64" s="156"/>
      <c r="G64" s="103" t="s">
        <v>1070</v>
      </c>
      <c r="H64" s="103"/>
      <c r="I64" s="103"/>
      <c r="J64" s="103"/>
      <c r="K64" s="103"/>
      <c r="L64" s="103" t="s">
        <v>874</v>
      </c>
      <c r="M64" s="103" t="s">
        <v>1071</v>
      </c>
      <c r="N64" s="103" t="s">
        <v>1115</v>
      </c>
      <c r="O64" s="103" t="s">
        <v>1072</v>
      </c>
      <c r="P64" s="103" t="s">
        <v>154</v>
      </c>
      <c r="Q64" s="103">
        <v>0</v>
      </c>
      <c r="R64" s="103">
        <v>0</v>
      </c>
      <c r="S64" s="103" t="s">
        <v>175</v>
      </c>
      <c r="T64" s="103"/>
      <c r="U64" s="103" t="b">
        <v>0</v>
      </c>
      <c r="V64" s="103"/>
      <c r="W64" s="103" t="b">
        <v>1</v>
      </c>
      <c r="X64" s="103" t="s">
        <v>863</v>
      </c>
      <c r="Y64" s="103" t="s">
        <v>153</v>
      </c>
      <c r="Z64" s="103" t="s">
        <v>864</v>
      </c>
      <c r="AA64" s="103" t="s">
        <v>1073</v>
      </c>
      <c r="AB64" s="103" t="s">
        <v>865</v>
      </c>
      <c r="AC64" s="103" t="s">
        <v>866</v>
      </c>
      <c r="AD64" s="103" t="str">
        <f>IF(ISNA(MATCH(AM64,'Measure &amp; Standard CostIDs'!$C$5:$C$177,0)),"",AM64)</f>
        <v/>
      </c>
      <c r="AE64" s="103" t="str">
        <f>IFERROR(INDEX('Measure &amp; Standard CostIDs'!$S$5:$S$177,MATCH(AM64&amp;AL64,'Measure &amp; Standard CostIDs'!$AB$5:$AB$177,0)),"")</f>
        <v/>
      </c>
      <c r="AF64" s="103" t="s">
        <v>1074</v>
      </c>
      <c r="AG64" s="103"/>
      <c r="AH64" s="103" t="s">
        <v>156</v>
      </c>
      <c r="AI64" s="103" t="s">
        <v>156</v>
      </c>
      <c r="AJ64" s="103" t="s">
        <v>341</v>
      </c>
      <c r="AK64" s="103" t="s">
        <v>150</v>
      </c>
      <c r="AL64" s="103" t="s">
        <v>150</v>
      </c>
      <c r="AM64" s="103" t="s">
        <v>340</v>
      </c>
      <c r="AN64" s="103" t="s">
        <v>1200</v>
      </c>
      <c r="AO64" s="103" t="s">
        <v>1117</v>
      </c>
      <c r="AP64" s="156">
        <v>42370</v>
      </c>
      <c r="AQ64" s="103"/>
      <c r="AR64" s="103" t="s">
        <v>870</v>
      </c>
      <c r="AS64" s="103" t="s">
        <v>1118</v>
      </c>
      <c r="AT64" s="103" t="s">
        <v>1078</v>
      </c>
      <c r="AU64" s="103"/>
      <c r="AV64" s="103"/>
    </row>
    <row r="65" spans="1:48">
      <c r="A65" s="103">
        <v>4965</v>
      </c>
      <c r="B65" s="103" t="s">
        <v>1201</v>
      </c>
      <c r="C65" s="103" t="s">
        <v>1188</v>
      </c>
      <c r="D65" s="103" t="s">
        <v>1189</v>
      </c>
      <c r="E65" s="103" t="s">
        <v>1190</v>
      </c>
      <c r="F65" s="156"/>
      <c r="G65" s="103" t="s">
        <v>1070</v>
      </c>
      <c r="H65" s="103"/>
      <c r="I65" s="103"/>
      <c r="J65" s="103"/>
      <c r="K65" s="103"/>
      <c r="L65" s="103" t="s">
        <v>874</v>
      </c>
      <c r="M65" s="103" t="s">
        <v>1071</v>
      </c>
      <c r="N65" s="103" t="s">
        <v>1115</v>
      </c>
      <c r="O65" s="103" t="s">
        <v>1072</v>
      </c>
      <c r="P65" s="103" t="s">
        <v>1191</v>
      </c>
      <c r="Q65" s="103">
        <v>0</v>
      </c>
      <c r="R65" s="103">
        <v>0</v>
      </c>
      <c r="S65" s="103" t="s">
        <v>175</v>
      </c>
      <c r="T65" s="103"/>
      <c r="U65" s="103" t="b">
        <v>0</v>
      </c>
      <c r="V65" s="103"/>
      <c r="W65" s="103" t="b">
        <v>1</v>
      </c>
      <c r="X65" s="103" t="s">
        <v>863</v>
      </c>
      <c r="Y65" s="103" t="s">
        <v>153</v>
      </c>
      <c r="Z65" s="103" t="s">
        <v>864</v>
      </c>
      <c r="AA65" s="103" t="s">
        <v>1073</v>
      </c>
      <c r="AB65" s="103" t="s">
        <v>865</v>
      </c>
      <c r="AC65" s="103" t="s">
        <v>866</v>
      </c>
      <c r="AD65" s="103" t="str">
        <f>IF(ISNA(MATCH(AM65,'Measure &amp; Standard CostIDs'!$C$5:$C$177,0)),"",AM65)</f>
        <v/>
      </c>
      <c r="AE65" s="103" t="str">
        <f>IFERROR(INDEX('Measure &amp; Standard CostIDs'!$S$5:$S$177,MATCH(AM65&amp;AL65,'Measure &amp; Standard CostIDs'!$AB$5:$AB$177,0)),"")</f>
        <v/>
      </c>
      <c r="AF65" s="103" t="s">
        <v>1074</v>
      </c>
      <c r="AG65" s="103" t="s">
        <v>1192</v>
      </c>
      <c r="AH65" s="103" t="s">
        <v>1202</v>
      </c>
      <c r="AI65" s="103" t="s">
        <v>1202</v>
      </c>
      <c r="AJ65" s="103" t="s">
        <v>341</v>
      </c>
      <c r="AK65" s="103" t="s">
        <v>1203</v>
      </c>
      <c r="AL65" s="103" t="s">
        <v>1203</v>
      </c>
      <c r="AM65" s="103" t="s">
        <v>340</v>
      </c>
      <c r="AN65" s="103"/>
      <c r="AO65" s="103" t="s">
        <v>175</v>
      </c>
      <c r="AP65" s="156">
        <v>41943</v>
      </c>
      <c r="AQ65" s="103"/>
      <c r="AR65" s="103" t="s">
        <v>1195</v>
      </c>
      <c r="AS65" s="103" t="s">
        <v>871</v>
      </c>
      <c r="AT65" s="103" t="s">
        <v>1078</v>
      </c>
      <c r="AU65" s="103" t="s">
        <v>1204</v>
      </c>
      <c r="AV65" s="103"/>
    </row>
    <row r="66" spans="1:48">
      <c r="A66" s="103">
        <v>5870</v>
      </c>
      <c r="B66" s="103" t="s">
        <v>1205</v>
      </c>
      <c r="C66" s="103" t="s">
        <v>1067</v>
      </c>
      <c r="D66" s="103" t="s">
        <v>151</v>
      </c>
      <c r="E66" s="103" t="s">
        <v>1114</v>
      </c>
      <c r="F66" s="156"/>
      <c r="G66" s="103" t="s">
        <v>1070</v>
      </c>
      <c r="H66" s="103"/>
      <c r="I66" s="103"/>
      <c r="J66" s="103"/>
      <c r="K66" s="103"/>
      <c r="L66" s="103" t="s">
        <v>874</v>
      </c>
      <c r="M66" s="103" t="s">
        <v>1071</v>
      </c>
      <c r="N66" s="103" t="s">
        <v>1115</v>
      </c>
      <c r="O66" s="103" t="s">
        <v>1072</v>
      </c>
      <c r="P66" s="103" t="s">
        <v>154</v>
      </c>
      <c r="Q66" s="103">
        <v>0</v>
      </c>
      <c r="R66" s="103">
        <v>0</v>
      </c>
      <c r="S66" s="103" t="s">
        <v>175</v>
      </c>
      <c r="T66" s="103"/>
      <c r="U66" s="103" t="b">
        <v>0</v>
      </c>
      <c r="V66" s="103"/>
      <c r="W66" s="103" t="b">
        <v>1</v>
      </c>
      <c r="X66" s="103" t="s">
        <v>863</v>
      </c>
      <c r="Y66" s="103" t="s">
        <v>153</v>
      </c>
      <c r="Z66" s="103" t="s">
        <v>864</v>
      </c>
      <c r="AA66" s="103" t="s">
        <v>1073</v>
      </c>
      <c r="AB66" s="103" t="s">
        <v>865</v>
      </c>
      <c r="AC66" s="103" t="s">
        <v>866</v>
      </c>
      <c r="AD66" s="103" t="str">
        <f>IF(ISNA(MATCH(AM66,'Measure &amp; Standard CostIDs'!$C$5:$C$177,0)),"",AM66)</f>
        <v/>
      </c>
      <c r="AE66" s="103" t="str">
        <f>IFERROR(INDEX('Measure &amp; Standard CostIDs'!$S$5:$S$177,MATCH(AM66&amp;AL66,'Measure &amp; Standard CostIDs'!$AB$5:$AB$177,0)),"")</f>
        <v/>
      </c>
      <c r="AF66" s="103" t="s">
        <v>1074</v>
      </c>
      <c r="AG66" s="103"/>
      <c r="AH66" s="103" t="s">
        <v>156</v>
      </c>
      <c r="AI66" s="103" t="s">
        <v>156</v>
      </c>
      <c r="AJ66" s="103" t="s">
        <v>343</v>
      </c>
      <c r="AK66" s="103" t="s">
        <v>150</v>
      </c>
      <c r="AL66" s="103" t="s">
        <v>150</v>
      </c>
      <c r="AM66" s="103" t="s">
        <v>342</v>
      </c>
      <c r="AN66" s="103" t="s">
        <v>1206</v>
      </c>
      <c r="AO66" s="103" t="s">
        <v>1117</v>
      </c>
      <c r="AP66" s="156">
        <v>42370</v>
      </c>
      <c r="AQ66" s="103"/>
      <c r="AR66" s="103" t="s">
        <v>870</v>
      </c>
      <c r="AS66" s="103" t="s">
        <v>1118</v>
      </c>
      <c r="AT66" s="103" t="s">
        <v>1078</v>
      </c>
      <c r="AU66" s="103"/>
      <c r="AV66" s="103"/>
    </row>
    <row r="67" spans="1:48">
      <c r="A67" s="103">
        <v>5871</v>
      </c>
      <c r="B67" s="103" t="s">
        <v>1207</v>
      </c>
      <c r="C67" s="103" t="s">
        <v>1067</v>
      </c>
      <c r="D67" s="103" t="s">
        <v>151</v>
      </c>
      <c r="E67" s="103" t="s">
        <v>1114</v>
      </c>
      <c r="F67" s="156"/>
      <c r="G67" s="103" t="s">
        <v>1070</v>
      </c>
      <c r="H67" s="103"/>
      <c r="I67" s="103"/>
      <c r="J67" s="103"/>
      <c r="K67" s="103"/>
      <c r="L67" s="103" t="s">
        <v>874</v>
      </c>
      <c r="M67" s="103" t="s">
        <v>1071</v>
      </c>
      <c r="N67" s="103" t="s">
        <v>1115</v>
      </c>
      <c r="O67" s="103" t="s">
        <v>1072</v>
      </c>
      <c r="P67" s="103" t="s">
        <v>154</v>
      </c>
      <c r="Q67" s="103">
        <v>0</v>
      </c>
      <c r="R67" s="103">
        <v>0</v>
      </c>
      <c r="S67" s="103" t="s">
        <v>175</v>
      </c>
      <c r="T67" s="103"/>
      <c r="U67" s="103" t="b">
        <v>0</v>
      </c>
      <c r="V67" s="103"/>
      <c r="W67" s="103" t="b">
        <v>1</v>
      </c>
      <c r="X67" s="103" t="s">
        <v>863</v>
      </c>
      <c r="Y67" s="103" t="s">
        <v>153</v>
      </c>
      <c r="Z67" s="103" t="s">
        <v>864</v>
      </c>
      <c r="AA67" s="103" t="s">
        <v>1073</v>
      </c>
      <c r="AB67" s="103" t="s">
        <v>865</v>
      </c>
      <c r="AC67" s="103" t="s">
        <v>866</v>
      </c>
      <c r="AD67" s="103" t="str">
        <f>IF(ISNA(MATCH(AM67,'Measure &amp; Standard CostIDs'!$C$5:$C$177,0)),"",AM67)</f>
        <v/>
      </c>
      <c r="AE67" s="103" t="str">
        <f>IFERROR(INDEX('Measure &amp; Standard CostIDs'!$S$5:$S$177,MATCH(AM67&amp;AL67,'Measure &amp; Standard CostIDs'!$AB$5:$AB$177,0)),"")</f>
        <v/>
      </c>
      <c r="AF67" s="103" t="s">
        <v>1074</v>
      </c>
      <c r="AG67" s="103"/>
      <c r="AH67" s="103" t="s">
        <v>156</v>
      </c>
      <c r="AI67" s="103" t="s">
        <v>156</v>
      </c>
      <c r="AJ67" s="103" t="s">
        <v>345</v>
      </c>
      <c r="AK67" s="103" t="s">
        <v>150</v>
      </c>
      <c r="AL67" s="103" t="s">
        <v>150</v>
      </c>
      <c r="AM67" s="103" t="s">
        <v>344</v>
      </c>
      <c r="AN67" s="103" t="s">
        <v>1208</v>
      </c>
      <c r="AO67" s="103" t="s">
        <v>1117</v>
      </c>
      <c r="AP67" s="156">
        <v>42370</v>
      </c>
      <c r="AQ67" s="103"/>
      <c r="AR67" s="103" t="s">
        <v>870</v>
      </c>
      <c r="AS67" s="103" t="s">
        <v>1118</v>
      </c>
      <c r="AT67" s="103" t="s">
        <v>1078</v>
      </c>
      <c r="AU67" s="103"/>
      <c r="AV67" s="103"/>
    </row>
    <row r="68" spans="1:48">
      <c r="A68" s="103">
        <v>5768</v>
      </c>
      <c r="B68" s="103" t="s">
        <v>1209</v>
      </c>
      <c r="C68" s="103" t="s">
        <v>1067</v>
      </c>
      <c r="D68" s="103" t="s">
        <v>1068</v>
      </c>
      <c r="E68" s="103" t="s">
        <v>1069</v>
      </c>
      <c r="F68" s="156"/>
      <c r="G68" s="103" t="s">
        <v>1070</v>
      </c>
      <c r="H68" s="103"/>
      <c r="I68" s="103"/>
      <c r="J68" s="103"/>
      <c r="K68" s="103"/>
      <c r="L68" s="103" t="s">
        <v>874</v>
      </c>
      <c r="M68" s="103" t="s">
        <v>1071</v>
      </c>
      <c r="N68" s="103" t="s">
        <v>871</v>
      </c>
      <c r="O68" s="103" t="s">
        <v>1072</v>
      </c>
      <c r="P68" s="103" t="s">
        <v>154</v>
      </c>
      <c r="Q68" s="103">
        <v>0</v>
      </c>
      <c r="R68" s="103">
        <v>0</v>
      </c>
      <c r="S68" s="103" t="s">
        <v>175</v>
      </c>
      <c r="T68" s="103"/>
      <c r="U68" s="103" t="b">
        <v>0</v>
      </c>
      <c r="V68" s="103"/>
      <c r="W68" s="103" t="b">
        <v>1</v>
      </c>
      <c r="X68" s="103" t="s">
        <v>863</v>
      </c>
      <c r="Y68" s="103" t="s">
        <v>153</v>
      </c>
      <c r="Z68" s="103" t="s">
        <v>864</v>
      </c>
      <c r="AA68" s="103" t="s">
        <v>1073</v>
      </c>
      <c r="AB68" s="103" t="s">
        <v>865</v>
      </c>
      <c r="AC68" s="103" t="s">
        <v>866</v>
      </c>
      <c r="AD68" s="103" t="str">
        <f>IF(ISNA(MATCH(AM68,'Measure &amp; Standard CostIDs'!$C$5:$C$177,0)),"",AM68)</f>
        <v>CFLscw-Glb(10w)</v>
      </c>
      <c r="AE68" s="103" t="str">
        <f>IFERROR(INDEX('Measure &amp; Standard CostIDs'!$S$5:$S$177,MATCH(AM68&amp;AL68,'Measure &amp; Standard CostIDs'!$AB$5:$AB$177,0)),"")</f>
        <v>Std_CFLscw-Glb(10w)_60pInc-r0248</v>
      </c>
      <c r="AF68" s="103" t="s">
        <v>1074</v>
      </c>
      <c r="AG68" s="103"/>
      <c r="AH68" s="103" t="s">
        <v>156</v>
      </c>
      <c r="AI68" s="103" t="s">
        <v>156</v>
      </c>
      <c r="AJ68" s="103" t="s">
        <v>450</v>
      </c>
      <c r="AK68" s="103" t="s">
        <v>150</v>
      </c>
      <c r="AL68" s="103" t="s">
        <v>150</v>
      </c>
      <c r="AM68" s="103" t="s">
        <v>448</v>
      </c>
      <c r="AN68" s="103" t="s">
        <v>1210</v>
      </c>
      <c r="AO68" s="103" t="s">
        <v>1076</v>
      </c>
      <c r="AP68" s="156">
        <v>42156</v>
      </c>
      <c r="AQ68" s="103"/>
      <c r="AR68" s="103" t="s">
        <v>870</v>
      </c>
      <c r="AS68" s="103" t="s">
        <v>1077</v>
      </c>
      <c r="AT68" s="103" t="s">
        <v>1078</v>
      </c>
      <c r="AU68" s="103"/>
      <c r="AV68" s="103"/>
    </row>
    <row r="69" spans="1:48">
      <c r="A69" s="103">
        <v>5769</v>
      </c>
      <c r="B69" s="103" t="s">
        <v>1211</v>
      </c>
      <c r="C69" s="103" t="s">
        <v>1067</v>
      </c>
      <c r="D69" s="103" t="s">
        <v>1068</v>
      </c>
      <c r="E69" s="103" t="s">
        <v>1069</v>
      </c>
      <c r="F69" s="156"/>
      <c r="G69" s="103" t="s">
        <v>1070</v>
      </c>
      <c r="H69" s="103"/>
      <c r="I69" s="103"/>
      <c r="J69" s="103"/>
      <c r="K69" s="103"/>
      <c r="L69" s="103" t="s">
        <v>874</v>
      </c>
      <c r="M69" s="103" t="s">
        <v>1071</v>
      </c>
      <c r="N69" s="103" t="s">
        <v>871</v>
      </c>
      <c r="O69" s="103" t="s">
        <v>1072</v>
      </c>
      <c r="P69" s="103" t="s">
        <v>154</v>
      </c>
      <c r="Q69" s="103">
        <v>0</v>
      </c>
      <c r="R69" s="103">
        <v>0</v>
      </c>
      <c r="S69" s="103" t="s">
        <v>175</v>
      </c>
      <c r="T69" s="103"/>
      <c r="U69" s="103" t="b">
        <v>0</v>
      </c>
      <c r="V69" s="103"/>
      <c r="W69" s="103" t="b">
        <v>1</v>
      </c>
      <c r="X69" s="103" t="s">
        <v>863</v>
      </c>
      <c r="Y69" s="103" t="s">
        <v>153</v>
      </c>
      <c r="Z69" s="103" t="s">
        <v>864</v>
      </c>
      <c r="AA69" s="103" t="s">
        <v>1073</v>
      </c>
      <c r="AB69" s="103" t="s">
        <v>865</v>
      </c>
      <c r="AC69" s="103" t="s">
        <v>866</v>
      </c>
      <c r="AD69" s="103" t="str">
        <f>IF(ISNA(MATCH(AM69,'Measure &amp; Standard CostIDs'!$C$5:$C$177,0)),"",AM69)</f>
        <v>CFLscw-Glb(11w)</v>
      </c>
      <c r="AE69" s="103" t="str">
        <f>IFERROR(INDEX('Measure &amp; Standard CostIDs'!$S$5:$S$177,MATCH(AM69&amp;AL69,'Measure &amp; Standard CostIDs'!$AB$5:$AB$177,0)),"")</f>
        <v>Std_CFLscw-Glb(11w)_60pInc-r0248</v>
      </c>
      <c r="AF69" s="103" t="s">
        <v>1074</v>
      </c>
      <c r="AG69" s="103"/>
      <c r="AH69" s="103" t="s">
        <v>156</v>
      </c>
      <c r="AI69" s="103" t="s">
        <v>156</v>
      </c>
      <c r="AJ69" s="103" t="s">
        <v>452</v>
      </c>
      <c r="AK69" s="103" t="s">
        <v>150</v>
      </c>
      <c r="AL69" s="103" t="s">
        <v>150</v>
      </c>
      <c r="AM69" s="103" t="s">
        <v>451</v>
      </c>
      <c r="AN69" s="103" t="s">
        <v>1212</v>
      </c>
      <c r="AO69" s="103" t="s">
        <v>1076</v>
      </c>
      <c r="AP69" s="156">
        <v>42156</v>
      </c>
      <c r="AQ69" s="103"/>
      <c r="AR69" s="103" t="s">
        <v>870</v>
      </c>
      <c r="AS69" s="103" t="s">
        <v>1077</v>
      </c>
      <c r="AT69" s="103" t="s">
        <v>1078</v>
      </c>
      <c r="AU69" s="103"/>
      <c r="AV69" s="103"/>
    </row>
    <row r="70" spans="1:48">
      <c r="A70" s="103">
        <v>5770</v>
      </c>
      <c r="B70" s="103" t="s">
        <v>1213</v>
      </c>
      <c r="C70" s="103" t="s">
        <v>1067</v>
      </c>
      <c r="D70" s="103" t="s">
        <v>1068</v>
      </c>
      <c r="E70" s="103" t="s">
        <v>1069</v>
      </c>
      <c r="F70" s="156"/>
      <c r="G70" s="103" t="s">
        <v>1070</v>
      </c>
      <c r="H70" s="103"/>
      <c r="I70" s="103"/>
      <c r="J70" s="103"/>
      <c r="K70" s="103"/>
      <c r="L70" s="103" t="s">
        <v>874</v>
      </c>
      <c r="M70" s="103" t="s">
        <v>1071</v>
      </c>
      <c r="N70" s="103" t="s">
        <v>871</v>
      </c>
      <c r="O70" s="103" t="s">
        <v>1072</v>
      </c>
      <c r="P70" s="103" t="s">
        <v>154</v>
      </c>
      <c r="Q70" s="103">
        <v>0</v>
      </c>
      <c r="R70" s="103">
        <v>0</v>
      </c>
      <c r="S70" s="103" t="s">
        <v>175</v>
      </c>
      <c r="T70" s="103"/>
      <c r="U70" s="103" t="b">
        <v>0</v>
      </c>
      <c r="V70" s="103"/>
      <c r="W70" s="103" t="b">
        <v>1</v>
      </c>
      <c r="X70" s="103" t="s">
        <v>863</v>
      </c>
      <c r="Y70" s="103" t="s">
        <v>153</v>
      </c>
      <c r="Z70" s="103" t="s">
        <v>864</v>
      </c>
      <c r="AA70" s="103" t="s">
        <v>1073</v>
      </c>
      <c r="AB70" s="103" t="s">
        <v>865</v>
      </c>
      <c r="AC70" s="103" t="s">
        <v>866</v>
      </c>
      <c r="AD70" s="103" t="str">
        <f>IF(ISNA(MATCH(AM70,'Measure &amp; Standard CostIDs'!$C$5:$C$177,0)),"",AM70)</f>
        <v>CFLscw-Glb(12w)</v>
      </c>
      <c r="AE70" s="103" t="str">
        <f>IFERROR(INDEX('Measure &amp; Standard CostIDs'!$S$5:$S$177,MATCH(AM70&amp;AL70,'Measure &amp; Standard CostIDs'!$AB$5:$AB$177,0)),"")</f>
        <v>Std_CFLscw-Glb(12w)_60pInc-r0248</v>
      </c>
      <c r="AF70" s="103" t="s">
        <v>1074</v>
      </c>
      <c r="AG70" s="103"/>
      <c r="AH70" s="103" t="s">
        <v>156</v>
      </c>
      <c r="AI70" s="103" t="s">
        <v>156</v>
      </c>
      <c r="AJ70" s="103" t="s">
        <v>454</v>
      </c>
      <c r="AK70" s="103" t="s">
        <v>150</v>
      </c>
      <c r="AL70" s="103" t="s">
        <v>150</v>
      </c>
      <c r="AM70" s="103" t="s">
        <v>453</v>
      </c>
      <c r="AN70" s="103" t="s">
        <v>1214</v>
      </c>
      <c r="AO70" s="103" t="s">
        <v>1076</v>
      </c>
      <c r="AP70" s="156">
        <v>42156</v>
      </c>
      <c r="AQ70" s="103"/>
      <c r="AR70" s="103" t="s">
        <v>870</v>
      </c>
      <c r="AS70" s="103" t="s">
        <v>1077</v>
      </c>
      <c r="AT70" s="103" t="s">
        <v>1078</v>
      </c>
      <c r="AU70" s="103"/>
      <c r="AV70" s="103"/>
    </row>
    <row r="71" spans="1:48">
      <c r="A71" s="103">
        <v>5771</v>
      </c>
      <c r="B71" s="103" t="s">
        <v>1215</v>
      </c>
      <c r="C71" s="103" t="s">
        <v>1067</v>
      </c>
      <c r="D71" s="103" t="s">
        <v>1068</v>
      </c>
      <c r="E71" s="103" t="s">
        <v>1069</v>
      </c>
      <c r="F71" s="156"/>
      <c r="G71" s="103" t="s">
        <v>1070</v>
      </c>
      <c r="H71" s="103"/>
      <c r="I71" s="103"/>
      <c r="J71" s="103"/>
      <c r="K71" s="103"/>
      <c r="L71" s="103" t="s">
        <v>874</v>
      </c>
      <c r="M71" s="103" t="s">
        <v>1071</v>
      </c>
      <c r="N71" s="103" t="s">
        <v>871</v>
      </c>
      <c r="O71" s="103" t="s">
        <v>1072</v>
      </c>
      <c r="P71" s="103" t="s">
        <v>154</v>
      </c>
      <c r="Q71" s="103">
        <v>0</v>
      </c>
      <c r="R71" s="103">
        <v>0</v>
      </c>
      <c r="S71" s="103" t="s">
        <v>175</v>
      </c>
      <c r="T71" s="103"/>
      <c r="U71" s="103" t="b">
        <v>0</v>
      </c>
      <c r="V71" s="103"/>
      <c r="W71" s="103" t="b">
        <v>1</v>
      </c>
      <c r="X71" s="103" t="s">
        <v>863</v>
      </c>
      <c r="Y71" s="103" t="s">
        <v>153</v>
      </c>
      <c r="Z71" s="103" t="s">
        <v>864</v>
      </c>
      <c r="AA71" s="103" t="s">
        <v>1073</v>
      </c>
      <c r="AB71" s="103" t="s">
        <v>865</v>
      </c>
      <c r="AC71" s="103" t="s">
        <v>866</v>
      </c>
      <c r="AD71" s="103" t="str">
        <f>IF(ISNA(MATCH(AM71,'Measure &amp; Standard CostIDs'!$C$5:$C$177,0)),"",AM71)</f>
        <v>CFLscw-Glb(13w)</v>
      </c>
      <c r="AE71" s="103" t="str">
        <f>IFERROR(INDEX('Measure &amp; Standard CostIDs'!$S$5:$S$177,MATCH(AM71&amp;AL71,'Measure &amp; Standard CostIDs'!$AB$5:$AB$177,0)),"")</f>
        <v>Std_CFLscw-Glb(13w)_60pInc-r0248</v>
      </c>
      <c r="AF71" s="103" t="s">
        <v>1074</v>
      </c>
      <c r="AG71" s="103"/>
      <c r="AH71" s="103" t="s">
        <v>156</v>
      </c>
      <c r="AI71" s="103" t="s">
        <v>156</v>
      </c>
      <c r="AJ71" s="103" t="s">
        <v>456</v>
      </c>
      <c r="AK71" s="103" t="s">
        <v>150</v>
      </c>
      <c r="AL71" s="103" t="s">
        <v>150</v>
      </c>
      <c r="AM71" s="103" t="s">
        <v>455</v>
      </c>
      <c r="AN71" s="103" t="s">
        <v>1216</v>
      </c>
      <c r="AO71" s="103" t="s">
        <v>1076</v>
      </c>
      <c r="AP71" s="156">
        <v>42156</v>
      </c>
      <c r="AQ71" s="103"/>
      <c r="AR71" s="103" t="s">
        <v>870</v>
      </c>
      <c r="AS71" s="103" t="s">
        <v>1077</v>
      </c>
      <c r="AT71" s="103" t="s">
        <v>1078</v>
      </c>
      <c r="AU71" s="103"/>
      <c r="AV71" s="103"/>
    </row>
    <row r="72" spans="1:48">
      <c r="A72" s="103">
        <v>5772</v>
      </c>
      <c r="B72" s="103" t="s">
        <v>1217</v>
      </c>
      <c r="C72" s="103" t="s">
        <v>1067</v>
      </c>
      <c r="D72" s="103" t="s">
        <v>1068</v>
      </c>
      <c r="E72" s="103" t="s">
        <v>1069</v>
      </c>
      <c r="F72" s="156"/>
      <c r="G72" s="103" t="s">
        <v>1070</v>
      </c>
      <c r="H72" s="103"/>
      <c r="I72" s="103"/>
      <c r="J72" s="103"/>
      <c r="K72" s="103"/>
      <c r="L72" s="103" t="s">
        <v>874</v>
      </c>
      <c r="M72" s="103" t="s">
        <v>1071</v>
      </c>
      <c r="N72" s="103" t="s">
        <v>871</v>
      </c>
      <c r="O72" s="103" t="s">
        <v>1072</v>
      </c>
      <c r="P72" s="103" t="s">
        <v>154</v>
      </c>
      <c r="Q72" s="103">
        <v>0</v>
      </c>
      <c r="R72" s="103">
        <v>0</v>
      </c>
      <c r="S72" s="103" t="s">
        <v>175</v>
      </c>
      <c r="T72" s="103"/>
      <c r="U72" s="103" t="b">
        <v>0</v>
      </c>
      <c r="V72" s="103"/>
      <c r="W72" s="103" t="b">
        <v>1</v>
      </c>
      <c r="X72" s="103" t="s">
        <v>863</v>
      </c>
      <c r="Y72" s="103" t="s">
        <v>153</v>
      </c>
      <c r="Z72" s="103" t="s">
        <v>864</v>
      </c>
      <c r="AA72" s="103" t="s">
        <v>1073</v>
      </c>
      <c r="AB72" s="103" t="s">
        <v>865</v>
      </c>
      <c r="AC72" s="103" t="s">
        <v>866</v>
      </c>
      <c r="AD72" s="103" t="str">
        <f>IF(ISNA(MATCH(AM72,'Measure &amp; Standard CostIDs'!$C$5:$C$177,0)),"",AM72)</f>
        <v>CFLscw-Glb(14w)</v>
      </c>
      <c r="AE72" s="103" t="str">
        <f>IFERROR(INDEX('Measure &amp; Standard CostIDs'!$S$5:$S$177,MATCH(AM72&amp;AL72,'Measure &amp; Standard CostIDs'!$AB$5:$AB$177,0)),"")</f>
        <v>Std_CFLscw-Glb(14w)_60pInc-r0248</v>
      </c>
      <c r="AF72" s="103" t="s">
        <v>1074</v>
      </c>
      <c r="AG72" s="103"/>
      <c r="AH72" s="103" t="s">
        <v>156</v>
      </c>
      <c r="AI72" s="103" t="s">
        <v>156</v>
      </c>
      <c r="AJ72" s="103" t="s">
        <v>458</v>
      </c>
      <c r="AK72" s="103" t="s">
        <v>150</v>
      </c>
      <c r="AL72" s="103" t="s">
        <v>150</v>
      </c>
      <c r="AM72" s="103" t="s">
        <v>457</v>
      </c>
      <c r="AN72" s="103" t="s">
        <v>1218</v>
      </c>
      <c r="AO72" s="103" t="s">
        <v>1076</v>
      </c>
      <c r="AP72" s="156">
        <v>42156</v>
      </c>
      <c r="AQ72" s="103"/>
      <c r="AR72" s="103" t="s">
        <v>870</v>
      </c>
      <c r="AS72" s="103" t="s">
        <v>1077</v>
      </c>
      <c r="AT72" s="103" t="s">
        <v>1078</v>
      </c>
      <c r="AU72" s="103"/>
      <c r="AV72" s="103"/>
    </row>
    <row r="73" spans="1:48">
      <c r="A73" s="103">
        <v>5773</v>
      </c>
      <c r="B73" s="103" t="s">
        <v>1219</v>
      </c>
      <c r="C73" s="103" t="s">
        <v>1067</v>
      </c>
      <c r="D73" s="103" t="s">
        <v>1068</v>
      </c>
      <c r="E73" s="103" t="s">
        <v>1069</v>
      </c>
      <c r="F73" s="156"/>
      <c r="G73" s="103" t="s">
        <v>1070</v>
      </c>
      <c r="H73" s="103"/>
      <c r="I73" s="103"/>
      <c r="J73" s="103"/>
      <c r="K73" s="103"/>
      <c r="L73" s="103" t="s">
        <v>874</v>
      </c>
      <c r="M73" s="103" t="s">
        <v>1071</v>
      </c>
      <c r="N73" s="103" t="s">
        <v>871</v>
      </c>
      <c r="O73" s="103" t="s">
        <v>1072</v>
      </c>
      <c r="P73" s="103" t="s">
        <v>154</v>
      </c>
      <c r="Q73" s="103">
        <v>0</v>
      </c>
      <c r="R73" s="103">
        <v>0</v>
      </c>
      <c r="S73" s="103" t="s">
        <v>175</v>
      </c>
      <c r="T73" s="103"/>
      <c r="U73" s="103" t="b">
        <v>0</v>
      </c>
      <c r="V73" s="103"/>
      <c r="W73" s="103" t="b">
        <v>1</v>
      </c>
      <c r="X73" s="103" t="s">
        <v>863</v>
      </c>
      <c r="Y73" s="103" t="s">
        <v>153</v>
      </c>
      <c r="Z73" s="103" t="s">
        <v>864</v>
      </c>
      <c r="AA73" s="103" t="s">
        <v>1073</v>
      </c>
      <c r="AB73" s="103" t="s">
        <v>865</v>
      </c>
      <c r="AC73" s="103" t="s">
        <v>866</v>
      </c>
      <c r="AD73" s="103" t="str">
        <f>IF(ISNA(MATCH(AM73,'Measure &amp; Standard CostIDs'!$C$5:$C$177,0)),"",AM73)</f>
        <v>CFLscw-Glb(15w)</v>
      </c>
      <c r="AE73" s="103" t="str">
        <f>IFERROR(INDEX('Measure &amp; Standard CostIDs'!$S$5:$S$177,MATCH(AM73&amp;AL73,'Measure &amp; Standard CostIDs'!$AB$5:$AB$177,0)),"")</f>
        <v>Std_CFLscw-Glb(15w)_60pInc-r0248</v>
      </c>
      <c r="AF73" s="103" t="s">
        <v>1074</v>
      </c>
      <c r="AG73" s="103"/>
      <c r="AH73" s="103" t="s">
        <v>156</v>
      </c>
      <c r="AI73" s="103" t="s">
        <v>156</v>
      </c>
      <c r="AJ73" s="103" t="s">
        <v>460</v>
      </c>
      <c r="AK73" s="103" t="s">
        <v>150</v>
      </c>
      <c r="AL73" s="103" t="s">
        <v>150</v>
      </c>
      <c r="AM73" s="103" t="s">
        <v>459</v>
      </c>
      <c r="AN73" s="103" t="s">
        <v>1220</v>
      </c>
      <c r="AO73" s="103" t="s">
        <v>1076</v>
      </c>
      <c r="AP73" s="156">
        <v>42156</v>
      </c>
      <c r="AQ73" s="103"/>
      <c r="AR73" s="103" t="s">
        <v>870</v>
      </c>
      <c r="AS73" s="103" t="s">
        <v>1077</v>
      </c>
      <c r="AT73" s="103" t="s">
        <v>1078</v>
      </c>
      <c r="AU73" s="103"/>
      <c r="AV73" s="103"/>
    </row>
    <row r="74" spans="1:48">
      <c r="A74" s="103">
        <v>5774</v>
      </c>
      <c r="B74" s="103" t="s">
        <v>1221</v>
      </c>
      <c r="C74" s="103" t="s">
        <v>1067</v>
      </c>
      <c r="D74" s="103" t="s">
        <v>1068</v>
      </c>
      <c r="E74" s="103" t="s">
        <v>1069</v>
      </c>
      <c r="F74" s="156"/>
      <c r="G74" s="103" t="s">
        <v>1070</v>
      </c>
      <c r="H74" s="103"/>
      <c r="I74" s="103"/>
      <c r="J74" s="103"/>
      <c r="K74" s="103"/>
      <c r="L74" s="103" t="s">
        <v>874</v>
      </c>
      <c r="M74" s="103" t="s">
        <v>1071</v>
      </c>
      <c r="N74" s="103" t="s">
        <v>871</v>
      </c>
      <c r="O74" s="103" t="s">
        <v>1072</v>
      </c>
      <c r="P74" s="103" t="s">
        <v>154</v>
      </c>
      <c r="Q74" s="103">
        <v>0</v>
      </c>
      <c r="R74" s="103">
        <v>0</v>
      </c>
      <c r="S74" s="103" t="s">
        <v>175</v>
      </c>
      <c r="T74" s="103"/>
      <c r="U74" s="103" t="b">
        <v>0</v>
      </c>
      <c r="V74" s="103"/>
      <c r="W74" s="103" t="b">
        <v>1</v>
      </c>
      <c r="X74" s="103" t="s">
        <v>863</v>
      </c>
      <c r="Y74" s="103" t="s">
        <v>153</v>
      </c>
      <c r="Z74" s="103" t="s">
        <v>864</v>
      </c>
      <c r="AA74" s="103" t="s">
        <v>1073</v>
      </c>
      <c r="AB74" s="103" t="s">
        <v>865</v>
      </c>
      <c r="AC74" s="103" t="s">
        <v>866</v>
      </c>
      <c r="AD74" s="103" t="str">
        <f>IF(ISNA(MATCH(AM74,'Measure &amp; Standard CostIDs'!$C$5:$C$177,0)),"",AM74)</f>
        <v>CFLscw-Glb(16w)</v>
      </c>
      <c r="AE74" s="103" t="str">
        <f>IFERROR(INDEX('Measure &amp; Standard CostIDs'!$S$5:$S$177,MATCH(AM74&amp;AL74,'Measure &amp; Standard CostIDs'!$AB$5:$AB$177,0)),"")</f>
        <v>Std_CFLscw-Glb(16w)_60pInc-r0248</v>
      </c>
      <c r="AF74" s="103" t="s">
        <v>1074</v>
      </c>
      <c r="AG74" s="103"/>
      <c r="AH74" s="103" t="s">
        <v>156</v>
      </c>
      <c r="AI74" s="103" t="s">
        <v>156</v>
      </c>
      <c r="AJ74" s="103" t="s">
        <v>462</v>
      </c>
      <c r="AK74" s="103" t="s">
        <v>150</v>
      </c>
      <c r="AL74" s="103" t="s">
        <v>150</v>
      </c>
      <c r="AM74" s="103" t="s">
        <v>461</v>
      </c>
      <c r="AN74" s="103" t="s">
        <v>1222</v>
      </c>
      <c r="AO74" s="103" t="s">
        <v>1076</v>
      </c>
      <c r="AP74" s="156">
        <v>42156</v>
      </c>
      <c r="AQ74" s="103"/>
      <c r="AR74" s="103" t="s">
        <v>870</v>
      </c>
      <c r="AS74" s="103" t="s">
        <v>1077</v>
      </c>
      <c r="AT74" s="103" t="s">
        <v>1078</v>
      </c>
      <c r="AU74" s="103"/>
      <c r="AV74" s="103"/>
    </row>
    <row r="75" spans="1:48">
      <c r="A75" s="103">
        <v>5775</v>
      </c>
      <c r="B75" s="103" t="s">
        <v>1223</v>
      </c>
      <c r="C75" s="103" t="s">
        <v>1067</v>
      </c>
      <c r="D75" s="103" t="s">
        <v>1068</v>
      </c>
      <c r="E75" s="103" t="s">
        <v>1069</v>
      </c>
      <c r="F75" s="156"/>
      <c r="G75" s="103" t="s">
        <v>1070</v>
      </c>
      <c r="H75" s="103"/>
      <c r="I75" s="103"/>
      <c r="J75" s="103"/>
      <c r="K75" s="103"/>
      <c r="L75" s="103" t="s">
        <v>874</v>
      </c>
      <c r="M75" s="103" t="s">
        <v>1071</v>
      </c>
      <c r="N75" s="103" t="s">
        <v>871</v>
      </c>
      <c r="O75" s="103" t="s">
        <v>1072</v>
      </c>
      <c r="P75" s="103" t="s">
        <v>154</v>
      </c>
      <c r="Q75" s="103">
        <v>0</v>
      </c>
      <c r="R75" s="103">
        <v>0</v>
      </c>
      <c r="S75" s="103" t="s">
        <v>175</v>
      </c>
      <c r="T75" s="103"/>
      <c r="U75" s="103" t="b">
        <v>0</v>
      </c>
      <c r="V75" s="103"/>
      <c r="W75" s="103" t="b">
        <v>1</v>
      </c>
      <c r="X75" s="103" t="s">
        <v>863</v>
      </c>
      <c r="Y75" s="103" t="s">
        <v>153</v>
      </c>
      <c r="Z75" s="103" t="s">
        <v>864</v>
      </c>
      <c r="AA75" s="103" t="s">
        <v>1073</v>
      </c>
      <c r="AB75" s="103" t="s">
        <v>865</v>
      </c>
      <c r="AC75" s="103" t="s">
        <v>866</v>
      </c>
      <c r="AD75" s="103" t="str">
        <f>IF(ISNA(MATCH(AM75,'Measure &amp; Standard CostIDs'!$C$5:$C$177,0)),"",AM75)</f>
        <v>CFLscw-Glb(18w)</v>
      </c>
      <c r="AE75" s="103" t="str">
        <f>IFERROR(INDEX('Measure &amp; Standard CostIDs'!$S$5:$S$177,MATCH(AM75&amp;AL75,'Measure &amp; Standard CostIDs'!$AB$5:$AB$177,0)),"")</f>
        <v>Std_CFLscw-Glb(18w)_60pInc-r0248</v>
      </c>
      <c r="AF75" s="103" t="s">
        <v>1074</v>
      </c>
      <c r="AG75" s="103"/>
      <c r="AH75" s="103" t="s">
        <v>156</v>
      </c>
      <c r="AI75" s="103" t="s">
        <v>156</v>
      </c>
      <c r="AJ75" s="103" t="s">
        <v>464</v>
      </c>
      <c r="AK75" s="103" t="s">
        <v>150</v>
      </c>
      <c r="AL75" s="103" t="s">
        <v>150</v>
      </c>
      <c r="AM75" s="103" t="s">
        <v>463</v>
      </c>
      <c r="AN75" s="103" t="s">
        <v>1224</v>
      </c>
      <c r="AO75" s="103" t="s">
        <v>1076</v>
      </c>
      <c r="AP75" s="156">
        <v>42156</v>
      </c>
      <c r="AQ75" s="103"/>
      <c r="AR75" s="103" t="s">
        <v>870</v>
      </c>
      <c r="AS75" s="103" t="s">
        <v>1077</v>
      </c>
      <c r="AT75" s="103" t="s">
        <v>1078</v>
      </c>
      <c r="AU75" s="103"/>
      <c r="AV75" s="103"/>
    </row>
    <row r="76" spans="1:48">
      <c r="A76" s="103">
        <v>5776</v>
      </c>
      <c r="B76" s="103" t="s">
        <v>1225</v>
      </c>
      <c r="C76" s="103" t="s">
        <v>1067</v>
      </c>
      <c r="D76" s="103" t="s">
        <v>1068</v>
      </c>
      <c r="E76" s="103" t="s">
        <v>1069</v>
      </c>
      <c r="F76" s="156"/>
      <c r="G76" s="103" t="s">
        <v>1070</v>
      </c>
      <c r="H76" s="103"/>
      <c r="I76" s="103"/>
      <c r="J76" s="103"/>
      <c r="K76" s="103"/>
      <c r="L76" s="103" t="s">
        <v>874</v>
      </c>
      <c r="M76" s="103" t="s">
        <v>1071</v>
      </c>
      <c r="N76" s="103" t="s">
        <v>871</v>
      </c>
      <c r="O76" s="103" t="s">
        <v>1072</v>
      </c>
      <c r="P76" s="103" t="s">
        <v>154</v>
      </c>
      <c r="Q76" s="103">
        <v>0</v>
      </c>
      <c r="R76" s="103">
        <v>0</v>
      </c>
      <c r="S76" s="103" t="s">
        <v>175</v>
      </c>
      <c r="T76" s="103"/>
      <c r="U76" s="103" t="b">
        <v>0</v>
      </c>
      <c r="V76" s="103"/>
      <c r="W76" s="103" t="b">
        <v>1</v>
      </c>
      <c r="X76" s="103" t="s">
        <v>863</v>
      </c>
      <c r="Y76" s="103" t="s">
        <v>153</v>
      </c>
      <c r="Z76" s="103" t="s">
        <v>864</v>
      </c>
      <c r="AA76" s="103" t="s">
        <v>1073</v>
      </c>
      <c r="AB76" s="103" t="s">
        <v>865</v>
      </c>
      <c r="AC76" s="103" t="s">
        <v>866</v>
      </c>
      <c r="AD76" s="103" t="str">
        <f>IF(ISNA(MATCH(AM76,'Measure &amp; Standard CostIDs'!$C$5:$C$177,0)),"",AM76)</f>
        <v>CFLscw-Glb(19w)</v>
      </c>
      <c r="AE76" s="103" t="str">
        <f>IFERROR(INDEX('Measure &amp; Standard CostIDs'!$S$5:$S$177,MATCH(AM76&amp;AL76,'Measure &amp; Standard CostIDs'!$AB$5:$AB$177,0)),"")</f>
        <v>Std_CFLscw-Glb(19w)_60pInc-r0248</v>
      </c>
      <c r="AF76" s="103" t="s">
        <v>1074</v>
      </c>
      <c r="AG76" s="103"/>
      <c r="AH76" s="103" t="s">
        <v>156</v>
      </c>
      <c r="AI76" s="103" t="s">
        <v>156</v>
      </c>
      <c r="AJ76" s="103" t="s">
        <v>466</v>
      </c>
      <c r="AK76" s="103" t="s">
        <v>150</v>
      </c>
      <c r="AL76" s="103" t="s">
        <v>150</v>
      </c>
      <c r="AM76" s="103" t="s">
        <v>465</v>
      </c>
      <c r="AN76" s="103" t="s">
        <v>1226</v>
      </c>
      <c r="AO76" s="103" t="s">
        <v>1076</v>
      </c>
      <c r="AP76" s="156">
        <v>42156</v>
      </c>
      <c r="AQ76" s="103"/>
      <c r="AR76" s="103" t="s">
        <v>870</v>
      </c>
      <c r="AS76" s="103" t="s">
        <v>1077</v>
      </c>
      <c r="AT76" s="103" t="s">
        <v>1078</v>
      </c>
      <c r="AU76" s="103"/>
      <c r="AV76" s="103"/>
    </row>
    <row r="77" spans="1:48">
      <c r="A77" s="103">
        <v>5777</v>
      </c>
      <c r="B77" s="103" t="s">
        <v>1227</v>
      </c>
      <c r="C77" s="103" t="s">
        <v>1067</v>
      </c>
      <c r="D77" s="103" t="s">
        <v>1068</v>
      </c>
      <c r="E77" s="103" t="s">
        <v>1069</v>
      </c>
      <c r="F77" s="156"/>
      <c r="G77" s="103" t="s">
        <v>1070</v>
      </c>
      <c r="H77" s="103"/>
      <c r="I77" s="103"/>
      <c r="J77" s="103"/>
      <c r="K77" s="103"/>
      <c r="L77" s="103" t="s">
        <v>874</v>
      </c>
      <c r="M77" s="103" t="s">
        <v>1071</v>
      </c>
      <c r="N77" s="103" t="s">
        <v>871</v>
      </c>
      <c r="O77" s="103" t="s">
        <v>1072</v>
      </c>
      <c r="P77" s="103" t="s">
        <v>154</v>
      </c>
      <c r="Q77" s="103">
        <v>0</v>
      </c>
      <c r="R77" s="103">
        <v>0</v>
      </c>
      <c r="S77" s="103" t="s">
        <v>175</v>
      </c>
      <c r="T77" s="103"/>
      <c r="U77" s="103" t="b">
        <v>0</v>
      </c>
      <c r="V77" s="103"/>
      <c r="W77" s="103" t="b">
        <v>1</v>
      </c>
      <c r="X77" s="103" t="s">
        <v>863</v>
      </c>
      <c r="Y77" s="103" t="s">
        <v>153</v>
      </c>
      <c r="Z77" s="103" t="s">
        <v>864</v>
      </c>
      <c r="AA77" s="103" t="s">
        <v>1073</v>
      </c>
      <c r="AB77" s="103" t="s">
        <v>865</v>
      </c>
      <c r="AC77" s="103" t="s">
        <v>866</v>
      </c>
      <c r="AD77" s="103" t="str">
        <f>IF(ISNA(MATCH(AM77,'Measure &amp; Standard CostIDs'!$C$5:$C$177,0)),"",AM77)</f>
        <v>CFLscw-Glb(20w)</v>
      </c>
      <c r="AE77" s="103" t="str">
        <f>IFERROR(INDEX('Measure &amp; Standard CostIDs'!$S$5:$S$177,MATCH(AM77&amp;AL77,'Measure &amp; Standard CostIDs'!$AB$5:$AB$177,0)),"")</f>
        <v>Std_CFLscw-Glb(20w)_60pInc-r0248</v>
      </c>
      <c r="AF77" s="103" t="s">
        <v>1074</v>
      </c>
      <c r="AG77" s="103"/>
      <c r="AH77" s="103" t="s">
        <v>156</v>
      </c>
      <c r="AI77" s="103" t="s">
        <v>156</v>
      </c>
      <c r="AJ77" s="103" t="s">
        <v>468</v>
      </c>
      <c r="AK77" s="103" t="s">
        <v>150</v>
      </c>
      <c r="AL77" s="103" t="s">
        <v>150</v>
      </c>
      <c r="AM77" s="103" t="s">
        <v>467</v>
      </c>
      <c r="AN77" s="103" t="s">
        <v>1228</v>
      </c>
      <c r="AO77" s="103" t="s">
        <v>1076</v>
      </c>
      <c r="AP77" s="156">
        <v>42156</v>
      </c>
      <c r="AQ77" s="103"/>
      <c r="AR77" s="103" t="s">
        <v>870</v>
      </c>
      <c r="AS77" s="103" t="s">
        <v>1077</v>
      </c>
      <c r="AT77" s="103" t="s">
        <v>1078</v>
      </c>
      <c r="AU77" s="103"/>
      <c r="AV77" s="103"/>
    </row>
    <row r="78" spans="1:48">
      <c r="A78" s="103">
        <v>5778</v>
      </c>
      <c r="B78" s="103" t="s">
        <v>1229</v>
      </c>
      <c r="C78" s="103" t="s">
        <v>1067</v>
      </c>
      <c r="D78" s="103" t="s">
        <v>1068</v>
      </c>
      <c r="E78" s="103" t="s">
        <v>1069</v>
      </c>
      <c r="F78" s="156"/>
      <c r="G78" s="103" t="s">
        <v>1070</v>
      </c>
      <c r="H78" s="103"/>
      <c r="I78" s="103"/>
      <c r="J78" s="103"/>
      <c r="K78" s="103"/>
      <c r="L78" s="103" t="s">
        <v>874</v>
      </c>
      <c r="M78" s="103" t="s">
        <v>1071</v>
      </c>
      <c r="N78" s="103" t="s">
        <v>871</v>
      </c>
      <c r="O78" s="103" t="s">
        <v>1072</v>
      </c>
      <c r="P78" s="103" t="s">
        <v>154</v>
      </c>
      <c r="Q78" s="103">
        <v>0</v>
      </c>
      <c r="R78" s="103">
        <v>0</v>
      </c>
      <c r="S78" s="103" t="s">
        <v>175</v>
      </c>
      <c r="T78" s="103"/>
      <c r="U78" s="103" t="b">
        <v>0</v>
      </c>
      <c r="V78" s="103"/>
      <c r="W78" s="103" t="b">
        <v>1</v>
      </c>
      <c r="X78" s="103" t="s">
        <v>863</v>
      </c>
      <c r="Y78" s="103" t="s">
        <v>153</v>
      </c>
      <c r="Z78" s="103" t="s">
        <v>864</v>
      </c>
      <c r="AA78" s="103" t="s">
        <v>1073</v>
      </c>
      <c r="AB78" s="103" t="s">
        <v>865</v>
      </c>
      <c r="AC78" s="103" t="s">
        <v>866</v>
      </c>
      <c r="AD78" s="103" t="str">
        <f>IF(ISNA(MATCH(AM78,'Measure &amp; Standard CostIDs'!$C$5:$C$177,0)),"",AM78)</f>
        <v>CFLscw-Glb(22w)</v>
      </c>
      <c r="AE78" s="103" t="str">
        <f>IFERROR(INDEX('Measure &amp; Standard CostIDs'!$S$5:$S$177,MATCH(AM78&amp;AL78,'Measure &amp; Standard CostIDs'!$AB$5:$AB$177,0)),"")</f>
        <v>Std_CFLscw-Glb(22w)_60pInc-r0248</v>
      </c>
      <c r="AF78" s="103" t="s">
        <v>1074</v>
      </c>
      <c r="AG78" s="103"/>
      <c r="AH78" s="103" t="s">
        <v>156</v>
      </c>
      <c r="AI78" s="103" t="s">
        <v>156</v>
      </c>
      <c r="AJ78" s="103" t="s">
        <v>470</v>
      </c>
      <c r="AK78" s="103" t="s">
        <v>150</v>
      </c>
      <c r="AL78" s="103" t="s">
        <v>150</v>
      </c>
      <c r="AM78" s="103" t="s">
        <v>469</v>
      </c>
      <c r="AN78" s="103" t="s">
        <v>1230</v>
      </c>
      <c r="AO78" s="103" t="s">
        <v>1076</v>
      </c>
      <c r="AP78" s="156">
        <v>42156</v>
      </c>
      <c r="AQ78" s="103"/>
      <c r="AR78" s="103" t="s">
        <v>870</v>
      </c>
      <c r="AS78" s="103" t="s">
        <v>1077</v>
      </c>
      <c r="AT78" s="103" t="s">
        <v>1078</v>
      </c>
      <c r="AU78" s="103"/>
      <c r="AV78" s="103"/>
    </row>
    <row r="79" spans="1:48">
      <c r="A79" s="103">
        <v>5779</v>
      </c>
      <c r="B79" s="103" t="s">
        <v>1231</v>
      </c>
      <c r="C79" s="103" t="s">
        <v>1067</v>
      </c>
      <c r="D79" s="103" t="s">
        <v>1068</v>
      </c>
      <c r="E79" s="103" t="s">
        <v>1069</v>
      </c>
      <c r="F79" s="156"/>
      <c r="G79" s="103" t="s">
        <v>1070</v>
      </c>
      <c r="H79" s="103"/>
      <c r="I79" s="103"/>
      <c r="J79" s="103"/>
      <c r="K79" s="103"/>
      <c r="L79" s="103" t="s">
        <v>874</v>
      </c>
      <c r="M79" s="103" t="s">
        <v>1071</v>
      </c>
      <c r="N79" s="103" t="s">
        <v>871</v>
      </c>
      <c r="O79" s="103" t="s">
        <v>1072</v>
      </c>
      <c r="P79" s="103" t="s">
        <v>154</v>
      </c>
      <c r="Q79" s="103">
        <v>0</v>
      </c>
      <c r="R79" s="103">
        <v>0</v>
      </c>
      <c r="S79" s="103" t="s">
        <v>175</v>
      </c>
      <c r="T79" s="103"/>
      <c r="U79" s="103" t="b">
        <v>0</v>
      </c>
      <c r="V79" s="103"/>
      <c r="W79" s="103" t="b">
        <v>1</v>
      </c>
      <c r="X79" s="103" t="s">
        <v>863</v>
      </c>
      <c r="Y79" s="103" t="s">
        <v>153</v>
      </c>
      <c r="Z79" s="103" t="s">
        <v>864</v>
      </c>
      <c r="AA79" s="103" t="s">
        <v>1073</v>
      </c>
      <c r="AB79" s="103" t="s">
        <v>865</v>
      </c>
      <c r="AC79" s="103" t="s">
        <v>866</v>
      </c>
      <c r="AD79" s="103" t="str">
        <f>IF(ISNA(MATCH(AM79,'Measure &amp; Standard CostIDs'!$C$5:$C$177,0)),"",AM79)</f>
        <v>CFLscw-Glb(23w)</v>
      </c>
      <c r="AE79" s="103" t="str">
        <f>IFERROR(INDEX('Measure &amp; Standard CostIDs'!$S$5:$S$177,MATCH(AM79&amp;AL79,'Measure &amp; Standard CostIDs'!$AB$5:$AB$177,0)),"")</f>
        <v>Std_CFLscw-Glb(23w)_60pInc-r0248</v>
      </c>
      <c r="AF79" s="103" t="s">
        <v>1074</v>
      </c>
      <c r="AG79" s="103"/>
      <c r="AH79" s="103" t="s">
        <v>156</v>
      </c>
      <c r="AI79" s="103" t="s">
        <v>156</v>
      </c>
      <c r="AJ79" s="103" t="s">
        <v>472</v>
      </c>
      <c r="AK79" s="103" t="s">
        <v>150</v>
      </c>
      <c r="AL79" s="103" t="s">
        <v>150</v>
      </c>
      <c r="AM79" s="103" t="s">
        <v>471</v>
      </c>
      <c r="AN79" s="103" t="s">
        <v>1232</v>
      </c>
      <c r="AO79" s="103" t="s">
        <v>1076</v>
      </c>
      <c r="AP79" s="156">
        <v>42156</v>
      </c>
      <c r="AQ79" s="103"/>
      <c r="AR79" s="103" t="s">
        <v>870</v>
      </c>
      <c r="AS79" s="103" t="s">
        <v>1077</v>
      </c>
      <c r="AT79" s="103" t="s">
        <v>1078</v>
      </c>
      <c r="AU79" s="103"/>
      <c r="AV79" s="103"/>
    </row>
    <row r="80" spans="1:48">
      <c r="A80" s="103">
        <v>5780</v>
      </c>
      <c r="B80" s="103" t="s">
        <v>1233</v>
      </c>
      <c r="C80" s="103" t="s">
        <v>1067</v>
      </c>
      <c r="D80" s="103" t="s">
        <v>1068</v>
      </c>
      <c r="E80" s="103" t="s">
        <v>1069</v>
      </c>
      <c r="F80" s="156"/>
      <c r="G80" s="103" t="s">
        <v>1070</v>
      </c>
      <c r="H80" s="103"/>
      <c r="I80" s="103"/>
      <c r="J80" s="103"/>
      <c r="K80" s="103"/>
      <c r="L80" s="103" t="s">
        <v>874</v>
      </c>
      <c r="M80" s="103" t="s">
        <v>1071</v>
      </c>
      <c r="N80" s="103" t="s">
        <v>871</v>
      </c>
      <c r="O80" s="103" t="s">
        <v>1072</v>
      </c>
      <c r="P80" s="103" t="s">
        <v>154</v>
      </c>
      <c r="Q80" s="103">
        <v>0</v>
      </c>
      <c r="R80" s="103">
        <v>0</v>
      </c>
      <c r="S80" s="103" t="s">
        <v>175</v>
      </c>
      <c r="T80" s="103"/>
      <c r="U80" s="103" t="b">
        <v>0</v>
      </c>
      <c r="V80" s="103"/>
      <c r="W80" s="103" t="b">
        <v>1</v>
      </c>
      <c r="X80" s="103" t="s">
        <v>863</v>
      </c>
      <c r="Y80" s="103" t="s">
        <v>153</v>
      </c>
      <c r="Z80" s="103" t="s">
        <v>864</v>
      </c>
      <c r="AA80" s="103" t="s">
        <v>1073</v>
      </c>
      <c r="AB80" s="103" t="s">
        <v>865</v>
      </c>
      <c r="AC80" s="103" t="s">
        <v>866</v>
      </c>
      <c r="AD80" s="103" t="str">
        <f>IF(ISNA(MATCH(AM80,'Measure &amp; Standard CostIDs'!$C$5:$C$177,0)),"",AM80)</f>
        <v/>
      </c>
      <c r="AE80" s="103" t="str">
        <f>IFERROR(INDEX('Measure &amp; Standard CostIDs'!$S$5:$S$177,MATCH(AM80&amp;AL80,'Measure &amp; Standard CostIDs'!$AB$5:$AB$177,0)),"")</f>
        <v/>
      </c>
      <c r="AF80" s="103" t="s">
        <v>1074</v>
      </c>
      <c r="AG80" s="103"/>
      <c r="AH80" s="103" t="s">
        <v>156</v>
      </c>
      <c r="AI80" s="103" t="s">
        <v>156</v>
      </c>
      <c r="AJ80" s="103" t="s">
        <v>474</v>
      </c>
      <c r="AK80" s="103" t="s">
        <v>150</v>
      </c>
      <c r="AL80" s="103" t="s">
        <v>150</v>
      </c>
      <c r="AM80" s="103" t="s">
        <v>473</v>
      </c>
      <c r="AN80" s="103" t="s">
        <v>1234</v>
      </c>
      <c r="AO80" s="103" t="s">
        <v>1076</v>
      </c>
      <c r="AP80" s="156">
        <v>42156</v>
      </c>
      <c r="AQ80" s="103"/>
      <c r="AR80" s="103" t="s">
        <v>870</v>
      </c>
      <c r="AS80" s="103" t="s">
        <v>1077</v>
      </c>
      <c r="AT80" s="103" t="s">
        <v>1078</v>
      </c>
      <c r="AU80" s="103"/>
      <c r="AV80" s="103"/>
    </row>
    <row r="81" spans="1:48">
      <c r="A81" s="103">
        <v>5781</v>
      </c>
      <c r="B81" s="103" t="s">
        <v>1235</v>
      </c>
      <c r="C81" s="103" t="s">
        <v>1067</v>
      </c>
      <c r="D81" s="103" t="s">
        <v>1068</v>
      </c>
      <c r="E81" s="103" t="s">
        <v>1069</v>
      </c>
      <c r="F81" s="156"/>
      <c r="G81" s="103" t="s">
        <v>1070</v>
      </c>
      <c r="H81" s="103"/>
      <c r="I81" s="103"/>
      <c r="J81" s="103"/>
      <c r="K81" s="103"/>
      <c r="L81" s="103" t="s">
        <v>874</v>
      </c>
      <c r="M81" s="103" t="s">
        <v>1071</v>
      </c>
      <c r="N81" s="103" t="s">
        <v>871</v>
      </c>
      <c r="O81" s="103" t="s">
        <v>1072</v>
      </c>
      <c r="P81" s="103" t="s">
        <v>154</v>
      </c>
      <c r="Q81" s="103">
        <v>0</v>
      </c>
      <c r="R81" s="103">
        <v>0</v>
      </c>
      <c r="S81" s="103" t="s">
        <v>175</v>
      </c>
      <c r="T81" s="103"/>
      <c r="U81" s="103" t="b">
        <v>0</v>
      </c>
      <c r="V81" s="103"/>
      <c r="W81" s="103" t="b">
        <v>1</v>
      </c>
      <c r="X81" s="103" t="s">
        <v>863</v>
      </c>
      <c r="Y81" s="103" t="s">
        <v>153</v>
      </c>
      <c r="Z81" s="103" t="s">
        <v>864</v>
      </c>
      <c r="AA81" s="103" t="s">
        <v>1073</v>
      </c>
      <c r="AB81" s="103" t="s">
        <v>865</v>
      </c>
      <c r="AC81" s="103" t="s">
        <v>866</v>
      </c>
      <c r="AD81" s="103" t="str">
        <f>IF(ISNA(MATCH(AM81,'Measure &amp; Standard CostIDs'!$C$5:$C$177,0)),"",AM81)</f>
        <v/>
      </c>
      <c r="AE81" s="103" t="str">
        <f>IFERROR(INDEX('Measure &amp; Standard CostIDs'!$S$5:$S$177,MATCH(AM81&amp;AL81,'Measure &amp; Standard CostIDs'!$AB$5:$AB$177,0)),"")</f>
        <v/>
      </c>
      <c r="AF81" s="103" t="s">
        <v>1074</v>
      </c>
      <c r="AG81" s="103"/>
      <c r="AH81" s="103" t="s">
        <v>156</v>
      </c>
      <c r="AI81" s="103" t="s">
        <v>156</v>
      </c>
      <c r="AJ81" s="103" t="s">
        <v>476</v>
      </c>
      <c r="AK81" s="103" t="s">
        <v>150</v>
      </c>
      <c r="AL81" s="103" t="s">
        <v>150</v>
      </c>
      <c r="AM81" s="103" t="s">
        <v>475</v>
      </c>
      <c r="AN81" s="103" t="s">
        <v>1236</v>
      </c>
      <c r="AO81" s="103" t="s">
        <v>1076</v>
      </c>
      <c r="AP81" s="156">
        <v>42156</v>
      </c>
      <c r="AQ81" s="103"/>
      <c r="AR81" s="103" t="s">
        <v>870</v>
      </c>
      <c r="AS81" s="103" t="s">
        <v>1077</v>
      </c>
      <c r="AT81" s="103" t="s">
        <v>1078</v>
      </c>
      <c r="AU81" s="103"/>
      <c r="AV81" s="103"/>
    </row>
    <row r="82" spans="1:48">
      <c r="A82" s="103">
        <v>5782</v>
      </c>
      <c r="B82" s="103" t="s">
        <v>1237</v>
      </c>
      <c r="C82" s="103" t="s">
        <v>1067</v>
      </c>
      <c r="D82" s="103" t="s">
        <v>1068</v>
      </c>
      <c r="E82" s="103" t="s">
        <v>1069</v>
      </c>
      <c r="F82" s="156"/>
      <c r="G82" s="103" t="s">
        <v>1070</v>
      </c>
      <c r="H82" s="103"/>
      <c r="I82" s="103"/>
      <c r="J82" s="103"/>
      <c r="K82" s="103"/>
      <c r="L82" s="103" t="s">
        <v>874</v>
      </c>
      <c r="M82" s="103" t="s">
        <v>1071</v>
      </c>
      <c r="N82" s="103" t="s">
        <v>871</v>
      </c>
      <c r="O82" s="103" t="s">
        <v>1072</v>
      </c>
      <c r="P82" s="103" t="s">
        <v>154</v>
      </c>
      <c r="Q82" s="103">
        <v>0</v>
      </c>
      <c r="R82" s="103">
        <v>0</v>
      </c>
      <c r="S82" s="103" t="s">
        <v>175</v>
      </c>
      <c r="T82" s="103"/>
      <c r="U82" s="103" t="b">
        <v>0</v>
      </c>
      <c r="V82" s="103"/>
      <c r="W82" s="103" t="b">
        <v>1</v>
      </c>
      <c r="X82" s="103" t="s">
        <v>863</v>
      </c>
      <c r="Y82" s="103" t="s">
        <v>153</v>
      </c>
      <c r="Z82" s="103" t="s">
        <v>864</v>
      </c>
      <c r="AA82" s="103" t="s">
        <v>1073</v>
      </c>
      <c r="AB82" s="103" t="s">
        <v>865</v>
      </c>
      <c r="AC82" s="103" t="s">
        <v>866</v>
      </c>
      <c r="AD82" s="103" t="str">
        <f>IF(ISNA(MATCH(AM82,'Measure &amp; Standard CostIDs'!$C$5:$C$177,0)),"",AM82)</f>
        <v/>
      </c>
      <c r="AE82" s="103" t="str">
        <f>IFERROR(INDEX('Measure &amp; Standard CostIDs'!$S$5:$S$177,MATCH(AM82&amp;AL82,'Measure &amp; Standard CostIDs'!$AB$5:$AB$177,0)),"")</f>
        <v/>
      </c>
      <c r="AF82" s="103" t="s">
        <v>1074</v>
      </c>
      <c r="AG82" s="103"/>
      <c r="AH82" s="103" t="s">
        <v>156</v>
      </c>
      <c r="AI82" s="103" t="s">
        <v>156</v>
      </c>
      <c r="AJ82" s="103" t="s">
        <v>478</v>
      </c>
      <c r="AK82" s="103" t="s">
        <v>150</v>
      </c>
      <c r="AL82" s="103" t="s">
        <v>150</v>
      </c>
      <c r="AM82" s="103" t="s">
        <v>477</v>
      </c>
      <c r="AN82" s="103" t="s">
        <v>1238</v>
      </c>
      <c r="AO82" s="103" t="s">
        <v>1076</v>
      </c>
      <c r="AP82" s="156">
        <v>42156</v>
      </c>
      <c r="AQ82" s="103"/>
      <c r="AR82" s="103" t="s">
        <v>870</v>
      </c>
      <c r="AS82" s="103" t="s">
        <v>1077</v>
      </c>
      <c r="AT82" s="103" t="s">
        <v>1078</v>
      </c>
      <c r="AU82" s="103"/>
      <c r="AV82" s="103"/>
    </row>
    <row r="83" spans="1:48">
      <c r="A83" s="103">
        <v>5783</v>
      </c>
      <c r="B83" s="103" t="s">
        <v>1239</v>
      </c>
      <c r="C83" s="103" t="s">
        <v>1067</v>
      </c>
      <c r="D83" s="103" t="s">
        <v>1068</v>
      </c>
      <c r="E83" s="103" t="s">
        <v>1069</v>
      </c>
      <c r="F83" s="156"/>
      <c r="G83" s="103" t="s">
        <v>1070</v>
      </c>
      <c r="H83" s="103"/>
      <c r="I83" s="103"/>
      <c r="J83" s="103"/>
      <c r="K83" s="103"/>
      <c r="L83" s="103" t="s">
        <v>874</v>
      </c>
      <c r="M83" s="103" t="s">
        <v>1071</v>
      </c>
      <c r="N83" s="103" t="s">
        <v>871</v>
      </c>
      <c r="O83" s="103" t="s">
        <v>1072</v>
      </c>
      <c r="P83" s="103" t="s">
        <v>154</v>
      </c>
      <c r="Q83" s="103">
        <v>0</v>
      </c>
      <c r="R83" s="103">
        <v>0</v>
      </c>
      <c r="S83" s="103" t="s">
        <v>175</v>
      </c>
      <c r="T83" s="103"/>
      <c r="U83" s="103" t="b">
        <v>0</v>
      </c>
      <c r="V83" s="103"/>
      <c r="W83" s="103" t="b">
        <v>1</v>
      </c>
      <c r="X83" s="103" t="s">
        <v>863</v>
      </c>
      <c r="Y83" s="103" t="s">
        <v>153</v>
      </c>
      <c r="Z83" s="103" t="s">
        <v>864</v>
      </c>
      <c r="AA83" s="103" t="s">
        <v>1073</v>
      </c>
      <c r="AB83" s="103" t="s">
        <v>865</v>
      </c>
      <c r="AC83" s="103" t="s">
        <v>866</v>
      </c>
      <c r="AD83" s="103" t="str">
        <f>IF(ISNA(MATCH(AM83,'Measure &amp; Standard CostIDs'!$C$5:$C$177,0)),"",AM83)</f>
        <v/>
      </c>
      <c r="AE83" s="103" t="str">
        <f>IFERROR(INDEX('Measure &amp; Standard CostIDs'!$S$5:$S$177,MATCH(AM83&amp;AL83,'Measure &amp; Standard CostIDs'!$AB$5:$AB$177,0)),"")</f>
        <v/>
      </c>
      <c r="AF83" s="103" t="s">
        <v>1074</v>
      </c>
      <c r="AG83" s="103"/>
      <c r="AH83" s="103" t="s">
        <v>156</v>
      </c>
      <c r="AI83" s="103" t="s">
        <v>156</v>
      </c>
      <c r="AJ83" s="103" t="s">
        <v>480</v>
      </c>
      <c r="AK83" s="103" t="s">
        <v>150</v>
      </c>
      <c r="AL83" s="103" t="s">
        <v>150</v>
      </c>
      <c r="AM83" s="103" t="s">
        <v>479</v>
      </c>
      <c r="AN83" s="103" t="s">
        <v>1240</v>
      </c>
      <c r="AO83" s="103" t="s">
        <v>1076</v>
      </c>
      <c r="AP83" s="156">
        <v>42156</v>
      </c>
      <c r="AQ83" s="103"/>
      <c r="AR83" s="103" t="s">
        <v>870</v>
      </c>
      <c r="AS83" s="103" t="s">
        <v>1077</v>
      </c>
      <c r="AT83" s="103" t="s">
        <v>1078</v>
      </c>
      <c r="AU83" s="103"/>
      <c r="AV83" s="103"/>
    </row>
    <row r="84" spans="1:48">
      <c r="A84" s="103">
        <v>5784</v>
      </c>
      <c r="B84" s="103" t="s">
        <v>1241</v>
      </c>
      <c r="C84" s="103" t="s">
        <v>1067</v>
      </c>
      <c r="D84" s="103" t="s">
        <v>1068</v>
      </c>
      <c r="E84" s="103" t="s">
        <v>1069</v>
      </c>
      <c r="F84" s="156"/>
      <c r="G84" s="103" t="s">
        <v>1070</v>
      </c>
      <c r="H84" s="103"/>
      <c r="I84" s="103"/>
      <c r="J84" s="103"/>
      <c r="K84" s="103"/>
      <c r="L84" s="103" t="s">
        <v>874</v>
      </c>
      <c r="M84" s="103" t="s">
        <v>1071</v>
      </c>
      <c r="N84" s="103" t="s">
        <v>871</v>
      </c>
      <c r="O84" s="103" t="s">
        <v>1072</v>
      </c>
      <c r="P84" s="103" t="s">
        <v>154</v>
      </c>
      <c r="Q84" s="103">
        <v>0</v>
      </c>
      <c r="R84" s="103">
        <v>0</v>
      </c>
      <c r="S84" s="103" t="s">
        <v>175</v>
      </c>
      <c r="T84" s="103"/>
      <c r="U84" s="103" t="b">
        <v>0</v>
      </c>
      <c r="V84" s="103"/>
      <c r="W84" s="103" t="b">
        <v>1</v>
      </c>
      <c r="X84" s="103" t="s">
        <v>863</v>
      </c>
      <c r="Y84" s="103" t="s">
        <v>153</v>
      </c>
      <c r="Z84" s="103" t="s">
        <v>864</v>
      </c>
      <c r="AA84" s="103" t="s">
        <v>1073</v>
      </c>
      <c r="AB84" s="103" t="s">
        <v>865</v>
      </c>
      <c r="AC84" s="103" t="s">
        <v>866</v>
      </c>
      <c r="AD84" s="103" t="str">
        <f>IF(ISNA(MATCH(AM84,'Measure &amp; Standard CostIDs'!$C$5:$C$177,0)),"",AM84)</f>
        <v/>
      </c>
      <c r="AE84" s="103" t="str">
        <f>IFERROR(INDEX('Measure &amp; Standard CostIDs'!$S$5:$S$177,MATCH(AM84&amp;AL84,'Measure &amp; Standard CostIDs'!$AB$5:$AB$177,0)),"")</f>
        <v/>
      </c>
      <c r="AF84" s="103" t="s">
        <v>1074</v>
      </c>
      <c r="AG84" s="103"/>
      <c r="AH84" s="103" t="s">
        <v>156</v>
      </c>
      <c r="AI84" s="103" t="s">
        <v>156</v>
      </c>
      <c r="AJ84" s="103" t="s">
        <v>482</v>
      </c>
      <c r="AK84" s="103" t="s">
        <v>150</v>
      </c>
      <c r="AL84" s="103" t="s">
        <v>150</v>
      </c>
      <c r="AM84" s="103" t="s">
        <v>481</v>
      </c>
      <c r="AN84" s="103" t="s">
        <v>1242</v>
      </c>
      <c r="AO84" s="103" t="s">
        <v>1076</v>
      </c>
      <c r="AP84" s="156">
        <v>42156</v>
      </c>
      <c r="AQ84" s="103"/>
      <c r="AR84" s="103" t="s">
        <v>870</v>
      </c>
      <c r="AS84" s="103" t="s">
        <v>1077</v>
      </c>
      <c r="AT84" s="103" t="s">
        <v>1078</v>
      </c>
      <c r="AU84" s="103"/>
      <c r="AV84" s="103"/>
    </row>
    <row r="85" spans="1:48">
      <c r="A85" s="103">
        <v>5785</v>
      </c>
      <c r="B85" s="103" t="s">
        <v>1243</v>
      </c>
      <c r="C85" s="103" t="s">
        <v>1067</v>
      </c>
      <c r="D85" s="103" t="s">
        <v>1068</v>
      </c>
      <c r="E85" s="103" t="s">
        <v>1069</v>
      </c>
      <c r="F85" s="156"/>
      <c r="G85" s="103" t="s">
        <v>1070</v>
      </c>
      <c r="H85" s="103"/>
      <c r="I85" s="103"/>
      <c r="J85" s="103"/>
      <c r="K85" s="103"/>
      <c r="L85" s="103" t="s">
        <v>874</v>
      </c>
      <c r="M85" s="103" t="s">
        <v>1071</v>
      </c>
      <c r="N85" s="103" t="s">
        <v>871</v>
      </c>
      <c r="O85" s="103" t="s">
        <v>1072</v>
      </c>
      <c r="P85" s="103" t="s">
        <v>154</v>
      </c>
      <c r="Q85" s="103">
        <v>0</v>
      </c>
      <c r="R85" s="103">
        <v>0</v>
      </c>
      <c r="S85" s="103" t="s">
        <v>175</v>
      </c>
      <c r="T85" s="103"/>
      <c r="U85" s="103" t="b">
        <v>0</v>
      </c>
      <c r="V85" s="103"/>
      <c r="W85" s="103" t="b">
        <v>1</v>
      </c>
      <c r="X85" s="103" t="s">
        <v>863</v>
      </c>
      <c r="Y85" s="103" t="s">
        <v>153</v>
      </c>
      <c r="Z85" s="103" t="s">
        <v>864</v>
      </c>
      <c r="AA85" s="103" t="s">
        <v>1073</v>
      </c>
      <c r="AB85" s="103" t="s">
        <v>865</v>
      </c>
      <c r="AC85" s="103" t="s">
        <v>866</v>
      </c>
      <c r="AD85" s="103" t="str">
        <f>IF(ISNA(MATCH(AM85,'Measure &amp; Standard CostIDs'!$C$5:$C$177,0)),"",AM85)</f>
        <v/>
      </c>
      <c r="AE85" s="103" t="str">
        <f>IFERROR(INDEX('Measure &amp; Standard CostIDs'!$S$5:$S$177,MATCH(AM85&amp;AL85,'Measure &amp; Standard CostIDs'!$AB$5:$AB$177,0)),"")</f>
        <v/>
      </c>
      <c r="AF85" s="103" t="s">
        <v>1074</v>
      </c>
      <c r="AG85" s="103"/>
      <c r="AH85" s="103" t="s">
        <v>156</v>
      </c>
      <c r="AI85" s="103" t="s">
        <v>156</v>
      </c>
      <c r="AJ85" s="103" t="s">
        <v>484</v>
      </c>
      <c r="AK85" s="103" t="s">
        <v>150</v>
      </c>
      <c r="AL85" s="103" t="s">
        <v>150</v>
      </c>
      <c r="AM85" s="103" t="s">
        <v>483</v>
      </c>
      <c r="AN85" s="103" t="s">
        <v>1244</v>
      </c>
      <c r="AO85" s="103" t="s">
        <v>1076</v>
      </c>
      <c r="AP85" s="156">
        <v>42156</v>
      </c>
      <c r="AQ85" s="103"/>
      <c r="AR85" s="103" t="s">
        <v>870</v>
      </c>
      <c r="AS85" s="103" t="s">
        <v>1077</v>
      </c>
      <c r="AT85" s="103" t="s">
        <v>1078</v>
      </c>
      <c r="AU85" s="103"/>
      <c r="AV85" s="103"/>
    </row>
    <row r="86" spans="1:48">
      <c r="A86" s="103">
        <v>5872</v>
      </c>
      <c r="B86" s="103" t="s">
        <v>1245</v>
      </c>
      <c r="C86" s="103" t="s">
        <v>1067</v>
      </c>
      <c r="D86" s="103" t="s">
        <v>151</v>
      </c>
      <c r="E86" s="103" t="s">
        <v>1114</v>
      </c>
      <c r="F86" s="156"/>
      <c r="G86" s="103" t="s">
        <v>1070</v>
      </c>
      <c r="H86" s="103"/>
      <c r="I86" s="103"/>
      <c r="J86" s="103"/>
      <c r="K86" s="103"/>
      <c r="L86" s="103" t="s">
        <v>874</v>
      </c>
      <c r="M86" s="103" t="s">
        <v>1071</v>
      </c>
      <c r="N86" s="103" t="s">
        <v>1115</v>
      </c>
      <c r="O86" s="103" t="s">
        <v>1072</v>
      </c>
      <c r="P86" s="103" t="s">
        <v>154</v>
      </c>
      <c r="Q86" s="103">
        <v>0</v>
      </c>
      <c r="R86" s="103">
        <v>0</v>
      </c>
      <c r="S86" s="103" t="s">
        <v>175</v>
      </c>
      <c r="T86" s="103"/>
      <c r="U86" s="103" t="b">
        <v>0</v>
      </c>
      <c r="V86" s="103"/>
      <c r="W86" s="103" t="b">
        <v>1</v>
      </c>
      <c r="X86" s="103" t="s">
        <v>863</v>
      </c>
      <c r="Y86" s="103" t="s">
        <v>153</v>
      </c>
      <c r="Z86" s="103" t="s">
        <v>864</v>
      </c>
      <c r="AA86" s="103" t="s">
        <v>1073</v>
      </c>
      <c r="AB86" s="103" t="s">
        <v>865</v>
      </c>
      <c r="AC86" s="103" t="s">
        <v>866</v>
      </c>
      <c r="AD86" s="103" t="str">
        <f>IF(ISNA(MATCH(AM86,'Measure &amp; Standard CostIDs'!$C$5:$C$177,0)),"",AM86)</f>
        <v/>
      </c>
      <c r="AE86" s="103" t="str">
        <f>IFERROR(INDEX('Measure &amp; Standard CostIDs'!$S$5:$S$177,MATCH(AM86&amp;AL86,'Measure &amp; Standard CostIDs'!$AB$5:$AB$177,0)),"")</f>
        <v/>
      </c>
      <c r="AF86" s="103" t="s">
        <v>1074</v>
      </c>
      <c r="AG86" s="103"/>
      <c r="AH86" s="103" t="s">
        <v>156</v>
      </c>
      <c r="AI86" s="103" t="s">
        <v>156</v>
      </c>
      <c r="AJ86" s="103" t="s">
        <v>486</v>
      </c>
      <c r="AK86" s="103" t="s">
        <v>150</v>
      </c>
      <c r="AL86" s="103" t="s">
        <v>150</v>
      </c>
      <c r="AM86" s="103" t="s">
        <v>485</v>
      </c>
      <c r="AN86" s="103" t="s">
        <v>1246</v>
      </c>
      <c r="AO86" s="103" t="s">
        <v>1117</v>
      </c>
      <c r="AP86" s="156">
        <v>42370</v>
      </c>
      <c r="AQ86" s="103"/>
      <c r="AR86" s="103" t="s">
        <v>870</v>
      </c>
      <c r="AS86" s="103" t="s">
        <v>1118</v>
      </c>
      <c r="AT86" s="103" t="s">
        <v>1078</v>
      </c>
      <c r="AU86" s="103"/>
      <c r="AV86" s="103"/>
    </row>
    <row r="87" spans="1:48">
      <c r="A87" s="103">
        <v>5873</v>
      </c>
      <c r="B87" s="103" t="s">
        <v>1247</v>
      </c>
      <c r="C87" s="103" t="s">
        <v>1067</v>
      </c>
      <c r="D87" s="103" t="s">
        <v>151</v>
      </c>
      <c r="E87" s="103" t="s">
        <v>1114</v>
      </c>
      <c r="F87" s="156"/>
      <c r="G87" s="103" t="s">
        <v>1070</v>
      </c>
      <c r="H87" s="103"/>
      <c r="I87" s="103"/>
      <c r="J87" s="103"/>
      <c r="K87" s="103"/>
      <c r="L87" s="103" t="s">
        <v>874</v>
      </c>
      <c r="M87" s="103" t="s">
        <v>1071</v>
      </c>
      <c r="N87" s="103" t="s">
        <v>1115</v>
      </c>
      <c r="O87" s="103" t="s">
        <v>1072</v>
      </c>
      <c r="P87" s="103" t="s">
        <v>154</v>
      </c>
      <c r="Q87" s="103">
        <v>0</v>
      </c>
      <c r="R87" s="103">
        <v>0</v>
      </c>
      <c r="S87" s="103" t="s">
        <v>175</v>
      </c>
      <c r="T87" s="103"/>
      <c r="U87" s="103" t="b">
        <v>0</v>
      </c>
      <c r="V87" s="103"/>
      <c r="W87" s="103" t="b">
        <v>1</v>
      </c>
      <c r="X87" s="103" t="s">
        <v>863</v>
      </c>
      <c r="Y87" s="103" t="s">
        <v>153</v>
      </c>
      <c r="Z87" s="103" t="s">
        <v>864</v>
      </c>
      <c r="AA87" s="103" t="s">
        <v>1073</v>
      </c>
      <c r="AB87" s="103" t="s">
        <v>865</v>
      </c>
      <c r="AC87" s="103" t="s">
        <v>866</v>
      </c>
      <c r="AD87" s="103" t="str">
        <f>IF(ISNA(MATCH(AM87,'Measure &amp; Standard CostIDs'!$C$5:$C$177,0)),"",AM87)</f>
        <v/>
      </c>
      <c r="AE87" s="103" t="str">
        <f>IFERROR(INDEX('Measure &amp; Standard CostIDs'!$S$5:$S$177,MATCH(AM87&amp;AL87,'Measure &amp; Standard CostIDs'!$AB$5:$AB$177,0)),"")</f>
        <v/>
      </c>
      <c r="AF87" s="103" t="s">
        <v>1074</v>
      </c>
      <c r="AG87" s="103"/>
      <c r="AH87" s="103" t="s">
        <v>156</v>
      </c>
      <c r="AI87" s="103" t="s">
        <v>156</v>
      </c>
      <c r="AJ87" s="103" t="s">
        <v>488</v>
      </c>
      <c r="AK87" s="103" t="s">
        <v>150</v>
      </c>
      <c r="AL87" s="103" t="s">
        <v>150</v>
      </c>
      <c r="AM87" s="103" t="s">
        <v>487</v>
      </c>
      <c r="AN87" s="103" t="s">
        <v>1248</v>
      </c>
      <c r="AO87" s="103" t="s">
        <v>1117</v>
      </c>
      <c r="AP87" s="156">
        <v>42370</v>
      </c>
      <c r="AQ87" s="103"/>
      <c r="AR87" s="103" t="s">
        <v>870</v>
      </c>
      <c r="AS87" s="103" t="s">
        <v>1118</v>
      </c>
      <c r="AT87" s="103" t="s">
        <v>1078</v>
      </c>
      <c r="AU87" s="103"/>
      <c r="AV87" s="103"/>
    </row>
    <row r="88" spans="1:48">
      <c r="A88" s="103">
        <v>5874</v>
      </c>
      <c r="B88" s="103" t="s">
        <v>1249</v>
      </c>
      <c r="C88" s="103" t="s">
        <v>1067</v>
      </c>
      <c r="D88" s="103" t="s">
        <v>151</v>
      </c>
      <c r="E88" s="103" t="s">
        <v>1114</v>
      </c>
      <c r="F88" s="156"/>
      <c r="G88" s="103" t="s">
        <v>1070</v>
      </c>
      <c r="H88" s="103"/>
      <c r="I88" s="103"/>
      <c r="J88" s="103"/>
      <c r="K88" s="103"/>
      <c r="L88" s="103" t="s">
        <v>874</v>
      </c>
      <c r="M88" s="103" t="s">
        <v>1071</v>
      </c>
      <c r="N88" s="103" t="s">
        <v>1115</v>
      </c>
      <c r="O88" s="103" t="s">
        <v>1072</v>
      </c>
      <c r="P88" s="103" t="s">
        <v>154</v>
      </c>
      <c r="Q88" s="103">
        <v>0</v>
      </c>
      <c r="R88" s="103">
        <v>0</v>
      </c>
      <c r="S88" s="103" t="s">
        <v>175</v>
      </c>
      <c r="T88" s="103"/>
      <c r="U88" s="103" t="b">
        <v>0</v>
      </c>
      <c r="V88" s="103"/>
      <c r="W88" s="103" t="b">
        <v>1</v>
      </c>
      <c r="X88" s="103" t="s">
        <v>863</v>
      </c>
      <c r="Y88" s="103" t="s">
        <v>153</v>
      </c>
      <c r="Z88" s="103" t="s">
        <v>864</v>
      </c>
      <c r="AA88" s="103" t="s">
        <v>1073</v>
      </c>
      <c r="AB88" s="103" t="s">
        <v>865</v>
      </c>
      <c r="AC88" s="103" t="s">
        <v>866</v>
      </c>
      <c r="AD88" s="103" t="str">
        <f>IF(ISNA(MATCH(AM88,'Measure &amp; Standard CostIDs'!$C$5:$C$177,0)),"",AM88)</f>
        <v/>
      </c>
      <c r="AE88" s="103" t="str">
        <f>IFERROR(INDEX('Measure &amp; Standard CostIDs'!$S$5:$S$177,MATCH(AM88&amp;AL88,'Measure &amp; Standard CostIDs'!$AB$5:$AB$177,0)),"")</f>
        <v/>
      </c>
      <c r="AF88" s="103" t="s">
        <v>1074</v>
      </c>
      <c r="AG88" s="103"/>
      <c r="AH88" s="103" t="s">
        <v>156</v>
      </c>
      <c r="AI88" s="103" t="s">
        <v>156</v>
      </c>
      <c r="AJ88" s="103" t="s">
        <v>490</v>
      </c>
      <c r="AK88" s="103" t="s">
        <v>150</v>
      </c>
      <c r="AL88" s="103" t="s">
        <v>150</v>
      </c>
      <c r="AM88" s="103" t="s">
        <v>489</v>
      </c>
      <c r="AN88" s="103" t="s">
        <v>1250</v>
      </c>
      <c r="AO88" s="103" t="s">
        <v>1117</v>
      </c>
      <c r="AP88" s="156">
        <v>42370</v>
      </c>
      <c r="AQ88" s="103"/>
      <c r="AR88" s="103" t="s">
        <v>870</v>
      </c>
      <c r="AS88" s="103" t="s">
        <v>1118</v>
      </c>
      <c r="AT88" s="103" t="s">
        <v>1078</v>
      </c>
      <c r="AU88" s="103"/>
      <c r="AV88" s="103"/>
    </row>
    <row r="89" spans="1:48">
      <c r="A89" s="103">
        <v>5875</v>
      </c>
      <c r="B89" s="103" t="s">
        <v>1251</v>
      </c>
      <c r="C89" s="103" t="s">
        <v>1067</v>
      </c>
      <c r="D89" s="103" t="s">
        <v>151</v>
      </c>
      <c r="E89" s="103" t="s">
        <v>1114</v>
      </c>
      <c r="F89" s="156"/>
      <c r="G89" s="103" t="s">
        <v>1070</v>
      </c>
      <c r="H89" s="103"/>
      <c r="I89" s="103"/>
      <c r="J89" s="103"/>
      <c r="K89" s="103"/>
      <c r="L89" s="103" t="s">
        <v>874</v>
      </c>
      <c r="M89" s="103" t="s">
        <v>1071</v>
      </c>
      <c r="N89" s="103" t="s">
        <v>1115</v>
      </c>
      <c r="O89" s="103" t="s">
        <v>1072</v>
      </c>
      <c r="P89" s="103" t="s">
        <v>154</v>
      </c>
      <c r="Q89" s="103">
        <v>0</v>
      </c>
      <c r="R89" s="103">
        <v>0</v>
      </c>
      <c r="S89" s="103" t="s">
        <v>175</v>
      </c>
      <c r="T89" s="103"/>
      <c r="U89" s="103" t="b">
        <v>0</v>
      </c>
      <c r="V89" s="103"/>
      <c r="W89" s="103" t="b">
        <v>1</v>
      </c>
      <c r="X89" s="103" t="s">
        <v>863</v>
      </c>
      <c r="Y89" s="103" t="s">
        <v>153</v>
      </c>
      <c r="Z89" s="103" t="s">
        <v>864</v>
      </c>
      <c r="AA89" s="103" t="s">
        <v>1073</v>
      </c>
      <c r="AB89" s="103" t="s">
        <v>865</v>
      </c>
      <c r="AC89" s="103" t="s">
        <v>866</v>
      </c>
      <c r="AD89" s="103" t="str">
        <f>IF(ISNA(MATCH(AM89,'Measure &amp; Standard CostIDs'!$C$5:$C$177,0)),"",AM89)</f>
        <v/>
      </c>
      <c r="AE89" s="103" t="str">
        <f>IFERROR(INDEX('Measure &amp; Standard CostIDs'!$S$5:$S$177,MATCH(AM89&amp;AL89,'Measure &amp; Standard CostIDs'!$AB$5:$AB$177,0)),"")</f>
        <v/>
      </c>
      <c r="AF89" s="103" t="s">
        <v>1074</v>
      </c>
      <c r="AG89" s="103"/>
      <c r="AH89" s="103" t="s">
        <v>156</v>
      </c>
      <c r="AI89" s="103" t="s">
        <v>156</v>
      </c>
      <c r="AJ89" s="103" t="s">
        <v>492</v>
      </c>
      <c r="AK89" s="103" t="s">
        <v>150</v>
      </c>
      <c r="AL89" s="103" t="s">
        <v>150</v>
      </c>
      <c r="AM89" s="103" t="s">
        <v>491</v>
      </c>
      <c r="AN89" s="103" t="s">
        <v>1252</v>
      </c>
      <c r="AO89" s="103" t="s">
        <v>1117</v>
      </c>
      <c r="AP89" s="156">
        <v>42370</v>
      </c>
      <c r="AQ89" s="103"/>
      <c r="AR89" s="103" t="s">
        <v>870</v>
      </c>
      <c r="AS89" s="103" t="s">
        <v>1118</v>
      </c>
      <c r="AT89" s="103" t="s">
        <v>1078</v>
      </c>
      <c r="AU89" s="103"/>
      <c r="AV89" s="103"/>
    </row>
    <row r="90" spans="1:48">
      <c r="A90" s="103">
        <v>5876</v>
      </c>
      <c r="B90" s="103" t="s">
        <v>1253</v>
      </c>
      <c r="C90" s="103" t="s">
        <v>1067</v>
      </c>
      <c r="D90" s="103" t="s">
        <v>151</v>
      </c>
      <c r="E90" s="103" t="s">
        <v>1114</v>
      </c>
      <c r="F90" s="156"/>
      <c r="G90" s="103" t="s">
        <v>1070</v>
      </c>
      <c r="H90" s="103"/>
      <c r="I90" s="103"/>
      <c r="J90" s="103"/>
      <c r="K90" s="103"/>
      <c r="L90" s="103" t="s">
        <v>874</v>
      </c>
      <c r="M90" s="103" t="s">
        <v>1071</v>
      </c>
      <c r="N90" s="103" t="s">
        <v>1115</v>
      </c>
      <c r="O90" s="103" t="s">
        <v>1072</v>
      </c>
      <c r="P90" s="103" t="s">
        <v>154</v>
      </c>
      <c r="Q90" s="103">
        <v>0</v>
      </c>
      <c r="R90" s="103">
        <v>0</v>
      </c>
      <c r="S90" s="103" t="s">
        <v>175</v>
      </c>
      <c r="T90" s="103"/>
      <c r="U90" s="103" t="b">
        <v>0</v>
      </c>
      <c r="V90" s="103"/>
      <c r="W90" s="103" t="b">
        <v>1</v>
      </c>
      <c r="X90" s="103" t="s">
        <v>863</v>
      </c>
      <c r="Y90" s="103" t="s">
        <v>153</v>
      </c>
      <c r="Z90" s="103" t="s">
        <v>864</v>
      </c>
      <c r="AA90" s="103" t="s">
        <v>1073</v>
      </c>
      <c r="AB90" s="103" t="s">
        <v>865</v>
      </c>
      <c r="AC90" s="103" t="s">
        <v>866</v>
      </c>
      <c r="AD90" s="103" t="str">
        <f>IF(ISNA(MATCH(AM90,'Measure &amp; Standard CostIDs'!$C$5:$C$177,0)),"",AM90)</f>
        <v/>
      </c>
      <c r="AE90" s="103" t="str">
        <f>IFERROR(INDEX('Measure &amp; Standard CostIDs'!$S$5:$S$177,MATCH(AM90&amp;AL90,'Measure &amp; Standard CostIDs'!$AB$5:$AB$177,0)),"")</f>
        <v/>
      </c>
      <c r="AF90" s="103" t="s">
        <v>1074</v>
      </c>
      <c r="AG90" s="103"/>
      <c r="AH90" s="103" t="s">
        <v>156</v>
      </c>
      <c r="AI90" s="103" t="s">
        <v>156</v>
      </c>
      <c r="AJ90" s="103" t="s">
        <v>494</v>
      </c>
      <c r="AK90" s="103" t="s">
        <v>150</v>
      </c>
      <c r="AL90" s="103" t="s">
        <v>150</v>
      </c>
      <c r="AM90" s="103" t="s">
        <v>493</v>
      </c>
      <c r="AN90" s="103" t="s">
        <v>1254</v>
      </c>
      <c r="AO90" s="103" t="s">
        <v>1117</v>
      </c>
      <c r="AP90" s="156">
        <v>42370</v>
      </c>
      <c r="AQ90" s="103"/>
      <c r="AR90" s="103" t="s">
        <v>870</v>
      </c>
      <c r="AS90" s="103" t="s">
        <v>1118</v>
      </c>
      <c r="AT90" s="103" t="s">
        <v>1078</v>
      </c>
      <c r="AU90" s="103"/>
      <c r="AV90" s="103"/>
    </row>
    <row r="91" spans="1:48">
      <c r="A91" s="103">
        <v>5786</v>
      </c>
      <c r="B91" s="103" t="s">
        <v>1255</v>
      </c>
      <c r="C91" s="103" t="s">
        <v>1067</v>
      </c>
      <c r="D91" s="103" t="s">
        <v>1068</v>
      </c>
      <c r="E91" s="103" t="s">
        <v>1069</v>
      </c>
      <c r="F91" s="156"/>
      <c r="G91" s="103" t="s">
        <v>1070</v>
      </c>
      <c r="H91" s="103"/>
      <c r="I91" s="103"/>
      <c r="J91" s="103"/>
      <c r="K91" s="103"/>
      <c r="L91" s="103" t="s">
        <v>874</v>
      </c>
      <c r="M91" s="103" t="s">
        <v>1071</v>
      </c>
      <c r="N91" s="103" t="s">
        <v>871</v>
      </c>
      <c r="O91" s="103" t="s">
        <v>1072</v>
      </c>
      <c r="P91" s="103" t="s">
        <v>154</v>
      </c>
      <c r="Q91" s="103">
        <v>0</v>
      </c>
      <c r="R91" s="103">
        <v>0</v>
      </c>
      <c r="S91" s="103" t="s">
        <v>175</v>
      </c>
      <c r="T91" s="103"/>
      <c r="U91" s="103" t="b">
        <v>0</v>
      </c>
      <c r="V91" s="103"/>
      <c r="W91" s="103" t="b">
        <v>1</v>
      </c>
      <c r="X91" s="103" t="s">
        <v>863</v>
      </c>
      <c r="Y91" s="103" t="s">
        <v>153</v>
      </c>
      <c r="Z91" s="103" t="s">
        <v>864</v>
      </c>
      <c r="AA91" s="103" t="s">
        <v>1073</v>
      </c>
      <c r="AB91" s="103" t="s">
        <v>865</v>
      </c>
      <c r="AC91" s="103" t="s">
        <v>866</v>
      </c>
      <c r="AD91" s="103" t="str">
        <f>IF(ISNA(MATCH(AM91,'Measure &amp; Standard CostIDs'!$C$5:$C$177,0)),"",AM91)</f>
        <v/>
      </c>
      <c r="AE91" s="103" t="str">
        <f>IFERROR(INDEX('Measure &amp; Standard CostIDs'!$S$5:$S$177,MATCH(AM91&amp;AL91,'Measure &amp; Standard CostIDs'!$AB$5:$AB$177,0)),"")</f>
        <v/>
      </c>
      <c r="AF91" s="103" t="s">
        <v>1074</v>
      </c>
      <c r="AG91" s="103"/>
      <c r="AH91" s="103" t="s">
        <v>156</v>
      </c>
      <c r="AI91" s="103" t="s">
        <v>156</v>
      </c>
      <c r="AJ91" s="103" t="s">
        <v>496</v>
      </c>
      <c r="AK91" s="103" t="s">
        <v>150</v>
      </c>
      <c r="AL91" s="103" t="s">
        <v>150</v>
      </c>
      <c r="AM91" s="103" t="s">
        <v>495</v>
      </c>
      <c r="AN91" s="103" t="s">
        <v>1256</v>
      </c>
      <c r="AO91" s="103" t="s">
        <v>1076</v>
      </c>
      <c r="AP91" s="156">
        <v>42156</v>
      </c>
      <c r="AQ91" s="103"/>
      <c r="AR91" s="103" t="s">
        <v>870</v>
      </c>
      <c r="AS91" s="103" t="s">
        <v>1077</v>
      </c>
      <c r="AT91" s="103" t="s">
        <v>1078</v>
      </c>
      <c r="AU91" s="103"/>
      <c r="AV91" s="103"/>
    </row>
    <row r="92" spans="1:48">
      <c r="A92" s="103">
        <v>5787</v>
      </c>
      <c r="B92" s="103" t="s">
        <v>1257</v>
      </c>
      <c r="C92" s="103" t="s">
        <v>1067</v>
      </c>
      <c r="D92" s="103" t="s">
        <v>1068</v>
      </c>
      <c r="E92" s="103" t="s">
        <v>1069</v>
      </c>
      <c r="F92" s="156"/>
      <c r="G92" s="103" t="s">
        <v>1070</v>
      </c>
      <c r="H92" s="103"/>
      <c r="I92" s="103"/>
      <c r="J92" s="103"/>
      <c r="K92" s="103"/>
      <c r="L92" s="103" t="s">
        <v>874</v>
      </c>
      <c r="M92" s="103" t="s">
        <v>1071</v>
      </c>
      <c r="N92" s="103" t="s">
        <v>871</v>
      </c>
      <c r="O92" s="103" t="s">
        <v>1072</v>
      </c>
      <c r="P92" s="103" t="s">
        <v>154</v>
      </c>
      <c r="Q92" s="103">
        <v>0</v>
      </c>
      <c r="R92" s="103">
        <v>0</v>
      </c>
      <c r="S92" s="103" t="s">
        <v>175</v>
      </c>
      <c r="T92" s="103"/>
      <c r="U92" s="103" t="b">
        <v>0</v>
      </c>
      <c r="V92" s="103"/>
      <c r="W92" s="103" t="b">
        <v>1</v>
      </c>
      <c r="X92" s="103" t="s">
        <v>863</v>
      </c>
      <c r="Y92" s="103" t="s">
        <v>153</v>
      </c>
      <c r="Z92" s="103" t="s">
        <v>864</v>
      </c>
      <c r="AA92" s="103" t="s">
        <v>1073</v>
      </c>
      <c r="AB92" s="103" t="s">
        <v>865</v>
      </c>
      <c r="AC92" s="103" t="s">
        <v>866</v>
      </c>
      <c r="AD92" s="103" t="str">
        <f>IF(ISNA(MATCH(AM92,'Measure &amp; Standard CostIDs'!$C$5:$C$177,0)),"",AM92)</f>
        <v/>
      </c>
      <c r="AE92" s="103" t="str">
        <f>IFERROR(INDEX('Measure &amp; Standard CostIDs'!$S$5:$S$177,MATCH(AM92&amp;AL92,'Measure &amp; Standard CostIDs'!$AB$5:$AB$177,0)),"")</f>
        <v/>
      </c>
      <c r="AF92" s="103" t="s">
        <v>1074</v>
      </c>
      <c r="AG92" s="103"/>
      <c r="AH92" s="103" t="s">
        <v>156</v>
      </c>
      <c r="AI92" s="103" t="s">
        <v>156</v>
      </c>
      <c r="AJ92" s="103" t="s">
        <v>498</v>
      </c>
      <c r="AK92" s="103" t="s">
        <v>150</v>
      </c>
      <c r="AL92" s="103" t="s">
        <v>150</v>
      </c>
      <c r="AM92" s="103" t="s">
        <v>497</v>
      </c>
      <c r="AN92" s="103" t="s">
        <v>1258</v>
      </c>
      <c r="AO92" s="103" t="s">
        <v>1076</v>
      </c>
      <c r="AP92" s="156">
        <v>42156</v>
      </c>
      <c r="AQ92" s="103"/>
      <c r="AR92" s="103" t="s">
        <v>870</v>
      </c>
      <c r="AS92" s="103" t="s">
        <v>1077</v>
      </c>
      <c r="AT92" s="103" t="s">
        <v>1078</v>
      </c>
      <c r="AU92" s="103"/>
      <c r="AV92" s="103"/>
    </row>
    <row r="93" spans="1:48">
      <c r="A93" s="103">
        <v>5788</v>
      </c>
      <c r="B93" s="103" t="s">
        <v>1259</v>
      </c>
      <c r="C93" s="103" t="s">
        <v>1067</v>
      </c>
      <c r="D93" s="103" t="s">
        <v>1068</v>
      </c>
      <c r="E93" s="103" t="s">
        <v>1069</v>
      </c>
      <c r="F93" s="156"/>
      <c r="G93" s="103" t="s">
        <v>1070</v>
      </c>
      <c r="H93" s="103"/>
      <c r="I93" s="103"/>
      <c r="J93" s="103"/>
      <c r="K93" s="103"/>
      <c r="L93" s="103" t="s">
        <v>874</v>
      </c>
      <c r="M93" s="103" t="s">
        <v>1071</v>
      </c>
      <c r="N93" s="103" t="s">
        <v>871</v>
      </c>
      <c r="O93" s="103" t="s">
        <v>1072</v>
      </c>
      <c r="P93" s="103" t="s">
        <v>154</v>
      </c>
      <c r="Q93" s="103">
        <v>0</v>
      </c>
      <c r="R93" s="103">
        <v>0</v>
      </c>
      <c r="S93" s="103" t="s">
        <v>175</v>
      </c>
      <c r="T93" s="103"/>
      <c r="U93" s="103" t="b">
        <v>0</v>
      </c>
      <c r="V93" s="103"/>
      <c r="W93" s="103" t="b">
        <v>1</v>
      </c>
      <c r="X93" s="103" t="s">
        <v>863</v>
      </c>
      <c r="Y93" s="103" t="s">
        <v>153</v>
      </c>
      <c r="Z93" s="103" t="s">
        <v>864</v>
      </c>
      <c r="AA93" s="103" t="s">
        <v>1073</v>
      </c>
      <c r="AB93" s="103" t="s">
        <v>865</v>
      </c>
      <c r="AC93" s="103" t="s">
        <v>866</v>
      </c>
      <c r="AD93" s="103" t="str">
        <f>IF(ISNA(MATCH(AM93,'Measure &amp; Standard CostIDs'!$C$5:$C$177,0)),"",AM93)</f>
        <v>CFLscw-Glb(9w)</v>
      </c>
      <c r="AE93" s="103" t="str">
        <f>IFERROR(INDEX('Measure &amp; Standard CostIDs'!$S$5:$S$177,MATCH(AM93&amp;AL93,'Measure &amp; Standard CostIDs'!$AB$5:$AB$177,0)),"")</f>
        <v>Std_CFLscw-Glb(9w)_60pInc-r0248</v>
      </c>
      <c r="AF93" s="103" t="s">
        <v>1074</v>
      </c>
      <c r="AG93" s="103"/>
      <c r="AH93" s="103" t="s">
        <v>156</v>
      </c>
      <c r="AI93" s="103" t="s">
        <v>156</v>
      </c>
      <c r="AJ93" s="103" t="s">
        <v>500</v>
      </c>
      <c r="AK93" s="103" t="s">
        <v>150</v>
      </c>
      <c r="AL93" s="103" t="s">
        <v>150</v>
      </c>
      <c r="AM93" s="103" t="s">
        <v>499</v>
      </c>
      <c r="AN93" s="103" t="s">
        <v>1260</v>
      </c>
      <c r="AO93" s="103" t="s">
        <v>1076</v>
      </c>
      <c r="AP93" s="156">
        <v>42156</v>
      </c>
      <c r="AQ93" s="103"/>
      <c r="AR93" s="103" t="s">
        <v>870</v>
      </c>
      <c r="AS93" s="103" t="s">
        <v>1077</v>
      </c>
      <c r="AT93" s="103" t="s">
        <v>1078</v>
      </c>
      <c r="AU93" s="103"/>
      <c r="AV93" s="103"/>
    </row>
    <row r="94" spans="1:48">
      <c r="A94" s="103">
        <v>5808</v>
      </c>
      <c r="B94" s="103" t="s">
        <v>1261</v>
      </c>
      <c r="C94" s="103" t="s">
        <v>1067</v>
      </c>
      <c r="D94" s="103" t="s">
        <v>1068</v>
      </c>
      <c r="E94" s="103" t="s">
        <v>1069</v>
      </c>
      <c r="F94" s="156"/>
      <c r="G94" s="103" t="s">
        <v>1070</v>
      </c>
      <c r="H94" s="103"/>
      <c r="I94" s="103"/>
      <c r="J94" s="103"/>
      <c r="K94" s="103"/>
      <c r="L94" s="103" t="s">
        <v>874</v>
      </c>
      <c r="M94" s="103" t="s">
        <v>1071</v>
      </c>
      <c r="N94" s="103" t="s">
        <v>871</v>
      </c>
      <c r="O94" s="103" t="s">
        <v>1072</v>
      </c>
      <c r="P94" s="103" t="s">
        <v>154</v>
      </c>
      <c r="Q94" s="103">
        <v>0</v>
      </c>
      <c r="R94" s="103">
        <v>0</v>
      </c>
      <c r="S94" s="103" t="s">
        <v>175</v>
      </c>
      <c r="T94" s="103"/>
      <c r="U94" s="103" t="b">
        <v>0</v>
      </c>
      <c r="V94" s="103"/>
      <c r="W94" s="103" t="b">
        <v>1</v>
      </c>
      <c r="X94" s="103" t="s">
        <v>863</v>
      </c>
      <c r="Y94" s="103" t="s">
        <v>153</v>
      </c>
      <c r="Z94" s="103" t="s">
        <v>864</v>
      </c>
      <c r="AA94" s="103" t="s">
        <v>1073</v>
      </c>
      <c r="AB94" s="103" t="s">
        <v>865</v>
      </c>
      <c r="AC94" s="103" t="s">
        <v>866</v>
      </c>
      <c r="AD94" s="103" t="str">
        <f>IF(ISNA(MATCH(AM94,'Measure &amp; Standard CostIDs'!$C$5:$C$177,0)),"",AM94)</f>
        <v>CFLscw-Refl-1(15w)</v>
      </c>
      <c r="AE94" s="103" t="str">
        <f>IFERROR(INDEX('Measure &amp; Standard CostIDs'!$S$5:$S$177,MATCH(AM94&amp;AL94,'Measure &amp; Standard CostIDs'!$AB$5:$AB$177,0)),"")</f>
        <v>Std_CFLscw-Refl-1(15w)_60pInc-r0286</v>
      </c>
      <c r="AF94" s="103" t="s">
        <v>1074</v>
      </c>
      <c r="AG94" s="103"/>
      <c r="AH94" s="103" t="s">
        <v>163</v>
      </c>
      <c r="AI94" s="103" t="s">
        <v>163</v>
      </c>
      <c r="AJ94" s="103" t="s">
        <v>505</v>
      </c>
      <c r="AK94" s="103" t="s">
        <v>161</v>
      </c>
      <c r="AL94" s="103" t="s">
        <v>161</v>
      </c>
      <c r="AM94" s="103" t="s">
        <v>43</v>
      </c>
      <c r="AN94" s="103" t="s">
        <v>1262</v>
      </c>
      <c r="AO94" s="103" t="s">
        <v>1076</v>
      </c>
      <c r="AP94" s="156">
        <v>42156</v>
      </c>
      <c r="AQ94" s="103"/>
      <c r="AR94" s="103" t="s">
        <v>870</v>
      </c>
      <c r="AS94" s="103" t="s">
        <v>1077</v>
      </c>
      <c r="AT94" s="103" t="s">
        <v>1078</v>
      </c>
      <c r="AU94" s="103"/>
      <c r="AV94" s="103"/>
    </row>
    <row r="95" spans="1:48">
      <c r="A95" s="103">
        <v>5809</v>
      </c>
      <c r="B95" s="103" t="s">
        <v>1263</v>
      </c>
      <c r="C95" s="103" t="s">
        <v>1067</v>
      </c>
      <c r="D95" s="103" t="s">
        <v>1068</v>
      </c>
      <c r="E95" s="103" t="s">
        <v>1069</v>
      </c>
      <c r="F95" s="156"/>
      <c r="G95" s="103" t="s">
        <v>1070</v>
      </c>
      <c r="H95" s="103"/>
      <c r="I95" s="103"/>
      <c r="J95" s="103"/>
      <c r="K95" s="103"/>
      <c r="L95" s="103" t="s">
        <v>874</v>
      </c>
      <c r="M95" s="103" t="s">
        <v>1071</v>
      </c>
      <c r="N95" s="103" t="s">
        <v>871</v>
      </c>
      <c r="O95" s="103" t="s">
        <v>1072</v>
      </c>
      <c r="P95" s="103" t="s">
        <v>154</v>
      </c>
      <c r="Q95" s="103">
        <v>0</v>
      </c>
      <c r="R95" s="103">
        <v>0</v>
      </c>
      <c r="S95" s="103" t="s">
        <v>175</v>
      </c>
      <c r="T95" s="103"/>
      <c r="U95" s="103" t="b">
        <v>0</v>
      </c>
      <c r="V95" s="103"/>
      <c r="W95" s="103" t="b">
        <v>1</v>
      </c>
      <c r="X95" s="103" t="s">
        <v>863</v>
      </c>
      <c r="Y95" s="103" t="s">
        <v>153</v>
      </c>
      <c r="Z95" s="103" t="s">
        <v>864</v>
      </c>
      <c r="AA95" s="103" t="s">
        <v>1073</v>
      </c>
      <c r="AB95" s="103" t="s">
        <v>865</v>
      </c>
      <c r="AC95" s="103" t="s">
        <v>866</v>
      </c>
      <c r="AD95" s="103" t="str">
        <f>IF(ISNA(MATCH(AM95,'Measure &amp; Standard CostIDs'!$C$5:$C$177,0)),"",AM95)</f>
        <v>CFLscw-Refl-1(23w)</v>
      </c>
      <c r="AE95" s="103" t="str">
        <f>IFERROR(INDEX('Measure &amp; Standard CostIDs'!$S$5:$S$177,MATCH(AM95&amp;AL95,'Measure &amp; Standard CostIDs'!$AB$5:$AB$177,0)),"")</f>
        <v>Std_CFLscw-Refl-1(23w)_60pInc-r0286</v>
      </c>
      <c r="AF95" s="103" t="s">
        <v>1074</v>
      </c>
      <c r="AG95" s="103"/>
      <c r="AH95" s="103" t="s">
        <v>163</v>
      </c>
      <c r="AI95" s="103" t="s">
        <v>163</v>
      </c>
      <c r="AJ95" s="103" t="s">
        <v>507</v>
      </c>
      <c r="AK95" s="103" t="s">
        <v>161</v>
      </c>
      <c r="AL95" s="103" t="s">
        <v>161</v>
      </c>
      <c r="AM95" s="103" t="s">
        <v>506</v>
      </c>
      <c r="AN95" s="103" t="s">
        <v>1264</v>
      </c>
      <c r="AO95" s="103" t="s">
        <v>1076</v>
      </c>
      <c r="AP95" s="156">
        <v>42156</v>
      </c>
      <c r="AQ95" s="103"/>
      <c r="AR95" s="103" t="s">
        <v>870</v>
      </c>
      <c r="AS95" s="103" t="s">
        <v>1077</v>
      </c>
      <c r="AT95" s="103" t="s">
        <v>1078</v>
      </c>
      <c r="AU95" s="103"/>
      <c r="AV95" s="103"/>
    </row>
    <row r="96" spans="1:48">
      <c r="A96" s="103">
        <v>5810</v>
      </c>
      <c r="B96" s="103" t="s">
        <v>1265</v>
      </c>
      <c r="C96" s="103" t="s">
        <v>1067</v>
      </c>
      <c r="D96" s="103" t="s">
        <v>1068</v>
      </c>
      <c r="E96" s="103" t="s">
        <v>1069</v>
      </c>
      <c r="F96" s="156"/>
      <c r="G96" s="103" t="s">
        <v>1070</v>
      </c>
      <c r="H96" s="103"/>
      <c r="I96" s="103"/>
      <c r="J96" s="103"/>
      <c r="K96" s="103"/>
      <c r="L96" s="103" t="s">
        <v>874</v>
      </c>
      <c r="M96" s="103" t="s">
        <v>1071</v>
      </c>
      <c r="N96" s="103" t="s">
        <v>871</v>
      </c>
      <c r="O96" s="103" t="s">
        <v>1072</v>
      </c>
      <c r="P96" s="103" t="s">
        <v>154</v>
      </c>
      <c r="Q96" s="103">
        <v>0</v>
      </c>
      <c r="R96" s="103">
        <v>0</v>
      </c>
      <c r="S96" s="103" t="s">
        <v>175</v>
      </c>
      <c r="T96" s="103"/>
      <c r="U96" s="103" t="b">
        <v>0</v>
      </c>
      <c r="V96" s="103"/>
      <c r="W96" s="103" t="b">
        <v>1</v>
      </c>
      <c r="X96" s="103" t="s">
        <v>863</v>
      </c>
      <c r="Y96" s="103" t="s">
        <v>153</v>
      </c>
      <c r="Z96" s="103" t="s">
        <v>864</v>
      </c>
      <c r="AA96" s="103" t="s">
        <v>1073</v>
      </c>
      <c r="AB96" s="103" t="s">
        <v>865</v>
      </c>
      <c r="AC96" s="103" t="s">
        <v>866</v>
      </c>
      <c r="AD96" s="103" t="str">
        <f>IF(ISNA(MATCH(AM96,'Measure &amp; Standard CostIDs'!$C$5:$C$177,0)),"",AM96)</f>
        <v>CFLscw-Refl-2(23w)</v>
      </c>
      <c r="AE96" s="103" t="str">
        <f>IFERROR(INDEX('Measure &amp; Standard CostIDs'!$S$5:$S$177,MATCH(AM96&amp;AL96,'Measure &amp; Standard CostIDs'!$AB$5:$AB$177,0)),"")</f>
        <v>Std_CFLscw-Refl-2(23w)_60pInc-r0286</v>
      </c>
      <c r="AF96" s="103" t="s">
        <v>1074</v>
      </c>
      <c r="AG96" s="103"/>
      <c r="AH96" s="103" t="s">
        <v>163</v>
      </c>
      <c r="AI96" s="103" t="s">
        <v>163</v>
      </c>
      <c r="AJ96" s="103" t="s">
        <v>511</v>
      </c>
      <c r="AK96" s="103" t="s">
        <v>161</v>
      </c>
      <c r="AL96" s="103" t="s">
        <v>161</v>
      </c>
      <c r="AM96" s="103" t="s">
        <v>510</v>
      </c>
      <c r="AN96" s="103" t="s">
        <v>1266</v>
      </c>
      <c r="AO96" s="103" t="s">
        <v>1076</v>
      </c>
      <c r="AP96" s="156">
        <v>42156</v>
      </c>
      <c r="AQ96" s="103"/>
      <c r="AR96" s="103" t="s">
        <v>870</v>
      </c>
      <c r="AS96" s="103" t="s">
        <v>1077</v>
      </c>
      <c r="AT96" s="103" t="s">
        <v>1078</v>
      </c>
      <c r="AU96" s="103" t="s">
        <v>1267</v>
      </c>
      <c r="AV96" s="103"/>
    </row>
    <row r="97" spans="1:48">
      <c r="A97" s="103">
        <v>5789</v>
      </c>
      <c r="B97" s="103" t="s">
        <v>1268</v>
      </c>
      <c r="C97" s="103" t="s">
        <v>1067</v>
      </c>
      <c r="D97" s="103" t="s">
        <v>1068</v>
      </c>
      <c r="E97" s="103" t="s">
        <v>1069</v>
      </c>
      <c r="F97" s="156"/>
      <c r="G97" s="103" t="s">
        <v>1070</v>
      </c>
      <c r="H97" s="103"/>
      <c r="I97" s="103"/>
      <c r="J97" s="103"/>
      <c r="K97" s="103"/>
      <c r="L97" s="103" t="s">
        <v>874</v>
      </c>
      <c r="M97" s="103" t="s">
        <v>1071</v>
      </c>
      <c r="N97" s="103" t="s">
        <v>871</v>
      </c>
      <c r="O97" s="103" t="s">
        <v>1072</v>
      </c>
      <c r="P97" s="103" t="s">
        <v>154</v>
      </c>
      <c r="Q97" s="103">
        <v>0</v>
      </c>
      <c r="R97" s="103">
        <v>0</v>
      </c>
      <c r="S97" s="103" t="s">
        <v>175</v>
      </c>
      <c r="T97" s="103"/>
      <c r="U97" s="103" t="b">
        <v>0</v>
      </c>
      <c r="V97" s="103"/>
      <c r="W97" s="103" t="b">
        <v>1</v>
      </c>
      <c r="X97" s="103" t="s">
        <v>863</v>
      </c>
      <c r="Y97" s="103" t="s">
        <v>153</v>
      </c>
      <c r="Z97" s="103" t="s">
        <v>864</v>
      </c>
      <c r="AA97" s="103" t="s">
        <v>1073</v>
      </c>
      <c r="AB97" s="103" t="s">
        <v>865</v>
      </c>
      <c r="AC97" s="103" t="s">
        <v>866</v>
      </c>
      <c r="AD97" s="103" t="str">
        <f>IF(ISNA(MATCH(AM97,'Measure &amp; Standard CostIDs'!$C$5:$C$177,0)),"",AM97)</f>
        <v>CFLscw-Refl(10w)</v>
      </c>
      <c r="AE97" s="103" t="str">
        <f>IFERROR(INDEX('Measure &amp; Standard CostIDs'!$S$5:$S$177,MATCH(AM97&amp;AL97,'Measure &amp; Standard CostIDs'!$AB$5:$AB$177,0)),"")</f>
        <v>Std_CFLscw-Refl(10w)_60pInc-r0286</v>
      </c>
      <c r="AF97" s="103" t="s">
        <v>1074</v>
      </c>
      <c r="AG97" s="103"/>
      <c r="AH97" s="103" t="s">
        <v>163</v>
      </c>
      <c r="AI97" s="103" t="s">
        <v>163</v>
      </c>
      <c r="AJ97" s="103" t="s">
        <v>539</v>
      </c>
      <c r="AK97" s="103" t="s">
        <v>161</v>
      </c>
      <c r="AL97" s="103" t="s">
        <v>161</v>
      </c>
      <c r="AM97" s="103" t="s">
        <v>537</v>
      </c>
      <c r="AN97" s="103" t="s">
        <v>1269</v>
      </c>
      <c r="AO97" s="103" t="s">
        <v>1076</v>
      </c>
      <c r="AP97" s="156">
        <v>42156</v>
      </c>
      <c r="AQ97" s="103"/>
      <c r="AR97" s="103" t="s">
        <v>870</v>
      </c>
      <c r="AS97" s="103" t="s">
        <v>1077</v>
      </c>
      <c r="AT97" s="103" t="s">
        <v>1078</v>
      </c>
      <c r="AU97" s="103"/>
      <c r="AV97" s="103"/>
    </row>
    <row r="98" spans="1:48">
      <c r="A98" s="103">
        <v>5790</v>
      </c>
      <c r="B98" s="103" t="s">
        <v>1270</v>
      </c>
      <c r="C98" s="103" t="s">
        <v>1067</v>
      </c>
      <c r="D98" s="103" t="s">
        <v>1068</v>
      </c>
      <c r="E98" s="103" t="s">
        <v>1069</v>
      </c>
      <c r="F98" s="156"/>
      <c r="G98" s="103" t="s">
        <v>1070</v>
      </c>
      <c r="H98" s="103"/>
      <c r="I98" s="103"/>
      <c r="J98" s="103"/>
      <c r="K98" s="103"/>
      <c r="L98" s="103" t="s">
        <v>874</v>
      </c>
      <c r="M98" s="103" t="s">
        <v>1071</v>
      </c>
      <c r="N98" s="103" t="s">
        <v>871</v>
      </c>
      <c r="O98" s="103" t="s">
        <v>1072</v>
      </c>
      <c r="P98" s="103" t="s">
        <v>154</v>
      </c>
      <c r="Q98" s="103">
        <v>0</v>
      </c>
      <c r="R98" s="103">
        <v>0</v>
      </c>
      <c r="S98" s="103" t="s">
        <v>175</v>
      </c>
      <c r="T98" s="103"/>
      <c r="U98" s="103" t="b">
        <v>0</v>
      </c>
      <c r="V98" s="103"/>
      <c r="W98" s="103" t="b">
        <v>1</v>
      </c>
      <c r="X98" s="103" t="s">
        <v>863</v>
      </c>
      <c r="Y98" s="103" t="s">
        <v>153</v>
      </c>
      <c r="Z98" s="103" t="s">
        <v>864</v>
      </c>
      <c r="AA98" s="103" t="s">
        <v>1073</v>
      </c>
      <c r="AB98" s="103" t="s">
        <v>865</v>
      </c>
      <c r="AC98" s="103" t="s">
        <v>866</v>
      </c>
      <c r="AD98" s="103" t="str">
        <f>IF(ISNA(MATCH(AM98,'Measure &amp; Standard CostIDs'!$C$5:$C$177,0)),"",AM98)</f>
        <v>CFLscw-Refl(11w)</v>
      </c>
      <c r="AE98" s="103" t="str">
        <f>IFERROR(INDEX('Measure &amp; Standard CostIDs'!$S$5:$S$177,MATCH(AM98&amp;AL98,'Measure &amp; Standard CostIDs'!$AB$5:$AB$177,0)),"")</f>
        <v>Std_CFLscw-Refl(11w)_60pInc-r0286</v>
      </c>
      <c r="AF98" s="103" t="s">
        <v>1074</v>
      </c>
      <c r="AG98" s="103"/>
      <c r="AH98" s="103" t="s">
        <v>163</v>
      </c>
      <c r="AI98" s="103" t="s">
        <v>163</v>
      </c>
      <c r="AJ98" s="103" t="s">
        <v>542</v>
      </c>
      <c r="AK98" s="103" t="s">
        <v>161</v>
      </c>
      <c r="AL98" s="103" t="s">
        <v>161</v>
      </c>
      <c r="AM98" s="103" t="s">
        <v>540</v>
      </c>
      <c r="AN98" s="103" t="s">
        <v>1271</v>
      </c>
      <c r="AO98" s="103" t="s">
        <v>1076</v>
      </c>
      <c r="AP98" s="156">
        <v>42156</v>
      </c>
      <c r="AQ98" s="103"/>
      <c r="AR98" s="103" t="s">
        <v>870</v>
      </c>
      <c r="AS98" s="103" t="s">
        <v>1077</v>
      </c>
      <c r="AT98" s="103" t="s">
        <v>1078</v>
      </c>
      <c r="AU98" s="103"/>
      <c r="AV98" s="103"/>
    </row>
    <row r="99" spans="1:48">
      <c r="A99" s="103">
        <v>5791</v>
      </c>
      <c r="B99" s="103" t="s">
        <v>1272</v>
      </c>
      <c r="C99" s="103" t="s">
        <v>1067</v>
      </c>
      <c r="D99" s="103" t="s">
        <v>1068</v>
      </c>
      <c r="E99" s="103" t="s">
        <v>1069</v>
      </c>
      <c r="F99" s="156"/>
      <c r="G99" s="103" t="s">
        <v>1070</v>
      </c>
      <c r="H99" s="103"/>
      <c r="I99" s="103"/>
      <c r="J99" s="103"/>
      <c r="K99" s="103"/>
      <c r="L99" s="103" t="s">
        <v>874</v>
      </c>
      <c r="M99" s="103" t="s">
        <v>1071</v>
      </c>
      <c r="N99" s="103" t="s">
        <v>871</v>
      </c>
      <c r="O99" s="103" t="s">
        <v>1072</v>
      </c>
      <c r="P99" s="103" t="s">
        <v>154</v>
      </c>
      <c r="Q99" s="103">
        <v>0</v>
      </c>
      <c r="R99" s="103">
        <v>0</v>
      </c>
      <c r="S99" s="103" t="s">
        <v>175</v>
      </c>
      <c r="T99" s="103"/>
      <c r="U99" s="103" t="b">
        <v>0</v>
      </c>
      <c r="V99" s="103"/>
      <c r="W99" s="103" t="b">
        <v>1</v>
      </c>
      <c r="X99" s="103" t="s">
        <v>863</v>
      </c>
      <c r="Y99" s="103" t="s">
        <v>153</v>
      </c>
      <c r="Z99" s="103" t="s">
        <v>864</v>
      </c>
      <c r="AA99" s="103" t="s">
        <v>1073</v>
      </c>
      <c r="AB99" s="103" t="s">
        <v>865</v>
      </c>
      <c r="AC99" s="103" t="s">
        <v>866</v>
      </c>
      <c r="AD99" s="103" t="str">
        <f>IF(ISNA(MATCH(AM99,'Measure &amp; Standard CostIDs'!$C$5:$C$177,0)),"",AM99)</f>
        <v>CFLscw-Refl(12w)</v>
      </c>
      <c r="AE99" s="103" t="str">
        <f>IFERROR(INDEX('Measure &amp; Standard CostIDs'!$S$5:$S$177,MATCH(AM99&amp;AL99,'Measure &amp; Standard CostIDs'!$AB$5:$AB$177,0)),"")</f>
        <v>Std_CFLscw-Refl(12w)_60pInc-r0286</v>
      </c>
      <c r="AF99" s="103" t="s">
        <v>1074</v>
      </c>
      <c r="AG99" s="103"/>
      <c r="AH99" s="103" t="s">
        <v>163</v>
      </c>
      <c r="AI99" s="103" t="s">
        <v>163</v>
      </c>
      <c r="AJ99" s="103" t="s">
        <v>545</v>
      </c>
      <c r="AK99" s="103" t="s">
        <v>161</v>
      </c>
      <c r="AL99" s="103" t="s">
        <v>161</v>
      </c>
      <c r="AM99" s="103" t="s">
        <v>543</v>
      </c>
      <c r="AN99" s="103" t="s">
        <v>1273</v>
      </c>
      <c r="AO99" s="103" t="s">
        <v>1076</v>
      </c>
      <c r="AP99" s="156">
        <v>42156</v>
      </c>
      <c r="AQ99" s="103"/>
      <c r="AR99" s="103" t="s">
        <v>870</v>
      </c>
      <c r="AS99" s="103" t="s">
        <v>1077</v>
      </c>
      <c r="AT99" s="103" t="s">
        <v>1078</v>
      </c>
      <c r="AU99" s="103"/>
      <c r="AV99" s="103"/>
    </row>
    <row r="100" spans="1:48">
      <c r="A100" s="103">
        <v>5792</v>
      </c>
      <c r="B100" s="103" t="s">
        <v>1274</v>
      </c>
      <c r="C100" s="103" t="s">
        <v>1067</v>
      </c>
      <c r="D100" s="103" t="s">
        <v>1068</v>
      </c>
      <c r="E100" s="103" t="s">
        <v>1069</v>
      </c>
      <c r="F100" s="156"/>
      <c r="G100" s="103" t="s">
        <v>1070</v>
      </c>
      <c r="H100" s="103"/>
      <c r="I100" s="103"/>
      <c r="J100" s="103"/>
      <c r="K100" s="103"/>
      <c r="L100" s="103" t="s">
        <v>874</v>
      </c>
      <c r="M100" s="103" t="s">
        <v>1071</v>
      </c>
      <c r="N100" s="103" t="s">
        <v>871</v>
      </c>
      <c r="O100" s="103" t="s">
        <v>1072</v>
      </c>
      <c r="P100" s="103" t="s">
        <v>154</v>
      </c>
      <c r="Q100" s="103">
        <v>0</v>
      </c>
      <c r="R100" s="103">
        <v>0</v>
      </c>
      <c r="S100" s="103" t="s">
        <v>175</v>
      </c>
      <c r="T100" s="103"/>
      <c r="U100" s="103" t="b">
        <v>1</v>
      </c>
      <c r="V100" s="103"/>
      <c r="W100" s="103" t="b">
        <v>1</v>
      </c>
      <c r="X100" s="103" t="s">
        <v>863</v>
      </c>
      <c r="Y100" s="103" t="s">
        <v>153</v>
      </c>
      <c r="Z100" s="103" t="s">
        <v>864</v>
      </c>
      <c r="AA100" s="103" t="s">
        <v>1073</v>
      </c>
      <c r="AB100" s="103" t="s">
        <v>865</v>
      </c>
      <c r="AC100" s="103" t="s">
        <v>866</v>
      </c>
      <c r="AD100" s="103" t="str">
        <f>IF(ISNA(MATCH(AM100,'Measure &amp; Standard CostIDs'!$C$5:$C$177,0)),"",AM100)</f>
        <v>CFLscw-Refl(13w)</v>
      </c>
      <c r="AE100" s="103" t="str">
        <f>IFERROR(INDEX('Measure &amp; Standard CostIDs'!$S$5:$S$177,MATCH(AM100&amp;AL100,'Measure &amp; Standard CostIDs'!$AB$5:$AB$177,0)),"")</f>
        <v>Std_CFLscw-Refl(13w)_60pInc-r0286</v>
      </c>
      <c r="AF100" s="103" t="s">
        <v>1074</v>
      </c>
      <c r="AG100" s="103"/>
      <c r="AH100" s="103" t="s">
        <v>163</v>
      </c>
      <c r="AI100" s="103" t="s">
        <v>163</v>
      </c>
      <c r="AJ100" s="103" t="s">
        <v>548</v>
      </c>
      <c r="AK100" s="103" t="s">
        <v>161</v>
      </c>
      <c r="AL100" s="103" t="s">
        <v>161</v>
      </c>
      <c r="AM100" s="103" t="s">
        <v>546</v>
      </c>
      <c r="AN100" s="103" t="s">
        <v>1275</v>
      </c>
      <c r="AO100" s="103" t="s">
        <v>1076</v>
      </c>
      <c r="AP100" s="156">
        <v>42156</v>
      </c>
      <c r="AQ100" s="103"/>
      <c r="AR100" s="103" t="s">
        <v>870</v>
      </c>
      <c r="AS100" s="103" t="s">
        <v>1077</v>
      </c>
      <c r="AT100" s="103" t="s">
        <v>1078</v>
      </c>
      <c r="AU100" s="103"/>
      <c r="AV100" s="103"/>
    </row>
    <row r="101" spans="1:48">
      <c r="A101" s="103">
        <v>5793</v>
      </c>
      <c r="B101" s="103" t="s">
        <v>1276</v>
      </c>
      <c r="C101" s="103" t="s">
        <v>1067</v>
      </c>
      <c r="D101" s="103" t="s">
        <v>1068</v>
      </c>
      <c r="E101" s="103" t="s">
        <v>1069</v>
      </c>
      <c r="F101" s="156"/>
      <c r="G101" s="103" t="s">
        <v>1070</v>
      </c>
      <c r="H101" s="103"/>
      <c r="I101" s="103"/>
      <c r="J101" s="103"/>
      <c r="K101" s="103"/>
      <c r="L101" s="103" t="s">
        <v>874</v>
      </c>
      <c r="M101" s="103" t="s">
        <v>1071</v>
      </c>
      <c r="N101" s="103" t="s">
        <v>871</v>
      </c>
      <c r="O101" s="103" t="s">
        <v>1072</v>
      </c>
      <c r="P101" s="103" t="s">
        <v>154</v>
      </c>
      <c r="Q101" s="103">
        <v>0</v>
      </c>
      <c r="R101" s="103">
        <v>0</v>
      </c>
      <c r="S101" s="103" t="s">
        <v>175</v>
      </c>
      <c r="T101" s="103"/>
      <c r="U101" s="103" t="b">
        <v>0</v>
      </c>
      <c r="V101" s="103"/>
      <c r="W101" s="103" t="b">
        <v>1</v>
      </c>
      <c r="X101" s="103" t="s">
        <v>863</v>
      </c>
      <c r="Y101" s="103" t="s">
        <v>153</v>
      </c>
      <c r="Z101" s="103" t="s">
        <v>864</v>
      </c>
      <c r="AA101" s="103" t="s">
        <v>1073</v>
      </c>
      <c r="AB101" s="103" t="s">
        <v>865</v>
      </c>
      <c r="AC101" s="103" t="s">
        <v>866</v>
      </c>
      <c r="AD101" s="103" t="str">
        <f>IF(ISNA(MATCH(AM101,'Measure &amp; Standard CostIDs'!$C$5:$C$177,0)),"",AM101)</f>
        <v>CFLscw-Refl(14w)</v>
      </c>
      <c r="AE101" s="103" t="str">
        <f>IFERROR(INDEX('Measure &amp; Standard CostIDs'!$S$5:$S$177,MATCH(AM101&amp;AL101,'Measure &amp; Standard CostIDs'!$AB$5:$AB$177,0)),"")</f>
        <v>Std_CFLscw-Refl(14w)_60pInc-r0286</v>
      </c>
      <c r="AF101" s="103" t="s">
        <v>1074</v>
      </c>
      <c r="AG101" s="103"/>
      <c r="AH101" s="103" t="s">
        <v>163</v>
      </c>
      <c r="AI101" s="103" t="s">
        <v>163</v>
      </c>
      <c r="AJ101" s="103" t="s">
        <v>551</v>
      </c>
      <c r="AK101" s="103" t="s">
        <v>161</v>
      </c>
      <c r="AL101" s="103" t="s">
        <v>161</v>
      </c>
      <c r="AM101" s="103" t="s">
        <v>549</v>
      </c>
      <c r="AN101" s="103" t="s">
        <v>1277</v>
      </c>
      <c r="AO101" s="103" t="s">
        <v>1076</v>
      </c>
      <c r="AP101" s="156">
        <v>42156</v>
      </c>
      <c r="AQ101" s="103"/>
      <c r="AR101" s="103" t="s">
        <v>870</v>
      </c>
      <c r="AS101" s="103" t="s">
        <v>1077</v>
      </c>
      <c r="AT101" s="103" t="s">
        <v>1078</v>
      </c>
      <c r="AU101" s="103"/>
      <c r="AV101" s="103"/>
    </row>
    <row r="102" spans="1:48">
      <c r="A102" s="103">
        <v>5794</v>
      </c>
      <c r="B102" s="103" t="s">
        <v>1278</v>
      </c>
      <c r="C102" s="103" t="s">
        <v>1067</v>
      </c>
      <c r="D102" s="103" t="s">
        <v>1068</v>
      </c>
      <c r="E102" s="103" t="s">
        <v>1069</v>
      </c>
      <c r="F102" s="156"/>
      <c r="G102" s="103" t="s">
        <v>1070</v>
      </c>
      <c r="H102" s="103"/>
      <c r="I102" s="103"/>
      <c r="J102" s="103"/>
      <c r="K102" s="103"/>
      <c r="L102" s="103" t="s">
        <v>874</v>
      </c>
      <c r="M102" s="103" t="s">
        <v>1071</v>
      </c>
      <c r="N102" s="103" t="s">
        <v>871</v>
      </c>
      <c r="O102" s="103" t="s">
        <v>1072</v>
      </c>
      <c r="P102" s="103" t="s">
        <v>154</v>
      </c>
      <c r="Q102" s="103">
        <v>0</v>
      </c>
      <c r="R102" s="103">
        <v>0</v>
      </c>
      <c r="S102" s="103" t="s">
        <v>175</v>
      </c>
      <c r="T102" s="103"/>
      <c r="U102" s="103" t="b">
        <v>0</v>
      </c>
      <c r="V102" s="103"/>
      <c r="W102" s="103" t="b">
        <v>1</v>
      </c>
      <c r="X102" s="103" t="s">
        <v>863</v>
      </c>
      <c r="Y102" s="103" t="s">
        <v>153</v>
      </c>
      <c r="Z102" s="103" t="s">
        <v>864</v>
      </c>
      <c r="AA102" s="103" t="s">
        <v>1073</v>
      </c>
      <c r="AB102" s="103" t="s">
        <v>865</v>
      </c>
      <c r="AC102" s="103" t="s">
        <v>866</v>
      </c>
      <c r="AD102" s="103" t="str">
        <f>IF(ISNA(MATCH(AM102,'Measure &amp; Standard CostIDs'!$C$5:$C$177,0)),"",AM102)</f>
        <v>CFLscw-Refl(16w)</v>
      </c>
      <c r="AE102" s="103" t="str">
        <f>IFERROR(INDEX('Measure &amp; Standard CostIDs'!$S$5:$S$177,MATCH(AM102&amp;AL102,'Measure &amp; Standard CostIDs'!$AB$5:$AB$177,0)),"")</f>
        <v>Std_CFLscw-Refl(16w)_60pInc-r0286</v>
      </c>
      <c r="AF102" s="103" t="s">
        <v>1074</v>
      </c>
      <c r="AG102" s="103"/>
      <c r="AH102" s="103" t="s">
        <v>163</v>
      </c>
      <c r="AI102" s="103" t="s">
        <v>163</v>
      </c>
      <c r="AJ102" s="103" t="s">
        <v>557</v>
      </c>
      <c r="AK102" s="103" t="s">
        <v>161</v>
      </c>
      <c r="AL102" s="103" t="s">
        <v>161</v>
      </c>
      <c r="AM102" s="103" t="s">
        <v>555</v>
      </c>
      <c r="AN102" s="103" t="s">
        <v>1279</v>
      </c>
      <c r="AO102" s="103" t="s">
        <v>1076</v>
      </c>
      <c r="AP102" s="156">
        <v>42156</v>
      </c>
      <c r="AQ102" s="103"/>
      <c r="AR102" s="103" t="s">
        <v>870</v>
      </c>
      <c r="AS102" s="103" t="s">
        <v>1077</v>
      </c>
      <c r="AT102" s="103" t="s">
        <v>1078</v>
      </c>
      <c r="AU102" s="103"/>
      <c r="AV102" s="103"/>
    </row>
    <row r="103" spans="1:48">
      <c r="A103" s="103">
        <v>5694</v>
      </c>
      <c r="B103" s="103" t="s">
        <v>1280</v>
      </c>
      <c r="C103" s="103" t="s">
        <v>1067</v>
      </c>
      <c r="D103" s="103" t="s">
        <v>1068</v>
      </c>
      <c r="E103" s="103" t="s">
        <v>1069</v>
      </c>
      <c r="F103" s="156"/>
      <c r="G103" s="103" t="s">
        <v>1281</v>
      </c>
      <c r="H103" s="103"/>
      <c r="I103" s="103"/>
      <c r="J103" s="103"/>
      <c r="K103" s="103"/>
      <c r="L103" s="103" t="s">
        <v>1282</v>
      </c>
      <c r="M103" s="103" t="s">
        <v>1071</v>
      </c>
      <c r="N103" s="103" t="s">
        <v>871</v>
      </c>
      <c r="O103" s="103" t="s">
        <v>1072</v>
      </c>
      <c r="P103" s="103" t="s">
        <v>154</v>
      </c>
      <c r="Q103" s="103">
        <v>0</v>
      </c>
      <c r="R103" s="103">
        <v>0</v>
      </c>
      <c r="S103" s="103" t="s">
        <v>175</v>
      </c>
      <c r="T103" s="103"/>
      <c r="U103" s="103" t="b">
        <v>0</v>
      </c>
      <c r="V103" s="103"/>
      <c r="W103" s="103" t="b">
        <v>1</v>
      </c>
      <c r="X103" s="103" t="s">
        <v>863</v>
      </c>
      <c r="Y103" s="103" t="s">
        <v>153</v>
      </c>
      <c r="Z103" s="103" t="s">
        <v>864</v>
      </c>
      <c r="AA103" s="103" t="s">
        <v>1073</v>
      </c>
      <c r="AB103" s="103" t="s">
        <v>865</v>
      </c>
      <c r="AC103" s="103" t="s">
        <v>866</v>
      </c>
      <c r="AD103" s="103" t="str">
        <f>IF(ISNA(MATCH(AM103,'Measure &amp; Standard CostIDs'!$C$5:$C$177,0)),"",AM103)</f>
        <v>CFLscw-Refl(17w)</v>
      </c>
      <c r="AE103" s="103" t="str">
        <f>IFERROR(INDEX('Measure &amp; Standard CostIDs'!$S$5:$S$177,MATCH(AM103&amp;AL103,'Measure &amp; Standard CostIDs'!$AB$5:$AB$177,0)),"")</f>
        <v>Std_CFLscw-Refl(17w)_60pInc-r0286</v>
      </c>
      <c r="AF103" s="103" t="s">
        <v>1074</v>
      </c>
      <c r="AG103" s="103" t="s">
        <v>1192</v>
      </c>
      <c r="AH103" s="103" t="s">
        <v>163</v>
      </c>
      <c r="AI103" s="103" t="s">
        <v>163</v>
      </c>
      <c r="AJ103" s="103" t="s">
        <v>560</v>
      </c>
      <c r="AK103" s="103" t="s">
        <v>161</v>
      </c>
      <c r="AL103" s="103" t="s">
        <v>161</v>
      </c>
      <c r="AM103" s="103" t="s">
        <v>558</v>
      </c>
      <c r="AN103" s="103" t="s">
        <v>1283</v>
      </c>
      <c r="AO103" s="103" t="s">
        <v>1076</v>
      </c>
      <c r="AP103" s="156">
        <v>42156</v>
      </c>
      <c r="AQ103" s="103"/>
      <c r="AR103" s="103" t="s">
        <v>870</v>
      </c>
      <c r="AS103" s="103" t="s">
        <v>1077</v>
      </c>
      <c r="AT103" s="103" t="s">
        <v>1078</v>
      </c>
      <c r="AU103" s="103"/>
      <c r="AV103" s="103"/>
    </row>
    <row r="104" spans="1:48">
      <c r="A104" s="103">
        <v>5795</v>
      </c>
      <c r="B104" s="103" t="s">
        <v>1284</v>
      </c>
      <c r="C104" s="103" t="s">
        <v>1067</v>
      </c>
      <c r="D104" s="103" t="s">
        <v>1068</v>
      </c>
      <c r="E104" s="103" t="s">
        <v>1069</v>
      </c>
      <c r="F104" s="156"/>
      <c r="G104" s="103" t="s">
        <v>1070</v>
      </c>
      <c r="H104" s="103"/>
      <c r="I104" s="103"/>
      <c r="J104" s="103"/>
      <c r="K104" s="103"/>
      <c r="L104" s="103" t="s">
        <v>874</v>
      </c>
      <c r="M104" s="103" t="s">
        <v>1071</v>
      </c>
      <c r="N104" s="103" t="s">
        <v>871</v>
      </c>
      <c r="O104" s="103" t="s">
        <v>1072</v>
      </c>
      <c r="P104" s="103" t="s">
        <v>154</v>
      </c>
      <c r="Q104" s="103">
        <v>0</v>
      </c>
      <c r="R104" s="103">
        <v>0</v>
      </c>
      <c r="S104" s="103" t="s">
        <v>175</v>
      </c>
      <c r="T104" s="103"/>
      <c r="U104" s="103" t="b">
        <v>0</v>
      </c>
      <c r="V104" s="103"/>
      <c r="W104" s="103" t="b">
        <v>1</v>
      </c>
      <c r="X104" s="103" t="s">
        <v>863</v>
      </c>
      <c r="Y104" s="103" t="s">
        <v>153</v>
      </c>
      <c r="Z104" s="103" t="s">
        <v>864</v>
      </c>
      <c r="AA104" s="103" t="s">
        <v>1073</v>
      </c>
      <c r="AB104" s="103" t="s">
        <v>865</v>
      </c>
      <c r="AC104" s="103" t="s">
        <v>866</v>
      </c>
      <c r="AD104" s="103" t="str">
        <f>IF(ISNA(MATCH(AM104,'Measure &amp; Standard CostIDs'!$C$5:$C$177,0)),"",AM104)</f>
        <v>CFLscw-Refl(18w)</v>
      </c>
      <c r="AE104" s="103" t="str">
        <f>IFERROR(INDEX('Measure &amp; Standard CostIDs'!$S$5:$S$177,MATCH(AM104&amp;AL104,'Measure &amp; Standard CostIDs'!$AB$5:$AB$177,0)),"")</f>
        <v>Std_CFLscw-Refl(18w)_60pInc-r0286</v>
      </c>
      <c r="AF104" s="103" t="s">
        <v>1074</v>
      </c>
      <c r="AG104" s="103"/>
      <c r="AH104" s="103" t="s">
        <v>163</v>
      </c>
      <c r="AI104" s="103" t="s">
        <v>163</v>
      </c>
      <c r="AJ104" s="103" t="s">
        <v>563</v>
      </c>
      <c r="AK104" s="103" t="s">
        <v>161</v>
      </c>
      <c r="AL104" s="103" t="s">
        <v>161</v>
      </c>
      <c r="AM104" s="103" t="s">
        <v>561</v>
      </c>
      <c r="AN104" s="103" t="s">
        <v>1285</v>
      </c>
      <c r="AO104" s="103" t="s">
        <v>1076</v>
      </c>
      <c r="AP104" s="156">
        <v>42156</v>
      </c>
      <c r="AQ104" s="103"/>
      <c r="AR104" s="103" t="s">
        <v>870</v>
      </c>
      <c r="AS104" s="103" t="s">
        <v>1077</v>
      </c>
      <c r="AT104" s="103" t="s">
        <v>1078</v>
      </c>
      <c r="AU104" s="103"/>
      <c r="AV104" s="103"/>
    </row>
    <row r="105" spans="1:48">
      <c r="A105" s="103">
        <v>5796</v>
      </c>
      <c r="B105" s="103" t="s">
        <v>1286</v>
      </c>
      <c r="C105" s="103" t="s">
        <v>1067</v>
      </c>
      <c r="D105" s="103" t="s">
        <v>1068</v>
      </c>
      <c r="E105" s="103" t="s">
        <v>1069</v>
      </c>
      <c r="F105" s="156"/>
      <c r="G105" s="103" t="s">
        <v>1070</v>
      </c>
      <c r="H105" s="103"/>
      <c r="I105" s="103"/>
      <c r="J105" s="103"/>
      <c r="K105" s="103"/>
      <c r="L105" s="103" t="s">
        <v>874</v>
      </c>
      <c r="M105" s="103" t="s">
        <v>1071</v>
      </c>
      <c r="N105" s="103" t="s">
        <v>871</v>
      </c>
      <c r="O105" s="103" t="s">
        <v>1072</v>
      </c>
      <c r="P105" s="103" t="s">
        <v>154</v>
      </c>
      <c r="Q105" s="103">
        <v>0</v>
      </c>
      <c r="R105" s="103">
        <v>0</v>
      </c>
      <c r="S105" s="103" t="s">
        <v>175</v>
      </c>
      <c r="T105" s="103"/>
      <c r="U105" s="103" t="b">
        <v>0</v>
      </c>
      <c r="V105" s="103"/>
      <c r="W105" s="103" t="b">
        <v>1</v>
      </c>
      <c r="X105" s="103" t="s">
        <v>863</v>
      </c>
      <c r="Y105" s="103" t="s">
        <v>153</v>
      </c>
      <c r="Z105" s="103" t="s">
        <v>864</v>
      </c>
      <c r="AA105" s="103" t="s">
        <v>1073</v>
      </c>
      <c r="AB105" s="103" t="s">
        <v>865</v>
      </c>
      <c r="AC105" s="103" t="s">
        <v>866</v>
      </c>
      <c r="AD105" s="103" t="str">
        <f>IF(ISNA(MATCH(AM105,'Measure &amp; Standard CostIDs'!$C$5:$C$177,0)),"",AM105)</f>
        <v>CFLscw-Refl(19w)</v>
      </c>
      <c r="AE105" s="103" t="str">
        <f>IFERROR(INDEX('Measure &amp; Standard CostIDs'!$S$5:$S$177,MATCH(AM105&amp;AL105,'Measure &amp; Standard CostIDs'!$AB$5:$AB$177,0)),"")</f>
        <v>Std_CFLscw-Refl(19w)_60pInc-r0286</v>
      </c>
      <c r="AF105" s="103" t="s">
        <v>1074</v>
      </c>
      <c r="AG105" s="103"/>
      <c r="AH105" s="103" t="s">
        <v>163</v>
      </c>
      <c r="AI105" s="103" t="s">
        <v>163</v>
      </c>
      <c r="AJ105" s="103" t="s">
        <v>566</v>
      </c>
      <c r="AK105" s="103" t="s">
        <v>161</v>
      </c>
      <c r="AL105" s="103" t="s">
        <v>161</v>
      </c>
      <c r="AM105" s="103" t="s">
        <v>564</v>
      </c>
      <c r="AN105" s="103" t="s">
        <v>1287</v>
      </c>
      <c r="AO105" s="103" t="s">
        <v>1076</v>
      </c>
      <c r="AP105" s="156">
        <v>42156</v>
      </c>
      <c r="AQ105" s="103"/>
      <c r="AR105" s="103" t="s">
        <v>870</v>
      </c>
      <c r="AS105" s="103" t="s">
        <v>1077</v>
      </c>
      <c r="AT105" s="103" t="s">
        <v>1078</v>
      </c>
      <c r="AU105" s="103"/>
      <c r="AV105" s="103"/>
    </row>
    <row r="106" spans="1:48">
      <c r="A106" s="103">
        <v>5797</v>
      </c>
      <c r="B106" s="103" t="s">
        <v>1288</v>
      </c>
      <c r="C106" s="103" t="s">
        <v>1067</v>
      </c>
      <c r="D106" s="103" t="s">
        <v>1068</v>
      </c>
      <c r="E106" s="103" t="s">
        <v>1069</v>
      </c>
      <c r="F106" s="156"/>
      <c r="G106" s="103" t="s">
        <v>1070</v>
      </c>
      <c r="H106" s="103"/>
      <c r="I106" s="103"/>
      <c r="J106" s="103"/>
      <c r="K106" s="103"/>
      <c r="L106" s="103" t="s">
        <v>874</v>
      </c>
      <c r="M106" s="103" t="s">
        <v>1071</v>
      </c>
      <c r="N106" s="103" t="s">
        <v>871</v>
      </c>
      <c r="O106" s="103" t="s">
        <v>1072</v>
      </c>
      <c r="P106" s="103" t="s">
        <v>154</v>
      </c>
      <c r="Q106" s="103">
        <v>0</v>
      </c>
      <c r="R106" s="103">
        <v>0</v>
      </c>
      <c r="S106" s="103" t="s">
        <v>175</v>
      </c>
      <c r="T106" s="103"/>
      <c r="U106" s="103" t="b">
        <v>0</v>
      </c>
      <c r="V106" s="103"/>
      <c r="W106" s="103" t="b">
        <v>1</v>
      </c>
      <c r="X106" s="103" t="s">
        <v>863</v>
      </c>
      <c r="Y106" s="103" t="s">
        <v>153</v>
      </c>
      <c r="Z106" s="103" t="s">
        <v>864</v>
      </c>
      <c r="AA106" s="103" t="s">
        <v>1073</v>
      </c>
      <c r="AB106" s="103" t="s">
        <v>865</v>
      </c>
      <c r="AC106" s="103" t="s">
        <v>866</v>
      </c>
      <c r="AD106" s="103" t="str">
        <f>IF(ISNA(MATCH(AM106,'Measure &amp; Standard CostIDs'!$C$5:$C$177,0)),"",AM106)</f>
        <v>CFLscw-Refl(20w)</v>
      </c>
      <c r="AE106" s="103" t="str">
        <f>IFERROR(INDEX('Measure &amp; Standard CostIDs'!$S$5:$S$177,MATCH(AM106&amp;AL106,'Measure &amp; Standard CostIDs'!$AB$5:$AB$177,0)),"")</f>
        <v>Std_CFLscw-Refl(20w)_60pInc-r0286</v>
      </c>
      <c r="AF106" s="103" t="s">
        <v>1074</v>
      </c>
      <c r="AG106" s="103"/>
      <c r="AH106" s="103" t="s">
        <v>163</v>
      </c>
      <c r="AI106" s="103" t="s">
        <v>163</v>
      </c>
      <c r="AJ106" s="103" t="s">
        <v>572</v>
      </c>
      <c r="AK106" s="103" t="s">
        <v>161</v>
      </c>
      <c r="AL106" s="103" t="s">
        <v>161</v>
      </c>
      <c r="AM106" s="103" t="s">
        <v>570</v>
      </c>
      <c r="AN106" s="103" t="s">
        <v>1289</v>
      </c>
      <c r="AO106" s="103" t="s">
        <v>1076</v>
      </c>
      <c r="AP106" s="156">
        <v>42156</v>
      </c>
      <c r="AQ106" s="103"/>
      <c r="AR106" s="103" t="s">
        <v>870</v>
      </c>
      <c r="AS106" s="103" t="s">
        <v>1077</v>
      </c>
      <c r="AT106" s="103" t="s">
        <v>1078</v>
      </c>
      <c r="AU106" s="103"/>
      <c r="AV106" s="103"/>
    </row>
    <row r="107" spans="1:48">
      <c r="A107" s="103">
        <v>5695</v>
      </c>
      <c r="B107" s="103" t="s">
        <v>1290</v>
      </c>
      <c r="C107" s="103" t="s">
        <v>1067</v>
      </c>
      <c r="D107" s="103" t="s">
        <v>1068</v>
      </c>
      <c r="E107" s="103" t="s">
        <v>1069</v>
      </c>
      <c r="F107" s="156"/>
      <c r="G107" s="103" t="s">
        <v>1281</v>
      </c>
      <c r="H107" s="103"/>
      <c r="I107" s="103"/>
      <c r="J107" s="103"/>
      <c r="K107" s="103"/>
      <c r="L107" s="103" t="s">
        <v>1282</v>
      </c>
      <c r="M107" s="103" t="s">
        <v>1071</v>
      </c>
      <c r="N107" s="103" t="s">
        <v>871</v>
      </c>
      <c r="O107" s="103" t="s">
        <v>1072</v>
      </c>
      <c r="P107" s="103" t="s">
        <v>154</v>
      </c>
      <c r="Q107" s="103">
        <v>0</v>
      </c>
      <c r="R107" s="103">
        <v>0</v>
      </c>
      <c r="S107" s="103" t="s">
        <v>175</v>
      </c>
      <c r="T107" s="103"/>
      <c r="U107" s="103" t="b">
        <v>0</v>
      </c>
      <c r="V107" s="103"/>
      <c r="W107" s="103" t="b">
        <v>1</v>
      </c>
      <c r="X107" s="103" t="s">
        <v>863</v>
      </c>
      <c r="Y107" s="103" t="s">
        <v>153</v>
      </c>
      <c r="Z107" s="103" t="s">
        <v>864</v>
      </c>
      <c r="AA107" s="103" t="s">
        <v>1073</v>
      </c>
      <c r="AB107" s="103" t="s">
        <v>865</v>
      </c>
      <c r="AC107" s="103" t="s">
        <v>866</v>
      </c>
      <c r="AD107" s="103" t="str">
        <f>IF(ISNA(MATCH(AM107,'Measure &amp; Standard CostIDs'!$C$5:$C$177,0)),"",AM107)</f>
        <v>CFLscw-Refl(21w)</v>
      </c>
      <c r="AE107" s="103" t="str">
        <f>IFERROR(INDEX('Measure &amp; Standard CostIDs'!$S$5:$S$177,MATCH(AM107&amp;AL107,'Measure &amp; Standard CostIDs'!$AB$5:$AB$177,0)),"")</f>
        <v>Std_CFLscw-Refl(21w)_60pInc-r0286</v>
      </c>
      <c r="AF107" s="103" t="s">
        <v>1074</v>
      </c>
      <c r="AG107" s="103" t="s">
        <v>1192</v>
      </c>
      <c r="AH107" s="103" t="s">
        <v>163</v>
      </c>
      <c r="AI107" s="103" t="s">
        <v>163</v>
      </c>
      <c r="AJ107" s="103" t="s">
        <v>575</v>
      </c>
      <c r="AK107" s="103" t="s">
        <v>161</v>
      </c>
      <c r="AL107" s="103" t="s">
        <v>161</v>
      </c>
      <c r="AM107" s="103" t="s">
        <v>573</v>
      </c>
      <c r="AN107" s="103" t="s">
        <v>1291</v>
      </c>
      <c r="AO107" s="103" t="s">
        <v>1076</v>
      </c>
      <c r="AP107" s="156">
        <v>42156</v>
      </c>
      <c r="AQ107" s="103"/>
      <c r="AR107" s="103" t="s">
        <v>870</v>
      </c>
      <c r="AS107" s="103" t="s">
        <v>1077</v>
      </c>
      <c r="AT107" s="103" t="s">
        <v>1078</v>
      </c>
      <c r="AU107" s="103"/>
      <c r="AV107" s="103"/>
    </row>
    <row r="108" spans="1:48">
      <c r="A108" s="103">
        <v>5798</v>
      </c>
      <c r="B108" s="103" t="s">
        <v>1292</v>
      </c>
      <c r="C108" s="103" t="s">
        <v>1067</v>
      </c>
      <c r="D108" s="103" t="s">
        <v>1068</v>
      </c>
      <c r="E108" s="103" t="s">
        <v>1069</v>
      </c>
      <c r="F108" s="156"/>
      <c r="G108" s="103" t="s">
        <v>1070</v>
      </c>
      <c r="H108" s="103"/>
      <c r="I108" s="103"/>
      <c r="J108" s="103"/>
      <c r="K108" s="103"/>
      <c r="L108" s="103" t="s">
        <v>874</v>
      </c>
      <c r="M108" s="103" t="s">
        <v>1071</v>
      </c>
      <c r="N108" s="103" t="s">
        <v>871</v>
      </c>
      <c r="O108" s="103" t="s">
        <v>1072</v>
      </c>
      <c r="P108" s="103" t="s">
        <v>154</v>
      </c>
      <c r="Q108" s="103">
        <v>0</v>
      </c>
      <c r="R108" s="103">
        <v>0</v>
      </c>
      <c r="S108" s="103" t="s">
        <v>175</v>
      </c>
      <c r="T108" s="103"/>
      <c r="U108" s="103" t="b">
        <v>0</v>
      </c>
      <c r="V108" s="103"/>
      <c r="W108" s="103" t="b">
        <v>1</v>
      </c>
      <c r="X108" s="103" t="s">
        <v>863</v>
      </c>
      <c r="Y108" s="103" t="s">
        <v>153</v>
      </c>
      <c r="Z108" s="103" t="s">
        <v>864</v>
      </c>
      <c r="AA108" s="103" t="s">
        <v>1073</v>
      </c>
      <c r="AB108" s="103" t="s">
        <v>865</v>
      </c>
      <c r="AC108" s="103" t="s">
        <v>866</v>
      </c>
      <c r="AD108" s="103" t="str">
        <f>IF(ISNA(MATCH(AM108,'Measure &amp; Standard CostIDs'!$C$5:$C$177,0)),"",AM108)</f>
        <v>CFLscw-Refl(22w)</v>
      </c>
      <c r="AE108" s="103" t="str">
        <f>IFERROR(INDEX('Measure &amp; Standard CostIDs'!$S$5:$S$177,MATCH(AM108&amp;AL108,'Measure &amp; Standard CostIDs'!$AB$5:$AB$177,0)),"")</f>
        <v>Std_CFLscw-Refl(22w)_60pInc-r0286</v>
      </c>
      <c r="AF108" s="103" t="s">
        <v>1074</v>
      </c>
      <c r="AG108" s="103"/>
      <c r="AH108" s="103" t="s">
        <v>163</v>
      </c>
      <c r="AI108" s="103" t="s">
        <v>163</v>
      </c>
      <c r="AJ108" s="103" t="s">
        <v>578</v>
      </c>
      <c r="AK108" s="103" t="s">
        <v>161</v>
      </c>
      <c r="AL108" s="103" t="s">
        <v>161</v>
      </c>
      <c r="AM108" s="103" t="s">
        <v>576</v>
      </c>
      <c r="AN108" s="103" t="s">
        <v>1293</v>
      </c>
      <c r="AO108" s="103" t="s">
        <v>1076</v>
      </c>
      <c r="AP108" s="156">
        <v>42156</v>
      </c>
      <c r="AQ108" s="103"/>
      <c r="AR108" s="103" t="s">
        <v>870</v>
      </c>
      <c r="AS108" s="103" t="s">
        <v>1077</v>
      </c>
      <c r="AT108" s="103" t="s">
        <v>1078</v>
      </c>
      <c r="AU108" s="103"/>
      <c r="AV108" s="103"/>
    </row>
    <row r="109" spans="1:48">
      <c r="A109" s="103">
        <v>5799</v>
      </c>
      <c r="B109" s="103" t="s">
        <v>1294</v>
      </c>
      <c r="C109" s="103" t="s">
        <v>1067</v>
      </c>
      <c r="D109" s="103" t="s">
        <v>1068</v>
      </c>
      <c r="E109" s="103" t="s">
        <v>1069</v>
      </c>
      <c r="F109" s="156"/>
      <c r="G109" s="103" t="s">
        <v>1070</v>
      </c>
      <c r="H109" s="103"/>
      <c r="I109" s="103"/>
      <c r="J109" s="103"/>
      <c r="K109" s="103"/>
      <c r="L109" s="103" t="s">
        <v>874</v>
      </c>
      <c r="M109" s="103" t="s">
        <v>1071</v>
      </c>
      <c r="N109" s="103" t="s">
        <v>871</v>
      </c>
      <c r="O109" s="103" t="s">
        <v>1072</v>
      </c>
      <c r="P109" s="103" t="s">
        <v>154</v>
      </c>
      <c r="Q109" s="103">
        <v>0</v>
      </c>
      <c r="R109" s="103">
        <v>0</v>
      </c>
      <c r="S109" s="103" t="s">
        <v>175</v>
      </c>
      <c r="T109" s="103"/>
      <c r="U109" s="103" t="b">
        <v>0</v>
      </c>
      <c r="V109" s="103"/>
      <c r="W109" s="103" t="b">
        <v>1</v>
      </c>
      <c r="X109" s="103" t="s">
        <v>863</v>
      </c>
      <c r="Y109" s="103" t="s">
        <v>153</v>
      </c>
      <c r="Z109" s="103" t="s">
        <v>864</v>
      </c>
      <c r="AA109" s="103" t="s">
        <v>1073</v>
      </c>
      <c r="AB109" s="103" t="s">
        <v>865</v>
      </c>
      <c r="AC109" s="103" t="s">
        <v>866</v>
      </c>
      <c r="AD109" s="103" t="str">
        <f>IF(ISNA(MATCH(AM109,'Measure &amp; Standard CostIDs'!$C$5:$C$177,0)),"",AM109)</f>
        <v>CFLscw-Refl(24w)</v>
      </c>
      <c r="AE109" s="103" t="str">
        <f>IFERROR(INDEX('Measure &amp; Standard CostIDs'!$S$5:$S$177,MATCH(AM109&amp;AL109,'Measure &amp; Standard CostIDs'!$AB$5:$AB$177,0)),"")</f>
        <v>Std_CFLscw-Refl(24w)_60pInc-r0286</v>
      </c>
      <c r="AF109" s="103" t="s">
        <v>1074</v>
      </c>
      <c r="AG109" s="103"/>
      <c r="AH109" s="103" t="s">
        <v>163</v>
      </c>
      <c r="AI109" s="103" t="s">
        <v>163</v>
      </c>
      <c r="AJ109" s="103" t="s">
        <v>581</v>
      </c>
      <c r="AK109" s="103" t="s">
        <v>161</v>
      </c>
      <c r="AL109" s="103" t="s">
        <v>161</v>
      </c>
      <c r="AM109" s="103" t="s">
        <v>579</v>
      </c>
      <c r="AN109" s="103" t="s">
        <v>1295</v>
      </c>
      <c r="AO109" s="103" t="s">
        <v>1076</v>
      </c>
      <c r="AP109" s="156">
        <v>42156</v>
      </c>
      <c r="AQ109" s="103"/>
      <c r="AR109" s="103" t="s">
        <v>870</v>
      </c>
      <c r="AS109" s="103" t="s">
        <v>1077</v>
      </c>
      <c r="AT109" s="103" t="s">
        <v>1078</v>
      </c>
      <c r="AU109" s="103"/>
      <c r="AV109" s="103"/>
    </row>
    <row r="110" spans="1:48">
      <c r="A110" s="103">
        <v>5800</v>
      </c>
      <c r="B110" s="103" t="s">
        <v>1296</v>
      </c>
      <c r="C110" s="103" t="s">
        <v>1067</v>
      </c>
      <c r="D110" s="103" t="s">
        <v>1068</v>
      </c>
      <c r="E110" s="103" t="s">
        <v>1069</v>
      </c>
      <c r="F110" s="156"/>
      <c r="G110" s="103" t="s">
        <v>1070</v>
      </c>
      <c r="H110" s="103"/>
      <c r="I110" s="103"/>
      <c r="J110" s="103"/>
      <c r="K110" s="103"/>
      <c r="L110" s="103" t="s">
        <v>874</v>
      </c>
      <c r="M110" s="103" t="s">
        <v>1071</v>
      </c>
      <c r="N110" s="103" t="s">
        <v>871</v>
      </c>
      <c r="O110" s="103" t="s">
        <v>1072</v>
      </c>
      <c r="P110" s="103" t="s">
        <v>154</v>
      </c>
      <c r="Q110" s="103">
        <v>0</v>
      </c>
      <c r="R110" s="103">
        <v>0</v>
      </c>
      <c r="S110" s="103" t="s">
        <v>175</v>
      </c>
      <c r="T110" s="103"/>
      <c r="U110" s="103" t="b">
        <v>0</v>
      </c>
      <c r="V110" s="103"/>
      <c r="W110" s="103" t="b">
        <v>1</v>
      </c>
      <c r="X110" s="103" t="s">
        <v>863</v>
      </c>
      <c r="Y110" s="103" t="s">
        <v>153</v>
      </c>
      <c r="Z110" s="103" t="s">
        <v>864</v>
      </c>
      <c r="AA110" s="103" t="s">
        <v>1073</v>
      </c>
      <c r="AB110" s="103" t="s">
        <v>865</v>
      </c>
      <c r="AC110" s="103" t="s">
        <v>866</v>
      </c>
      <c r="AD110" s="103" t="str">
        <f>IF(ISNA(MATCH(AM110,'Measure &amp; Standard CostIDs'!$C$5:$C$177,0)),"",AM110)</f>
        <v>CFLscw-Refl(25w)</v>
      </c>
      <c r="AE110" s="103" t="str">
        <f>IFERROR(INDEX('Measure &amp; Standard CostIDs'!$S$5:$S$177,MATCH(AM110&amp;AL110,'Measure &amp; Standard CostIDs'!$AB$5:$AB$177,0)),"")</f>
        <v>Std_CFLscw-Refl(25w)_60pInc-r0286</v>
      </c>
      <c r="AF110" s="103" t="s">
        <v>1074</v>
      </c>
      <c r="AG110" s="103"/>
      <c r="AH110" s="103" t="s">
        <v>163</v>
      </c>
      <c r="AI110" s="103" t="s">
        <v>163</v>
      </c>
      <c r="AJ110" s="103" t="s">
        <v>584</v>
      </c>
      <c r="AK110" s="103" t="s">
        <v>161</v>
      </c>
      <c r="AL110" s="103" t="s">
        <v>161</v>
      </c>
      <c r="AM110" s="103" t="s">
        <v>582</v>
      </c>
      <c r="AN110" s="103" t="s">
        <v>1297</v>
      </c>
      <c r="AO110" s="103" t="s">
        <v>1076</v>
      </c>
      <c r="AP110" s="156">
        <v>42156</v>
      </c>
      <c r="AQ110" s="103"/>
      <c r="AR110" s="103" t="s">
        <v>870</v>
      </c>
      <c r="AS110" s="103" t="s">
        <v>1077</v>
      </c>
      <c r="AT110" s="103" t="s">
        <v>1078</v>
      </c>
      <c r="AU110" s="103"/>
      <c r="AV110" s="103"/>
    </row>
    <row r="111" spans="1:48">
      <c r="A111" s="103">
        <v>5801</v>
      </c>
      <c r="B111" s="103" t="s">
        <v>1298</v>
      </c>
      <c r="C111" s="103" t="s">
        <v>1067</v>
      </c>
      <c r="D111" s="103" t="s">
        <v>1068</v>
      </c>
      <c r="E111" s="103" t="s">
        <v>1069</v>
      </c>
      <c r="F111" s="156"/>
      <c r="G111" s="103" t="s">
        <v>1070</v>
      </c>
      <c r="H111" s="103"/>
      <c r="I111" s="103"/>
      <c r="J111" s="103"/>
      <c r="K111" s="103"/>
      <c r="L111" s="103" t="s">
        <v>874</v>
      </c>
      <c r="M111" s="103" t="s">
        <v>1071</v>
      </c>
      <c r="N111" s="103" t="s">
        <v>871</v>
      </c>
      <c r="O111" s="103" t="s">
        <v>1072</v>
      </c>
      <c r="P111" s="103" t="s">
        <v>154</v>
      </c>
      <c r="Q111" s="103">
        <v>0</v>
      </c>
      <c r="R111" s="103">
        <v>0</v>
      </c>
      <c r="S111" s="103" t="s">
        <v>175</v>
      </c>
      <c r="T111" s="103"/>
      <c r="U111" s="103" t="b">
        <v>0</v>
      </c>
      <c r="V111" s="103"/>
      <c r="W111" s="103" t="b">
        <v>1</v>
      </c>
      <c r="X111" s="103" t="s">
        <v>863</v>
      </c>
      <c r="Y111" s="103" t="s">
        <v>153</v>
      </c>
      <c r="Z111" s="103" t="s">
        <v>864</v>
      </c>
      <c r="AA111" s="103" t="s">
        <v>1073</v>
      </c>
      <c r="AB111" s="103" t="s">
        <v>865</v>
      </c>
      <c r="AC111" s="103" t="s">
        <v>866</v>
      </c>
      <c r="AD111" s="103" t="str">
        <f>IF(ISNA(MATCH(AM111,'Measure &amp; Standard CostIDs'!$C$5:$C$177,0)),"",AM111)</f>
        <v>CFLscw-Refl(26w)</v>
      </c>
      <c r="AE111" s="103" t="str">
        <f>IFERROR(INDEX('Measure &amp; Standard CostIDs'!$S$5:$S$177,MATCH(AM111&amp;AL111,'Measure &amp; Standard CostIDs'!$AB$5:$AB$177,0)),"")</f>
        <v>Std_CFLscw-Refl(26w)_60pInc-r0286</v>
      </c>
      <c r="AF111" s="103" t="s">
        <v>1074</v>
      </c>
      <c r="AG111" s="103"/>
      <c r="AH111" s="103" t="s">
        <v>163</v>
      </c>
      <c r="AI111" s="103" t="s">
        <v>163</v>
      </c>
      <c r="AJ111" s="103" t="s">
        <v>587</v>
      </c>
      <c r="AK111" s="103" t="s">
        <v>161</v>
      </c>
      <c r="AL111" s="103" t="s">
        <v>161</v>
      </c>
      <c r="AM111" s="103" t="s">
        <v>585</v>
      </c>
      <c r="AN111" s="103" t="s">
        <v>1299</v>
      </c>
      <c r="AO111" s="103" t="s">
        <v>1076</v>
      </c>
      <c r="AP111" s="156">
        <v>42156</v>
      </c>
      <c r="AQ111" s="103"/>
      <c r="AR111" s="103" t="s">
        <v>870</v>
      </c>
      <c r="AS111" s="103" t="s">
        <v>1077</v>
      </c>
      <c r="AT111" s="103" t="s">
        <v>1078</v>
      </c>
      <c r="AU111" s="103"/>
      <c r="AV111" s="103"/>
    </row>
    <row r="112" spans="1:48">
      <c r="A112" s="103">
        <v>5802</v>
      </c>
      <c r="B112" s="103" t="s">
        <v>1300</v>
      </c>
      <c r="C112" s="103" t="s">
        <v>1067</v>
      </c>
      <c r="D112" s="103" t="s">
        <v>1068</v>
      </c>
      <c r="E112" s="103" t="s">
        <v>1069</v>
      </c>
      <c r="F112" s="156"/>
      <c r="G112" s="103" t="s">
        <v>1070</v>
      </c>
      <c r="H112" s="103"/>
      <c r="I112" s="103"/>
      <c r="J112" s="103"/>
      <c r="K112" s="103"/>
      <c r="L112" s="103" t="s">
        <v>874</v>
      </c>
      <c r="M112" s="103" t="s">
        <v>1071</v>
      </c>
      <c r="N112" s="103" t="s">
        <v>871</v>
      </c>
      <c r="O112" s="103" t="s">
        <v>1072</v>
      </c>
      <c r="P112" s="103" t="s">
        <v>154</v>
      </c>
      <c r="Q112" s="103">
        <v>0</v>
      </c>
      <c r="R112" s="103">
        <v>0</v>
      </c>
      <c r="S112" s="103" t="s">
        <v>175</v>
      </c>
      <c r="T112" s="103"/>
      <c r="U112" s="103" t="b">
        <v>0</v>
      </c>
      <c r="V112" s="103"/>
      <c r="W112" s="103" t="b">
        <v>1</v>
      </c>
      <c r="X112" s="103" t="s">
        <v>863</v>
      </c>
      <c r="Y112" s="103" t="s">
        <v>153</v>
      </c>
      <c r="Z112" s="103" t="s">
        <v>864</v>
      </c>
      <c r="AA112" s="103" t="s">
        <v>1073</v>
      </c>
      <c r="AB112" s="103" t="s">
        <v>865</v>
      </c>
      <c r="AC112" s="103" t="s">
        <v>866</v>
      </c>
      <c r="AD112" s="103" t="str">
        <f>IF(ISNA(MATCH(AM112,'Measure &amp; Standard CostIDs'!$C$5:$C$177,0)),"",AM112)</f>
        <v/>
      </c>
      <c r="AE112" s="103" t="str">
        <f>IFERROR(INDEX('Measure &amp; Standard CostIDs'!$S$5:$S$177,MATCH(AM112&amp;AL112,'Measure &amp; Standard CostIDs'!$AB$5:$AB$177,0)),"")</f>
        <v/>
      </c>
      <c r="AF112" s="103" t="s">
        <v>1074</v>
      </c>
      <c r="AG112" s="103"/>
      <c r="AH112" s="103" t="s">
        <v>163</v>
      </c>
      <c r="AI112" s="103" t="s">
        <v>163</v>
      </c>
      <c r="AJ112" s="103" t="s">
        <v>590</v>
      </c>
      <c r="AK112" s="103" t="s">
        <v>161</v>
      </c>
      <c r="AL112" s="103" t="s">
        <v>161</v>
      </c>
      <c r="AM112" s="103" t="s">
        <v>588</v>
      </c>
      <c r="AN112" s="103" t="s">
        <v>1301</v>
      </c>
      <c r="AO112" s="103" t="s">
        <v>1076</v>
      </c>
      <c r="AP112" s="156">
        <v>42156</v>
      </c>
      <c r="AQ112" s="103"/>
      <c r="AR112" s="103" t="s">
        <v>870</v>
      </c>
      <c r="AS112" s="103" t="s">
        <v>1077</v>
      </c>
      <c r="AT112" s="103" t="s">
        <v>1078</v>
      </c>
      <c r="AU112" s="103"/>
      <c r="AV112" s="103"/>
    </row>
    <row r="113" spans="1:48">
      <c r="A113" s="103">
        <v>5803</v>
      </c>
      <c r="B113" s="103" t="s">
        <v>1302</v>
      </c>
      <c r="C113" s="103" t="s">
        <v>1067</v>
      </c>
      <c r="D113" s="103" t="s">
        <v>1068</v>
      </c>
      <c r="E113" s="103" t="s">
        <v>1069</v>
      </c>
      <c r="F113" s="156"/>
      <c r="G113" s="103" t="s">
        <v>1070</v>
      </c>
      <c r="H113" s="103"/>
      <c r="I113" s="103"/>
      <c r="J113" s="103"/>
      <c r="K113" s="103"/>
      <c r="L113" s="103" t="s">
        <v>874</v>
      </c>
      <c r="M113" s="103" t="s">
        <v>1071</v>
      </c>
      <c r="N113" s="103" t="s">
        <v>871</v>
      </c>
      <c r="O113" s="103" t="s">
        <v>1072</v>
      </c>
      <c r="P113" s="103" t="s">
        <v>154</v>
      </c>
      <c r="Q113" s="103">
        <v>0</v>
      </c>
      <c r="R113" s="103">
        <v>0</v>
      </c>
      <c r="S113" s="103" t="s">
        <v>175</v>
      </c>
      <c r="T113" s="103"/>
      <c r="U113" s="103" t="b">
        <v>0</v>
      </c>
      <c r="V113" s="103"/>
      <c r="W113" s="103" t="b">
        <v>1</v>
      </c>
      <c r="X113" s="103" t="s">
        <v>863</v>
      </c>
      <c r="Y113" s="103" t="s">
        <v>153</v>
      </c>
      <c r="Z113" s="103" t="s">
        <v>864</v>
      </c>
      <c r="AA113" s="103" t="s">
        <v>1073</v>
      </c>
      <c r="AB113" s="103" t="s">
        <v>865</v>
      </c>
      <c r="AC113" s="103" t="s">
        <v>866</v>
      </c>
      <c r="AD113" s="103" t="str">
        <f>IF(ISNA(MATCH(AM113,'Measure &amp; Standard CostIDs'!$C$5:$C$177,0)),"",AM113)</f>
        <v/>
      </c>
      <c r="AE113" s="103" t="str">
        <f>IFERROR(INDEX('Measure &amp; Standard CostIDs'!$S$5:$S$177,MATCH(AM113&amp;AL113,'Measure &amp; Standard CostIDs'!$AB$5:$AB$177,0)),"")</f>
        <v/>
      </c>
      <c r="AF113" s="103" t="s">
        <v>1074</v>
      </c>
      <c r="AG113" s="103"/>
      <c r="AH113" s="103" t="s">
        <v>163</v>
      </c>
      <c r="AI113" s="103" t="s">
        <v>163</v>
      </c>
      <c r="AJ113" s="103" t="s">
        <v>593</v>
      </c>
      <c r="AK113" s="103" t="s">
        <v>161</v>
      </c>
      <c r="AL113" s="103" t="s">
        <v>161</v>
      </c>
      <c r="AM113" s="103" t="s">
        <v>591</v>
      </c>
      <c r="AN113" s="103" t="s">
        <v>1303</v>
      </c>
      <c r="AO113" s="103" t="s">
        <v>1076</v>
      </c>
      <c r="AP113" s="156">
        <v>42156</v>
      </c>
      <c r="AQ113" s="103"/>
      <c r="AR113" s="103" t="s">
        <v>870</v>
      </c>
      <c r="AS113" s="103" t="s">
        <v>1077</v>
      </c>
      <c r="AT113" s="103" t="s">
        <v>1078</v>
      </c>
      <c r="AU113" s="103"/>
      <c r="AV113" s="103"/>
    </row>
    <row r="114" spans="1:48">
      <c r="A114" s="103">
        <v>5696</v>
      </c>
      <c r="B114" s="103" t="s">
        <v>1304</v>
      </c>
      <c r="C114" s="103" t="s">
        <v>1067</v>
      </c>
      <c r="D114" s="103" t="s">
        <v>1068</v>
      </c>
      <c r="E114" s="103" t="s">
        <v>1069</v>
      </c>
      <c r="F114" s="156"/>
      <c r="G114" s="103" t="s">
        <v>1281</v>
      </c>
      <c r="H114" s="103"/>
      <c r="I114" s="103"/>
      <c r="J114" s="103"/>
      <c r="K114" s="103"/>
      <c r="L114" s="103" t="s">
        <v>1282</v>
      </c>
      <c r="M114" s="103" t="s">
        <v>1071</v>
      </c>
      <c r="N114" s="103" t="s">
        <v>871</v>
      </c>
      <c r="O114" s="103" t="s">
        <v>1072</v>
      </c>
      <c r="P114" s="103" t="s">
        <v>154</v>
      </c>
      <c r="Q114" s="103">
        <v>0</v>
      </c>
      <c r="R114" s="103">
        <v>0</v>
      </c>
      <c r="S114" s="103" t="s">
        <v>175</v>
      </c>
      <c r="T114" s="103"/>
      <c r="U114" s="103" t="b">
        <v>0</v>
      </c>
      <c r="V114" s="103"/>
      <c r="W114" s="103" t="b">
        <v>1</v>
      </c>
      <c r="X114" s="103" t="s">
        <v>863</v>
      </c>
      <c r="Y114" s="103" t="s">
        <v>153</v>
      </c>
      <c r="Z114" s="103" t="s">
        <v>864</v>
      </c>
      <c r="AA114" s="103" t="s">
        <v>1073</v>
      </c>
      <c r="AB114" s="103" t="s">
        <v>865</v>
      </c>
      <c r="AC114" s="103" t="s">
        <v>866</v>
      </c>
      <c r="AD114" s="103" t="str">
        <f>IF(ISNA(MATCH(AM114,'Measure &amp; Standard CostIDs'!$C$5:$C$177,0)),"",AM114)</f>
        <v/>
      </c>
      <c r="AE114" s="103" t="str">
        <f>IFERROR(INDEX('Measure &amp; Standard CostIDs'!$S$5:$S$177,MATCH(AM114&amp;AL114,'Measure &amp; Standard CostIDs'!$AB$5:$AB$177,0)),"")</f>
        <v/>
      </c>
      <c r="AF114" s="103" t="s">
        <v>1074</v>
      </c>
      <c r="AG114" s="103" t="s">
        <v>1192</v>
      </c>
      <c r="AH114" s="103" t="s">
        <v>163</v>
      </c>
      <c r="AI114" s="103" t="s">
        <v>163</v>
      </c>
      <c r="AJ114" s="103" t="s">
        <v>596</v>
      </c>
      <c r="AK114" s="103" t="s">
        <v>161</v>
      </c>
      <c r="AL114" s="103" t="s">
        <v>161</v>
      </c>
      <c r="AM114" s="103" t="s">
        <v>594</v>
      </c>
      <c r="AN114" s="103" t="s">
        <v>1305</v>
      </c>
      <c r="AO114" s="103" t="s">
        <v>1076</v>
      </c>
      <c r="AP114" s="156">
        <v>42156</v>
      </c>
      <c r="AQ114" s="103"/>
      <c r="AR114" s="103" t="s">
        <v>870</v>
      </c>
      <c r="AS114" s="103" t="s">
        <v>1077</v>
      </c>
      <c r="AT114" s="103" t="s">
        <v>1078</v>
      </c>
      <c r="AU114" s="103"/>
      <c r="AV114" s="103"/>
    </row>
    <row r="115" spans="1:48">
      <c r="A115" s="103">
        <v>5697</v>
      </c>
      <c r="B115" s="103" t="s">
        <v>1306</v>
      </c>
      <c r="C115" s="103" t="s">
        <v>1067</v>
      </c>
      <c r="D115" s="103" t="s">
        <v>1068</v>
      </c>
      <c r="E115" s="103" t="s">
        <v>1069</v>
      </c>
      <c r="F115" s="156"/>
      <c r="G115" s="103" t="s">
        <v>1281</v>
      </c>
      <c r="H115" s="103"/>
      <c r="I115" s="103"/>
      <c r="J115" s="103"/>
      <c r="K115" s="103"/>
      <c r="L115" s="103" t="s">
        <v>1282</v>
      </c>
      <c r="M115" s="103" t="s">
        <v>1071</v>
      </c>
      <c r="N115" s="103" t="s">
        <v>871</v>
      </c>
      <c r="O115" s="103" t="s">
        <v>1072</v>
      </c>
      <c r="P115" s="103" t="s">
        <v>154</v>
      </c>
      <c r="Q115" s="103">
        <v>0</v>
      </c>
      <c r="R115" s="103">
        <v>0</v>
      </c>
      <c r="S115" s="103" t="s">
        <v>175</v>
      </c>
      <c r="T115" s="103"/>
      <c r="U115" s="103" t="b">
        <v>0</v>
      </c>
      <c r="V115" s="103"/>
      <c r="W115" s="103" t="b">
        <v>1</v>
      </c>
      <c r="X115" s="103" t="s">
        <v>863</v>
      </c>
      <c r="Y115" s="103" t="s">
        <v>153</v>
      </c>
      <c r="Z115" s="103" t="s">
        <v>864</v>
      </c>
      <c r="AA115" s="103" t="s">
        <v>1073</v>
      </c>
      <c r="AB115" s="103" t="s">
        <v>865</v>
      </c>
      <c r="AC115" s="103" t="s">
        <v>866</v>
      </c>
      <c r="AD115" s="103" t="str">
        <f>IF(ISNA(MATCH(AM115,'Measure &amp; Standard CostIDs'!$C$5:$C$177,0)),"",AM115)</f>
        <v/>
      </c>
      <c r="AE115" s="103" t="str">
        <f>IFERROR(INDEX('Measure &amp; Standard CostIDs'!$S$5:$S$177,MATCH(AM115&amp;AL115,'Measure &amp; Standard CostIDs'!$AB$5:$AB$177,0)),"")</f>
        <v/>
      </c>
      <c r="AF115" s="103" t="s">
        <v>1074</v>
      </c>
      <c r="AG115" s="103" t="s">
        <v>1192</v>
      </c>
      <c r="AH115" s="103" t="s">
        <v>163</v>
      </c>
      <c r="AI115" s="103" t="s">
        <v>163</v>
      </c>
      <c r="AJ115" s="103" t="s">
        <v>608</v>
      </c>
      <c r="AK115" s="103" t="s">
        <v>161</v>
      </c>
      <c r="AL115" s="103" t="s">
        <v>161</v>
      </c>
      <c r="AM115" s="103" t="s">
        <v>606</v>
      </c>
      <c r="AN115" s="103" t="s">
        <v>1307</v>
      </c>
      <c r="AO115" s="103" t="s">
        <v>1076</v>
      </c>
      <c r="AP115" s="156">
        <v>42156</v>
      </c>
      <c r="AQ115" s="103"/>
      <c r="AR115" s="103" t="s">
        <v>870</v>
      </c>
      <c r="AS115" s="103" t="s">
        <v>1077</v>
      </c>
      <c r="AT115" s="103" t="s">
        <v>1078</v>
      </c>
      <c r="AU115" s="103"/>
      <c r="AV115" s="103"/>
    </row>
    <row r="116" spans="1:48">
      <c r="A116" s="103">
        <v>5804</v>
      </c>
      <c r="B116" s="103" t="s">
        <v>1308</v>
      </c>
      <c r="C116" s="103" t="s">
        <v>1067</v>
      </c>
      <c r="D116" s="103" t="s">
        <v>1068</v>
      </c>
      <c r="E116" s="103" t="s">
        <v>1069</v>
      </c>
      <c r="F116" s="156"/>
      <c r="G116" s="103" t="s">
        <v>1070</v>
      </c>
      <c r="H116" s="103"/>
      <c r="I116" s="103"/>
      <c r="J116" s="103"/>
      <c r="K116" s="103"/>
      <c r="L116" s="103" t="s">
        <v>874</v>
      </c>
      <c r="M116" s="103" t="s">
        <v>1071</v>
      </c>
      <c r="N116" s="103" t="s">
        <v>871</v>
      </c>
      <c r="O116" s="103" t="s">
        <v>1072</v>
      </c>
      <c r="P116" s="103" t="s">
        <v>154</v>
      </c>
      <c r="Q116" s="103">
        <v>0</v>
      </c>
      <c r="R116" s="103">
        <v>0</v>
      </c>
      <c r="S116" s="103" t="s">
        <v>175</v>
      </c>
      <c r="T116" s="103"/>
      <c r="U116" s="103" t="b">
        <v>0</v>
      </c>
      <c r="V116" s="103"/>
      <c r="W116" s="103" t="b">
        <v>1</v>
      </c>
      <c r="X116" s="103" t="s">
        <v>863</v>
      </c>
      <c r="Y116" s="103" t="s">
        <v>153</v>
      </c>
      <c r="Z116" s="103" t="s">
        <v>864</v>
      </c>
      <c r="AA116" s="103" t="s">
        <v>1073</v>
      </c>
      <c r="AB116" s="103" t="s">
        <v>865</v>
      </c>
      <c r="AC116" s="103" t="s">
        <v>866</v>
      </c>
      <c r="AD116" s="103" t="str">
        <f>IF(ISNA(MATCH(AM116,'Measure &amp; Standard CostIDs'!$C$5:$C$177,0)),"",AM116)</f>
        <v/>
      </c>
      <c r="AE116" s="103" t="str">
        <f>IFERROR(INDEX('Measure &amp; Standard CostIDs'!$S$5:$S$177,MATCH(AM116&amp;AL116,'Measure &amp; Standard CostIDs'!$AB$5:$AB$177,0)),"")</f>
        <v/>
      </c>
      <c r="AF116" s="103" t="s">
        <v>1074</v>
      </c>
      <c r="AG116" s="103"/>
      <c r="AH116" s="103" t="s">
        <v>163</v>
      </c>
      <c r="AI116" s="103" t="s">
        <v>163</v>
      </c>
      <c r="AJ116" s="103" t="s">
        <v>599</v>
      </c>
      <c r="AK116" s="103" t="s">
        <v>161</v>
      </c>
      <c r="AL116" s="103" t="s">
        <v>161</v>
      </c>
      <c r="AM116" s="103" t="s">
        <v>597</v>
      </c>
      <c r="AN116" s="103" t="s">
        <v>1309</v>
      </c>
      <c r="AO116" s="103" t="s">
        <v>1076</v>
      </c>
      <c r="AP116" s="156">
        <v>42156</v>
      </c>
      <c r="AQ116" s="103"/>
      <c r="AR116" s="103" t="s">
        <v>870</v>
      </c>
      <c r="AS116" s="103" t="s">
        <v>1077</v>
      </c>
      <c r="AT116" s="103" t="s">
        <v>1078</v>
      </c>
      <c r="AU116" s="103"/>
      <c r="AV116" s="103"/>
    </row>
    <row r="117" spans="1:48">
      <c r="A117" s="103">
        <v>5877</v>
      </c>
      <c r="B117" s="103" t="s">
        <v>1310</v>
      </c>
      <c r="C117" s="103" t="s">
        <v>1067</v>
      </c>
      <c r="D117" s="103" t="s">
        <v>151</v>
      </c>
      <c r="E117" s="103" t="s">
        <v>1114</v>
      </c>
      <c r="F117" s="156"/>
      <c r="G117" s="103" t="s">
        <v>1070</v>
      </c>
      <c r="H117" s="103"/>
      <c r="I117" s="103"/>
      <c r="J117" s="103"/>
      <c r="K117" s="103"/>
      <c r="L117" s="103" t="s">
        <v>874</v>
      </c>
      <c r="M117" s="103" t="s">
        <v>1071</v>
      </c>
      <c r="N117" s="103" t="s">
        <v>1115</v>
      </c>
      <c r="O117" s="103" t="s">
        <v>1072</v>
      </c>
      <c r="P117" s="103" t="s">
        <v>154</v>
      </c>
      <c r="Q117" s="103">
        <v>0</v>
      </c>
      <c r="R117" s="103">
        <v>0</v>
      </c>
      <c r="S117" s="103" t="s">
        <v>175</v>
      </c>
      <c r="T117" s="103"/>
      <c r="U117" s="103" t="b">
        <v>0</v>
      </c>
      <c r="V117" s="103"/>
      <c r="W117" s="103" t="b">
        <v>1</v>
      </c>
      <c r="X117" s="103" t="s">
        <v>863</v>
      </c>
      <c r="Y117" s="103" t="s">
        <v>153</v>
      </c>
      <c r="Z117" s="103" t="s">
        <v>864</v>
      </c>
      <c r="AA117" s="103" t="s">
        <v>1073</v>
      </c>
      <c r="AB117" s="103" t="s">
        <v>865</v>
      </c>
      <c r="AC117" s="103" t="s">
        <v>866</v>
      </c>
      <c r="AD117" s="103" t="str">
        <f>IF(ISNA(MATCH(AM117,'Measure &amp; Standard CostIDs'!$C$5:$C$177,0)),"",AM117)</f>
        <v/>
      </c>
      <c r="AE117" s="103" t="str">
        <f>IFERROR(INDEX('Measure &amp; Standard CostIDs'!$S$5:$S$177,MATCH(AM117&amp;AL117,'Measure &amp; Standard CostIDs'!$AB$5:$AB$177,0)),"")</f>
        <v/>
      </c>
      <c r="AF117" s="103" t="s">
        <v>1074</v>
      </c>
      <c r="AG117" s="103"/>
      <c r="AH117" s="103" t="s">
        <v>163</v>
      </c>
      <c r="AI117" s="103" t="s">
        <v>163</v>
      </c>
      <c r="AJ117" s="103" t="s">
        <v>605</v>
      </c>
      <c r="AK117" s="103" t="s">
        <v>161</v>
      </c>
      <c r="AL117" s="103" t="s">
        <v>161</v>
      </c>
      <c r="AM117" s="103" t="s">
        <v>603</v>
      </c>
      <c r="AN117" s="103" t="s">
        <v>1311</v>
      </c>
      <c r="AO117" s="103" t="s">
        <v>1117</v>
      </c>
      <c r="AP117" s="156">
        <v>42370</v>
      </c>
      <c r="AQ117" s="103"/>
      <c r="AR117" s="103" t="s">
        <v>870</v>
      </c>
      <c r="AS117" s="103" t="s">
        <v>1118</v>
      </c>
      <c r="AT117" s="103" t="s">
        <v>1078</v>
      </c>
      <c r="AU117" s="103"/>
      <c r="AV117" s="103"/>
    </row>
    <row r="118" spans="1:48">
      <c r="A118" s="103">
        <v>5698</v>
      </c>
      <c r="B118" s="103" t="s">
        <v>1312</v>
      </c>
      <c r="C118" s="103" t="s">
        <v>1067</v>
      </c>
      <c r="D118" s="103" t="s">
        <v>1068</v>
      </c>
      <c r="E118" s="103" t="s">
        <v>1069</v>
      </c>
      <c r="F118" s="156"/>
      <c r="G118" s="103" t="s">
        <v>1281</v>
      </c>
      <c r="H118" s="103"/>
      <c r="I118" s="103"/>
      <c r="J118" s="103"/>
      <c r="K118" s="103"/>
      <c r="L118" s="103" t="s">
        <v>1282</v>
      </c>
      <c r="M118" s="103" t="s">
        <v>1071</v>
      </c>
      <c r="N118" s="103" t="s">
        <v>871</v>
      </c>
      <c r="O118" s="103" t="s">
        <v>1072</v>
      </c>
      <c r="P118" s="103" t="s">
        <v>154</v>
      </c>
      <c r="Q118" s="103">
        <v>0</v>
      </c>
      <c r="R118" s="103">
        <v>0</v>
      </c>
      <c r="S118" s="103" t="s">
        <v>175</v>
      </c>
      <c r="T118" s="103"/>
      <c r="U118" s="103" t="b">
        <v>0</v>
      </c>
      <c r="V118" s="103"/>
      <c r="W118" s="103" t="b">
        <v>1</v>
      </c>
      <c r="X118" s="103" t="s">
        <v>863</v>
      </c>
      <c r="Y118" s="103" t="s">
        <v>153</v>
      </c>
      <c r="Z118" s="103" t="s">
        <v>864</v>
      </c>
      <c r="AA118" s="103" t="s">
        <v>1073</v>
      </c>
      <c r="AB118" s="103" t="s">
        <v>865</v>
      </c>
      <c r="AC118" s="103" t="s">
        <v>866</v>
      </c>
      <c r="AD118" s="103" t="str">
        <f>IF(ISNA(MATCH(AM118,'Measure &amp; Standard CostIDs'!$C$5:$C$177,0)),"",AM118)</f>
        <v/>
      </c>
      <c r="AE118" s="103" t="str">
        <f>IFERROR(INDEX('Measure &amp; Standard CostIDs'!$S$5:$S$177,MATCH(AM118&amp;AL118,'Measure &amp; Standard CostIDs'!$AB$5:$AB$177,0)),"")</f>
        <v/>
      </c>
      <c r="AF118" s="103" t="s">
        <v>1074</v>
      </c>
      <c r="AG118" s="103" t="s">
        <v>1192</v>
      </c>
      <c r="AH118" s="103" t="s">
        <v>163</v>
      </c>
      <c r="AI118" s="103" t="s">
        <v>163</v>
      </c>
      <c r="AJ118" s="103" t="s">
        <v>618</v>
      </c>
      <c r="AK118" s="103" t="s">
        <v>161</v>
      </c>
      <c r="AL118" s="103" t="s">
        <v>161</v>
      </c>
      <c r="AM118" s="103" t="s">
        <v>616</v>
      </c>
      <c r="AN118" s="103" t="s">
        <v>1313</v>
      </c>
      <c r="AO118" s="103" t="s">
        <v>1076</v>
      </c>
      <c r="AP118" s="156">
        <v>42156</v>
      </c>
      <c r="AQ118" s="103"/>
      <c r="AR118" s="103" t="s">
        <v>870</v>
      </c>
      <c r="AS118" s="103" t="s">
        <v>1077</v>
      </c>
      <c r="AT118" s="103" t="s">
        <v>1078</v>
      </c>
      <c r="AU118" s="103"/>
      <c r="AV118" s="103"/>
    </row>
    <row r="119" spans="1:48">
      <c r="A119" s="103">
        <v>5878</v>
      </c>
      <c r="B119" s="103" t="s">
        <v>1314</v>
      </c>
      <c r="C119" s="103" t="s">
        <v>1067</v>
      </c>
      <c r="D119" s="103" t="s">
        <v>151</v>
      </c>
      <c r="E119" s="103" t="s">
        <v>1114</v>
      </c>
      <c r="F119" s="156"/>
      <c r="G119" s="103" t="s">
        <v>1070</v>
      </c>
      <c r="H119" s="103"/>
      <c r="I119" s="103"/>
      <c r="J119" s="103"/>
      <c r="K119" s="103"/>
      <c r="L119" s="103" t="s">
        <v>874</v>
      </c>
      <c r="M119" s="103" t="s">
        <v>1071</v>
      </c>
      <c r="N119" s="103" t="s">
        <v>1115</v>
      </c>
      <c r="O119" s="103" t="s">
        <v>1072</v>
      </c>
      <c r="P119" s="103" t="s">
        <v>154</v>
      </c>
      <c r="Q119" s="103">
        <v>0</v>
      </c>
      <c r="R119" s="103">
        <v>0</v>
      </c>
      <c r="S119" s="103" t="s">
        <v>175</v>
      </c>
      <c r="T119" s="103"/>
      <c r="U119" s="103" t="b">
        <v>0</v>
      </c>
      <c r="V119" s="103"/>
      <c r="W119" s="103" t="b">
        <v>1</v>
      </c>
      <c r="X119" s="103" t="s">
        <v>863</v>
      </c>
      <c r="Y119" s="103" t="s">
        <v>153</v>
      </c>
      <c r="Z119" s="103" t="s">
        <v>864</v>
      </c>
      <c r="AA119" s="103" t="s">
        <v>1073</v>
      </c>
      <c r="AB119" s="103" t="s">
        <v>865</v>
      </c>
      <c r="AC119" s="103" t="s">
        <v>866</v>
      </c>
      <c r="AD119" s="103" t="str">
        <f>IF(ISNA(MATCH(AM119,'Measure &amp; Standard CostIDs'!$C$5:$C$177,0)),"",AM119)</f>
        <v/>
      </c>
      <c r="AE119" s="103" t="str">
        <f>IFERROR(INDEX('Measure &amp; Standard CostIDs'!$S$5:$S$177,MATCH(AM119&amp;AL119,'Measure &amp; Standard CostIDs'!$AB$5:$AB$177,0)),"")</f>
        <v/>
      </c>
      <c r="AF119" s="103" t="s">
        <v>1074</v>
      </c>
      <c r="AG119" s="103"/>
      <c r="AH119" s="103" t="s">
        <v>163</v>
      </c>
      <c r="AI119" s="103" t="s">
        <v>163</v>
      </c>
      <c r="AJ119" s="103" t="s">
        <v>610</v>
      </c>
      <c r="AK119" s="103" t="s">
        <v>161</v>
      </c>
      <c r="AL119" s="103" t="s">
        <v>161</v>
      </c>
      <c r="AM119" s="103" t="s">
        <v>609</v>
      </c>
      <c r="AN119" s="103" t="s">
        <v>1315</v>
      </c>
      <c r="AO119" s="103" t="s">
        <v>1117</v>
      </c>
      <c r="AP119" s="156">
        <v>42370</v>
      </c>
      <c r="AQ119" s="103"/>
      <c r="AR119" s="103" t="s">
        <v>870</v>
      </c>
      <c r="AS119" s="103" t="s">
        <v>1118</v>
      </c>
      <c r="AT119" s="103" t="s">
        <v>1078</v>
      </c>
      <c r="AU119" s="103"/>
      <c r="AV119" s="103"/>
    </row>
    <row r="120" spans="1:48">
      <c r="A120" s="103">
        <v>5879</v>
      </c>
      <c r="B120" s="103" t="s">
        <v>1316</v>
      </c>
      <c r="C120" s="103" t="s">
        <v>1067</v>
      </c>
      <c r="D120" s="103" t="s">
        <v>151</v>
      </c>
      <c r="E120" s="103" t="s">
        <v>1114</v>
      </c>
      <c r="F120" s="156"/>
      <c r="G120" s="103" t="s">
        <v>1070</v>
      </c>
      <c r="H120" s="103"/>
      <c r="I120" s="103"/>
      <c r="J120" s="103"/>
      <c r="K120" s="103"/>
      <c r="L120" s="103" t="s">
        <v>874</v>
      </c>
      <c r="M120" s="103" t="s">
        <v>1071</v>
      </c>
      <c r="N120" s="103" t="s">
        <v>1115</v>
      </c>
      <c r="O120" s="103" t="s">
        <v>1072</v>
      </c>
      <c r="P120" s="103" t="s">
        <v>154</v>
      </c>
      <c r="Q120" s="103">
        <v>0</v>
      </c>
      <c r="R120" s="103">
        <v>0</v>
      </c>
      <c r="S120" s="103" t="s">
        <v>175</v>
      </c>
      <c r="T120" s="103"/>
      <c r="U120" s="103" t="b">
        <v>0</v>
      </c>
      <c r="V120" s="103"/>
      <c r="W120" s="103" t="b">
        <v>1</v>
      </c>
      <c r="X120" s="103" t="s">
        <v>863</v>
      </c>
      <c r="Y120" s="103" t="s">
        <v>153</v>
      </c>
      <c r="Z120" s="103" t="s">
        <v>864</v>
      </c>
      <c r="AA120" s="103" t="s">
        <v>1073</v>
      </c>
      <c r="AB120" s="103" t="s">
        <v>865</v>
      </c>
      <c r="AC120" s="103" t="s">
        <v>866</v>
      </c>
      <c r="AD120" s="103" t="str">
        <f>IF(ISNA(MATCH(AM120,'Measure &amp; Standard CostIDs'!$C$5:$C$177,0)),"",AM120)</f>
        <v/>
      </c>
      <c r="AE120" s="103" t="str">
        <f>IFERROR(INDEX('Measure &amp; Standard CostIDs'!$S$5:$S$177,MATCH(AM120&amp;AL120,'Measure &amp; Standard CostIDs'!$AB$5:$AB$177,0)),"")</f>
        <v/>
      </c>
      <c r="AF120" s="103" t="s">
        <v>1074</v>
      </c>
      <c r="AG120" s="103"/>
      <c r="AH120" s="103" t="s">
        <v>163</v>
      </c>
      <c r="AI120" s="103" t="s">
        <v>163</v>
      </c>
      <c r="AJ120" s="103" t="s">
        <v>613</v>
      </c>
      <c r="AK120" s="103" t="s">
        <v>161</v>
      </c>
      <c r="AL120" s="103" t="s">
        <v>161</v>
      </c>
      <c r="AM120" s="103" t="s">
        <v>611</v>
      </c>
      <c r="AN120" s="103" t="s">
        <v>1317</v>
      </c>
      <c r="AO120" s="103" t="s">
        <v>1117</v>
      </c>
      <c r="AP120" s="156">
        <v>42370</v>
      </c>
      <c r="AQ120" s="103"/>
      <c r="AR120" s="103" t="s">
        <v>870</v>
      </c>
      <c r="AS120" s="103" t="s">
        <v>1118</v>
      </c>
      <c r="AT120" s="103" t="s">
        <v>1078</v>
      </c>
      <c r="AU120" s="103"/>
      <c r="AV120" s="103"/>
    </row>
    <row r="121" spans="1:48">
      <c r="A121" s="103">
        <v>5880</v>
      </c>
      <c r="B121" s="103" t="s">
        <v>1318</v>
      </c>
      <c r="C121" s="103" t="s">
        <v>1067</v>
      </c>
      <c r="D121" s="103" t="s">
        <v>151</v>
      </c>
      <c r="E121" s="103" t="s">
        <v>1114</v>
      </c>
      <c r="F121" s="156"/>
      <c r="G121" s="103" t="s">
        <v>1070</v>
      </c>
      <c r="H121" s="103"/>
      <c r="I121" s="103"/>
      <c r="J121" s="103"/>
      <c r="K121" s="103"/>
      <c r="L121" s="103" t="s">
        <v>874</v>
      </c>
      <c r="M121" s="103" t="s">
        <v>1071</v>
      </c>
      <c r="N121" s="103" t="s">
        <v>1115</v>
      </c>
      <c r="O121" s="103" t="s">
        <v>1072</v>
      </c>
      <c r="P121" s="103" t="s">
        <v>154</v>
      </c>
      <c r="Q121" s="103">
        <v>0</v>
      </c>
      <c r="R121" s="103">
        <v>0</v>
      </c>
      <c r="S121" s="103" t="s">
        <v>175</v>
      </c>
      <c r="T121" s="103"/>
      <c r="U121" s="103" t="b">
        <v>0</v>
      </c>
      <c r="V121" s="103"/>
      <c r="W121" s="103" t="b">
        <v>1</v>
      </c>
      <c r="X121" s="103" t="s">
        <v>863</v>
      </c>
      <c r="Y121" s="103" t="s">
        <v>153</v>
      </c>
      <c r="Z121" s="103" t="s">
        <v>864</v>
      </c>
      <c r="AA121" s="103" t="s">
        <v>1073</v>
      </c>
      <c r="AB121" s="103" t="s">
        <v>865</v>
      </c>
      <c r="AC121" s="103" t="s">
        <v>866</v>
      </c>
      <c r="AD121" s="103" t="str">
        <f>IF(ISNA(MATCH(AM121,'Measure &amp; Standard CostIDs'!$C$5:$C$177,0)),"",AM121)</f>
        <v/>
      </c>
      <c r="AE121" s="103" t="str">
        <f>IFERROR(INDEX('Measure &amp; Standard CostIDs'!$S$5:$S$177,MATCH(AM121&amp;AL121,'Measure &amp; Standard CostIDs'!$AB$5:$AB$177,0)),"")</f>
        <v/>
      </c>
      <c r="AF121" s="103" t="s">
        <v>1074</v>
      </c>
      <c r="AG121" s="103"/>
      <c r="AH121" s="103" t="s">
        <v>163</v>
      </c>
      <c r="AI121" s="103" t="s">
        <v>163</v>
      </c>
      <c r="AJ121" s="103" t="s">
        <v>615</v>
      </c>
      <c r="AK121" s="103" t="s">
        <v>161</v>
      </c>
      <c r="AL121" s="103" t="s">
        <v>161</v>
      </c>
      <c r="AM121" s="103" t="s">
        <v>614</v>
      </c>
      <c r="AN121" s="103" t="s">
        <v>1319</v>
      </c>
      <c r="AO121" s="103" t="s">
        <v>1117</v>
      </c>
      <c r="AP121" s="156">
        <v>42370</v>
      </c>
      <c r="AQ121" s="103"/>
      <c r="AR121" s="103" t="s">
        <v>870</v>
      </c>
      <c r="AS121" s="103" t="s">
        <v>1118</v>
      </c>
      <c r="AT121" s="103" t="s">
        <v>1078</v>
      </c>
      <c r="AU121" s="103"/>
      <c r="AV121" s="103"/>
    </row>
    <row r="122" spans="1:48">
      <c r="A122" s="103">
        <v>5699</v>
      </c>
      <c r="B122" s="103" t="s">
        <v>1320</v>
      </c>
      <c r="C122" s="103" t="s">
        <v>1067</v>
      </c>
      <c r="D122" s="103" t="s">
        <v>1068</v>
      </c>
      <c r="E122" s="103" t="s">
        <v>1069</v>
      </c>
      <c r="F122" s="156"/>
      <c r="G122" s="103" t="s">
        <v>1281</v>
      </c>
      <c r="H122" s="103"/>
      <c r="I122" s="103"/>
      <c r="J122" s="103"/>
      <c r="K122" s="103"/>
      <c r="L122" s="103" t="s">
        <v>1282</v>
      </c>
      <c r="M122" s="103" t="s">
        <v>1071</v>
      </c>
      <c r="N122" s="103" t="s">
        <v>871</v>
      </c>
      <c r="O122" s="103" t="s">
        <v>1072</v>
      </c>
      <c r="P122" s="103" t="s">
        <v>154</v>
      </c>
      <c r="Q122" s="103">
        <v>0</v>
      </c>
      <c r="R122" s="103">
        <v>0</v>
      </c>
      <c r="S122" s="103" t="s">
        <v>175</v>
      </c>
      <c r="T122" s="103"/>
      <c r="U122" s="103" t="b">
        <v>0</v>
      </c>
      <c r="V122" s="103"/>
      <c r="W122" s="103" t="b">
        <v>1</v>
      </c>
      <c r="X122" s="103" t="s">
        <v>863</v>
      </c>
      <c r="Y122" s="103" t="s">
        <v>153</v>
      </c>
      <c r="Z122" s="103" t="s">
        <v>864</v>
      </c>
      <c r="AA122" s="103" t="s">
        <v>1073</v>
      </c>
      <c r="AB122" s="103" t="s">
        <v>865</v>
      </c>
      <c r="AC122" s="103" t="s">
        <v>866</v>
      </c>
      <c r="AD122" s="103" t="str">
        <f>IF(ISNA(MATCH(AM122,'Measure &amp; Standard CostIDs'!$C$5:$C$177,0)),"",AM122)</f>
        <v>CFLscw-Refl(5w)</v>
      </c>
      <c r="AE122" s="103" t="str">
        <f>IFERROR(INDEX('Measure &amp; Standard CostIDs'!$S$5:$S$177,MATCH(AM122&amp;AL122,'Measure &amp; Standard CostIDs'!$AB$5:$AB$177,0)),"")</f>
        <v>Std_CFLscw-Refl(5w)_60pInc-r0286</v>
      </c>
      <c r="AF122" s="103" t="s">
        <v>1074</v>
      </c>
      <c r="AG122" s="103" t="s">
        <v>1192</v>
      </c>
      <c r="AH122" s="103" t="s">
        <v>163</v>
      </c>
      <c r="AI122" s="103" t="s">
        <v>163</v>
      </c>
      <c r="AJ122" s="103" t="s">
        <v>624</v>
      </c>
      <c r="AK122" s="103" t="s">
        <v>161</v>
      </c>
      <c r="AL122" s="103" t="s">
        <v>161</v>
      </c>
      <c r="AM122" s="103" t="s">
        <v>622</v>
      </c>
      <c r="AN122" s="103" t="s">
        <v>1321</v>
      </c>
      <c r="AO122" s="103" t="s">
        <v>1076</v>
      </c>
      <c r="AP122" s="156">
        <v>42156</v>
      </c>
      <c r="AQ122" s="103"/>
      <c r="AR122" s="103" t="s">
        <v>870</v>
      </c>
      <c r="AS122" s="103" t="s">
        <v>1077</v>
      </c>
      <c r="AT122" s="103" t="s">
        <v>1078</v>
      </c>
      <c r="AU122" s="103"/>
      <c r="AV122" s="103"/>
    </row>
    <row r="123" spans="1:48">
      <c r="A123" s="103">
        <v>5881</v>
      </c>
      <c r="B123" s="103" t="s">
        <v>1322</v>
      </c>
      <c r="C123" s="103" t="s">
        <v>1067</v>
      </c>
      <c r="D123" s="103" t="s">
        <v>151</v>
      </c>
      <c r="E123" s="103" t="s">
        <v>1114</v>
      </c>
      <c r="F123" s="156"/>
      <c r="G123" s="103" t="s">
        <v>1070</v>
      </c>
      <c r="H123" s="103"/>
      <c r="I123" s="103"/>
      <c r="J123" s="103"/>
      <c r="K123" s="103"/>
      <c r="L123" s="103" t="s">
        <v>874</v>
      </c>
      <c r="M123" s="103" t="s">
        <v>1071</v>
      </c>
      <c r="N123" s="103" t="s">
        <v>1115</v>
      </c>
      <c r="O123" s="103" t="s">
        <v>1072</v>
      </c>
      <c r="P123" s="103" t="s">
        <v>154</v>
      </c>
      <c r="Q123" s="103">
        <v>0</v>
      </c>
      <c r="R123" s="103">
        <v>0</v>
      </c>
      <c r="S123" s="103" t="s">
        <v>175</v>
      </c>
      <c r="T123" s="103"/>
      <c r="U123" s="103" t="b">
        <v>0</v>
      </c>
      <c r="V123" s="103"/>
      <c r="W123" s="103" t="b">
        <v>1</v>
      </c>
      <c r="X123" s="103" t="s">
        <v>863</v>
      </c>
      <c r="Y123" s="103" t="s">
        <v>153</v>
      </c>
      <c r="Z123" s="103" t="s">
        <v>864</v>
      </c>
      <c r="AA123" s="103" t="s">
        <v>1073</v>
      </c>
      <c r="AB123" s="103" t="s">
        <v>865</v>
      </c>
      <c r="AC123" s="103" t="s">
        <v>866</v>
      </c>
      <c r="AD123" s="103" t="str">
        <f>IF(ISNA(MATCH(AM123,'Measure &amp; Standard CostIDs'!$C$5:$C$177,0)),"",AM123)</f>
        <v/>
      </c>
      <c r="AE123" s="103" t="str">
        <f>IFERROR(INDEX('Measure &amp; Standard CostIDs'!$S$5:$S$177,MATCH(AM123&amp;AL123,'Measure &amp; Standard CostIDs'!$AB$5:$AB$177,0)),"")</f>
        <v/>
      </c>
      <c r="AF123" s="103" t="s">
        <v>1074</v>
      </c>
      <c r="AG123" s="103"/>
      <c r="AH123" s="103" t="s">
        <v>163</v>
      </c>
      <c r="AI123" s="103" t="s">
        <v>163</v>
      </c>
      <c r="AJ123" s="103" t="s">
        <v>621</v>
      </c>
      <c r="AK123" s="103" t="s">
        <v>161</v>
      </c>
      <c r="AL123" s="103" t="s">
        <v>161</v>
      </c>
      <c r="AM123" s="103" t="s">
        <v>619</v>
      </c>
      <c r="AN123" s="103" t="s">
        <v>1323</v>
      </c>
      <c r="AO123" s="103" t="s">
        <v>1117</v>
      </c>
      <c r="AP123" s="156">
        <v>42370</v>
      </c>
      <c r="AQ123" s="103"/>
      <c r="AR123" s="103" t="s">
        <v>870</v>
      </c>
      <c r="AS123" s="103" t="s">
        <v>1118</v>
      </c>
      <c r="AT123" s="103" t="s">
        <v>1078</v>
      </c>
      <c r="AU123" s="103"/>
      <c r="AV123" s="103"/>
    </row>
    <row r="124" spans="1:48">
      <c r="A124" s="103">
        <v>5700</v>
      </c>
      <c r="B124" s="103" t="s">
        <v>1324</v>
      </c>
      <c r="C124" s="103" t="s">
        <v>1067</v>
      </c>
      <c r="D124" s="103" t="s">
        <v>1068</v>
      </c>
      <c r="E124" s="103" t="s">
        <v>1069</v>
      </c>
      <c r="F124" s="156"/>
      <c r="G124" s="103" t="s">
        <v>1281</v>
      </c>
      <c r="H124" s="103"/>
      <c r="I124" s="103"/>
      <c r="J124" s="103"/>
      <c r="K124" s="103"/>
      <c r="L124" s="103" t="s">
        <v>1282</v>
      </c>
      <c r="M124" s="103" t="s">
        <v>1071</v>
      </c>
      <c r="N124" s="103" t="s">
        <v>871</v>
      </c>
      <c r="O124" s="103" t="s">
        <v>1072</v>
      </c>
      <c r="P124" s="103" t="s">
        <v>154</v>
      </c>
      <c r="Q124" s="103">
        <v>0</v>
      </c>
      <c r="R124" s="103">
        <v>0</v>
      </c>
      <c r="S124" s="103" t="s">
        <v>175</v>
      </c>
      <c r="T124" s="103"/>
      <c r="U124" s="103" t="b">
        <v>0</v>
      </c>
      <c r="V124" s="103"/>
      <c r="W124" s="103" t="b">
        <v>1</v>
      </c>
      <c r="X124" s="103" t="s">
        <v>863</v>
      </c>
      <c r="Y124" s="103" t="s">
        <v>153</v>
      </c>
      <c r="Z124" s="103" t="s">
        <v>864</v>
      </c>
      <c r="AA124" s="103" t="s">
        <v>1073</v>
      </c>
      <c r="AB124" s="103" t="s">
        <v>865</v>
      </c>
      <c r="AC124" s="103" t="s">
        <v>866</v>
      </c>
      <c r="AD124" s="103" t="str">
        <f>IF(ISNA(MATCH(AM124,'Measure &amp; Standard CostIDs'!$C$5:$C$177,0)),"",AM124)</f>
        <v>CFLscw-Refl(6w)</v>
      </c>
      <c r="AE124" s="103" t="str">
        <f>IFERROR(INDEX('Measure &amp; Standard CostIDs'!$S$5:$S$177,MATCH(AM124&amp;AL124,'Measure &amp; Standard CostIDs'!$AB$5:$AB$177,0)),"")</f>
        <v>Std_CFLscw-Refl(6w)_60pInc-r0286</v>
      </c>
      <c r="AF124" s="103" t="s">
        <v>1074</v>
      </c>
      <c r="AG124" s="103" t="s">
        <v>1192</v>
      </c>
      <c r="AH124" s="103" t="s">
        <v>163</v>
      </c>
      <c r="AI124" s="103" t="s">
        <v>163</v>
      </c>
      <c r="AJ124" s="103" t="s">
        <v>630</v>
      </c>
      <c r="AK124" s="103" t="s">
        <v>161</v>
      </c>
      <c r="AL124" s="103" t="s">
        <v>161</v>
      </c>
      <c r="AM124" s="103" t="s">
        <v>628</v>
      </c>
      <c r="AN124" s="103" t="s">
        <v>1325</v>
      </c>
      <c r="AO124" s="103" t="s">
        <v>1076</v>
      </c>
      <c r="AP124" s="156">
        <v>42156</v>
      </c>
      <c r="AQ124" s="103"/>
      <c r="AR124" s="103" t="s">
        <v>870</v>
      </c>
      <c r="AS124" s="103" t="s">
        <v>1077</v>
      </c>
      <c r="AT124" s="103" t="s">
        <v>1078</v>
      </c>
      <c r="AU124" s="103"/>
      <c r="AV124" s="103"/>
    </row>
    <row r="125" spans="1:48">
      <c r="A125" s="103">
        <v>5805</v>
      </c>
      <c r="B125" s="103" t="s">
        <v>1326</v>
      </c>
      <c r="C125" s="103" t="s">
        <v>1067</v>
      </c>
      <c r="D125" s="103" t="s">
        <v>1068</v>
      </c>
      <c r="E125" s="103" t="s">
        <v>1069</v>
      </c>
      <c r="F125" s="156"/>
      <c r="G125" s="103" t="s">
        <v>1070</v>
      </c>
      <c r="H125" s="103"/>
      <c r="I125" s="103"/>
      <c r="J125" s="103"/>
      <c r="K125" s="103"/>
      <c r="L125" s="103" t="s">
        <v>874</v>
      </c>
      <c r="M125" s="103" t="s">
        <v>1071</v>
      </c>
      <c r="N125" s="103" t="s">
        <v>871</v>
      </c>
      <c r="O125" s="103" t="s">
        <v>1072</v>
      </c>
      <c r="P125" s="103" t="s">
        <v>154</v>
      </c>
      <c r="Q125" s="103">
        <v>0</v>
      </c>
      <c r="R125" s="103">
        <v>0</v>
      </c>
      <c r="S125" s="103" t="s">
        <v>175</v>
      </c>
      <c r="T125" s="103"/>
      <c r="U125" s="103" t="b">
        <v>0</v>
      </c>
      <c r="V125" s="103"/>
      <c r="W125" s="103" t="b">
        <v>1</v>
      </c>
      <c r="X125" s="103" t="s">
        <v>863</v>
      </c>
      <c r="Y125" s="103" t="s">
        <v>153</v>
      </c>
      <c r="Z125" s="103" t="s">
        <v>864</v>
      </c>
      <c r="AA125" s="103" t="s">
        <v>1073</v>
      </c>
      <c r="AB125" s="103" t="s">
        <v>865</v>
      </c>
      <c r="AC125" s="103" t="s">
        <v>866</v>
      </c>
      <c r="AD125" s="103" t="str">
        <f>IF(ISNA(MATCH(AM125,'Measure &amp; Standard CostIDs'!$C$5:$C$177,0)),"",AM125)</f>
        <v>CFLscw-Refl(7w)</v>
      </c>
      <c r="AE125" s="103" t="str">
        <f>IFERROR(INDEX('Measure &amp; Standard CostIDs'!$S$5:$S$177,MATCH(AM125&amp;AL125,'Measure &amp; Standard CostIDs'!$AB$5:$AB$177,0)),"")</f>
        <v>Std_CFLscw-Refl(7w)_60pInc-r0286</v>
      </c>
      <c r="AF125" s="103" t="s">
        <v>1074</v>
      </c>
      <c r="AG125" s="103"/>
      <c r="AH125" s="103" t="s">
        <v>163</v>
      </c>
      <c r="AI125" s="103" t="s">
        <v>163</v>
      </c>
      <c r="AJ125" s="103" t="s">
        <v>633</v>
      </c>
      <c r="AK125" s="103" t="s">
        <v>161</v>
      </c>
      <c r="AL125" s="103" t="s">
        <v>161</v>
      </c>
      <c r="AM125" s="103" t="s">
        <v>631</v>
      </c>
      <c r="AN125" s="103" t="s">
        <v>1327</v>
      </c>
      <c r="AO125" s="103" t="s">
        <v>1076</v>
      </c>
      <c r="AP125" s="156">
        <v>42156</v>
      </c>
      <c r="AQ125" s="103"/>
      <c r="AR125" s="103" t="s">
        <v>870</v>
      </c>
      <c r="AS125" s="103" t="s">
        <v>1077</v>
      </c>
      <c r="AT125" s="103" t="s">
        <v>1078</v>
      </c>
      <c r="AU125" s="103"/>
      <c r="AV125" s="103"/>
    </row>
    <row r="126" spans="1:48">
      <c r="A126" s="103">
        <v>5806</v>
      </c>
      <c r="B126" s="103" t="s">
        <v>1328</v>
      </c>
      <c r="C126" s="103" t="s">
        <v>1067</v>
      </c>
      <c r="D126" s="103" t="s">
        <v>1068</v>
      </c>
      <c r="E126" s="103" t="s">
        <v>1069</v>
      </c>
      <c r="F126" s="156"/>
      <c r="G126" s="103" t="s">
        <v>1070</v>
      </c>
      <c r="H126" s="103"/>
      <c r="I126" s="103"/>
      <c r="J126" s="103"/>
      <c r="K126" s="103"/>
      <c r="L126" s="103" t="s">
        <v>874</v>
      </c>
      <c r="M126" s="103" t="s">
        <v>1071</v>
      </c>
      <c r="N126" s="103" t="s">
        <v>871</v>
      </c>
      <c r="O126" s="103" t="s">
        <v>1072</v>
      </c>
      <c r="P126" s="103" t="s">
        <v>154</v>
      </c>
      <c r="Q126" s="103">
        <v>0</v>
      </c>
      <c r="R126" s="103">
        <v>0</v>
      </c>
      <c r="S126" s="103" t="s">
        <v>175</v>
      </c>
      <c r="T126" s="103"/>
      <c r="U126" s="103" t="b">
        <v>0</v>
      </c>
      <c r="V126" s="103"/>
      <c r="W126" s="103" t="b">
        <v>1</v>
      </c>
      <c r="X126" s="103" t="s">
        <v>863</v>
      </c>
      <c r="Y126" s="103" t="s">
        <v>153</v>
      </c>
      <c r="Z126" s="103" t="s">
        <v>864</v>
      </c>
      <c r="AA126" s="103" t="s">
        <v>1073</v>
      </c>
      <c r="AB126" s="103" t="s">
        <v>865</v>
      </c>
      <c r="AC126" s="103" t="s">
        <v>866</v>
      </c>
      <c r="AD126" s="103" t="str">
        <f>IF(ISNA(MATCH(AM126,'Measure &amp; Standard CostIDs'!$C$5:$C$177,0)),"",AM126)</f>
        <v>CFLscw-Refl(8w)</v>
      </c>
      <c r="AE126" s="103" t="str">
        <f>IFERROR(INDEX('Measure &amp; Standard CostIDs'!$S$5:$S$177,MATCH(AM126&amp;AL126,'Measure &amp; Standard CostIDs'!$AB$5:$AB$177,0)),"")</f>
        <v>Std_CFLscw-Refl(8w)_60pInc-r0286</v>
      </c>
      <c r="AF126" s="103" t="s">
        <v>1074</v>
      </c>
      <c r="AG126" s="103"/>
      <c r="AH126" s="103" t="s">
        <v>163</v>
      </c>
      <c r="AI126" s="103" t="s">
        <v>163</v>
      </c>
      <c r="AJ126" s="103" t="s">
        <v>639</v>
      </c>
      <c r="AK126" s="103" t="s">
        <v>161</v>
      </c>
      <c r="AL126" s="103" t="s">
        <v>161</v>
      </c>
      <c r="AM126" s="103" t="s">
        <v>637</v>
      </c>
      <c r="AN126" s="103" t="s">
        <v>1329</v>
      </c>
      <c r="AO126" s="103" t="s">
        <v>1076</v>
      </c>
      <c r="AP126" s="156">
        <v>42156</v>
      </c>
      <c r="AQ126" s="103"/>
      <c r="AR126" s="103" t="s">
        <v>870</v>
      </c>
      <c r="AS126" s="103" t="s">
        <v>1077</v>
      </c>
      <c r="AT126" s="103" t="s">
        <v>1078</v>
      </c>
      <c r="AU126" s="103"/>
      <c r="AV126" s="103"/>
    </row>
    <row r="127" spans="1:48">
      <c r="A127" s="103">
        <v>5807</v>
      </c>
      <c r="B127" s="103" t="s">
        <v>1330</v>
      </c>
      <c r="C127" s="103" t="s">
        <v>1067</v>
      </c>
      <c r="D127" s="103" t="s">
        <v>1068</v>
      </c>
      <c r="E127" s="103" t="s">
        <v>1069</v>
      </c>
      <c r="F127" s="156"/>
      <c r="G127" s="103" t="s">
        <v>1070</v>
      </c>
      <c r="H127" s="103"/>
      <c r="I127" s="103"/>
      <c r="J127" s="103"/>
      <c r="K127" s="103"/>
      <c r="L127" s="103" t="s">
        <v>874</v>
      </c>
      <c r="M127" s="103" t="s">
        <v>1071</v>
      </c>
      <c r="N127" s="103" t="s">
        <v>871</v>
      </c>
      <c r="O127" s="103" t="s">
        <v>1072</v>
      </c>
      <c r="P127" s="103" t="s">
        <v>154</v>
      </c>
      <c r="Q127" s="103">
        <v>0</v>
      </c>
      <c r="R127" s="103">
        <v>0</v>
      </c>
      <c r="S127" s="103" t="s">
        <v>175</v>
      </c>
      <c r="T127" s="103"/>
      <c r="U127" s="103" t="b">
        <v>0</v>
      </c>
      <c r="V127" s="103"/>
      <c r="W127" s="103" t="b">
        <v>1</v>
      </c>
      <c r="X127" s="103" t="s">
        <v>863</v>
      </c>
      <c r="Y127" s="103" t="s">
        <v>153</v>
      </c>
      <c r="Z127" s="103" t="s">
        <v>864</v>
      </c>
      <c r="AA127" s="103" t="s">
        <v>1073</v>
      </c>
      <c r="AB127" s="103" t="s">
        <v>865</v>
      </c>
      <c r="AC127" s="103" t="s">
        <v>866</v>
      </c>
      <c r="AD127" s="103" t="str">
        <f>IF(ISNA(MATCH(AM127,'Measure &amp; Standard CostIDs'!$C$5:$C$177,0)),"",AM127)</f>
        <v>CFLscw-Refl(9w)</v>
      </c>
      <c r="AE127" s="103" t="str">
        <f>IFERROR(INDEX('Measure &amp; Standard CostIDs'!$S$5:$S$177,MATCH(AM127&amp;AL127,'Measure &amp; Standard CostIDs'!$AB$5:$AB$177,0)),"")</f>
        <v>Std_CFLscw-Refl(9w)_60pInc-r0286</v>
      </c>
      <c r="AF127" s="103" t="s">
        <v>1074</v>
      </c>
      <c r="AG127" s="103"/>
      <c r="AH127" s="103" t="s">
        <v>163</v>
      </c>
      <c r="AI127" s="103" t="s">
        <v>163</v>
      </c>
      <c r="AJ127" s="103" t="s">
        <v>642</v>
      </c>
      <c r="AK127" s="103" t="s">
        <v>161</v>
      </c>
      <c r="AL127" s="103" t="s">
        <v>161</v>
      </c>
      <c r="AM127" s="103" t="s">
        <v>640</v>
      </c>
      <c r="AN127" s="103" t="s">
        <v>1331</v>
      </c>
      <c r="AO127" s="103" t="s">
        <v>1076</v>
      </c>
      <c r="AP127" s="156">
        <v>42156</v>
      </c>
      <c r="AQ127" s="103"/>
      <c r="AR127" s="103" t="s">
        <v>870</v>
      </c>
      <c r="AS127" s="103" t="s">
        <v>1077</v>
      </c>
      <c r="AT127" s="103" t="s">
        <v>1078</v>
      </c>
      <c r="AU127" s="103"/>
      <c r="AV127" s="103"/>
    </row>
    <row r="128" spans="1:48">
      <c r="A128" s="103">
        <v>5701</v>
      </c>
      <c r="B128" s="103" t="s">
        <v>1332</v>
      </c>
      <c r="C128" s="103" t="s">
        <v>1067</v>
      </c>
      <c r="D128" s="103" t="s">
        <v>1068</v>
      </c>
      <c r="E128" s="103" t="s">
        <v>1069</v>
      </c>
      <c r="F128" s="156"/>
      <c r="G128" s="103" t="s">
        <v>1070</v>
      </c>
      <c r="H128" s="103"/>
      <c r="I128" s="103"/>
      <c r="J128" s="103"/>
      <c r="K128" s="103"/>
      <c r="L128" s="103" t="s">
        <v>874</v>
      </c>
      <c r="M128" s="103" t="s">
        <v>1071</v>
      </c>
      <c r="N128" s="103" t="s">
        <v>871</v>
      </c>
      <c r="O128" s="103" t="s">
        <v>1072</v>
      </c>
      <c r="P128" s="103" t="s">
        <v>154</v>
      </c>
      <c r="Q128" s="103">
        <v>0</v>
      </c>
      <c r="R128" s="103">
        <v>0</v>
      </c>
      <c r="S128" s="103" t="s">
        <v>175</v>
      </c>
      <c r="T128" s="103"/>
      <c r="U128" s="103" t="b">
        <v>0</v>
      </c>
      <c r="V128" s="103"/>
      <c r="W128" s="103" t="b">
        <v>1</v>
      </c>
      <c r="X128" s="103" t="s">
        <v>863</v>
      </c>
      <c r="Y128" s="103" t="s">
        <v>153</v>
      </c>
      <c r="Z128" s="103" t="s">
        <v>864</v>
      </c>
      <c r="AA128" s="103" t="s">
        <v>1073</v>
      </c>
      <c r="AB128" s="103" t="s">
        <v>865</v>
      </c>
      <c r="AC128" s="103" t="s">
        <v>866</v>
      </c>
      <c r="AD128" s="103" t="str">
        <f>IF(ISNA(MATCH(AM128,'Measure &amp; Standard CostIDs'!$C$5:$C$177,0)),"",AM128)</f>
        <v>CFLscw(10w)</v>
      </c>
      <c r="AE128" s="103" t="str">
        <f>IFERROR(INDEX('Measure &amp; Standard CostIDs'!$S$5:$S$177,MATCH(AM128&amp;AL128,'Measure &amp; Standard CostIDs'!$AB$5:$AB$177,0)),"")</f>
        <v>Std_CFLscw(10w)_60pInc-r0248</v>
      </c>
      <c r="AF128" s="103" t="s">
        <v>1074</v>
      </c>
      <c r="AG128" s="103"/>
      <c r="AH128" s="103" t="s">
        <v>156</v>
      </c>
      <c r="AI128" s="103" t="s">
        <v>156</v>
      </c>
      <c r="AJ128" s="103" t="s">
        <v>648</v>
      </c>
      <c r="AK128" s="103" t="s">
        <v>150</v>
      </c>
      <c r="AL128" s="103" t="s">
        <v>150</v>
      </c>
      <c r="AM128" s="103" t="s">
        <v>646</v>
      </c>
      <c r="AN128" s="103" t="s">
        <v>1333</v>
      </c>
      <c r="AO128" s="103" t="s">
        <v>1076</v>
      </c>
      <c r="AP128" s="156">
        <v>42156</v>
      </c>
      <c r="AQ128" s="103"/>
      <c r="AR128" s="103" t="s">
        <v>870</v>
      </c>
      <c r="AS128" s="103" t="s">
        <v>1077</v>
      </c>
      <c r="AT128" s="103" t="s">
        <v>1078</v>
      </c>
      <c r="AU128" s="103"/>
      <c r="AV128" s="103"/>
    </row>
    <row r="129" spans="1:48">
      <c r="A129" s="103">
        <v>5847</v>
      </c>
      <c r="B129" s="103" t="s">
        <v>1334</v>
      </c>
      <c r="C129" s="103" t="s">
        <v>1067</v>
      </c>
      <c r="D129" s="103" t="s">
        <v>151</v>
      </c>
      <c r="E129" s="103" t="s">
        <v>1114</v>
      </c>
      <c r="F129" s="156"/>
      <c r="G129" s="103" t="s">
        <v>1070</v>
      </c>
      <c r="H129" s="103"/>
      <c r="I129" s="103"/>
      <c r="J129" s="103"/>
      <c r="K129" s="103"/>
      <c r="L129" s="103" t="s">
        <v>874</v>
      </c>
      <c r="M129" s="103" t="s">
        <v>1071</v>
      </c>
      <c r="N129" s="103" t="s">
        <v>1115</v>
      </c>
      <c r="O129" s="103" t="s">
        <v>1072</v>
      </c>
      <c r="P129" s="103" t="s">
        <v>154</v>
      </c>
      <c r="Q129" s="103">
        <v>0</v>
      </c>
      <c r="R129" s="103">
        <v>0</v>
      </c>
      <c r="S129" s="103" t="s">
        <v>175</v>
      </c>
      <c r="T129" s="103"/>
      <c r="U129" s="103" t="b">
        <v>0</v>
      </c>
      <c r="V129" s="103"/>
      <c r="W129" s="103" t="b">
        <v>1</v>
      </c>
      <c r="X129" s="103" t="s">
        <v>863</v>
      </c>
      <c r="Y129" s="103" t="s">
        <v>153</v>
      </c>
      <c r="Z129" s="103" t="s">
        <v>864</v>
      </c>
      <c r="AA129" s="103" t="s">
        <v>1073</v>
      </c>
      <c r="AB129" s="103" t="s">
        <v>865</v>
      </c>
      <c r="AC129" s="103" t="s">
        <v>866</v>
      </c>
      <c r="AD129" s="103" t="str">
        <f>IF(ISNA(MATCH(AM129,'Measure &amp; Standard CostIDs'!$C$5:$C$177,0)),"",AM129)</f>
        <v/>
      </c>
      <c r="AE129" s="103" t="str">
        <f>IFERROR(INDEX('Measure &amp; Standard CostIDs'!$S$5:$S$177,MATCH(AM129&amp;AL129,'Measure &amp; Standard CostIDs'!$AB$5:$AB$177,0)),"")</f>
        <v/>
      </c>
      <c r="AF129" s="103" t="s">
        <v>1074</v>
      </c>
      <c r="AG129" s="103"/>
      <c r="AH129" s="103" t="s">
        <v>156</v>
      </c>
      <c r="AI129" s="103" t="s">
        <v>156</v>
      </c>
      <c r="AJ129" s="103" t="s">
        <v>645</v>
      </c>
      <c r="AK129" s="103" t="s">
        <v>150</v>
      </c>
      <c r="AL129" s="103" t="s">
        <v>150</v>
      </c>
      <c r="AM129" s="103" t="s">
        <v>643</v>
      </c>
      <c r="AN129" s="103" t="s">
        <v>1335</v>
      </c>
      <c r="AO129" s="103" t="s">
        <v>1117</v>
      </c>
      <c r="AP129" s="156">
        <v>42370</v>
      </c>
      <c r="AQ129" s="103"/>
      <c r="AR129" s="103" t="s">
        <v>870</v>
      </c>
      <c r="AS129" s="103" t="s">
        <v>1118</v>
      </c>
      <c r="AT129" s="103" t="s">
        <v>1078</v>
      </c>
      <c r="AU129" s="103"/>
      <c r="AV129" s="103"/>
    </row>
    <row r="130" spans="1:48">
      <c r="A130" s="103">
        <v>5841</v>
      </c>
      <c r="B130" s="103" t="s">
        <v>1336</v>
      </c>
      <c r="C130" s="103" t="s">
        <v>1067</v>
      </c>
      <c r="D130" s="103" t="s">
        <v>151</v>
      </c>
      <c r="E130" s="103" t="s">
        <v>1114</v>
      </c>
      <c r="F130" s="156"/>
      <c r="G130" s="103" t="s">
        <v>1281</v>
      </c>
      <c r="H130" s="103"/>
      <c r="I130" s="103"/>
      <c r="J130" s="103"/>
      <c r="K130" s="103"/>
      <c r="L130" s="103" t="s">
        <v>1282</v>
      </c>
      <c r="M130" s="103" t="s">
        <v>1071</v>
      </c>
      <c r="N130" s="103" t="s">
        <v>871</v>
      </c>
      <c r="O130" s="103" t="s">
        <v>1072</v>
      </c>
      <c r="P130" s="103" t="s">
        <v>154</v>
      </c>
      <c r="Q130" s="103">
        <v>0</v>
      </c>
      <c r="R130" s="103">
        <v>0</v>
      </c>
      <c r="S130" s="103" t="s">
        <v>175</v>
      </c>
      <c r="T130" s="103"/>
      <c r="U130" s="103" t="b">
        <v>0</v>
      </c>
      <c r="V130" s="103"/>
      <c r="W130" s="103" t="b">
        <v>1</v>
      </c>
      <c r="X130" s="103" t="s">
        <v>863</v>
      </c>
      <c r="Y130" s="103" t="s">
        <v>153</v>
      </c>
      <c r="Z130" s="103" t="s">
        <v>864</v>
      </c>
      <c r="AA130" s="103" t="s">
        <v>1073</v>
      </c>
      <c r="AB130" s="103" t="s">
        <v>865</v>
      </c>
      <c r="AC130" s="103" t="s">
        <v>866</v>
      </c>
      <c r="AD130" s="103" t="str">
        <f>IF(ISNA(MATCH(AM130,'Measure &amp; Standard CostIDs'!$C$5:$C$177,0)),"",AM130)</f>
        <v/>
      </c>
      <c r="AE130" s="103" t="str">
        <f>IFERROR(INDEX('Measure &amp; Standard CostIDs'!$S$5:$S$177,MATCH(AM130&amp;AL130,'Measure &amp; Standard CostIDs'!$AB$5:$AB$177,0)),"")</f>
        <v/>
      </c>
      <c r="AF130" s="103" t="s">
        <v>1074</v>
      </c>
      <c r="AG130" s="103" t="s">
        <v>1192</v>
      </c>
      <c r="AH130" s="103" t="s">
        <v>163</v>
      </c>
      <c r="AI130" s="103" t="s">
        <v>163</v>
      </c>
      <c r="AJ130" s="103" t="s">
        <v>536</v>
      </c>
      <c r="AK130" s="103" t="s">
        <v>161</v>
      </c>
      <c r="AL130" s="103" t="s">
        <v>161</v>
      </c>
      <c r="AM130" s="103" t="s">
        <v>534</v>
      </c>
      <c r="AN130" s="103" t="s">
        <v>1337</v>
      </c>
      <c r="AO130" s="103" t="s">
        <v>1117</v>
      </c>
      <c r="AP130" s="156">
        <v>42370</v>
      </c>
      <c r="AQ130" s="103"/>
      <c r="AR130" s="103" t="s">
        <v>870</v>
      </c>
      <c r="AS130" s="103" t="s">
        <v>1118</v>
      </c>
      <c r="AT130" s="103" t="s">
        <v>1078</v>
      </c>
      <c r="AU130" s="103"/>
      <c r="AV130" s="103"/>
    </row>
    <row r="131" spans="1:48">
      <c r="A131" s="103">
        <v>5702</v>
      </c>
      <c r="B131" s="103" t="s">
        <v>1338</v>
      </c>
      <c r="C131" s="103" t="s">
        <v>1067</v>
      </c>
      <c r="D131" s="103" t="s">
        <v>1068</v>
      </c>
      <c r="E131" s="103" t="s">
        <v>1069</v>
      </c>
      <c r="F131" s="156"/>
      <c r="G131" s="103" t="s">
        <v>1070</v>
      </c>
      <c r="H131" s="103"/>
      <c r="I131" s="103"/>
      <c r="J131" s="103"/>
      <c r="K131" s="103"/>
      <c r="L131" s="103" t="s">
        <v>874</v>
      </c>
      <c r="M131" s="103" t="s">
        <v>1071</v>
      </c>
      <c r="N131" s="103" t="s">
        <v>871</v>
      </c>
      <c r="O131" s="103" t="s">
        <v>1072</v>
      </c>
      <c r="P131" s="103" t="s">
        <v>154</v>
      </c>
      <c r="Q131" s="103">
        <v>0</v>
      </c>
      <c r="R131" s="103">
        <v>0</v>
      </c>
      <c r="S131" s="103" t="s">
        <v>175</v>
      </c>
      <c r="T131" s="103"/>
      <c r="U131" s="103" t="b">
        <v>0</v>
      </c>
      <c r="V131" s="103"/>
      <c r="W131" s="103" t="b">
        <v>1</v>
      </c>
      <c r="X131" s="103" t="s">
        <v>863</v>
      </c>
      <c r="Y131" s="103" t="s">
        <v>153</v>
      </c>
      <c r="Z131" s="103" t="s">
        <v>864</v>
      </c>
      <c r="AA131" s="103" t="s">
        <v>1073</v>
      </c>
      <c r="AB131" s="103" t="s">
        <v>865</v>
      </c>
      <c r="AC131" s="103" t="s">
        <v>866</v>
      </c>
      <c r="AD131" s="103" t="str">
        <f>IF(ISNA(MATCH(AM131,'Measure &amp; Standard CostIDs'!$C$5:$C$177,0)),"",AM131)</f>
        <v>CFLscw(11w)</v>
      </c>
      <c r="AE131" s="103" t="str">
        <f>IFERROR(INDEX('Measure &amp; Standard CostIDs'!$S$5:$S$177,MATCH(AM131&amp;AL131,'Measure &amp; Standard CostIDs'!$AB$5:$AB$177,0)),"")</f>
        <v>Std_CFLscw(11w)_60pInc-r0248</v>
      </c>
      <c r="AF131" s="103" t="s">
        <v>1074</v>
      </c>
      <c r="AG131" s="103"/>
      <c r="AH131" s="103" t="s">
        <v>156</v>
      </c>
      <c r="AI131" s="103" t="s">
        <v>156</v>
      </c>
      <c r="AJ131" s="103" t="s">
        <v>653</v>
      </c>
      <c r="AK131" s="103" t="s">
        <v>150</v>
      </c>
      <c r="AL131" s="103" t="s">
        <v>150</v>
      </c>
      <c r="AM131" s="103" t="s">
        <v>651</v>
      </c>
      <c r="AN131" s="103" t="s">
        <v>1339</v>
      </c>
      <c r="AO131" s="103" t="s">
        <v>1076</v>
      </c>
      <c r="AP131" s="156">
        <v>42156</v>
      </c>
      <c r="AQ131" s="103"/>
      <c r="AR131" s="103" t="s">
        <v>870</v>
      </c>
      <c r="AS131" s="103" t="s">
        <v>1077</v>
      </c>
      <c r="AT131" s="103" t="s">
        <v>1078</v>
      </c>
      <c r="AU131" s="103"/>
      <c r="AV131" s="103"/>
    </row>
    <row r="132" spans="1:48">
      <c r="A132" s="103">
        <v>5703</v>
      </c>
      <c r="B132" s="103" t="s">
        <v>1340</v>
      </c>
      <c r="C132" s="103" t="s">
        <v>1067</v>
      </c>
      <c r="D132" s="103" t="s">
        <v>1068</v>
      </c>
      <c r="E132" s="103" t="s">
        <v>1069</v>
      </c>
      <c r="F132" s="156"/>
      <c r="G132" s="103" t="s">
        <v>1070</v>
      </c>
      <c r="H132" s="103"/>
      <c r="I132" s="103"/>
      <c r="J132" s="103"/>
      <c r="K132" s="103"/>
      <c r="L132" s="103" t="s">
        <v>874</v>
      </c>
      <c r="M132" s="103" t="s">
        <v>1071</v>
      </c>
      <c r="N132" s="103" t="s">
        <v>871</v>
      </c>
      <c r="O132" s="103" t="s">
        <v>1072</v>
      </c>
      <c r="P132" s="103" t="s">
        <v>154</v>
      </c>
      <c r="Q132" s="103">
        <v>0</v>
      </c>
      <c r="R132" s="103">
        <v>0</v>
      </c>
      <c r="S132" s="103" t="s">
        <v>175</v>
      </c>
      <c r="T132" s="103"/>
      <c r="U132" s="103" t="b">
        <v>0</v>
      </c>
      <c r="V132" s="103"/>
      <c r="W132" s="103" t="b">
        <v>1</v>
      </c>
      <c r="X132" s="103" t="s">
        <v>863</v>
      </c>
      <c r="Y132" s="103" t="s">
        <v>153</v>
      </c>
      <c r="Z132" s="103" t="s">
        <v>864</v>
      </c>
      <c r="AA132" s="103" t="s">
        <v>1073</v>
      </c>
      <c r="AB132" s="103" t="s">
        <v>865</v>
      </c>
      <c r="AC132" s="103" t="s">
        <v>866</v>
      </c>
      <c r="AD132" s="103" t="str">
        <f>IF(ISNA(MATCH(AM132,'Measure &amp; Standard CostIDs'!$C$5:$C$177,0)),"",AM132)</f>
        <v>CFLscw(12w)</v>
      </c>
      <c r="AE132" s="103" t="str">
        <f>IFERROR(INDEX('Measure &amp; Standard CostIDs'!$S$5:$S$177,MATCH(AM132&amp;AL132,'Measure &amp; Standard CostIDs'!$AB$5:$AB$177,0)),"")</f>
        <v>Std_CFLscw(12w)_60pInc-r0248</v>
      </c>
      <c r="AF132" s="103" t="s">
        <v>1074</v>
      </c>
      <c r="AG132" s="103"/>
      <c r="AH132" s="103" t="s">
        <v>156</v>
      </c>
      <c r="AI132" s="103" t="s">
        <v>156</v>
      </c>
      <c r="AJ132" s="103" t="s">
        <v>660</v>
      </c>
      <c r="AK132" s="103" t="s">
        <v>150</v>
      </c>
      <c r="AL132" s="103" t="s">
        <v>150</v>
      </c>
      <c r="AM132" s="103" t="s">
        <v>658</v>
      </c>
      <c r="AN132" s="103" t="s">
        <v>1341</v>
      </c>
      <c r="AO132" s="103" t="s">
        <v>1076</v>
      </c>
      <c r="AP132" s="156">
        <v>42156</v>
      </c>
      <c r="AQ132" s="103"/>
      <c r="AR132" s="103" t="s">
        <v>870</v>
      </c>
      <c r="AS132" s="103" t="s">
        <v>1077</v>
      </c>
      <c r="AT132" s="103" t="s">
        <v>1078</v>
      </c>
      <c r="AU132" s="103"/>
      <c r="AV132" s="103"/>
    </row>
    <row r="133" spans="1:48">
      <c r="A133" s="103">
        <v>5704</v>
      </c>
      <c r="B133" s="103" t="s">
        <v>1342</v>
      </c>
      <c r="C133" s="103" t="s">
        <v>1067</v>
      </c>
      <c r="D133" s="103" t="s">
        <v>1068</v>
      </c>
      <c r="E133" s="103" t="s">
        <v>1069</v>
      </c>
      <c r="F133" s="156"/>
      <c r="G133" s="103" t="s">
        <v>1070</v>
      </c>
      <c r="H133" s="103"/>
      <c r="I133" s="103"/>
      <c r="J133" s="103"/>
      <c r="K133" s="103"/>
      <c r="L133" s="103" t="s">
        <v>874</v>
      </c>
      <c r="M133" s="103" t="s">
        <v>1071</v>
      </c>
      <c r="N133" s="103" t="s">
        <v>871</v>
      </c>
      <c r="O133" s="103" t="s">
        <v>1072</v>
      </c>
      <c r="P133" s="103" t="s">
        <v>154</v>
      </c>
      <c r="Q133" s="103">
        <v>0</v>
      </c>
      <c r="R133" s="103">
        <v>0</v>
      </c>
      <c r="S133" s="103" t="s">
        <v>175</v>
      </c>
      <c r="T133" s="103"/>
      <c r="U133" s="103" t="b">
        <v>0</v>
      </c>
      <c r="V133" s="103"/>
      <c r="W133" s="103" t="b">
        <v>1</v>
      </c>
      <c r="X133" s="103" t="s">
        <v>863</v>
      </c>
      <c r="Y133" s="103" t="s">
        <v>153</v>
      </c>
      <c r="Z133" s="103" t="s">
        <v>864</v>
      </c>
      <c r="AA133" s="103" t="s">
        <v>1073</v>
      </c>
      <c r="AB133" s="103" t="s">
        <v>865</v>
      </c>
      <c r="AC133" s="103" t="s">
        <v>866</v>
      </c>
      <c r="AD133" s="103" t="str">
        <f>IF(ISNA(MATCH(AM133,'Measure &amp; Standard CostIDs'!$C$5:$C$177,0)),"",AM133)</f>
        <v>CFLscw(13w)</v>
      </c>
      <c r="AE133" s="103" t="str">
        <f>IFERROR(INDEX('Measure &amp; Standard CostIDs'!$S$5:$S$177,MATCH(AM133&amp;AL133,'Measure &amp; Standard CostIDs'!$AB$5:$AB$177,0)),"")</f>
        <v>Std_CFLscw(13w)_60pInc-r0248</v>
      </c>
      <c r="AF133" s="103" t="s">
        <v>1074</v>
      </c>
      <c r="AG133" s="103"/>
      <c r="AH133" s="103" t="s">
        <v>156</v>
      </c>
      <c r="AI133" s="103" t="s">
        <v>156</v>
      </c>
      <c r="AJ133" s="103" t="s">
        <v>663</v>
      </c>
      <c r="AK133" s="103" t="s">
        <v>150</v>
      </c>
      <c r="AL133" s="103" t="s">
        <v>150</v>
      </c>
      <c r="AM133" s="103" t="s">
        <v>661</v>
      </c>
      <c r="AN133" s="103" t="s">
        <v>1343</v>
      </c>
      <c r="AO133" s="103" t="s">
        <v>1076</v>
      </c>
      <c r="AP133" s="156">
        <v>42156</v>
      </c>
      <c r="AQ133" s="103"/>
      <c r="AR133" s="103" t="s">
        <v>870</v>
      </c>
      <c r="AS133" s="103" t="s">
        <v>1077</v>
      </c>
      <c r="AT133" s="103" t="s">
        <v>1078</v>
      </c>
      <c r="AU133" s="103"/>
      <c r="AV133" s="103"/>
    </row>
    <row r="134" spans="1:48">
      <c r="A134" s="103">
        <v>5705</v>
      </c>
      <c r="B134" s="103" t="s">
        <v>1344</v>
      </c>
      <c r="C134" s="103" t="s">
        <v>1067</v>
      </c>
      <c r="D134" s="103" t="s">
        <v>1068</v>
      </c>
      <c r="E134" s="103" t="s">
        <v>1069</v>
      </c>
      <c r="F134" s="156"/>
      <c r="G134" s="103" t="s">
        <v>1070</v>
      </c>
      <c r="H134" s="103"/>
      <c r="I134" s="103"/>
      <c r="J134" s="103"/>
      <c r="K134" s="103"/>
      <c r="L134" s="103" t="s">
        <v>874</v>
      </c>
      <c r="M134" s="103" t="s">
        <v>1071</v>
      </c>
      <c r="N134" s="103" t="s">
        <v>871</v>
      </c>
      <c r="O134" s="103" t="s">
        <v>1072</v>
      </c>
      <c r="P134" s="103" t="s">
        <v>154</v>
      </c>
      <c r="Q134" s="103">
        <v>0</v>
      </c>
      <c r="R134" s="103">
        <v>0</v>
      </c>
      <c r="S134" s="103" t="s">
        <v>175</v>
      </c>
      <c r="T134" s="103"/>
      <c r="U134" s="103" t="b">
        <v>0</v>
      </c>
      <c r="V134" s="103"/>
      <c r="W134" s="103" t="b">
        <v>1</v>
      </c>
      <c r="X134" s="103" t="s">
        <v>863</v>
      </c>
      <c r="Y134" s="103" t="s">
        <v>153</v>
      </c>
      <c r="Z134" s="103" t="s">
        <v>864</v>
      </c>
      <c r="AA134" s="103" t="s">
        <v>1073</v>
      </c>
      <c r="AB134" s="103" t="s">
        <v>865</v>
      </c>
      <c r="AC134" s="103" t="s">
        <v>866</v>
      </c>
      <c r="AD134" s="103" t="str">
        <f>IF(ISNA(MATCH(AM134,'Measure &amp; Standard CostIDs'!$C$5:$C$177,0)),"",AM134)</f>
        <v>CFLscw(14w)</v>
      </c>
      <c r="AE134" s="103" t="str">
        <f>IFERROR(INDEX('Measure &amp; Standard CostIDs'!$S$5:$S$177,MATCH(AM134&amp;AL134,'Measure &amp; Standard CostIDs'!$AB$5:$AB$177,0)),"")</f>
        <v>Std_CFLscw(14w)_60pInc-r0248</v>
      </c>
      <c r="AF134" s="103" t="s">
        <v>1074</v>
      </c>
      <c r="AG134" s="103"/>
      <c r="AH134" s="103" t="s">
        <v>156</v>
      </c>
      <c r="AI134" s="103" t="s">
        <v>156</v>
      </c>
      <c r="AJ134" s="103" t="s">
        <v>666</v>
      </c>
      <c r="AK134" s="103" t="s">
        <v>150</v>
      </c>
      <c r="AL134" s="103" t="s">
        <v>150</v>
      </c>
      <c r="AM134" s="103" t="s">
        <v>664</v>
      </c>
      <c r="AN134" s="103" t="s">
        <v>1345</v>
      </c>
      <c r="AO134" s="103" t="s">
        <v>1076</v>
      </c>
      <c r="AP134" s="156">
        <v>42156</v>
      </c>
      <c r="AQ134" s="103"/>
      <c r="AR134" s="103" t="s">
        <v>870</v>
      </c>
      <c r="AS134" s="103" t="s">
        <v>1077</v>
      </c>
      <c r="AT134" s="103" t="s">
        <v>1078</v>
      </c>
      <c r="AU134" s="103"/>
      <c r="AV134" s="103"/>
    </row>
    <row r="135" spans="1:48">
      <c r="A135" s="103">
        <v>5706</v>
      </c>
      <c r="B135" s="103" t="s">
        <v>1346</v>
      </c>
      <c r="C135" s="103" t="s">
        <v>1067</v>
      </c>
      <c r="D135" s="103" t="s">
        <v>1068</v>
      </c>
      <c r="E135" s="103" t="s">
        <v>1069</v>
      </c>
      <c r="F135" s="156"/>
      <c r="G135" s="103" t="s">
        <v>1070</v>
      </c>
      <c r="H135" s="103"/>
      <c r="I135" s="103"/>
      <c r="J135" s="103"/>
      <c r="K135" s="103"/>
      <c r="L135" s="103" t="s">
        <v>874</v>
      </c>
      <c r="M135" s="103" t="s">
        <v>1071</v>
      </c>
      <c r="N135" s="103" t="s">
        <v>871</v>
      </c>
      <c r="O135" s="103" t="s">
        <v>1072</v>
      </c>
      <c r="P135" s="103" t="s">
        <v>154</v>
      </c>
      <c r="Q135" s="103">
        <v>0</v>
      </c>
      <c r="R135" s="103">
        <v>0</v>
      </c>
      <c r="S135" s="103" t="s">
        <v>175</v>
      </c>
      <c r="T135" s="103"/>
      <c r="U135" s="103" t="b">
        <v>0</v>
      </c>
      <c r="V135" s="103"/>
      <c r="W135" s="103" t="b">
        <v>1</v>
      </c>
      <c r="X135" s="103" t="s">
        <v>863</v>
      </c>
      <c r="Y135" s="103" t="s">
        <v>153</v>
      </c>
      <c r="Z135" s="103" t="s">
        <v>864</v>
      </c>
      <c r="AA135" s="103" t="s">
        <v>1073</v>
      </c>
      <c r="AB135" s="103" t="s">
        <v>865</v>
      </c>
      <c r="AC135" s="103" t="s">
        <v>866</v>
      </c>
      <c r="AD135" s="103" t="str">
        <f>IF(ISNA(MATCH(AM135,'Measure &amp; Standard CostIDs'!$C$5:$C$177,0)),"",AM135)</f>
        <v>CFLscw(15w)</v>
      </c>
      <c r="AE135" s="103" t="str">
        <f>IFERROR(INDEX('Measure &amp; Standard CostIDs'!$S$5:$S$177,MATCH(AM135&amp;AL135,'Measure &amp; Standard CostIDs'!$AB$5:$AB$177,0)),"")</f>
        <v>Std_CFLscw(15w)_60pInc-r0248</v>
      </c>
      <c r="AF135" s="103" t="s">
        <v>1074</v>
      </c>
      <c r="AG135" s="103"/>
      <c r="AH135" s="103" t="s">
        <v>156</v>
      </c>
      <c r="AI135" s="103" t="s">
        <v>156</v>
      </c>
      <c r="AJ135" s="103" t="s">
        <v>672</v>
      </c>
      <c r="AK135" s="103" t="s">
        <v>150</v>
      </c>
      <c r="AL135" s="103" t="s">
        <v>150</v>
      </c>
      <c r="AM135" s="103" t="s">
        <v>670</v>
      </c>
      <c r="AN135" s="103" t="s">
        <v>1347</v>
      </c>
      <c r="AO135" s="103" t="s">
        <v>1076</v>
      </c>
      <c r="AP135" s="156">
        <v>42156</v>
      </c>
      <c r="AQ135" s="103"/>
      <c r="AR135" s="103" t="s">
        <v>870</v>
      </c>
      <c r="AS135" s="103" t="s">
        <v>1077</v>
      </c>
      <c r="AT135" s="103" t="s">
        <v>1078</v>
      </c>
      <c r="AU135" s="103"/>
      <c r="AV135" s="103"/>
    </row>
    <row r="136" spans="1:48">
      <c r="A136" s="103">
        <v>5848</v>
      </c>
      <c r="B136" s="103" t="s">
        <v>1348</v>
      </c>
      <c r="C136" s="103" t="s">
        <v>1067</v>
      </c>
      <c r="D136" s="103" t="s">
        <v>151</v>
      </c>
      <c r="E136" s="103" t="s">
        <v>1114</v>
      </c>
      <c r="F136" s="156"/>
      <c r="G136" s="103" t="s">
        <v>1070</v>
      </c>
      <c r="H136" s="103"/>
      <c r="I136" s="103"/>
      <c r="J136" s="103"/>
      <c r="K136" s="103"/>
      <c r="L136" s="103" t="s">
        <v>874</v>
      </c>
      <c r="M136" s="103" t="s">
        <v>1071</v>
      </c>
      <c r="N136" s="103" t="s">
        <v>1115</v>
      </c>
      <c r="O136" s="103" t="s">
        <v>1072</v>
      </c>
      <c r="P136" s="103" t="s">
        <v>154</v>
      </c>
      <c r="Q136" s="103">
        <v>0</v>
      </c>
      <c r="R136" s="103">
        <v>0</v>
      </c>
      <c r="S136" s="103" t="s">
        <v>175</v>
      </c>
      <c r="T136" s="103"/>
      <c r="U136" s="103" t="b">
        <v>0</v>
      </c>
      <c r="V136" s="103"/>
      <c r="W136" s="103" t="b">
        <v>1</v>
      </c>
      <c r="X136" s="103" t="s">
        <v>863</v>
      </c>
      <c r="Y136" s="103" t="s">
        <v>153</v>
      </c>
      <c r="Z136" s="103" t="s">
        <v>864</v>
      </c>
      <c r="AA136" s="103" t="s">
        <v>1073</v>
      </c>
      <c r="AB136" s="103" t="s">
        <v>865</v>
      </c>
      <c r="AC136" s="103" t="s">
        <v>866</v>
      </c>
      <c r="AD136" s="103" t="str">
        <f>IF(ISNA(MATCH(AM136,'Measure &amp; Standard CostIDs'!$C$5:$C$177,0)),"",AM136)</f>
        <v/>
      </c>
      <c r="AE136" s="103" t="str">
        <f>IFERROR(INDEX('Measure &amp; Standard CostIDs'!$S$5:$S$177,MATCH(AM136&amp;AL136,'Measure &amp; Standard CostIDs'!$AB$5:$AB$177,0)),"")</f>
        <v/>
      </c>
      <c r="AF136" s="103" t="s">
        <v>1074</v>
      </c>
      <c r="AG136" s="103"/>
      <c r="AH136" s="103" t="s">
        <v>156</v>
      </c>
      <c r="AI136" s="103" t="s">
        <v>156</v>
      </c>
      <c r="AJ136" s="103" t="s">
        <v>669</v>
      </c>
      <c r="AK136" s="103" t="s">
        <v>150</v>
      </c>
      <c r="AL136" s="103" t="s">
        <v>150</v>
      </c>
      <c r="AM136" s="103" t="s">
        <v>667</v>
      </c>
      <c r="AN136" s="103" t="s">
        <v>1349</v>
      </c>
      <c r="AO136" s="103" t="s">
        <v>1117</v>
      </c>
      <c r="AP136" s="156">
        <v>42370</v>
      </c>
      <c r="AQ136" s="103"/>
      <c r="AR136" s="103" t="s">
        <v>870</v>
      </c>
      <c r="AS136" s="103" t="s">
        <v>1118</v>
      </c>
      <c r="AT136" s="103" t="s">
        <v>1078</v>
      </c>
      <c r="AU136" s="103"/>
      <c r="AV136" s="103"/>
    </row>
    <row r="137" spans="1:48">
      <c r="A137" s="103">
        <v>5842</v>
      </c>
      <c r="B137" s="103" t="s">
        <v>1350</v>
      </c>
      <c r="C137" s="103" t="s">
        <v>1067</v>
      </c>
      <c r="D137" s="103" t="s">
        <v>151</v>
      </c>
      <c r="E137" s="103" t="s">
        <v>1114</v>
      </c>
      <c r="F137" s="156"/>
      <c r="G137" s="103" t="s">
        <v>1281</v>
      </c>
      <c r="H137" s="103"/>
      <c r="I137" s="103"/>
      <c r="J137" s="103"/>
      <c r="K137" s="103"/>
      <c r="L137" s="103" t="s">
        <v>1282</v>
      </c>
      <c r="M137" s="103" t="s">
        <v>1071</v>
      </c>
      <c r="N137" s="103" t="s">
        <v>871</v>
      </c>
      <c r="O137" s="103" t="s">
        <v>1072</v>
      </c>
      <c r="P137" s="103" t="s">
        <v>154</v>
      </c>
      <c r="Q137" s="103">
        <v>0</v>
      </c>
      <c r="R137" s="103">
        <v>0</v>
      </c>
      <c r="S137" s="103" t="s">
        <v>175</v>
      </c>
      <c r="T137" s="103"/>
      <c r="U137" s="103" t="b">
        <v>0</v>
      </c>
      <c r="V137" s="103"/>
      <c r="W137" s="103" t="b">
        <v>1</v>
      </c>
      <c r="X137" s="103" t="s">
        <v>863</v>
      </c>
      <c r="Y137" s="103" t="s">
        <v>153</v>
      </c>
      <c r="Z137" s="103" t="s">
        <v>864</v>
      </c>
      <c r="AA137" s="103" t="s">
        <v>1073</v>
      </c>
      <c r="AB137" s="103" t="s">
        <v>865</v>
      </c>
      <c r="AC137" s="103" t="s">
        <v>866</v>
      </c>
      <c r="AD137" s="103" t="str">
        <f>IF(ISNA(MATCH(AM137,'Measure &amp; Standard CostIDs'!$C$5:$C$177,0)),"",AM137)</f>
        <v/>
      </c>
      <c r="AE137" s="103" t="str">
        <f>IFERROR(INDEX('Measure &amp; Standard CostIDs'!$S$5:$S$177,MATCH(AM137&amp;AL137,'Measure &amp; Standard CostIDs'!$AB$5:$AB$177,0)),"")</f>
        <v/>
      </c>
      <c r="AF137" s="103" t="s">
        <v>1074</v>
      </c>
      <c r="AG137" s="103" t="s">
        <v>1192</v>
      </c>
      <c r="AH137" s="103" t="s">
        <v>163</v>
      </c>
      <c r="AI137" s="103" t="s">
        <v>163</v>
      </c>
      <c r="AJ137" s="103" t="s">
        <v>554</v>
      </c>
      <c r="AK137" s="103" t="s">
        <v>161</v>
      </c>
      <c r="AL137" s="103" t="s">
        <v>161</v>
      </c>
      <c r="AM137" s="103" t="s">
        <v>552</v>
      </c>
      <c r="AN137" s="103" t="s">
        <v>1351</v>
      </c>
      <c r="AO137" s="103" t="s">
        <v>1117</v>
      </c>
      <c r="AP137" s="156">
        <v>42370</v>
      </c>
      <c r="AQ137" s="103"/>
      <c r="AR137" s="103" t="s">
        <v>870</v>
      </c>
      <c r="AS137" s="103" t="s">
        <v>1118</v>
      </c>
      <c r="AT137" s="103" t="s">
        <v>1078</v>
      </c>
      <c r="AU137" s="103"/>
      <c r="AV137" s="103"/>
    </row>
    <row r="138" spans="1:48">
      <c r="A138" s="103">
        <v>5707</v>
      </c>
      <c r="B138" s="103" t="s">
        <v>1352</v>
      </c>
      <c r="C138" s="103" t="s">
        <v>1067</v>
      </c>
      <c r="D138" s="103" t="s">
        <v>1068</v>
      </c>
      <c r="E138" s="103" t="s">
        <v>1069</v>
      </c>
      <c r="F138" s="156"/>
      <c r="G138" s="103" t="s">
        <v>1070</v>
      </c>
      <c r="H138" s="103"/>
      <c r="I138" s="103"/>
      <c r="J138" s="103"/>
      <c r="K138" s="103"/>
      <c r="L138" s="103" t="s">
        <v>874</v>
      </c>
      <c r="M138" s="103" t="s">
        <v>1071</v>
      </c>
      <c r="N138" s="103" t="s">
        <v>871</v>
      </c>
      <c r="O138" s="103" t="s">
        <v>1072</v>
      </c>
      <c r="P138" s="103" t="s">
        <v>154</v>
      </c>
      <c r="Q138" s="103">
        <v>0</v>
      </c>
      <c r="R138" s="103">
        <v>0</v>
      </c>
      <c r="S138" s="103" t="s">
        <v>175</v>
      </c>
      <c r="T138" s="103"/>
      <c r="U138" s="103" t="b">
        <v>0</v>
      </c>
      <c r="V138" s="103"/>
      <c r="W138" s="103" t="b">
        <v>1</v>
      </c>
      <c r="X138" s="103" t="s">
        <v>863</v>
      </c>
      <c r="Y138" s="103" t="s">
        <v>153</v>
      </c>
      <c r="Z138" s="103" t="s">
        <v>864</v>
      </c>
      <c r="AA138" s="103" t="s">
        <v>1073</v>
      </c>
      <c r="AB138" s="103" t="s">
        <v>865</v>
      </c>
      <c r="AC138" s="103" t="s">
        <v>866</v>
      </c>
      <c r="AD138" s="103" t="str">
        <f>IF(ISNA(MATCH(AM138,'Measure &amp; Standard CostIDs'!$C$5:$C$177,0)),"",AM138)</f>
        <v>CFLscw(16w)</v>
      </c>
      <c r="AE138" s="103" t="str">
        <f>IFERROR(INDEX('Measure &amp; Standard CostIDs'!$S$5:$S$177,MATCH(AM138&amp;AL138,'Measure &amp; Standard CostIDs'!$AB$5:$AB$177,0)),"")</f>
        <v>Std_CFLscw(16w)_60pInc-r0248</v>
      </c>
      <c r="AF138" s="103" t="s">
        <v>1074</v>
      </c>
      <c r="AG138" s="103"/>
      <c r="AH138" s="103" t="s">
        <v>156</v>
      </c>
      <c r="AI138" s="103" t="s">
        <v>156</v>
      </c>
      <c r="AJ138" s="103" t="s">
        <v>675</v>
      </c>
      <c r="AK138" s="103" t="s">
        <v>150</v>
      </c>
      <c r="AL138" s="103" t="s">
        <v>150</v>
      </c>
      <c r="AM138" s="103" t="s">
        <v>673</v>
      </c>
      <c r="AN138" s="103" t="s">
        <v>1353</v>
      </c>
      <c r="AO138" s="103" t="s">
        <v>1076</v>
      </c>
      <c r="AP138" s="156">
        <v>42156</v>
      </c>
      <c r="AQ138" s="103"/>
      <c r="AR138" s="103" t="s">
        <v>870</v>
      </c>
      <c r="AS138" s="103" t="s">
        <v>1077</v>
      </c>
      <c r="AT138" s="103" t="s">
        <v>1078</v>
      </c>
      <c r="AU138" s="103"/>
      <c r="AV138" s="103"/>
    </row>
    <row r="139" spans="1:48">
      <c r="A139" s="103">
        <v>5708</v>
      </c>
      <c r="B139" s="103" t="s">
        <v>1354</v>
      </c>
      <c r="C139" s="103" t="s">
        <v>1067</v>
      </c>
      <c r="D139" s="103" t="s">
        <v>1068</v>
      </c>
      <c r="E139" s="103" t="s">
        <v>1069</v>
      </c>
      <c r="F139" s="156"/>
      <c r="G139" s="103" t="s">
        <v>1070</v>
      </c>
      <c r="H139" s="103"/>
      <c r="I139" s="103"/>
      <c r="J139" s="103"/>
      <c r="K139" s="103"/>
      <c r="L139" s="103" t="s">
        <v>874</v>
      </c>
      <c r="M139" s="103" t="s">
        <v>1071</v>
      </c>
      <c r="N139" s="103" t="s">
        <v>1115</v>
      </c>
      <c r="O139" s="103" t="s">
        <v>1072</v>
      </c>
      <c r="P139" s="103" t="s">
        <v>154</v>
      </c>
      <c r="Q139" s="103">
        <v>0</v>
      </c>
      <c r="R139" s="103">
        <v>0</v>
      </c>
      <c r="S139" s="103" t="s">
        <v>175</v>
      </c>
      <c r="T139" s="103"/>
      <c r="U139" s="103" t="b">
        <v>0</v>
      </c>
      <c r="V139" s="103"/>
      <c r="W139" s="103" t="b">
        <v>1</v>
      </c>
      <c r="X139" s="103" t="s">
        <v>863</v>
      </c>
      <c r="Y139" s="103" t="s">
        <v>153</v>
      </c>
      <c r="Z139" s="103" t="s">
        <v>864</v>
      </c>
      <c r="AA139" s="103" t="s">
        <v>1073</v>
      </c>
      <c r="AB139" s="103" t="s">
        <v>865</v>
      </c>
      <c r="AC139" s="103" t="s">
        <v>866</v>
      </c>
      <c r="AD139" s="103" t="str">
        <f>IF(ISNA(MATCH(AM139,'Measure &amp; Standard CostIDs'!$C$5:$C$177,0)),"",AM139)</f>
        <v>CFLscw(17w)</v>
      </c>
      <c r="AE139" s="103" t="str">
        <f>IFERROR(INDEX('Measure &amp; Standard CostIDs'!$S$5:$S$177,MATCH(AM139&amp;AL139,'Measure &amp; Standard CostIDs'!$AB$5:$AB$177,0)),"")</f>
        <v>Std_CFLscw(17w)_60pInc-r0248</v>
      </c>
      <c r="AF139" s="103" t="s">
        <v>1074</v>
      </c>
      <c r="AG139" s="103"/>
      <c r="AH139" s="103" t="s">
        <v>156</v>
      </c>
      <c r="AI139" s="103" t="s">
        <v>156</v>
      </c>
      <c r="AJ139" s="103" t="s">
        <v>678</v>
      </c>
      <c r="AK139" s="103" t="s">
        <v>150</v>
      </c>
      <c r="AL139" s="103" t="s">
        <v>150</v>
      </c>
      <c r="AM139" s="103" t="s">
        <v>676</v>
      </c>
      <c r="AN139" s="103" t="s">
        <v>1355</v>
      </c>
      <c r="AO139" s="103" t="s">
        <v>1076</v>
      </c>
      <c r="AP139" s="156">
        <v>42156</v>
      </c>
      <c r="AQ139" s="103"/>
      <c r="AR139" s="103" t="s">
        <v>870</v>
      </c>
      <c r="AS139" s="103" t="s">
        <v>1077</v>
      </c>
      <c r="AT139" s="103" t="s">
        <v>1078</v>
      </c>
      <c r="AU139" s="103" t="s">
        <v>1356</v>
      </c>
      <c r="AV139" s="103"/>
    </row>
    <row r="140" spans="1:48">
      <c r="A140" s="103">
        <v>5709</v>
      </c>
      <c r="B140" s="103" t="s">
        <v>1357</v>
      </c>
      <c r="C140" s="103" t="s">
        <v>1067</v>
      </c>
      <c r="D140" s="103" t="s">
        <v>1068</v>
      </c>
      <c r="E140" s="103" t="s">
        <v>1069</v>
      </c>
      <c r="F140" s="156"/>
      <c r="G140" s="103" t="s">
        <v>1070</v>
      </c>
      <c r="H140" s="103"/>
      <c r="I140" s="103"/>
      <c r="J140" s="103"/>
      <c r="K140" s="103"/>
      <c r="L140" s="103" t="s">
        <v>874</v>
      </c>
      <c r="M140" s="103" t="s">
        <v>1071</v>
      </c>
      <c r="N140" s="103" t="s">
        <v>871</v>
      </c>
      <c r="O140" s="103" t="s">
        <v>1072</v>
      </c>
      <c r="P140" s="103" t="s">
        <v>154</v>
      </c>
      <c r="Q140" s="103">
        <v>0</v>
      </c>
      <c r="R140" s="103">
        <v>0</v>
      </c>
      <c r="S140" s="103" t="s">
        <v>175</v>
      </c>
      <c r="T140" s="103"/>
      <c r="U140" s="103" t="b">
        <v>0</v>
      </c>
      <c r="V140" s="103"/>
      <c r="W140" s="103" t="b">
        <v>1</v>
      </c>
      <c r="X140" s="103" t="s">
        <v>863</v>
      </c>
      <c r="Y140" s="103" t="s">
        <v>153</v>
      </c>
      <c r="Z140" s="103" t="s">
        <v>864</v>
      </c>
      <c r="AA140" s="103" t="s">
        <v>1073</v>
      </c>
      <c r="AB140" s="103" t="s">
        <v>865</v>
      </c>
      <c r="AC140" s="103" t="s">
        <v>866</v>
      </c>
      <c r="AD140" s="103" t="str">
        <f>IF(ISNA(MATCH(AM140,'Measure &amp; Standard CostIDs'!$C$5:$C$177,0)),"",AM140)</f>
        <v>CFLscw(18w)</v>
      </c>
      <c r="AE140" s="103" t="str">
        <f>IFERROR(INDEX('Measure &amp; Standard CostIDs'!$S$5:$S$177,MATCH(AM140&amp;AL140,'Measure &amp; Standard CostIDs'!$AB$5:$AB$177,0)),"")</f>
        <v>Std_CFLscw(18w)_60pInc-r0248</v>
      </c>
      <c r="AF140" s="103" t="s">
        <v>1074</v>
      </c>
      <c r="AG140" s="103"/>
      <c r="AH140" s="103" t="s">
        <v>156</v>
      </c>
      <c r="AI140" s="103" t="s">
        <v>156</v>
      </c>
      <c r="AJ140" s="103" t="s">
        <v>681</v>
      </c>
      <c r="AK140" s="103" t="s">
        <v>150</v>
      </c>
      <c r="AL140" s="103" t="s">
        <v>150</v>
      </c>
      <c r="AM140" s="103" t="s">
        <v>679</v>
      </c>
      <c r="AN140" s="103" t="s">
        <v>1358</v>
      </c>
      <c r="AO140" s="103" t="s">
        <v>1076</v>
      </c>
      <c r="AP140" s="156">
        <v>42156</v>
      </c>
      <c r="AQ140" s="103"/>
      <c r="AR140" s="103" t="s">
        <v>870</v>
      </c>
      <c r="AS140" s="103" t="s">
        <v>1077</v>
      </c>
      <c r="AT140" s="103" t="s">
        <v>1078</v>
      </c>
      <c r="AU140" s="103"/>
      <c r="AV140" s="103"/>
    </row>
    <row r="141" spans="1:48">
      <c r="A141" s="103">
        <v>5710</v>
      </c>
      <c r="B141" s="103" t="s">
        <v>1359</v>
      </c>
      <c r="C141" s="103" t="s">
        <v>1067</v>
      </c>
      <c r="D141" s="103" t="s">
        <v>1068</v>
      </c>
      <c r="E141" s="103" t="s">
        <v>1069</v>
      </c>
      <c r="F141" s="156"/>
      <c r="G141" s="103" t="s">
        <v>1070</v>
      </c>
      <c r="H141" s="103"/>
      <c r="I141" s="103"/>
      <c r="J141" s="103"/>
      <c r="K141" s="103"/>
      <c r="L141" s="103" t="s">
        <v>874</v>
      </c>
      <c r="M141" s="103" t="s">
        <v>1071</v>
      </c>
      <c r="N141" s="103" t="s">
        <v>871</v>
      </c>
      <c r="O141" s="103" t="s">
        <v>1072</v>
      </c>
      <c r="P141" s="103" t="s">
        <v>154</v>
      </c>
      <c r="Q141" s="103">
        <v>0</v>
      </c>
      <c r="R141" s="103">
        <v>0</v>
      </c>
      <c r="S141" s="103" t="s">
        <v>175</v>
      </c>
      <c r="T141" s="103"/>
      <c r="U141" s="103" t="b">
        <v>0</v>
      </c>
      <c r="V141" s="103"/>
      <c r="W141" s="103" t="b">
        <v>1</v>
      </c>
      <c r="X141" s="103" t="s">
        <v>863</v>
      </c>
      <c r="Y141" s="103" t="s">
        <v>153</v>
      </c>
      <c r="Z141" s="103" t="s">
        <v>864</v>
      </c>
      <c r="AA141" s="103" t="s">
        <v>1073</v>
      </c>
      <c r="AB141" s="103" t="s">
        <v>865</v>
      </c>
      <c r="AC141" s="103" t="s">
        <v>866</v>
      </c>
      <c r="AD141" s="103" t="str">
        <f>IF(ISNA(MATCH(AM141,'Measure &amp; Standard CostIDs'!$C$5:$C$177,0)),"",AM141)</f>
        <v>CFLscw(19w)</v>
      </c>
      <c r="AE141" s="103" t="str">
        <f>IFERROR(INDEX('Measure &amp; Standard CostIDs'!$S$5:$S$177,MATCH(AM141&amp;AL141,'Measure &amp; Standard CostIDs'!$AB$5:$AB$177,0)),"")</f>
        <v>Std_CFLscw(19w)_60pInc-r0248</v>
      </c>
      <c r="AF141" s="103" t="s">
        <v>1074</v>
      </c>
      <c r="AG141" s="103"/>
      <c r="AH141" s="103" t="s">
        <v>156</v>
      </c>
      <c r="AI141" s="103" t="s">
        <v>156</v>
      </c>
      <c r="AJ141" s="103" t="s">
        <v>686</v>
      </c>
      <c r="AK141" s="103" t="s">
        <v>150</v>
      </c>
      <c r="AL141" s="103" t="s">
        <v>150</v>
      </c>
      <c r="AM141" s="103" t="s">
        <v>684</v>
      </c>
      <c r="AN141" s="103" t="s">
        <v>1360</v>
      </c>
      <c r="AO141" s="103" t="s">
        <v>1076</v>
      </c>
      <c r="AP141" s="156">
        <v>42156</v>
      </c>
      <c r="AQ141" s="103"/>
      <c r="AR141" s="103" t="s">
        <v>870</v>
      </c>
      <c r="AS141" s="103" t="s">
        <v>1077</v>
      </c>
      <c r="AT141" s="103" t="s">
        <v>1078</v>
      </c>
      <c r="AU141" s="103"/>
      <c r="AV141" s="103"/>
    </row>
    <row r="142" spans="1:48">
      <c r="A142" s="103">
        <v>5711</v>
      </c>
      <c r="B142" s="103" t="s">
        <v>1361</v>
      </c>
      <c r="C142" s="103" t="s">
        <v>1067</v>
      </c>
      <c r="D142" s="103" t="s">
        <v>1068</v>
      </c>
      <c r="E142" s="103" t="s">
        <v>1069</v>
      </c>
      <c r="F142" s="156"/>
      <c r="G142" s="103" t="s">
        <v>1070</v>
      </c>
      <c r="H142" s="103"/>
      <c r="I142" s="103"/>
      <c r="J142" s="103"/>
      <c r="K142" s="103"/>
      <c r="L142" s="103" t="s">
        <v>874</v>
      </c>
      <c r="M142" s="103" t="s">
        <v>1071</v>
      </c>
      <c r="N142" s="103" t="s">
        <v>871</v>
      </c>
      <c r="O142" s="103" t="s">
        <v>1072</v>
      </c>
      <c r="P142" s="103" t="s">
        <v>154</v>
      </c>
      <c r="Q142" s="103">
        <v>0</v>
      </c>
      <c r="R142" s="103">
        <v>0</v>
      </c>
      <c r="S142" s="103" t="s">
        <v>175</v>
      </c>
      <c r="T142" s="103"/>
      <c r="U142" s="103" t="b">
        <v>0</v>
      </c>
      <c r="V142" s="103"/>
      <c r="W142" s="103" t="b">
        <v>1</v>
      </c>
      <c r="X142" s="103" t="s">
        <v>863</v>
      </c>
      <c r="Y142" s="103" t="s">
        <v>153</v>
      </c>
      <c r="Z142" s="103" t="s">
        <v>864</v>
      </c>
      <c r="AA142" s="103" t="s">
        <v>1073</v>
      </c>
      <c r="AB142" s="103" t="s">
        <v>865</v>
      </c>
      <c r="AC142" s="103" t="s">
        <v>866</v>
      </c>
      <c r="AD142" s="103" t="str">
        <f>IF(ISNA(MATCH(AM142,'Measure &amp; Standard CostIDs'!$C$5:$C$177,0)),"",AM142)</f>
        <v>CFLscw(20w)</v>
      </c>
      <c r="AE142" s="103" t="str">
        <f>IFERROR(INDEX('Measure &amp; Standard CostIDs'!$S$5:$S$177,MATCH(AM142&amp;AL142,'Measure &amp; Standard CostIDs'!$AB$5:$AB$177,0)),"")</f>
        <v>Std_CFLscw(20w)_60pInc-r0248</v>
      </c>
      <c r="AF142" s="103" t="s">
        <v>1074</v>
      </c>
      <c r="AG142" s="103"/>
      <c r="AH142" s="103" t="s">
        <v>156</v>
      </c>
      <c r="AI142" s="103" t="s">
        <v>156</v>
      </c>
      <c r="AJ142" s="103" t="s">
        <v>692</v>
      </c>
      <c r="AK142" s="103" t="s">
        <v>150</v>
      </c>
      <c r="AL142" s="103" t="s">
        <v>150</v>
      </c>
      <c r="AM142" s="103" t="s">
        <v>690</v>
      </c>
      <c r="AN142" s="103" t="s">
        <v>1362</v>
      </c>
      <c r="AO142" s="103" t="s">
        <v>1076</v>
      </c>
      <c r="AP142" s="156">
        <v>42156</v>
      </c>
      <c r="AQ142" s="103"/>
      <c r="AR142" s="103" t="s">
        <v>870</v>
      </c>
      <c r="AS142" s="103" t="s">
        <v>1077</v>
      </c>
      <c r="AT142" s="103" t="s">
        <v>1078</v>
      </c>
      <c r="AU142" s="103"/>
      <c r="AV142" s="103"/>
    </row>
    <row r="143" spans="1:48">
      <c r="A143" s="103">
        <v>5849</v>
      </c>
      <c r="B143" s="103" t="s">
        <v>1363</v>
      </c>
      <c r="C143" s="103" t="s">
        <v>1067</v>
      </c>
      <c r="D143" s="103" t="s">
        <v>151</v>
      </c>
      <c r="E143" s="103" t="s">
        <v>1114</v>
      </c>
      <c r="F143" s="156"/>
      <c r="G143" s="103" t="s">
        <v>1070</v>
      </c>
      <c r="H143" s="103"/>
      <c r="I143" s="103"/>
      <c r="J143" s="103"/>
      <c r="K143" s="103"/>
      <c r="L143" s="103" t="s">
        <v>874</v>
      </c>
      <c r="M143" s="103" t="s">
        <v>1071</v>
      </c>
      <c r="N143" s="103" t="s">
        <v>1115</v>
      </c>
      <c r="O143" s="103" t="s">
        <v>1072</v>
      </c>
      <c r="P143" s="103" t="s">
        <v>154</v>
      </c>
      <c r="Q143" s="103">
        <v>0</v>
      </c>
      <c r="R143" s="103">
        <v>0</v>
      </c>
      <c r="S143" s="103" t="s">
        <v>175</v>
      </c>
      <c r="T143" s="103"/>
      <c r="U143" s="103" t="b">
        <v>0</v>
      </c>
      <c r="V143" s="103"/>
      <c r="W143" s="103" t="b">
        <v>1</v>
      </c>
      <c r="X143" s="103" t="s">
        <v>863</v>
      </c>
      <c r="Y143" s="103" t="s">
        <v>153</v>
      </c>
      <c r="Z143" s="103" t="s">
        <v>864</v>
      </c>
      <c r="AA143" s="103" t="s">
        <v>1073</v>
      </c>
      <c r="AB143" s="103" t="s">
        <v>865</v>
      </c>
      <c r="AC143" s="103" t="s">
        <v>866</v>
      </c>
      <c r="AD143" s="103" t="str">
        <f>IF(ISNA(MATCH(AM143,'Measure &amp; Standard CostIDs'!$C$5:$C$177,0)),"",AM143)</f>
        <v/>
      </c>
      <c r="AE143" s="103" t="str">
        <f>IFERROR(INDEX('Measure &amp; Standard CostIDs'!$S$5:$S$177,MATCH(AM143&amp;AL143,'Measure &amp; Standard CostIDs'!$AB$5:$AB$177,0)),"")</f>
        <v/>
      </c>
      <c r="AF143" s="103" t="s">
        <v>1074</v>
      </c>
      <c r="AG143" s="103"/>
      <c r="AH143" s="103" t="s">
        <v>156</v>
      </c>
      <c r="AI143" s="103" t="s">
        <v>156</v>
      </c>
      <c r="AJ143" s="103" t="s">
        <v>689</v>
      </c>
      <c r="AK143" s="103" t="s">
        <v>150</v>
      </c>
      <c r="AL143" s="103" t="s">
        <v>150</v>
      </c>
      <c r="AM143" s="103" t="s">
        <v>687</v>
      </c>
      <c r="AN143" s="103" t="s">
        <v>1364</v>
      </c>
      <c r="AO143" s="103" t="s">
        <v>1117</v>
      </c>
      <c r="AP143" s="156">
        <v>42370</v>
      </c>
      <c r="AQ143" s="103"/>
      <c r="AR143" s="103" t="s">
        <v>870</v>
      </c>
      <c r="AS143" s="103" t="s">
        <v>1118</v>
      </c>
      <c r="AT143" s="103" t="s">
        <v>1078</v>
      </c>
      <c r="AU143" s="103"/>
      <c r="AV143" s="103"/>
    </row>
    <row r="144" spans="1:48">
      <c r="A144" s="103">
        <v>5843</v>
      </c>
      <c r="B144" s="103" t="s">
        <v>1365</v>
      </c>
      <c r="C144" s="103" t="s">
        <v>1067</v>
      </c>
      <c r="D144" s="103" t="s">
        <v>151</v>
      </c>
      <c r="E144" s="103" t="s">
        <v>1114</v>
      </c>
      <c r="F144" s="156"/>
      <c r="G144" s="103" t="s">
        <v>1281</v>
      </c>
      <c r="H144" s="103"/>
      <c r="I144" s="103"/>
      <c r="J144" s="103"/>
      <c r="K144" s="103"/>
      <c r="L144" s="103" t="s">
        <v>1282</v>
      </c>
      <c r="M144" s="103" t="s">
        <v>1071</v>
      </c>
      <c r="N144" s="103" t="s">
        <v>871</v>
      </c>
      <c r="O144" s="103" t="s">
        <v>1072</v>
      </c>
      <c r="P144" s="103" t="s">
        <v>154</v>
      </c>
      <c r="Q144" s="103">
        <v>0</v>
      </c>
      <c r="R144" s="103">
        <v>0</v>
      </c>
      <c r="S144" s="103" t="s">
        <v>175</v>
      </c>
      <c r="T144" s="103"/>
      <c r="U144" s="103" t="b">
        <v>0</v>
      </c>
      <c r="V144" s="103"/>
      <c r="W144" s="103" t="b">
        <v>1</v>
      </c>
      <c r="X144" s="103" t="s">
        <v>863</v>
      </c>
      <c r="Y144" s="103" t="s">
        <v>153</v>
      </c>
      <c r="Z144" s="103" t="s">
        <v>864</v>
      </c>
      <c r="AA144" s="103" t="s">
        <v>1073</v>
      </c>
      <c r="AB144" s="103" t="s">
        <v>865</v>
      </c>
      <c r="AC144" s="103" t="s">
        <v>866</v>
      </c>
      <c r="AD144" s="103" t="str">
        <f>IF(ISNA(MATCH(AM144,'Measure &amp; Standard CostIDs'!$C$5:$C$177,0)),"",AM144)</f>
        <v/>
      </c>
      <c r="AE144" s="103" t="str">
        <f>IFERROR(INDEX('Measure &amp; Standard CostIDs'!$S$5:$S$177,MATCH(AM144&amp;AL144,'Measure &amp; Standard CostIDs'!$AB$5:$AB$177,0)),"")</f>
        <v/>
      </c>
      <c r="AF144" s="103" t="s">
        <v>1074</v>
      </c>
      <c r="AG144" s="103" t="s">
        <v>1192</v>
      </c>
      <c r="AH144" s="103" t="s">
        <v>163</v>
      </c>
      <c r="AI144" s="103" t="s">
        <v>163</v>
      </c>
      <c r="AJ144" s="103" t="s">
        <v>569</v>
      </c>
      <c r="AK144" s="103" t="s">
        <v>161</v>
      </c>
      <c r="AL144" s="103" t="s">
        <v>161</v>
      </c>
      <c r="AM144" s="103" t="s">
        <v>567</v>
      </c>
      <c r="AN144" s="103" t="s">
        <v>1366</v>
      </c>
      <c r="AO144" s="103" t="s">
        <v>1117</v>
      </c>
      <c r="AP144" s="156">
        <v>42370</v>
      </c>
      <c r="AQ144" s="103"/>
      <c r="AR144" s="103" t="s">
        <v>870</v>
      </c>
      <c r="AS144" s="103" t="s">
        <v>1118</v>
      </c>
      <c r="AT144" s="103" t="s">
        <v>1078</v>
      </c>
      <c r="AU144" s="103"/>
      <c r="AV144" s="103"/>
    </row>
    <row r="145" spans="1:48">
      <c r="A145" s="103">
        <v>5689</v>
      </c>
      <c r="B145" s="103" t="s">
        <v>1367</v>
      </c>
      <c r="C145" s="103" t="s">
        <v>1067</v>
      </c>
      <c r="D145" s="103" t="s">
        <v>1068</v>
      </c>
      <c r="E145" s="103" t="s">
        <v>1069</v>
      </c>
      <c r="F145" s="156"/>
      <c r="G145" s="103" t="s">
        <v>1281</v>
      </c>
      <c r="H145" s="103"/>
      <c r="I145" s="103"/>
      <c r="J145" s="103"/>
      <c r="K145" s="103"/>
      <c r="L145" s="103" t="s">
        <v>1282</v>
      </c>
      <c r="M145" s="103" t="s">
        <v>1071</v>
      </c>
      <c r="N145" s="103" t="s">
        <v>871</v>
      </c>
      <c r="O145" s="103" t="s">
        <v>1072</v>
      </c>
      <c r="P145" s="103" t="s">
        <v>154</v>
      </c>
      <c r="Q145" s="103">
        <v>0</v>
      </c>
      <c r="R145" s="103">
        <v>0</v>
      </c>
      <c r="S145" s="103" t="s">
        <v>175</v>
      </c>
      <c r="T145" s="103"/>
      <c r="U145" s="103" t="b">
        <v>0</v>
      </c>
      <c r="V145" s="103"/>
      <c r="W145" s="103" t="b">
        <v>1</v>
      </c>
      <c r="X145" s="103" t="s">
        <v>863</v>
      </c>
      <c r="Y145" s="103" t="s">
        <v>153</v>
      </c>
      <c r="Z145" s="103" t="s">
        <v>864</v>
      </c>
      <c r="AA145" s="103" t="s">
        <v>1073</v>
      </c>
      <c r="AB145" s="103" t="s">
        <v>865</v>
      </c>
      <c r="AC145" s="103" t="s">
        <v>866</v>
      </c>
      <c r="AD145" s="103" t="str">
        <f>IF(ISNA(MATCH(AM145,'Measure &amp; Standard CostIDs'!$C$5:$C$177,0)),"",AM145)</f>
        <v>CFLscw(21w)</v>
      </c>
      <c r="AE145" s="103" t="str">
        <f>IFERROR(INDEX('Measure &amp; Standard CostIDs'!$S$5:$S$177,MATCH(AM145&amp;AL145,'Measure &amp; Standard CostIDs'!$AB$5:$AB$177,0)),"")</f>
        <v>Std_CFLscw(21w)_60pInc-r0248</v>
      </c>
      <c r="AF145" s="103" t="s">
        <v>1074</v>
      </c>
      <c r="AG145" s="103" t="s">
        <v>1192</v>
      </c>
      <c r="AH145" s="103" t="s">
        <v>156</v>
      </c>
      <c r="AI145" s="103" t="s">
        <v>156</v>
      </c>
      <c r="AJ145" s="103" t="s">
        <v>695</v>
      </c>
      <c r="AK145" s="103" t="s">
        <v>150</v>
      </c>
      <c r="AL145" s="103" t="s">
        <v>150</v>
      </c>
      <c r="AM145" s="103" t="s">
        <v>693</v>
      </c>
      <c r="AN145" s="103" t="s">
        <v>1368</v>
      </c>
      <c r="AO145" s="103" t="s">
        <v>1076</v>
      </c>
      <c r="AP145" s="156">
        <v>42156</v>
      </c>
      <c r="AQ145" s="103"/>
      <c r="AR145" s="103" t="s">
        <v>870</v>
      </c>
      <c r="AS145" s="103" t="s">
        <v>1077</v>
      </c>
      <c r="AT145" s="103" t="s">
        <v>1078</v>
      </c>
      <c r="AU145" s="103"/>
      <c r="AV145" s="103"/>
    </row>
    <row r="146" spans="1:48">
      <c r="A146" s="103">
        <v>5712</v>
      </c>
      <c r="B146" s="103" t="s">
        <v>1369</v>
      </c>
      <c r="C146" s="103" t="s">
        <v>1067</v>
      </c>
      <c r="D146" s="103" t="s">
        <v>1068</v>
      </c>
      <c r="E146" s="103" t="s">
        <v>1069</v>
      </c>
      <c r="F146" s="156"/>
      <c r="G146" s="103" t="s">
        <v>1070</v>
      </c>
      <c r="H146" s="103"/>
      <c r="I146" s="103"/>
      <c r="J146" s="103"/>
      <c r="K146" s="103"/>
      <c r="L146" s="103" t="s">
        <v>874</v>
      </c>
      <c r="M146" s="103" t="s">
        <v>1071</v>
      </c>
      <c r="N146" s="103" t="s">
        <v>871</v>
      </c>
      <c r="O146" s="103" t="s">
        <v>1072</v>
      </c>
      <c r="P146" s="103" t="s">
        <v>154</v>
      </c>
      <c r="Q146" s="103">
        <v>0</v>
      </c>
      <c r="R146" s="103">
        <v>0</v>
      </c>
      <c r="S146" s="103" t="s">
        <v>175</v>
      </c>
      <c r="T146" s="103"/>
      <c r="U146" s="103" t="b">
        <v>0</v>
      </c>
      <c r="V146" s="103"/>
      <c r="W146" s="103" t="b">
        <v>1</v>
      </c>
      <c r="X146" s="103" t="s">
        <v>863</v>
      </c>
      <c r="Y146" s="103" t="s">
        <v>153</v>
      </c>
      <c r="Z146" s="103" t="s">
        <v>864</v>
      </c>
      <c r="AA146" s="103" t="s">
        <v>1073</v>
      </c>
      <c r="AB146" s="103" t="s">
        <v>865</v>
      </c>
      <c r="AC146" s="103" t="s">
        <v>866</v>
      </c>
      <c r="AD146" s="103" t="str">
        <f>IF(ISNA(MATCH(AM146,'Measure &amp; Standard CostIDs'!$C$5:$C$177,0)),"",AM146)</f>
        <v>CFLscw(22w)</v>
      </c>
      <c r="AE146" s="103" t="str">
        <f>IFERROR(INDEX('Measure &amp; Standard CostIDs'!$S$5:$S$177,MATCH(AM146&amp;AL146,'Measure &amp; Standard CostIDs'!$AB$5:$AB$177,0)),"")</f>
        <v>Std_CFLscw(22w)_60pInc-r0248</v>
      </c>
      <c r="AF146" s="103" t="s">
        <v>1074</v>
      </c>
      <c r="AG146" s="103"/>
      <c r="AH146" s="103" t="s">
        <v>156</v>
      </c>
      <c r="AI146" s="103" t="s">
        <v>156</v>
      </c>
      <c r="AJ146" s="103" t="s">
        <v>698</v>
      </c>
      <c r="AK146" s="103" t="s">
        <v>150</v>
      </c>
      <c r="AL146" s="103" t="s">
        <v>150</v>
      </c>
      <c r="AM146" s="103" t="s">
        <v>696</v>
      </c>
      <c r="AN146" s="103" t="s">
        <v>1370</v>
      </c>
      <c r="AO146" s="103" t="s">
        <v>1076</v>
      </c>
      <c r="AP146" s="156">
        <v>42156</v>
      </c>
      <c r="AQ146" s="103"/>
      <c r="AR146" s="103" t="s">
        <v>870</v>
      </c>
      <c r="AS146" s="103" t="s">
        <v>1077</v>
      </c>
      <c r="AT146" s="103" t="s">
        <v>1078</v>
      </c>
      <c r="AU146" s="103"/>
      <c r="AV146" s="103"/>
    </row>
    <row r="147" spans="1:48">
      <c r="A147" s="103">
        <v>5713</v>
      </c>
      <c r="B147" s="103" t="s">
        <v>1371</v>
      </c>
      <c r="C147" s="103" t="s">
        <v>1067</v>
      </c>
      <c r="D147" s="103" t="s">
        <v>1068</v>
      </c>
      <c r="E147" s="103" t="s">
        <v>1069</v>
      </c>
      <c r="F147" s="156"/>
      <c r="G147" s="103" t="s">
        <v>1070</v>
      </c>
      <c r="H147" s="103"/>
      <c r="I147" s="103"/>
      <c r="J147" s="103"/>
      <c r="K147" s="103"/>
      <c r="L147" s="103" t="s">
        <v>874</v>
      </c>
      <c r="M147" s="103" t="s">
        <v>1071</v>
      </c>
      <c r="N147" s="103" t="s">
        <v>871</v>
      </c>
      <c r="O147" s="103" t="s">
        <v>1072</v>
      </c>
      <c r="P147" s="103" t="s">
        <v>154</v>
      </c>
      <c r="Q147" s="103">
        <v>0</v>
      </c>
      <c r="R147" s="103">
        <v>0</v>
      </c>
      <c r="S147" s="103" t="s">
        <v>175</v>
      </c>
      <c r="T147" s="103"/>
      <c r="U147" s="103" t="b">
        <v>0</v>
      </c>
      <c r="V147" s="103"/>
      <c r="W147" s="103" t="b">
        <v>1</v>
      </c>
      <c r="X147" s="103" t="s">
        <v>863</v>
      </c>
      <c r="Y147" s="103" t="s">
        <v>153</v>
      </c>
      <c r="Z147" s="103" t="s">
        <v>864</v>
      </c>
      <c r="AA147" s="103" t="s">
        <v>1073</v>
      </c>
      <c r="AB147" s="103" t="s">
        <v>865</v>
      </c>
      <c r="AC147" s="103" t="s">
        <v>866</v>
      </c>
      <c r="AD147" s="103" t="str">
        <f>IF(ISNA(MATCH(AM147,'Measure &amp; Standard CostIDs'!$C$5:$C$177,0)),"",AM147)</f>
        <v>CFLscw(23w)</v>
      </c>
      <c r="AE147" s="103" t="str">
        <f>IFERROR(INDEX('Measure &amp; Standard CostIDs'!$S$5:$S$177,MATCH(AM147&amp;AL147,'Measure &amp; Standard CostIDs'!$AB$5:$AB$177,0)),"")</f>
        <v>Std_CFLscw(23w)_60pInc-r0248</v>
      </c>
      <c r="AF147" s="103" t="s">
        <v>1074</v>
      </c>
      <c r="AG147" s="103"/>
      <c r="AH147" s="103" t="s">
        <v>156</v>
      </c>
      <c r="AI147" s="103" t="s">
        <v>156</v>
      </c>
      <c r="AJ147" s="103" t="s">
        <v>701</v>
      </c>
      <c r="AK147" s="103" t="s">
        <v>150</v>
      </c>
      <c r="AL147" s="103" t="s">
        <v>150</v>
      </c>
      <c r="AM147" s="103" t="s">
        <v>699</v>
      </c>
      <c r="AN147" s="103" t="s">
        <v>1372</v>
      </c>
      <c r="AO147" s="103" t="s">
        <v>1076</v>
      </c>
      <c r="AP147" s="156">
        <v>42156</v>
      </c>
      <c r="AQ147" s="103"/>
      <c r="AR147" s="103" t="s">
        <v>870</v>
      </c>
      <c r="AS147" s="103" t="s">
        <v>1077</v>
      </c>
      <c r="AT147" s="103" t="s">
        <v>1078</v>
      </c>
      <c r="AU147" s="103"/>
      <c r="AV147" s="103"/>
    </row>
    <row r="148" spans="1:48">
      <c r="A148" s="103">
        <v>5714</v>
      </c>
      <c r="B148" s="103" t="s">
        <v>1373</v>
      </c>
      <c r="C148" s="103" t="s">
        <v>1067</v>
      </c>
      <c r="D148" s="103" t="s">
        <v>1068</v>
      </c>
      <c r="E148" s="103" t="s">
        <v>1069</v>
      </c>
      <c r="F148" s="156"/>
      <c r="G148" s="103" t="s">
        <v>1070</v>
      </c>
      <c r="H148" s="103"/>
      <c r="I148" s="103"/>
      <c r="J148" s="103"/>
      <c r="K148" s="103"/>
      <c r="L148" s="103" t="s">
        <v>874</v>
      </c>
      <c r="M148" s="103" t="s">
        <v>1071</v>
      </c>
      <c r="N148" s="103" t="s">
        <v>871</v>
      </c>
      <c r="O148" s="103" t="s">
        <v>1072</v>
      </c>
      <c r="P148" s="103" t="s">
        <v>154</v>
      </c>
      <c r="Q148" s="103">
        <v>0</v>
      </c>
      <c r="R148" s="103">
        <v>0</v>
      </c>
      <c r="S148" s="103" t="s">
        <v>175</v>
      </c>
      <c r="T148" s="103"/>
      <c r="U148" s="103" t="b">
        <v>0</v>
      </c>
      <c r="V148" s="103"/>
      <c r="W148" s="103" t="b">
        <v>1</v>
      </c>
      <c r="X148" s="103" t="s">
        <v>863</v>
      </c>
      <c r="Y148" s="103" t="s">
        <v>153</v>
      </c>
      <c r="Z148" s="103" t="s">
        <v>864</v>
      </c>
      <c r="AA148" s="103" t="s">
        <v>1073</v>
      </c>
      <c r="AB148" s="103" t="s">
        <v>865</v>
      </c>
      <c r="AC148" s="103" t="s">
        <v>866</v>
      </c>
      <c r="AD148" s="103" t="str">
        <f>IF(ISNA(MATCH(AM148,'Measure &amp; Standard CostIDs'!$C$5:$C$177,0)),"",AM148)</f>
        <v>CFLscw(24w)</v>
      </c>
      <c r="AE148" s="103" t="str">
        <f>IFERROR(INDEX('Measure &amp; Standard CostIDs'!$S$5:$S$177,MATCH(AM148&amp;AL148,'Measure &amp; Standard CostIDs'!$AB$5:$AB$177,0)),"")</f>
        <v>Std_CFLscw(24w)_60pInc-r0248</v>
      </c>
      <c r="AF148" s="103" t="s">
        <v>1074</v>
      </c>
      <c r="AG148" s="103"/>
      <c r="AH148" s="103" t="s">
        <v>156</v>
      </c>
      <c r="AI148" s="103" t="s">
        <v>156</v>
      </c>
      <c r="AJ148" s="103" t="s">
        <v>704</v>
      </c>
      <c r="AK148" s="103" t="s">
        <v>150</v>
      </c>
      <c r="AL148" s="103" t="s">
        <v>150</v>
      </c>
      <c r="AM148" s="103" t="s">
        <v>702</v>
      </c>
      <c r="AN148" s="103" t="s">
        <v>1374</v>
      </c>
      <c r="AO148" s="103" t="s">
        <v>1076</v>
      </c>
      <c r="AP148" s="156">
        <v>42156</v>
      </c>
      <c r="AQ148" s="103"/>
      <c r="AR148" s="103" t="s">
        <v>870</v>
      </c>
      <c r="AS148" s="103" t="s">
        <v>1077</v>
      </c>
      <c r="AT148" s="103" t="s">
        <v>1078</v>
      </c>
      <c r="AU148" s="103"/>
      <c r="AV148" s="103"/>
    </row>
    <row r="149" spans="1:48">
      <c r="A149" s="103">
        <v>5715</v>
      </c>
      <c r="B149" s="103" t="s">
        <v>1375</v>
      </c>
      <c r="C149" s="103" t="s">
        <v>1067</v>
      </c>
      <c r="D149" s="103" t="s">
        <v>1068</v>
      </c>
      <c r="E149" s="103" t="s">
        <v>1069</v>
      </c>
      <c r="F149" s="156"/>
      <c r="G149" s="103" t="s">
        <v>1070</v>
      </c>
      <c r="H149" s="103"/>
      <c r="I149" s="103"/>
      <c r="J149" s="103"/>
      <c r="K149" s="103"/>
      <c r="L149" s="103" t="s">
        <v>874</v>
      </c>
      <c r="M149" s="103" t="s">
        <v>1071</v>
      </c>
      <c r="N149" s="103" t="s">
        <v>871</v>
      </c>
      <c r="O149" s="103" t="s">
        <v>1072</v>
      </c>
      <c r="P149" s="103" t="s">
        <v>154</v>
      </c>
      <c r="Q149" s="103">
        <v>0</v>
      </c>
      <c r="R149" s="103">
        <v>0</v>
      </c>
      <c r="S149" s="103" t="s">
        <v>175</v>
      </c>
      <c r="T149" s="103"/>
      <c r="U149" s="103" t="b">
        <v>0</v>
      </c>
      <c r="V149" s="103"/>
      <c r="W149" s="103" t="b">
        <v>1</v>
      </c>
      <c r="X149" s="103" t="s">
        <v>863</v>
      </c>
      <c r="Y149" s="103" t="s">
        <v>153</v>
      </c>
      <c r="Z149" s="103" t="s">
        <v>864</v>
      </c>
      <c r="AA149" s="103" t="s">
        <v>1073</v>
      </c>
      <c r="AB149" s="103" t="s">
        <v>865</v>
      </c>
      <c r="AC149" s="103" t="s">
        <v>866</v>
      </c>
      <c r="AD149" s="103" t="str">
        <f>IF(ISNA(MATCH(AM149,'Measure &amp; Standard CostIDs'!$C$5:$C$177,0)),"",AM149)</f>
        <v>CFLscw(25w)</v>
      </c>
      <c r="AE149" s="103" t="str">
        <f>IFERROR(INDEX('Measure &amp; Standard CostIDs'!$S$5:$S$177,MATCH(AM149&amp;AL149,'Measure &amp; Standard CostIDs'!$AB$5:$AB$177,0)),"")</f>
        <v>Std_CFLscw(25w)_60pInc-r0248</v>
      </c>
      <c r="AF149" s="103" t="s">
        <v>1074</v>
      </c>
      <c r="AG149" s="103"/>
      <c r="AH149" s="103" t="s">
        <v>156</v>
      </c>
      <c r="AI149" s="103" t="s">
        <v>156</v>
      </c>
      <c r="AJ149" s="103" t="s">
        <v>707</v>
      </c>
      <c r="AK149" s="103" t="s">
        <v>150</v>
      </c>
      <c r="AL149" s="103" t="s">
        <v>150</v>
      </c>
      <c r="AM149" s="103" t="s">
        <v>705</v>
      </c>
      <c r="AN149" s="103" t="s">
        <v>1376</v>
      </c>
      <c r="AO149" s="103" t="s">
        <v>1076</v>
      </c>
      <c r="AP149" s="156">
        <v>42156</v>
      </c>
      <c r="AQ149" s="103"/>
      <c r="AR149" s="103" t="s">
        <v>870</v>
      </c>
      <c r="AS149" s="103" t="s">
        <v>1077</v>
      </c>
      <c r="AT149" s="103" t="s">
        <v>1078</v>
      </c>
      <c r="AU149" s="103"/>
      <c r="AV149" s="103"/>
    </row>
    <row r="150" spans="1:48">
      <c r="A150" s="103">
        <v>5716</v>
      </c>
      <c r="B150" s="103" t="s">
        <v>1377</v>
      </c>
      <c r="C150" s="103" t="s">
        <v>1067</v>
      </c>
      <c r="D150" s="103" t="s">
        <v>1068</v>
      </c>
      <c r="E150" s="103" t="s">
        <v>1069</v>
      </c>
      <c r="F150" s="156"/>
      <c r="G150" s="103" t="s">
        <v>1070</v>
      </c>
      <c r="H150" s="103"/>
      <c r="I150" s="103"/>
      <c r="J150" s="103"/>
      <c r="K150" s="103"/>
      <c r="L150" s="103" t="s">
        <v>874</v>
      </c>
      <c r="M150" s="103" t="s">
        <v>1071</v>
      </c>
      <c r="N150" s="103" t="s">
        <v>871</v>
      </c>
      <c r="O150" s="103" t="s">
        <v>1072</v>
      </c>
      <c r="P150" s="103" t="s">
        <v>154</v>
      </c>
      <c r="Q150" s="103">
        <v>0</v>
      </c>
      <c r="R150" s="103">
        <v>0</v>
      </c>
      <c r="S150" s="103" t="s">
        <v>175</v>
      </c>
      <c r="T150" s="103"/>
      <c r="U150" s="103" t="b">
        <v>0</v>
      </c>
      <c r="V150" s="103"/>
      <c r="W150" s="103" t="b">
        <v>1</v>
      </c>
      <c r="X150" s="103" t="s">
        <v>863</v>
      </c>
      <c r="Y150" s="103" t="s">
        <v>153</v>
      </c>
      <c r="Z150" s="103" t="s">
        <v>864</v>
      </c>
      <c r="AA150" s="103" t="s">
        <v>1073</v>
      </c>
      <c r="AB150" s="103" t="s">
        <v>865</v>
      </c>
      <c r="AC150" s="103" t="s">
        <v>866</v>
      </c>
      <c r="AD150" s="103" t="str">
        <f>IF(ISNA(MATCH(AM150,'Measure &amp; Standard CostIDs'!$C$5:$C$177,0)),"",AM150)</f>
        <v>CFLscw(26w)</v>
      </c>
      <c r="AE150" s="103" t="str">
        <f>IFERROR(INDEX('Measure &amp; Standard CostIDs'!$S$5:$S$177,MATCH(AM150&amp;AL150,'Measure &amp; Standard CostIDs'!$AB$5:$AB$177,0)),"")</f>
        <v>Std_CFLscw(26w)_60pInc-r0248</v>
      </c>
      <c r="AF150" s="103" t="s">
        <v>1074</v>
      </c>
      <c r="AG150" s="103"/>
      <c r="AH150" s="103" t="s">
        <v>156</v>
      </c>
      <c r="AI150" s="103" t="s">
        <v>156</v>
      </c>
      <c r="AJ150" s="103" t="s">
        <v>710</v>
      </c>
      <c r="AK150" s="103" t="s">
        <v>150</v>
      </c>
      <c r="AL150" s="103" t="s">
        <v>150</v>
      </c>
      <c r="AM150" s="103" t="s">
        <v>708</v>
      </c>
      <c r="AN150" s="103" t="s">
        <v>1378</v>
      </c>
      <c r="AO150" s="103" t="s">
        <v>1076</v>
      </c>
      <c r="AP150" s="156">
        <v>42156</v>
      </c>
      <c r="AQ150" s="103"/>
      <c r="AR150" s="103" t="s">
        <v>870</v>
      </c>
      <c r="AS150" s="103" t="s">
        <v>1077</v>
      </c>
      <c r="AT150" s="103" t="s">
        <v>1078</v>
      </c>
      <c r="AU150" s="103"/>
      <c r="AV150" s="103"/>
    </row>
    <row r="151" spans="1:48">
      <c r="A151" s="103">
        <v>5717</v>
      </c>
      <c r="B151" s="103" t="s">
        <v>1379</v>
      </c>
      <c r="C151" s="103" t="s">
        <v>1067</v>
      </c>
      <c r="D151" s="103" t="s">
        <v>1068</v>
      </c>
      <c r="E151" s="103" t="s">
        <v>1069</v>
      </c>
      <c r="F151" s="156"/>
      <c r="G151" s="103" t="s">
        <v>1070</v>
      </c>
      <c r="H151" s="103"/>
      <c r="I151" s="103"/>
      <c r="J151" s="103"/>
      <c r="K151" s="103"/>
      <c r="L151" s="103" t="s">
        <v>874</v>
      </c>
      <c r="M151" s="103" t="s">
        <v>1071</v>
      </c>
      <c r="N151" s="103" t="s">
        <v>871</v>
      </c>
      <c r="O151" s="103" t="s">
        <v>1072</v>
      </c>
      <c r="P151" s="103" t="s">
        <v>154</v>
      </c>
      <c r="Q151" s="103">
        <v>0</v>
      </c>
      <c r="R151" s="103">
        <v>0</v>
      </c>
      <c r="S151" s="103" t="s">
        <v>175</v>
      </c>
      <c r="T151" s="103"/>
      <c r="U151" s="103" t="b">
        <v>0</v>
      </c>
      <c r="V151" s="103"/>
      <c r="W151" s="103" t="b">
        <v>1</v>
      </c>
      <c r="X151" s="103" t="s">
        <v>863</v>
      </c>
      <c r="Y151" s="103" t="s">
        <v>153</v>
      </c>
      <c r="Z151" s="103" t="s">
        <v>864</v>
      </c>
      <c r="AA151" s="103" t="s">
        <v>1073</v>
      </c>
      <c r="AB151" s="103" t="s">
        <v>865</v>
      </c>
      <c r="AC151" s="103" t="s">
        <v>866</v>
      </c>
      <c r="AD151" s="103" t="str">
        <f>IF(ISNA(MATCH(AM151,'Measure &amp; Standard CostIDs'!$C$5:$C$177,0)),"",AM151)</f>
        <v>CFLscw(27w)</v>
      </c>
      <c r="AE151" s="103" t="str">
        <f>IFERROR(INDEX('Measure &amp; Standard CostIDs'!$S$5:$S$177,MATCH(AM151&amp;AL151,'Measure &amp; Standard CostIDs'!$AB$5:$AB$177,0)),"")</f>
        <v>Std_CFLscw(27w)_60pInc-r0248</v>
      </c>
      <c r="AF151" s="103" t="s">
        <v>1074</v>
      </c>
      <c r="AG151" s="103"/>
      <c r="AH151" s="103" t="s">
        <v>156</v>
      </c>
      <c r="AI151" s="103" t="s">
        <v>156</v>
      </c>
      <c r="AJ151" s="103" t="s">
        <v>713</v>
      </c>
      <c r="AK151" s="103" t="s">
        <v>150</v>
      </c>
      <c r="AL151" s="103" t="s">
        <v>150</v>
      </c>
      <c r="AM151" s="103" t="s">
        <v>711</v>
      </c>
      <c r="AN151" s="103" t="s">
        <v>1380</v>
      </c>
      <c r="AO151" s="103" t="s">
        <v>1076</v>
      </c>
      <c r="AP151" s="156">
        <v>42156</v>
      </c>
      <c r="AQ151" s="103"/>
      <c r="AR151" s="103" t="s">
        <v>870</v>
      </c>
      <c r="AS151" s="103" t="s">
        <v>1077</v>
      </c>
      <c r="AT151" s="103" t="s">
        <v>1078</v>
      </c>
      <c r="AU151" s="103"/>
      <c r="AV151" s="103"/>
    </row>
    <row r="152" spans="1:48">
      <c r="A152" s="103">
        <v>5718</v>
      </c>
      <c r="B152" s="103" t="s">
        <v>1381</v>
      </c>
      <c r="C152" s="103" t="s">
        <v>1067</v>
      </c>
      <c r="D152" s="103" t="s">
        <v>1068</v>
      </c>
      <c r="E152" s="103" t="s">
        <v>1069</v>
      </c>
      <c r="F152" s="156"/>
      <c r="G152" s="103" t="s">
        <v>1070</v>
      </c>
      <c r="H152" s="103"/>
      <c r="I152" s="103"/>
      <c r="J152" s="103"/>
      <c r="K152" s="103"/>
      <c r="L152" s="103" t="s">
        <v>874</v>
      </c>
      <c r="M152" s="103" t="s">
        <v>1071</v>
      </c>
      <c r="N152" s="103" t="s">
        <v>871</v>
      </c>
      <c r="O152" s="103" t="s">
        <v>1072</v>
      </c>
      <c r="P152" s="103" t="s">
        <v>154</v>
      </c>
      <c r="Q152" s="103">
        <v>0</v>
      </c>
      <c r="R152" s="103">
        <v>0</v>
      </c>
      <c r="S152" s="103" t="s">
        <v>175</v>
      </c>
      <c r="T152" s="103"/>
      <c r="U152" s="103" t="b">
        <v>0</v>
      </c>
      <c r="V152" s="103"/>
      <c r="W152" s="103" t="b">
        <v>1</v>
      </c>
      <c r="X152" s="103" t="s">
        <v>863</v>
      </c>
      <c r="Y152" s="103" t="s">
        <v>153</v>
      </c>
      <c r="Z152" s="103" t="s">
        <v>864</v>
      </c>
      <c r="AA152" s="103" t="s">
        <v>1073</v>
      </c>
      <c r="AB152" s="103" t="s">
        <v>865</v>
      </c>
      <c r="AC152" s="103" t="s">
        <v>866</v>
      </c>
      <c r="AD152" s="103" t="str">
        <f>IF(ISNA(MATCH(AM152,'Measure &amp; Standard CostIDs'!$C$5:$C$177,0)),"",AM152)</f>
        <v>CFLscw(28w)</v>
      </c>
      <c r="AE152" s="103" t="str">
        <f>IFERROR(INDEX('Measure &amp; Standard CostIDs'!$S$5:$S$177,MATCH(AM152&amp;AL152,'Measure &amp; Standard CostIDs'!$AB$5:$AB$177,0)),"")</f>
        <v>Std_CFLscw(28w)_60pInc-r0248</v>
      </c>
      <c r="AF152" s="103" t="s">
        <v>1074</v>
      </c>
      <c r="AG152" s="103"/>
      <c r="AH152" s="103" t="s">
        <v>156</v>
      </c>
      <c r="AI152" s="103" t="s">
        <v>156</v>
      </c>
      <c r="AJ152" s="103" t="s">
        <v>716</v>
      </c>
      <c r="AK152" s="103" t="s">
        <v>150</v>
      </c>
      <c r="AL152" s="103" t="s">
        <v>150</v>
      </c>
      <c r="AM152" s="103" t="s">
        <v>714</v>
      </c>
      <c r="AN152" s="103" t="s">
        <v>1382</v>
      </c>
      <c r="AO152" s="103" t="s">
        <v>1076</v>
      </c>
      <c r="AP152" s="156">
        <v>42156</v>
      </c>
      <c r="AQ152" s="103"/>
      <c r="AR152" s="103" t="s">
        <v>870</v>
      </c>
      <c r="AS152" s="103" t="s">
        <v>1077</v>
      </c>
      <c r="AT152" s="103" t="s">
        <v>1078</v>
      </c>
      <c r="AU152" s="103"/>
      <c r="AV152" s="103"/>
    </row>
    <row r="153" spans="1:48">
      <c r="A153" s="103">
        <v>5690</v>
      </c>
      <c r="B153" s="103" t="s">
        <v>1383</v>
      </c>
      <c r="C153" s="103" t="s">
        <v>1067</v>
      </c>
      <c r="D153" s="103" t="s">
        <v>1068</v>
      </c>
      <c r="E153" s="103" t="s">
        <v>1069</v>
      </c>
      <c r="F153" s="156"/>
      <c r="G153" s="103" t="s">
        <v>1281</v>
      </c>
      <c r="H153" s="103"/>
      <c r="I153" s="103"/>
      <c r="J153" s="103"/>
      <c r="K153" s="103"/>
      <c r="L153" s="103" t="s">
        <v>1282</v>
      </c>
      <c r="M153" s="103" t="s">
        <v>1071</v>
      </c>
      <c r="N153" s="103" t="s">
        <v>871</v>
      </c>
      <c r="O153" s="103" t="s">
        <v>1072</v>
      </c>
      <c r="P153" s="103" t="s">
        <v>154</v>
      </c>
      <c r="Q153" s="103">
        <v>0</v>
      </c>
      <c r="R153" s="103">
        <v>0</v>
      </c>
      <c r="S153" s="103" t="s">
        <v>175</v>
      </c>
      <c r="T153" s="103"/>
      <c r="U153" s="103" t="b">
        <v>0</v>
      </c>
      <c r="V153" s="103"/>
      <c r="W153" s="103" t="b">
        <v>1</v>
      </c>
      <c r="X153" s="103" t="s">
        <v>863</v>
      </c>
      <c r="Y153" s="103" t="s">
        <v>153</v>
      </c>
      <c r="Z153" s="103" t="s">
        <v>864</v>
      </c>
      <c r="AA153" s="103" t="s">
        <v>1073</v>
      </c>
      <c r="AB153" s="103" t="s">
        <v>865</v>
      </c>
      <c r="AC153" s="103" t="s">
        <v>866</v>
      </c>
      <c r="AD153" s="103" t="str">
        <f>IF(ISNA(MATCH(AM153,'Measure &amp; Standard CostIDs'!$C$5:$C$177,0)),"",AM153)</f>
        <v>CFLscw(29w)</v>
      </c>
      <c r="AE153" s="103" t="str">
        <f>IFERROR(INDEX('Measure &amp; Standard CostIDs'!$S$5:$S$177,MATCH(AM153&amp;AL153,'Measure &amp; Standard CostIDs'!$AB$5:$AB$177,0)),"")</f>
        <v>Std_CFLscw(29w)_60pInc-r0248</v>
      </c>
      <c r="AF153" s="103" t="s">
        <v>1074</v>
      </c>
      <c r="AG153" s="103" t="s">
        <v>1192</v>
      </c>
      <c r="AH153" s="103" t="s">
        <v>156</v>
      </c>
      <c r="AI153" s="103" t="s">
        <v>156</v>
      </c>
      <c r="AJ153" s="103" t="s">
        <v>719</v>
      </c>
      <c r="AK153" s="103" t="s">
        <v>150</v>
      </c>
      <c r="AL153" s="103" t="s">
        <v>150</v>
      </c>
      <c r="AM153" s="103" t="s">
        <v>717</v>
      </c>
      <c r="AN153" s="103" t="s">
        <v>1384</v>
      </c>
      <c r="AO153" s="103" t="s">
        <v>1076</v>
      </c>
      <c r="AP153" s="156">
        <v>42156</v>
      </c>
      <c r="AQ153" s="103"/>
      <c r="AR153" s="103" t="s">
        <v>870</v>
      </c>
      <c r="AS153" s="103" t="s">
        <v>1077</v>
      </c>
      <c r="AT153" s="103" t="s">
        <v>1078</v>
      </c>
      <c r="AU153" s="103"/>
      <c r="AV153" s="103"/>
    </row>
    <row r="154" spans="1:48">
      <c r="A154" s="103">
        <v>5691</v>
      </c>
      <c r="B154" s="103" t="s">
        <v>1385</v>
      </c>
      <c r="C154" s="103" t="s">
        <v>1067</v>
      </c>
      <c r="D154" s="103" t="s">
        <v>1068</v>
      </c>
      <c r="E154" s="103" t="s">
        <v>1069</v>
      </c>
      <c r="F154" s="156"/>
      <c r="G154" s="103" t="s">
        <v>1281</v>
      </c>
      <c r="H154" s="103"/>
      <c r="I154" s="103"/>
      <c r="J154" s="103"/>
      <c r="K154" s="103"/>
      <c r="L154" s="103" t="s">
        <v>1282</v>
      </c>
      <c r="M154" s="103" t="s">
        <v>1071</v>
      </c>
      <c r="N154" s="103" t="s">
        <v>871</v>
      </c>
      <c r="O154" s="103" t="s">
        <v>1072</v>
      </c>
      <c r="P154" s="103" t="s">
        <v>154</v>
      </c>
      <c r="Q154" s="103">
        <v>0</v>
      </c>
      <c r="R154" s="103">
        <v>0</v>
      </c>
      <c r="S154" s="103" t="s">
        <v>175</v>
      </c>
      <c r="T154" s="103"/>
      <c r="U154" s="103" t="b">
        <v>0</v>
      </c>
      <c r="V154" s="103"/>
      <c r="W154" s="103" t="b">
        <v>1</v>
      </c>
      <c r="X154" s="103" t="s">
        <v>863</v>
      </c>
      <c r="Y154" s="103" t="s">
        <v>153</v>
      </c>
      <c r="Z154" s="103" t="s">
        <v>864</v>
      </c>
      <c r="AA154" s="103" t="s">
        <v>1073</v>
      </c>
      <c r="AB154" s="103" t="s">
        <v>865</v>
      </c>
      <c r="AC154" s="103" t="s">
        <v>866</v>
      </c>
      <c r="AD154" s="103" t="str">
        <f>IF(ISNA(MATCH(AM154,'Measure &amp; Standard CostIDs'!$C$5:$C$177,0)),"",AM154)</f>
        <v>CFLscw(3w)</v>
      </c>
      <c r="AE154" s="103" t="str">
        <f>IFERROR(INDEX('Measure &amp; Standard CostIDs'!$S$5:$S$177,MATCH(AM154&amp;AL154,'Measure &amp; Standard CostIDs'!$AB$5:$AB$177,0)),"")</f>
        <v>Std_CFLscw(3w)_60pInc-r0248</v>
      </c>
      <c r="AF154" s="103" t="s">
        <v>1074</v>
      </c>
      <c r="AG154" s="103" t="s">
        <v>1192</v>
      </c>
      <c r="AH154" s="103" t="s">
        <v>156</v>
      </c>
      <c r="AI154" s="103" t="s">
        <v>156</v>
      </c>
      <c r="AJ154" s="103" t="s">
        <v>739</v>
      </c>
      <c r="AK154" s="103" t="s">
        <v>150</v>
      </c>
      <c r="AL154" s="103" t="s">
        <v>150</v>
      </c>
      <c r="AM154" s="103" t="s">
        <v>737</v>
      </c>
      <c r="AN154" s="103" t="s">
        <v>1386</v>
      </c>
      <c r="AO154" s="103" t="s">
        <v>1076</v>
      </c>
      <c r="AP154" s="156">
        <v>42156</v>
      </c>
      <c r="AQ154" s="103"/>
      <c r="AR154" s="103" t="s">
        <v>870</v>
      </c>
      <c r="AS154" s="103" t="s">
        <v>1077</v>
      </c>
      <c r="AT154" s="103" t="s">
        <v>1078</v>
      </c>
      <c r="AU154" s="103"/>
      <c r="AV154" s="103"/>
    </row>
    <row r="155" spans="1:48">
      <c r="A155" s="103">
        <v>5719</v>
      </c>
      <c r="B155" s="103" t="s">
        <v>1387</v>
      </c>
      <c r="C155" s="103" t="s">
        <v>1067</v>
      </c>
      <c r="D155" s="103" t="s">
        <v>1068</v>
      </c>
      <c r="E155" s="103" t="s">
        <v>1069</v>
      </c>
      <c r="F155" s="156"/>
      <c r="G155" s="103" t="s">
        <v>1070</v>
      </c>
      <c r="H155" s="103"/>
      <c r="I155" s="103"/>
      <c r="J155" s="103"/>
      <c r="K155" s="103"/>
      <c r="L155" s="103" t="s">
        <v>874</v>
      </c>
      <c r="M155" s="103" t="s">
        <v>1071</v>
      </c>
      <c r="N155" s="103" t="s">
        <v>871</v>
      </c>
      <c r="O155" s="103" t="s">
        <v>1072</v>
      </c>
      <c r="P155" s="103" t="s">
        <v>154</v>
      </c>
      <c r="Q155" s="103">
        <v>0</v>
      </c>
      <c r="R155" s="103">
        <v>0</v>
      </c>
      <c r="S155" s="103" t="s">
        <v>175</v>
      </c>
      <c r="T155" s="103"/>
      <c r="U155" s="103" t="b">
        <v>0</v>
      </c>
      <c r="V155" s="103"/>
      <c r="W155" s="103" t="b">
        <v>1</v>
      </c>
      <c r="X155" s="103" t="s">
        <v>863</v>
      </c>
      <c r="Y155" s="103" t="s">
        <v>153</v>
      </c>
      <c r="Z155" s="103" t="s">
        <v>864</v>
      </c>
      <c r="AA155" s="103" t="s">
        <v>1073</v>
      </c>
      <c r="AB155" s="103" t="s">
        <v>865</v>
      </c>
      <c r="AC155" s="103" t="s">
        <v>866</v>
      </c>
      <c r="AD155" s="103" t="str">
        <f>IF(ISNA(MATCH(AM155,'Measure &amp; Standard CostIDs'!$C$5:$C$177,0)),"",AM155)</f>
        <v>CFLscw(30w)</v>
      </c>
      <c r="AE155" s="103" t="str">
        <f>IFERROR(INDEX('Measure &amp; Standard CostIDs'!$S$5:$S$177,MATCH(AM155&amp;AL155,'Measure &amp; Standard CostIDs'!$AB$5:$AB$177,0)),"")</f>
        <v>Std_CFLscw(30w)_60pInc-r0248</v>
      </c>
      <c r="AF155" s="103" t="s">
        <v>1074</v>
      </c>
      <c r="AG155" s="103"/>
      <c r="AH155" s="103" t="s">
        <v>156</v>
      </c>
      <c r="AI155" s="103" t="s">
        <v>156</v>
      </c>
      <c r="AJ155" s="103" t="s">
        <v>722</v>
      </c>
      <c r="AK155" s="103" t="s">
        <v>150</v>
      </c>
      <c r="AL155" s="103" t="s">
        <v>150</v>
      </c>
      <c r="AM155" s="103" t="s">
        <v>720</v>
      </c>
      <c r="AN155" s="103" t="s">
        <v>1388</v>
      </c>
      <c r="AO155" s="103" t="s">
        <v>1076</v>
      </c>
      <c r="AP155" s="156">
        <v>42156</v>
      </c>
      <c r="AQ155" s="103"/>
      <c r="AR155" s="103" t="s">
        <v>870</v>
      </c>
      <c r="AS155" s="103" t="s">
        <v>1077</v>
      </c>
      <c r="AT155" s="103" t="s">
        <v>1078</v>
      </c>
      <c r="AU155" s="103"/>
      <c r="AV155" s="103"/>
    </row>
    <row r="156" spans="1:48">
      <c r="A156" s="103">
        <v>5850</v>
      </c>
      <c r="B156" s="103" t="s">
        <v>1389</v>
      </c>
      <c r="C156" s="103" t="s">
        <v>1067</v>
      </c>
      <c r="D156" s="103" t="s">
        <v>151</v>
      </c>
      <c r="E156" s="103" t="s">
        <v>1114</v>
      </c>
      <c r="F156" s="156"/>
      <c r="G156" s="103" t="s">
        <v>1070</v>
      </c>
      <c r="H156" s="103"/>
      <c r="I156" s="103"/>
      <c r="J156" s="103"/>
      <c r="K156" s="103"/>
      <c r="L156" s="103" t="s">
        <v>874</v>
      </c>
      <c r="M156" s="103" t="s">
        <v>1071</v>
      </c>
      <c r="N156" s="103" t="s">
        <v>1115</v>
      </c>
      <c r="O156" s="103" t="s">
        <v>1072</v>
      </c>
      <c r="P156" s="103" t="s">
        <v>154</v>
      </c>
      <c r="Q156" s="103">
        <v>0</v>
      </c>
      <c r="R156" s="103">
        <v>0</v>
      </c>
      <c r="S156" s="103" t="s">
        <v>175</v>
      </c>
      <c r="T156" s="103"/>
      <c r="U156" s="103" t="b">
        <v>0</v>
      </c>
      <c r="V156" s="103"/>
      <c r="W156" s="103" t="b">
        <v>1</v>
      </c>
      <c r="X156" s="103" t="s">
        <v>863</v>
      </c>
      <c r="Y156" s="103" t="s">
        <v>153</v>
      </c>
      <c r="Z156" s="103" t="s">
        <v>864</v>
      </c>
      <c r="AA156" s="103" t="s">
        <v>1073</v>
      </c>
      <c r="AB156" s="103" t="s">
        <v>865</v>
      </c>
      <c r="AC156" s="103" t="s">
        <v>866</v>
      </c>
      <c r="AD156" s="103" t="str">
        <f>IF(ISNA(MATCH(AM156,'Measure &amp; Standard CostIDs'!$C$5:$C$177,0)),"",AM156)</f>
        <v>CFLscw(31w)</v>
      </c>
      <c r="AE156" s="103" t="str">
        <f>IFERROR(INDEX('Measure &amp; Standard CostIDs'!$S$5:$S$177,MATCH(AM156&amp;AL156,'Measure &amp; Standard CostIDs'!$AB$5:$AB$177,0)),"")</f>
        <v>Std_CFLscw(31w)_60pInc-r0248</v>
      </c>
      <c r="AF156" s="103" t="s">
        <v>1074</v>
      </c>
      <c r="AG156" s="103"/>
      <c r="AH156" s="103" t="s">
        <v>156</v>
      </c>
      <c r="AI156" s="103" t="s">
        <v>156</v>
      </c>
      <c r="AJ156" s="103" t="s">
        <v>725</v>
      </c>
      <c r="AK156" s="103" t="s">
        <v>150</v>
      </c>
      <c r="AL156" s="103" t="s">
        <v>150</v>
      </c>
      <c r="AM156" s="103" t="s">
        <v>723</v>
      </c>
      <c r="AN156" s="103" t="s">
        <v>1390</v>
      </c>
      <c r="AO156" s="103" t="s">
        <v>1117</v>
      </c>
      <c r="AP156" s="156">
        <v>42370</v>
      </c>
      <c r="AQ156" s="103"/>
      <c r="AR156" s="103" t="s">
        <v>870</v>
      </c>
      <c r="AS156" s="103" t="s">
        <v>1118</v>
      </c>
      <c r="AT156" s="103" t="s">
        <v>1078</v>
      </c>
      <c r="AU156" s="103"/>
      <c r="AV156" s="103"/>
    </row>
    <row r="157" spans="1:48">
      <c r="A157" s="103">
        <v>5844</v>
      </c>
      <c r="B157" s="103" t="s">
        <v>1391</v>
      </c>
      <c r="C157" s="103" t="s">
        <v>1067</v>
      </c>
      <c r="D157" s="103" t="s">
        <v>151</v>
      </c>
      <c r="E157" s="103" t="s">
        <v>1114</v>
      </c>
      <c r="F157" s="156"/>
      <c r="G157" s="103" t="s">
        <v>1281</v>
      </c>
      <c r="H157" s="103"/>
      <c r="I157" s="103"/>
      <c r="J157" s="103"/>
      <c r="K157" s="103"/>
      <c r="L157" s="103" t="s">
        <v>1282</v>
      </c>
      <c r="M157" s="103" t="s">
        <v>1071</v>
      </c>
      <c r="N157" s="103" t="s">
        <v>871</v>
      </c>
      <c r="O157" s="103" t="s">
        <v>1072</v>
      </c>
      <c r="P157" s="103" t="s">
        <v>154</v>
      </c>
      <c r="Q157" s="103">
        <v>0</v>
      </c>
      <c r="R157" s="103">
        <v>0</v>
      </c>
      <c r="S157" s="103" t="s">
        <v>175</v>
      </c>
      <c r="T157" s="103"/>
      <c r="U157" s="103" t="b">
        <v>0</v>
      </c>
      <c r="V157" s="103"/>
      <c r="W157" s="103" t="b">
        <v>1</v>
      </c>
      <c r="X157" s="103" t="s">
        <v>863</v>
      </c>
      <c r="Y157" s="103" t="s">
        <v>153</v>
      </c>
      <c r="Z157" s="103" t="s">
        <v>864</v>
      </c>
      <c r="AA157" s="103" t="s">
        <v>1073</v>
      </c>
      <c r="AB157" s="103" t="s">
        <v>865</v>
      </c>
      <c r="AC157" s="103" t="s">
        <v>866</v>
      </c>
      <c r="AD157" s="103" t="str">
        <f>IF(ISNA(MATCH(AM157,'Measure &amp; Standard CostIDs'!$C$5:$C$177,0)),"",AM157)</f>
        <v/>
      </c>
      <c r="AE157" s="103" t="str">
        <f>IFERROR(INDEX('Measure &amp; Standard CostIDs'!$S$5:$S$177,MATCH(AM157&amp;AL157,'Measure &amp; Standard CostIDs'!$AB$5:$AB$177,0)),"")</f>
        <v/>
      </c>
      <c r="AF157" s="103" t="s">
        <v>1074</v>
      </c>
      <c r="AG157" s="103" t="s">
        <v>1192</v>
      </c>
      <c r="AH157" s="103" t="s">
        <v>163</v>
      </c>
      <c r="AI157" s="103" t="s">
        <v>163</v>
      </c>
      <c r="AJ157" s="103" t="s">
        <v>602</v>
      </c>
      <c r="AK157" s="103" t="s">
        <v>161</v>
      </c>
      <c r="AL157" s="103" t="s">
        <v>161</v>
      </c>
      <c r="AM157" s="103" t="s">
        <v>600</v>
      </c>
      <c r="AN157" s="103" t="s">
        <v>1392</v>
      </c>
      <c r="AO157" s="103" t="s">
        <v>1117</v>
      </c>
      <c r="AP157" s="156">
        <v>42370</v>
      </c>
      <c r="AQ157" s="103"/>
      <c r="AR157" s="103" t="s">
        <v>870</v>
      </c>
      <c r="AS157" s="103" t="s">
        <v>1118</v>
      </c>
      <c r="AT157" s="103" t="s">
        <v>1078</v>
      </c>
      <c r="AU157" s="103"/>
      <c r="AV157" s="103"/>
    </row>
    <row r="158" spans="1:48">
      <c r="A158" s="103">
        <v>5851</v>
      </c>
      <c r="B158" s="103" t="s">
        <v>1393</v>
      </c>
      <c r="C158" s="103" t="s">
        <v>1067</v>
      </c>
      <c r="D158" s="103" t="s">
        <v>151</v>
      </c>
      <c r="E158" s="103" t="s">
        <v>1114</v>
      </c>
      <c r="F158" s="156"/>
      <c r="G158" s="103" t="s">
        <v>1070</v>
      </c>
      <c r="H158" s="103"/>
      <c r="I158" s="103"/>
      <c r="J158" s="103"/>
      <c r="K158" s="103"/>
      <c r="L158" s="103" t="s">
        <v>874</v>
      </c>
      <c r="M158" s="103" t="s">
        <v>1071</v>
      </c>
      <c r="N158" s="103" t="s">
        <v>1115</v>
      </c>
      <c r="O158" s="103" t="s">
        <v>1072</v>
      </c>
      <c r="P158" s="103" t="s">
        <v>154</v>
      </c>
      <c r="Q158" s="103">
        <v>0</v>
      </c>
      <c r="R158" s="103">
        <v>0</v>
      </c>
      <c r="S158" s="103" t="s">
        <v>175</v>
      </c>
      <c r="T158" s="103"/>
      <c r="U158" s="103" t="b">
        <v>0</v>
      </c>
      <c r="V158" s="103"/>
      <c r="W158" s="103" t="b">
        <v>1</v>
      </c>
      <c r="X158" s="103" t="s">
        <v>863</v>
      </c>
      <c r="Y158" s="103" t="s">
        <v>153</v>
      </c>
      <c r="Z158" s="103" t="s">
        <v>864</v>
      </c>
      <c r="AA158" s="103" t="s">
        <v>1073</v>
      </c>
      <c r="AB158" s="103" t="s">
        <v>865</v>
      </c>
      <c r="AC158" s="103" t="s">
        <v>866</v>
      </c>
      <c r="AD158" s="103" t="str">
        <f>IF(ISNA(MATCH(AM158,'Measure &amp; Standard CostIDs'!$C$5:$C$177,0)),"",AM158)</f>
        <v>CFLscw(32w)</v>
      </c>
      <c r="AE158" s="103" t="str">
        <f>IFERROR(INDEX('Measure &amp; Standard CostIDs'!$S$5:$S$177,MATCH(AM158&amp;AL158,'Measure &amp; Standard CostIDs'!$AB$5:$AB$177,0)),"")</f>
        <v>Std_CFLscw(32w)_60pInc-r0248</v>
      </c>
      <c r="AF158" s="103" t="s">
        <v>1074</v>
      </c>
      <c r="AG158" s="103"/>
      <c r="AH158" s="103" t="s">
        <v>156</v>
      </c>
      <c r="AI158" s="103" t="s">
        <v>156</v>
      </c>
      <c r="AJ158" s="103" t="s">
        <v>728</v>
      </c>
      <c r="AK158" s="103" t="s">
        <v>150</v>
      </c>
      <c r="AL158" s="103" t="s">
        <v>150</v>
      </c>
      <c r="AM158" s="103" t="s">
        <v>726</v>
      </c>
      <c r="AN158" s="103" t="s">
        <v>1394</v>
      </c>
      <c r="AO158" s="103" t="s">
        <v>1117</v>
      </c>
      <c r="AP158" s="156">
        <v>42370</v>
      </c>
      <c r="AQ158" s="103"/>
      <c r="AR158" s="103" t="s">
        <v>870</v>
      </c>
      <c r="AS158" s="103" t="s">
        <v>1118</v>
      </c>
      <c r="AT158" s="103" t="s">
        <v>1078</v>
      </c>
      <c r="AU158" s="103"/>
      <c r="AV158" s="103"/>
    </row>
    <row r="159" spans="1:48">
      <c r="A159" s="103">
        <v>5852</v>
      </c>
      <c r="B159" s="103" t="s">
        <v>1395</v>
      </c>
      <c r="C159" s="103" t="s">
        <v>1067</v>
      </c>
      <c r="D159" s="103" t="s">
        <v>151</v>
      </c>
      <c r="E159" s="103" t="s">
        <v>1114</v>
      </c>
      <c r="F159" s="156"/>
      <c r="G159" s="103" t="s">
        <v>1070</v>
      </c>
      <c r="H159" s="103"/>
      <c r="I159" s="103"/>
      <c r="J159" s="103"/>
      <c r="K159" s="103"/>
      <c r="L159" s="103" t="s">
        <v>874</v>
      </c>
      <c r="M159" s="103" t="s">
        <v>1071</v>
      </c>
      <c r="N159" s="103" t="s">
        <v>1115</v>
      </c>
      <c r="O159" s="103" t="s">
        <v>1072</v>
      </c>
      <c r="P159" s="103" t="s">
        <v>154</v>
      </c>
      <c r="Q159" s="103">
        <v>0</v>
      </c>
      <c r="R159" s="103">
        <v>0</v>
      </c>
      <c r="S159" s="103" t="s">
        <v>175</v>
      </c>
      <c r="T159" s="103"/>
      <c r="U159" s="103" t="b">
        <v>0</v>
      </c>
      <c r="V159" s="103"/>
      <c r="W159" s="103" t="b">
        <v>1</v>
      </c>
      <c r="X159" s="103" t="s">
        <v>863</v>
      </c>
      <c r="Y159" s="103" t="s">
        <v>153</v>
      </c>
      <c r="Z159" s="103" t="s">
        <v>864</v>
      </c>
      <c r="AA159" s="103" t="s">
        <v>1073</v>
      </c>
      <c r="AB159" s="103" t="s">
        <v>865</v>
      </c>
      <c r="AC159" s="103" t="s">
        <v>866</v>
      </c>
      <c r="AD159" s="103" t="str">
        <f>IF(ISNA(MATCH(AM159,'Measure &amp; Standard CostIDs'!$C$5:$C$177,0)),"",AM159)</f>
        <v>CFLscw(36w)</v>
      </c>
      <c r="AE159" s="103" t="str">
        <f>IFERROR(INDEX('Measure &amp; Standard CostIDs'!$S$5:$S$177,MATCH(AM159&amp;AL159,'Measure &amp; Standard CostIDs'!$AB$5:$AB$177,0)),"")</f>
        <v>Std_CFLscw(36w)_60pInc-r0248</v>
      </c>
      <c r="AF159" s="103" t="s">
        <v>1074</v>
      </c>
      <c r="AG159" s="103"/>
      <c r="AH159" s="103" t="s">
        <v>156</v>
      </c>
      <c r="AI159" s="103" t="s">
        <v>156</v>
      </c>
      <c r="AJ159" s="103" t="s">
        <v>732</v>
      </c>
      <c r="AK159" s="103" t="s">
        <v>150</v>
      </c>
      <c r="AL159" s="103" t="s">
        <v>150</v>
      </c>
      <c r="AM159" s="103" t="s">
        <v>731</v>
      </c>
      <c r="AN159" s="103" t="s">
        <v>1396</v>
      </c>
      <c r="AO159" s="103" t="s">
        <v>1117</v>
      </c>
      <c r="AP159" s="156">
        <v>42370</v>
      </c>
      <c r="AQ159" s="103"/>
      <c r="AR159" s="103" t="s">
        <v>870</v>
      </c>
      <c r="AS159" s="103" t="s">
        <v>1118</v>
      </c>
      <c r="AT159" s="103" t="s">
        <v>1078</v>
      </c>
      <c r="AU159" s="103"/>
      <c r="AV159" s="103"/>
    </row>
    <row r="160" spans="1:48">
      <c r="A160" s="103">
        <v>5720</v>
      </c>
      <c r="B160" s="103" t="s">
        <v>1397</v>
      </c>
      <c r="C160" s="103" t="s">
        <v>1067</v>
      </c>
      <c r="D160" s="103" t="s">
        <v>1068</v>
      </c>
      <c r="E160" s="103" t="s">
        <v>1069</v>
      </c>
      <c r="F160" s="156"/>
      <c r="G160" s="103" t="s">
        <v>1070</v>
      </c>
      <c r="H160" s="103"/>
      <c r="I160" s="103"/>
      <c r="J160" s="103"/>
      <c r="K160" s="103"/>
      <c r="L160" s="103" t="s">
        <v>874</v>
      </c>
      <c r="M160" s="103" t="s">
        <v>1071</v>
      </c>
      <c r="N160" s="103" t="s">
        <v>1115</v>
      </c>
      <c r="O160" s="103" t="s">
        <v>1072</v>
      </c>
      <c r="P160" s="103" t="s">
        <v>154</v>
      </c>
      <c r="Q160" s="103">
        <v>0</v>
      </c>
      <c r="R160" s="103">
        <v>0</v>
      </c>
      <c r="S160" s="103" t="s">
        <v>175</v>
      </c>
      <c r="T160" s="103"/>
      <c r="U160" s="103" t="b">
        <v>0</v>
      </c>
      <c r="V160" s="103"/>
      <c r="W160" s="103" t="b">
        <v>1</v>
      </c>
      <c r="X160" s="103" t="s">
        <v>863</v>
      </c>
      <c r="Y160" s="103" t="s">
        <v>153</v>
      </c>
      <c r="Z160" s="103" t="s">
        <v>864</v>
      </c>
      <c r="AA160" s="103" t="s">
        <v>1073</v>
      </c>
      <c r="AB160" s="103" t="s">
        <v>865</v>
      </c>
      <c r="AC160" s="103" t="s">
        <v>866</v>
      </c>
      <c r="AD160" s="103" t="str">
        <f>IF(ISNA(MATCH(AM160,'Measure &amp; Standard CostIDs'!$C$5:$C$177,0)),"",AM160)</f>
        <v>CFLscw(4w)</v>
      </c>
      <c r="AE160" s="103" t="str">
        <f>IFERROR(INDEX('Measure &amp; Standard CostIDs'!$S$5:$S$177,MATCH(AM160&amp;AL160,'Measure &amp; Standard CostIDs'!$AB$5:$AB$177,0)),"")</f>
        <v>Std_CFLscw(4w)_60pInc-r0248</v>
      </c>
      <c r="AF160" s="103" t="s">
        <v>1074</v>
      </c>
      <c r="AG160" s="103"/>
      <c r="AH160" s="103" t="s">
        <v>156</v>
      </c>
      <c r="AI160" s="103" t="s">
        <v>156</v>
      </c>
      <c r="AJ160" s="103" t="s">
        <v>753</v>
      </c>
      <c r="AK160" s="103" t="s">
        <v>150</v>
      </c>
      <c r="AL160" s="103" t="s">
        <v>150</v>
      </c>
      <c r="AM160" s="103" t="s">
        <v>751</v>
      </c>
      <c r="AN160" s="103" t="s">
        <v>1398</v>
      </c>
      <c r="AO160" s="103" t="s">
        <v>1076</v>
      </c>
      <c r="AP160" s="156">
        <v>42156</v>
      </c>
      <c r="AQ160" s="103"/>
      <c r="AR160" s="103" t="s">
        <v>870</v>
      </c>
      <c r="AS160" s="103" t="s">
        <v>1077</v>
      </c>
      <c r="AT160" s="103" t="s">
        <v>1078</v>
      </c>
      <c r="AU160" s="103" t="s">
        <v>1356</v>
      </c>
      <c r="AV160" s="103"/>
    </row>
    <row r="161" spans="1:48">
      <c r="A161" s="103">
        <v>5853</v>
      </c>
      <c r="B161" s="103" t="s">
        <v>1399</v>
      </c>
      <c r="C161" s="103" t="s">
        <v>1067</v>
      </c>
      <c r="D161" s="103" t="s">
        <v>151</v>
      </c>
      <c r="E161" s="103" t="s">
        <v>1114</v>
      </c>
      <c r="F161" s="156"/>
      <c r="G161" s="103" t="s">
        <v>1070</v>
      </c>
      <c r="H161" s="103"/>
      <c r="I161" s="103"/>
      <c r="J161" s="103"/>
      <c r="K161" s="103"/>
      <c r="L161" s="103" t="s">
        <v>874</v>
      </c>
      <c r="M161" s="103" t="s">
        <v>1071</v>
      </c>
      <c r="N161" s="103" t="s">
        <v>1115</v>
      </c>
      <c r="O161" s="103" t="s">
        <v>1072</v>
      </c>
      <c r="P161" s="103" t="s">
        <v>154</v>
      </c>
      <c r="Q161" s="103">
        <v>0</v>
      </c>
      <c r="R161" s="103">
        <v>0</v>
      </c>
      <c r="S161" s="103" t="s">
        <v>175</v>
      </c>
      <c r="T161" s="103"/>
      <c r="U161" s="103" t="b">
        <v>0</v>
      </c>
      <c r="V161" s="103"/>
      <c r="W161" s="103" t="b">
        <v>1</v>
      </c>
      <c r="X161" s="103" t="s">
        <v>863</v>
      </c>
      <c r="Y161" s="103" t="s">
        <v>153</v>
      </c>
      <c r="Z161" s="103" t="s">
        <v>864</v>
      </c>
      <c r="AA161" s="103" t="s">
        <v>1073</v>
      </c>
      <c r="AB161" s="103" t="s">
        <v>865</v>
      </c>
      <c r="AC161" s="103" t="s">
        <v>866</v>
      </c>
      <c r="AD161" s="103" t="str">
        <f>IF(ISNA(MATCH(AM161,'Measure &amp; Standard CostIDs'!$C$5:$C$177,0)),"",AM161)</f>
        <v>CFLscw(40w)</v>
      </c>
      <c r="AE161" s="103" t="str">
        <f>IFERROR(INDEX('Measure &amp; Standard CostIDs'!$S$5:$S$177,MATCH(AM161&amp;AL161,'Measure &amp; Standard CostIDs'!$AB$5:$AB$177,0)),"")</f>
        <v>Std_CFLscw(40w)_60pInc-r0248</v>
      </c>
      <c r="AF161" s="103" t="s">
        <v>1074</v>
      </c>
      <c r="AG161" s="103"/>
      <c r="AH161" s="103" t="s">
        <v>156</v>
      </c>
      <c r="AI161" s="103" t="s">
        <v>156</v>
      </c>
      <c r="AJ161" s="103" t="s">
        <v>741</v>
      </c>
      <c r="AK161" s="103" t="s">
        <v>150</v>
      </c>
      <c r="AL161" s="103" t="s">
        <v>150</v>
      </c>
      <c r="AM161" s="103" t="s">
        <v>740</v>
      </c>
      <c r="AN161" s="103" t="s">
        <v>1400</v>
      </c>
      <c r="AO161" s="103" t="s">
        <v>1117</v>
      </c>
      <c r="AP161" s="156">
        <v>42370</v>
      </c>
      <c r="AQ161" s="103"/>
      <c r="AR161" s="103" t="s">
        <v>870</v>
      </c>
      <c r="AS161" s="103" t="s">
        <v>1118</v>
      </c>
      <c r="AT161" s="103" t="s">
        <v>1078</v>
      </c>
      <c r="AU161" s="103"/>
      <c r="AV161" s="103"/>
    </row>
    <row r="162" spans="1:48">
      <c r="A162" s="103">
        <v>5854</v>
      </c>
      <c r="B162" s="103" t="s">
        <v>1401</v>
      </c>
      <c r="C162" s="103" t="s">
        <v>1067</v>
      </c>
      <c r="D162" s="103" t="s">
        <v>151</v>
      </c>
      <c r="E162" s="103" t="s">
        <v>1114</v>
      </c>
      <c r="F162" s="156"/>
      <c r="G162" s="103" t="s">
        <v>1070</v>
      </c>
      <c r="H162" s="103"/>
      <c r="I162" s="103"/>
      <c r="J162" s="103"/>
      <c r="K162" s="103"/>
      <c r="L162" s="103" t="s">
        <v>874</v>
      </c>
      <c r="M162" s="103" t="s">
        <v>1071</v>
      </c>
      <c r="N162" s="103" t="s">
        <v>1115</v>
      </c>
      <c r="O162" s="103" t="s">
        <v>1072</v>
      </c>
      <c r="P162" s="103" t="s">
        <v>154</v>
      </c>
      <c r="Q162" s="103">
        <v>0</v>
      </c>
      <c r="R162" s="103">
        <v>0</v>
      </c>
      <c r="S162" s="103" t="s">
        <v>175</v>
      </c>
      <c r="T162" s="103"/>
      <c r="U162" s="103" t="b">
        <v>0</v>
      </c>
      <c r="V162" s="103"/>
      <c r="W162" s="103" t="b">
        <v>1</v>
      </c>
      <c r="X162" s="103" t="s">
        <v>863</v>
      </c>
      <c r="Y162" s="103" t="s">
        <v>153</v>
      </c>
      <c r="Z162" s="103" t="s">
        <v>864</v>
      </c>
      <c r="AA162" s="103" t="s">
        <v>1073</v>
      </c>
      <c r="AB162" s="103" t="s">
        <v>865</v>
      </c>
      <c r="AC162" s="103" t="s">
        <v>866</v>
      </c>
      <c r="AD162" s="103" t="str">
        <f>IF(ISNA(MATCH(AM162,'Measure &amp; Standard CostIDs'!$C$5:$C$177,0)),"",AM162)</f>
        <v>CFLscw(42w)</v>
      </c>
      <c r="AE162" s="103" t="str">
        <f>IFERROR(INDEX('Measure &amp; Standard CostIDs'!$S$5:$S$177,MATCH(AM162&amp;AL162,'Measure &amp; Standard CostIDs'!$AB$5:$AB$177,0)),"")</f>
        <v>Std_CFLscw(42w)_60pInc-r0248</v>
      </c>
      <c r="AF162" s="103" t="s">
        <v>1074</v>
      </c>
      <c r="AG162" s="103"/>
      <c r="AH162" s="103" t="s">
        <v>156</v>
      </c>
      <c r="AI162" s="103" t="s">
        <v>156</v>
      </c>
      <c r="AJ162" s="103" t="s">
        <v>744</v>
      </c>
      <c r="AK162" s="103" t="s">
        <v>150</v>
      </c>
      <c r="AL162" s="103" t="s">
        <v>150</v>
      </c>
      <c r="AM162" s="103" t="s">
        <v>742</v>
      </c>
      <c r="AN162" s="103" t="s">
        <v>1402</v>
      </c>
      <c r="AO162" s="103" t="s">
        <v>1117</v>
      </c>
      <c r="AP162" s="156">
        <v>42370</v>
      </c>
      <c r="AQ162" s="103"/>
      <c r="AR162" s="103" t="s">
        <v>870</v>
      </c>
      <c r="AS162" s="103" t="s">
        <v>1118</v>
      </c>
      <c r="AT162" s="103" t="s">
        <v>1078</v>
      </c>
      <c r="AU162" s="103"/>
      <c r="AV162" s="103"/>
    </row>
    <row r="163" spans="1:48">
      <c r="A163" s="103">
        <v>5855</v>
      </c>
      <c r="B163" s="103" t="s">
        <v>1403</v>
      </c>
      <c r="C163" s="103" t="s">
        <v>1067</v>
      </c>
      <c r="D163" s="103" t="s">
        <v>151</v>
      </c>
      <c r="E163" s="103" t="s">
        <v>1114</v>
      </c>
      <c r="F163" s="156"/>
      <c r="G163" s="103" t="s">
        <v>1070</v>
      </c>
      <c r="H163" s="103"/>
      <c r="I163" s="103"/>
      <c r="J163" s="103"/>
      <c r="K163" s="103"/>
      <c r="L163" s="103" t="s">
        <v>874</v>
      </c>
      <c r="M163" s="103" t="s">
        <v>1071</v>
      </c>
      <c r="N163" s="103" t="s">
        <v>1115</v>
      </c>
      <c r="O163" s="103" t="s">
        <v>1072</v>
      </c>
      <c r="P163" s="103" t="s">
        <v>154</v>
      </c>
      <c r="Q163" s="103">
        <v>0</v>
      </c>
      <c r="R163" s="103">
        <v>0</v>
      </c>
      <c r="S163" s="103" t="s">
        <v>175</v>
      </c>
      <c r="T163" s="103"/>
      <c r="U163" s="103" t="b">
        <v>0</v>
      </c>
      <c r="V163" s="103"/>
      <c r="W163" s="103" t="b">
        <v>1</v>
      </c>
      <c r="X163" s="103" t="s">
        <v>863</v>
      </c>
      <c r="Y163" s="103" t="s">
        <v>153</v>
      </c>
      <c r="Z163" s="103" t="s">
        <v>864</v>
      </c>
      <c r="AA163" s="103" t="s">
        <v>1073</v>
      </c>
      <c r="AB163" s="103" t="s">
        <v>865</v>
      </c>
      <c r="AC163" s="103" t="s">
        <v>866</v>
      </c>
      <c r="AD163" s="103" t="str">
        <f>IF(ISNA(MATCH(AM163,'Measure &amp; Standard CostIDs'!$C$5:$C$177,0)),"",AM163)</f>
        <v>CFLscw(45w)</v>
      </c>
      <c r="AE163" s="103" t="str">
        <f>IFERROR(INDEX('Measure &amp; Standard CostIDs'!$S$5:$S$177,MATCH(AM163&amp;AL163,'Measure &amp; Standard CostIDs'!$AB$5:$AB$177,0)),"")</f>
        <v/>
      </c>
      <c r="AF163" s="103" t="s">
        <v>1074</v>
      </c>
      <c r="AG163" s="103"/>
      <c r="AH163" s="103" t="s">
        <v>156</v>
      </c>
      <c r="AI163" s="103" t="s">
        <v>156</v>
      </c>
      <c r="AJ163" s="103" t="s">
        <v>748</v>
      </c>
      <c r="AK163" s="103" t="s">
        <v>150</v>
      </c>
      <c r="AL163" s="103" t="s">
        <v>150</v>
      </c>
      <c r="AM163" s="103" t="s">
        <v>747</v>
      </c>
      <c r="AN163" s="103" t="s">
        <v>1404</v>
      </c>
      <c r="AO163" s="103" t="s">
        <v>1117</v>
      </c>
      <c r="AP163" s="156">
        <v>42370</v>
      </c>
      <c r="AQ163" s="103"/>
      <c r="AR163" s="103" t="s">
        <v>870</v>
      </c>
      <c r="AS163" s="103" t="s">
        <v>1118</v>
      </c>
      <c r="AT163" s="103" t="s">
        <v>1078</v>
      </c>
      <c r="AU163" s="103"/>
      <c r="AV163" s="103"/>
    </row>
    <row r="164" spans="1:48">
      <c r="A164" s="103">
        <v>5692</v>
      </c>
      <c r="B164" s="103" t="s">
        <v>1405</v>
      </c>
      <c r="C164" s="103" t="s">
        <v>1067</v>
      </c>
      <c r="D164" s="103" t="s">
        <v>1068</v>
      </c>
      <c r="E164" s="103" t="s">
        <v>1069</v>
      </c>
      <c r="F164" s="156"/>
      <c r="G164" s="103" t="s">
        <v>1281</v>
      </c>
      <c r="H164" s="103"/>
      <c r="I164" s="103"/>
      <c r="J164" s="103"/>
      <c r="K164" s="103"/>
      <c r="L164" s="103" t="s">
        <v>1282</v>
      </c>
      <c r="M164" s="103" t="s">
        <v>1071</v>
      </c>
      <c r="N164" s="103" t="s">
        <v>871</v>
      </c>
      <c r="O164" s="103" t="s">
        <v>1072</v>
      </c>
      <c r="P164" s="103" t="s">
        <v>154</v>
      </c>
      <c r="Q164" s="103">
        <v>0</v>
      </c>
      <c r="R164" s="103">
        <v>0</v>
      </c>
      <c r="S164" s="103" t="s">
        <v>175</v>
      </c>
      <c r="T164" s="103"/>
      <c r="U164" s="103" t="b">
        <v>0</v>
      </c>
      <c r="V164" s="103"/>
      <c r="W164" s="103" t="b">
        <v>1</v>
      </c>
      <c r="X164" s="103" t="s">
        <v>863</v>
      </c>
      <c r="Y164" s="103" t="s">
        <v>153</v>
      </c>
      <c r="Z164" s="103" t="s">
        <v>864</v>
      </c>
      <c r="AA164" s="103" t="s">
        <v>1073</v>
      </c>
      <c r="AB164" s="103" t="s">
        <v>865</v>
      </c>
      <c r="AC164" s="103" t="s">
        <v>866</v>
      </c>
      <c r="AD164" s="103" t="str">
        <f>IF(ISNA(MATCH(AM164,'Measure &amp; Standard CostIDs'!$C$5:$C$177,0)),"",AM164)</f>
        <v>CFLscw(5w)</v>
      </c>
      <c r="AE164" s="103" t="str">
        <f>IFERROR(INDEX('Measure &amp; Standard CostIDs'!$S$5:$S$177,MATCH(AM164&amp;AL164,'Measure &amp; Standard CostIDs'!$AB$5:$AB$177,0)),"")</f>
        <v>Std_CFLscw(5w)_60pInc-r0248</v>
      </c>
      <c r="AF164" s="103" t="s">
        <v>1074</v>
      </c>
      <c r="AG164" s="103" t="s">
        <v>1192</v>
      </c>
      <c r="AH164" s="103" t="s">
        <v>156</v>
      </c>
      <c r="AI164" s="103" t="s">
        <v>156</v>
      </c>
      <c r="AJ164" s="103" t="s">
        <v>763</v>
      </c>
      <c r="AK164" s="103" t="s">
        <v>150</v>
      </c>
      <c r="AL164" s="103" t="s">
        <v>150</v>
      </c>
      <c r="AM164" s="103" t="s">
        <v>761</v>
      </c>
      <c r="AN164" s="103" t="s">
        <v>1406</v>
      </c>
      <c r="AO164" s="103" t="s">
        <v>1076</v>
      </c>
      <c r="AP164" s="156">
        <v>42156</v>
      </c>
      <c r="AQ164" s="103"/>
      <c r="AR164" s="103" t="s">
        <v>870</v>
      </c>
      <c r="AS164" s="103" t="s">
        <v>1077</v>
      </c>
      <c r="AT164" s="103" t="s">
        <v>1078</v>
      </c>
      <c r="AU164" s="103"/>
      <c r="AV164" s="103"/>
    </row>
    <row r="165" spans="1:48">
      <c r="A165" s="103">
        <v>5856</v>
      </c>
      <c r="B165" s="103" t="s">
        <v>1407</v>
      </c>
      <c r="C165" s="103" t="s">
        <v>1067</v>
      </c>
      <c r="D165" s="103" t="s">
        <v>151</v>
      </c>
      <c r="E165" s="103" t="s">
        <v>1114</v>
      </c>
      <c r="F165" s="156"/>
      <c r="G165" s="103" t="s">
        <v>1070</v>
      </c>
      <c r="H165" s="103"/>
      <c r="I165" s="103"/>
      <c r="J165" s="103"/>
      <c r="K165" s="103"/>
      <c r="L165" s="103" t="s">
        <v>874</v>
      </c>
      <c r="M165" s="103" t="s">
        <v>1071</v>
      </c>
      <c r="N165" s="103" t="s">
        <v>1115</v>
      </c>
      <c r="O165" s="103" t="s">
        <v>1072</v>
      </c>
      <c r="P165" s="103" t="s">
        <v>154</v>
      </c>
      <c r="Q165" s="103">
        <v>0</v>
      </c>
      <c r="R165" s="103">
        <v>0</v>
      </c>
      <c r="S165" s="103" t="s">
        <v>175</v>
      </c>
      <c r="T165" s="103"/>
      <c r="U165" s="103" t="b">
        <v>0</v>
      </c>
      <c r="V165" s="103"/>
      <c r="W165" s="103" t="b">
        <v>1</v>
      </c>
      <c r="X165" s="103" t="s">
        <v>863</v>
      </c>
      <c r="Y165" s="103" t="s">
        <v>153</v>
      </c>
      <c r="Z165" s="103" t="s">
        <v>864</v>
      </c>
      <c r="AA165" s="103" t="s">
        <v>1073</v>
      </c>
      <c r="AB165" s="103" t="s">
        <v>865</v>
      </c>
      <c r="AC165" s="103" t="s">
        <v>866</v>
      </c>
      <c r="AD165" s="103" t="str">
        <f>IF(ISNA(MATCH(AM165,'Measure &amp; Standard CostIDs'!$C$5:$C$177,0)),"",AM165)</f>
        <v>CFLscw(55w)</v>
      </c>
      <c r="AE165" s="103" t="str">
        <f>IFERROR(INDEX('Measure &amp; Standard CostIDs'!$S$5:$S$177,MATCH(AM165&amp;AL165,'Measure &amp; Standard CostIDs'!$AB$5:$AB$177,0)),"")</f>
        <v/>
      </c>
      <c r="AF165" s="103" t="s">
        <v>1074</v>
      </c>
      <c r="AG165" s="103"/>
      <c r="AH165" s="103" t="s">
        <v>156</v>
      </c>
      <c r="AI165" s="103" t="s">
        <v>156</v>
      </c>
      <c r="AJ165" s="103" t="s">
        <v>760</v>
      </c>
      <c r="AK165" s="103" t="s">
        <v>150</v>
      </c>
      <c r="AL165" s="103" t="s">
        <v>150</v>
      </c>
      <c r="AM165" s="103" t="s">
        <v>758</v>
      </c>
      <c r="AN165" s="103" t="s">
        <v>1408</v>
      </c>
      <c r="AO165" s="103" t="s">
        <v>1117</v>
      </c>
      <c r="AP165" s="156">
        <v>42370</v>
      </c>
      <c r="AQ165" s="103"/>
      <c r="AR165" s="103" t="s">
        <v>870</v>
      </c>
      <c r="AS165" s="103" t="s">
        <v>1118</v>
      </c>
      <c r="AT165" s="103" t="s">
        <v>1078</v>
      </c>
      <c r="AU165" s="103"/>
      <c r="AV165" s="103"/>
    </row>
    <row r="166" spans="1:48">
      <c r="A166" s="103">
        <v>5693</v>
      </c>
      <c r="B166" s="103" t="s">
        <v>1409</v>
      </c>
      <c r="C166" s="103" t="s">
        <v>1067</v>
      </c>
      <c r="D166" s="103" t="s">
        <v>1068</v>
      </c>
      <c r="E166" s="103" t="s">
        <v>1069</v>
      </c>
      <c r="F166" s="156"/>
      <c r="G166" s="103" t="s">
        <v>1281</v>
      </c>
      <c r="H166" s="103"/>
      <c r="I166" s="103"/>
      <c r="J166" s="103"/>
      <c r="K166" s="103"/>
      <c r="L166" s="103" t="s">
        <v>1282</v>
      </c>
      <c r="M166" s="103" t="s">
        <v>1071</v>
      </c>
      <c r="N166" s="103" t="s">
        <v>871</v>
      </c>
      <c r="O166" s="103" t="s">
        <v>1072</v>
      </c>
      <c r="P166" s="103" t="s">
        <v>154</v>
      </c>
      <c r="Q166" s="103">
        <v>0</v>
      </c>
      <c r="R166" s="103">
        <v>0</v>
      </c>
      <c r="S166" s="103" t="s">
        <v>175</v>
      </c>
      <c r="T166" s="103"/>
      <c r="U166" s="103" t="b">
        <v>0</v>
      </c>
      <c r="V166" s="103"/>
      <c r="W166" s="103" t="b">
        <v>1</v>
      </c>
      <c r="X166" s="103" t="s">
        <v>863</v>
      </c>
      <c r="Y166" s="103" t="s">
        <v>153</v>
      </c>
      <c r="Z166" s="103" t="s">
        <v>864</v>
      </c>
      <c r="AA166" s="103" t="s">
        <v>1073</v>
      </c>
      <c r="AB166" s="103" t="s">
        <v>865</v>
      </c>
      <c r="AC166" s="103" t="s">
        <v>866</v>
      </c>
      <c r="AD166" s="103" t="str">
        <f>IF(ISNA(MATCH(AM166,'Measure &amp; Standard CostIDs'!$C$5:$C$177,0)),"",AM166)</f>
        <v>CFLscw(6w)</v>
      </c>
      <c r="AE166" s="103" t="str">
        <f>IFERROR(INDEX('Measure &amp; Standard CostIDs'!$S$5:$S$177,MATCH(AM166&amp;AL166,'Measure &amp; Standard CostIDs'!$AB$5:$AB$177,0)),"")</f>
        <v>Std_CFLscw(6w)_60pInc-r0248</v>
      </c>
      <c r="AF166" s="103" t="s">
        <v>1074</v>
      </c>
      <c r="AG166" s="103" t="s">
        <v>1192</v>
      </c>
      <c r="AH166" s="103" t="s">
        <v>156</v>
      </c>
      <c r="AI166" s="103" t="s">
        <v>156</v>
      </c>
      <c r="AJ166" s="103" t="s">
        <v>777</v>
      </c>
      <c r="AK166" s="103" t="s">
        <v>150</v>
      </c>
      <c r="AL166" s="103" t="s">
        <v>150</v>
      </c>
      <c r="AM166" s="103" t="s">
        <v>775</v>
      </c>
      <c r="AN166" s="103" t="s">
        <v>1410</v>
      </c>
      <c r="AO166" s="103" t="s">
        <v>1076</v>
      </c>
      <c r="AP166" s="156">
        <v>42156</v>
      </c>
      <c r="AQ166" s="103"/>
      <c r="AR166" s="103" t="s">
        <v>870</v>
      </c>
      <c r="AS166" s="103" t="s">
        <v>1077</v>
      </c>
      <c r="AT166" s="103" t="s">
        <v>1078</v>
      </c>
      <c r="AU166" s="103"/>
      <c r="AV166" s="103"/>
    </row>
    <row r="167" spans="1:48">
      <c r="A167" s="103">
        <v>5845</v>
      </c>
      <c r="B167" s="103" t="s">
        <v>1411</v>
      </c>
      <c r="C167" s="103" t="s">
        <v>1067</v>
      </c>
      <c r="D167" s="103" t="s">
        <v>151</v>
      </c>
      <c r="E167" s="103" t="s">
        <v>1114</v>
      </c>
      <c r="F167" s="156"/>
      <c r="G167" s="103" t="s">
        <v>1281</v>
      </c>
      <c r="H167" s="103"/>
      <c r="I167" s="103"/>
      <c r="J167" s="103"/>
      <c r="K167" s="103"/>
      <c r="L167" s="103" t="s">
        <v>1282</v>
      </c>
      <c r="M167" s="103" t="s">
        <v>1071</v>
      </c>
      <c r="N167" s="103" t="s">
        <v>871</v>
      </c>
      <c r="O167" s="103" t="s">
        <v>1072</v>
      </c>
      <c r="P167" s="103" t="s">
        <v>154</v>
      </c>
      <c r="Q167" s="103">
        <v>0</v>
      </c>
      <c r="R167" s="103">
        <v>0</v>
      </c>
      <c r="S167" s="103" t="s">
        <v>175</v>
      </c>
      <c r="T167" s="103"/>
      <c r="U167" s="103" t="b">
        <v>0</v>
      </c>
      <c r="V167" s="103"/>
      <c r="W167" s="103" t="b">
        <v>1</v>
      </c>
      <c r="X167" s="103" t="s">
        <v>863</v>
      </c>
      <c r="Y167" s="103" t="s">
        <v>153</v>
      </c>
      <c r="Z167" s="103" t="s">
        <v>864</v>
      </c>
      <c r="AA167" s="103" t="s">
        <v>1073</v>
      </c>
      <c r="AB167" s="103" t="s">
        <v>865</v>
      </c>
      <c r="AC167" s="103" t="s">
        <v>866</v>
      </c>
      <c r="AD167" s="103" t="str">
        <f>IF(ISNA(MATCH(AM167,'Measure &amp; Standard CostIDs'!$C$5:$C$177,0)),"",AM167)</f>
        <v/>
      </c>
      <c r="AE167" s="103" t="str">
        <f>IFERROR(INDEX('Measure &amp; Standard CostIDs'!$S$5:$S$177,MATCH(AM167&amp;AL167,'Measure &amp; Standard CostIDs'!$AB$5:$AB$177,0)),"")</f>
        <v/>
      </c>
      <c r="AF167" s="103" t="s">
        <v>1074</v>
      </c>
      <c r="AG167" s="103" t="s">
        <v>1192</v>
      </c>
      <c r="AH167" s="103" t="s">
        <v>163</v>
      </c>
      <c r="AI167" s="103" t="s">
        <v>163</v>
      </c>
      <c r="AJ167" s="103" t="s">
        <v>627</v>
      </c>
      <c r="AK167" s="103" t="s">
        <v>161</v>
      </c>
      <c r="AL167" s="103" t="s">
        <v>161</v>
      </c>
      <c r="AM167" s="103" t="s">
        <v>625</v>
      </c>
      <c r="AN167" s="103" t="s">
        <v>1412</v>
      </c>
      <c r="AO167" s="103" t="s">
        <v>1117</v>
      </c>
      <c r="AP167" s="156">
        <v>42370</v>
      </c>
      <c r="AQ167" s="103"/>
      <c r="AR167" s="103" t="s">
        <v>870</v>
      </c>
      <c r="AS167" s="103" t="s">
        <v>1118</v>
      </c>
      <c r="AT167" s="103" t="s">
        <v>1078</v>
      </c>
      <c r="AU167" s="103"/>
      <c r="AV167" s="103"/>
    </row>
    <row r="168" spans="1:48">
      <c r="A168" s="103">
        <v>5857</v>
      </c>
      <c r="B168" s="103" t="s">
        <v>1413</v>
      </c>
      <c r="C168" s="103" t="s">
        <v>1067</v>
      </c>
      <c r="D168" s="103" t="s">
        <v>151</v>
      </c>
      <c r="E168" s="103" t="s">
        <v>1114</v>
      </c>
      <c r="F168" s="156"/>
      <c r="G168" s="103" t="s">
        <v>1070</v>
      </c>
      <c r="H168" s="103"/>
      <c r="I168" s="103"/>
      <c r="J168" s="103"/>
      <c r="K168" s="103"/>
      <c r="L168" s="103" t="s">
        <v>874</v>
      </c>
      <c r="M168" s="103" t="s">
        <v>1071</v>
      </c>
      <c r="N168" s="103" t="s">
        <v>1115</v>
      </c>
      <c r="O168" s="103" t="s">
        <v>1072</v>
      </c>
      <c r="P168" s="103" t="s">
        <v>154</v>
      </c>
      <c r="Q168" s="103">
        <v>0</v>
      </c>
      <c r="R168" s="103">
        <v>0</v>
      </c>
      <c r="S168" s="103" t="s">
        <v>175</v>
      </c>
      <c r="T168" s="103"/>
      <c r="U168" s="103" t="b">
        <v>0</v>
      </c>
      <c r="V168" s="103"/>
      <c r="W168" s="103" t="b">
        <v>1</v>
      </c>
      <c r="X168" s="103" t="s">
        <v>863</v>
      </c>
      <c r="Y168" s="103" t="s">
        <v>153</v>
      </c>
      <c r="Z168" s="103" t="s">
        <v>864</v>
      </c>
      <c r="AA168" s="103" t="s">
        <v>1073</v>
      </c>
      <c r="AB168" s="103" t="s">
        <v>865</v>
      </c>
      <c r="AC168" s="103" t="s">
        <v>866</v>
      </c>
      <c r="AD168" s="103" t="str">
        <f>IF(ISNA(MATCH(AM168,'Measure &amp; Standard CostIDs'!$C$5:$C$177,0)),"",AM168)</f>
        <v/>
      </c>
      <c r="AE168" s="103" t="str">
        <f>IFERROR(INDEX('Measure &amp; Standard CostIDs'!$S$5:$S$177,MATCH(AM168&amp;AL168,'Measure &amp; Standard CostIDs'!$AB$5:$AB$177,0)),"")</f>
        <v/>
      </c>
      <c r="AF168" s="103" t="s">
        <v>1074</v>
      </c>
      <c r="AG168" s="103"/>
      <c r="AH168" s="103" t="s">
        <v>156</v>
      </c>
      <c r="AI168" s="103" t="s">
        <v>156</v>
      </c>
      <c r="AJ168" s="103" t="s">
        <v>766</v>
      </c>
      <c r="AK168" s="103" t="s">
        <v>150</v>
      </c>
      <c r="AL168" s="103" t="s">
        <v>150</v>
      </c>
      <c r="AM168" s="103" t="s">
        <v>764</v>
      </c>
      <c r="AN168" s="103" t="s">
        <v>1414</v>
      </c>
      <c r="AO168" s="103" t="s">
        <v>1117</v>
      </c>
      <c r="AP168" s="156">
        <v>42370</v>
      </c>
      <c r="AQ168" s="103"/>
      <c r="AR168" s="103" t="s">
        <v>870</v>
      </c>
      <c r="AS168" s="103" t="s">
        <v>1118</v>
      </c>
      <c r="AT168" s="103" t="s">
        <v>1078</v>
      </c>
      <c r="AU168" s="103"/>
      <c r="AV168" s="103"/>
    </row>
    <row r="169" spans="1:48">
      <c r="A169" s="103">
        <v>5721</v>
      </c>
      <c r="B169" s="103" t="s">
        <v>1415</v>
      </c>
      <c r="C169" s="103" t="s">
        <v>1067</v>
      </c>
      <c r="D169" s="103" t="s">
        <v>1068</v>
      </c>
      <c r="E169" s="103" t="s">
        <v>1069</v>
      </c>
      <c r="F169" s="156"/>
      <c r="G169" s="103" t="s">
        <v>1070</v>
      </c>
      <c r="H169" s="103"/>
      <c r="I169" s="103"/>
      <c r="J169" s="103"/>
      <c r="K169" s="103"/>
      <c r="L169" s="103" t="s">
        <v>874</v>
      </c>
      <c r="M169" s="103" t="s">
        <v>1071</v>
      </c>
      <c r="N169" s="103" t="s">
        <v>871</v>
      </c>
      <c r="O169" s="103" t="s">
        <v>1072</v>
      </c>
      <c r="P169" s="103" t="s">
        <v>154</v>
      </c>
      <c r="Q169" s="103">
        <v>0</v>
      </c>
      <c r="R169" s="103">
        <v>0</v>
      </c>
      <c r="S169" s="103" t="s">
        <v>175</v>
      </c>
      <c r="T169" s="103"/>
      <c r="U169" s="103" t="b">
        <v>0</v>
      </c>
      <c r="V169" s="103"/>
      <c r="W169" s="103" t="b">
        <v>1</v>
      </c>
      <c r="X169" s="103" t="s">
        <v>863</v>
      </c>
      <c r="Y169" s="103" t="s">
        <v>153</v>
      </c>
      <c r="Z169" s="103" t="s">
        <v>864</v>
      </c>
      <c r="AA169" s="103" t="s">
        <v>1073</v>
      </c>
      <c r="AB169" s="103" t="s">
        <v>865</v>
      </c>
      <c r="AC169" s="103" t="s">
        <v>866</v>
      </c>
      <c r="AD169" s="103" t="str">
        <f>IF(ISNA(MATCH(AM169,'Measure &amp; Standard CostIDs'!$C$5:$C$177,0)),"",AM169)</f>
        <v>CFLscw(7w)</v>
      </c>
      <c r="AE169" s="103" t="str">
        <f>IFERROR(INDEX('Measure &amp; Standard CostIDs'!$S$5:$S$177,MATCH(AM169&amp;AL169,'Measure &amp; Standard CostIDs'!$AB$5:$AB$177,0)),"")</f>
        <v>Std_CFLscw(7w)_60pInc-r0248</v>
      </c>
      <c r="AF169" s="103" t="s">
        <v>1074</v>
      </c>
      <c r="AG169" s="103"/>
      <c r="AH169" s="103" t="s">
        <v>156</v>
      </c>
      <c r="AI169" s="103" t="s">
        <v>156</v>
      </c>
      <c r="AJ169" s="103" t="s">
        <v>786</v>
      </c>
      <c r="AK169" s="103" t="s">
        <v>150</v>
      </c>
      <c r="AL169" s="103" t="s">
        <v>150</v>
      </c>
      <c r="AM169" s="103" t="s">
        <v>784</v>
      </c>
      <c r="AN169" s="103" t="s">
        <v>1416</v>
      </c>
      <c r="AO169" s="103" t="s">
        <v>1076</v>
      </c>
      <c r="AP169" s="156">
        <v>42156</v>
      </c>
      <c r="AQ169" s="103"/>
      <c r="AR169" s="103" t="s">
        <v>870</v>
      </c>
      <c r="AS169" s="103" t="s">
        <v>1077</v>
      </c>
      <c r="AT169" s="103" t="s">
        <v>1078</v>
      </c>
      <c r="AU169" s="103"/>
      <c r="AV169" s="103"/>
    </row>
    <row r="170" spans="1:48">
      <c r="A170" s="103">
        <v>5722</v>
      </c>
      <c r="B170" s="103" t="s">
        <v>1417</v>
      </c>
      <c r="C170" s="103" t="s">
        <v>1067</v>
      </c>
      <c r="D170" s="103" t="s">
        <v>1068</v>
      </c>
      <c r="E170" s="103" t="s">
        <v>1069</v>
      </c>
      <c r="F170" s="156"/>
      <c r="G170" s="103" t="s">
        <v>1070</v>
      </c>
      <c r="H170" s="103"/>
      <c r="I170" s="103"/>
      <c r="J170" s="103"/>
      <c r="K170" s="103"/>
      <c r="L170" s="103" t="s">
        <v>874</v>
      </c>
      <c r="M170" s="103" t="s">
        <v>1071</v>
      </c>
      <c r="N170" s="103" t="s">
        <v>871</v>
      </c>
      <c r="O170" s="103" t="s">
        <v>1072</v>
      </c>
      <c r="P170" s="103" t="s">
        <v>154</v>
      </c>
      <c r="Q170" s="103">
        <v>0</v>
      </c>
      <c r="R170" s="103">
        <v>0</v>
      </c>
      <c r="S170" s="103" t="s">
        <v>175</v>
      </c>
      <c r="T170" s="103"/>
      <c r="U170" s="103" t="b">
        <v>0</v>
      </c>
      <c r="V170" s="103"/>
      <c r="W170" s="103" t="b">
        <v>1</v>
      </c>
      <c r="X170" s="103" t="s">
        <v>863</v>
      </c>
      <c r="Y170" s="103" t="s">
        <v>153</v>
      </c>
      <c r="Z170" s="103" t="s">
        <v>864</v>
      </c>
      <c r="AA170" s="103" t="s">
        <v>1073</v>
      </c>
      <c r="AB170" s="103" t="s">
        <v>865</v>
      </c>
      <c r="AC170" s="103" t="s">
        <v>866</v>
      </c>
      <c r="AD170" s="103" t="str">
        <f>IF(ISNA(MATCH(AM170,'Measure &amp; Standard CostIDs'!$C$5:$C$177,0)),"",AM170)</f>
        <v>CFLscw(8w)</v>
      </c>
      <c r="AE170" s="103" t="str">
        <f>IFERROR(INDEX('Measure &amp; Standard CostIDs'!$S$5:$S$177,MATCH(AM170&amp;AL170,'Measure &amp; Standard CostIDs'!$AB$5:$AB$177,0)),"")</f>
        <v>Std_CFLscw(8w)_60pInc-r0248</v>
      </c>
      <c r="AF170" s="103" t="s">
        <v>1074</v>
      </c>
      <c r="AG170" s="103"/>
      <c r="AH170" s="103" t="s">
        <v>156</v>
      </c>
      <c r="AI170" s="103" t="s">
        <v>156</v>
      </c>
      <c r="AJ170" s="103" t="s">
        <v>796</v>
      </c>
      <c r="AK170" s="103" t="s">
        <v>150</v>
      </c>
      <c r="AL170" s="103" t="s">
        <v>150</v>
      </c>
      <c r="AM170" s="103" t="s">
        <v>794</v>
      </c>
      <c r="AN170" s="103" t="s">
        <v>1418</v>
      </c>
      <c r="AO170" s="103" t="s">
        <v>1076</v>
      </c>
      <c r="AP170" s="156">
        <v>42156</v>
      </c>
      <c r="AQ170" s="103"/>
      <c r="AR170" s="103" t="s">
        <v>870</v>
      </c>
      <c r="AS170" s="103" t="s">
        <v>1077</v>
      </c>
      <c r="AT170" s="103" t="s">
        <v>1078</v>
      </c>
      <c r="AU170" s="103"/>
      <c r="AV170" s="103"/>
    </row>
    <row r="171" spans="1:48">
      <c r="A171" s="103">
        <v>5858</v>
      </c>
      <c r="B171" s="103" t="s">
        <v>1419</v>
      </c>
      <c r="C171" s="103" t="s">
        <v>1067</v>
      </c>
      <c r="D171" s="103" t="s">
        <v>151</v>
      </c>
      <c r="E171" s="103" t="s">
        <v>1114</v>
      </c>
      <c r="F171" s="156"/>
      <c r="G171" s="103" t="s">
        <v>1070</v>
      </c>
      <c r="H171" s="103"/>
      <c r="I171" s="103"/>
      <c r="J171" s="103"/>
      <c r="K171" s="103"/>
      <c r="L171" s="103" t="s">
        <v>874</v>
      </c>
      <c r="M171" s="103" t="s">
        <v>1071</v>
      </c>
      <c r="N171" s="103" t="s">
        <v>1115</v>
      </c>
      <c r="O171" s="103" t="s">
        <v>1072</v>
      </c>
      <c r="P171" s="103" t="s">
        <v>154</v>
      </c>
      <c r="Q171" s="103">
        <v>0</v>
      </c>
      <c r="R171" s="103">
        <v>0</v>
      </c>
      <c r="S171" s="103" t="s">
        <v>175</v>
      </c>
      <c r="T171" s="103"/>
      <c r="U171" s="103" t="b">
        <v>0</v>
      </c>
      <c r="V171" s="103"/>
      <c r="W171" s="103" t="b">
        <v>1</v>
      </c>
      <c r="X171" s="103" t="s">
        <v>863</v>
      </c>
      <c r="Y171" s="103" t="s">
        <v>153</v>
      </c>
      <c r="Z171" s="103" t="s">
        <v>864</v>
      </c>
      <c r="AA171" s="103" t="s">
        <v>1073</v>
      </c>
      <c r="AB171" s="103" t="s">
        <v>865</v>
      </c>
      <c r="AC171" s="103" t="s">
        <v>866</v>
      </c>
      <c r="AD171" s="103" t="str">
        <f>IF(ISNA(MATCH(AM171,'Measure &amp; Standard CostIDs'!$C$5:$C$177,0)),"",AM171)</f>
        <v/>
      </c>
      <c r="AE171" s="103" t="str">
        <f>IFERROR(INDEX('Measure &amp; Standard CostIDs'!$S$5:$S$177,MATCH(AM171&amp;AL171,'Measure &amp; Standard CostIDs'!$AB$5:$AB$177,0)),"")</f>
        <v/>
      </c>
      <c r="AF171" s="103" t="s">
        <v>1074</v>
      </c>
      <c r="AG171" s="103"/>
      <c r="AH171" s="103" t="s">
        <v>156</v>
      </c>
      <c r="AI171" s="103" t="s">
        <v>156</v>
      </c>
      <c r="AJ171" s="103" t="s">
        <v>789</v>
      </c>
      <c r="AK171" s="103" t="s">
        <v>150</v>
      </c>
      <c r="AL171" s="103" t="s">
        <v>150</v>
      </c>
      <c r="AM171" s="103" t="s">
        <v>787</v>
      </c>
      <c r="AN171" s="103" t="s">
        <v>1420</v>
      </c>
      <c r="AO171" s="103" t="s">
        <v>1117</v>
      </c>
      <c r="AP171" s="156">
        <v>42370</v>
      </c>
      <c r="AQ171" s="103"/>
      <c r="AR171" s="103" t="s">
        <v>870</v>
      </c>
      <c r="AS171" s="103" t="s">
        <v>1118</v>
      </c>
      <c r="AT171" s="103" t="s">
        <v>1078</v>
      </c>
      <c r="AU171" s="103"/>
      <c r="AV171" s="103"/>
    </row>
    <row r="172" spans="1:48">
      <c r="A172" s="103">
        <v>5846</v>
      </c>
      <c r="B172" s="103" t="s">
        <v>1421</v>
      </c>
      <c r="C172" s="103" t="s">
        <v>1067</v>
      </c>
      <c r="D172" s="103" t="s">
        <v>151</v>
      </c>
      <c r="E172" s="103" t="s">
        <v>1114</v>
      </c>
      <c r="F172" s="156"/>
      <c r="G172" s="103" t="s">
        <v>1281</v>
      </c>
      <c r="H172" s="103"/>
      <c r="I172" s="103"/>
      <c r="J172" s="103"/>
      <c r="K172" s="103"/>
      <c r="L172" s="103" t="s">
        <v>1282</v>
      </c>
      <c r="M172" s="103" t="s">
        <v>1071</v>
      </c>
      <c r="N172" s="103" t="s">
        <v>871</v>
      </c>
      <c r="O172" s="103" t="s">
        <v>1072</v>
      </c>
      <c r="P172" s="103" t="s">
        <v>154</v>
      </c>
      <c r="Q172" s="103">
        <v>0</v>
      </c>
      <c r="R172" s="103">
        <v>0</v>
      </c>
      <c r="S172" s="103" t="s">
        <v>175</v>
      </c>
      <c r="T172" s="103"/>
      <c r="U172" s="103" t="b">
        <v>0</v>
      </c>
      <c r="V172" s="103"/>
      <c r="W172" s="103" t="b">
        <v>1</v>
      </c>
      <c r="X172" s="103" t="s">
        <v>863</v>
      </c>
      <c r="Y172" s="103" t="s">
        <v>153</v>
      </c>
      <c r="Z172" s="103" t="s">
        <v>864</v>
      </c>
      <c r="AA172" s="103" t="s">
        <v>1073</v>
      </c>
      <c r="AB172" s="103" t="s">
        <v>865</v>
      </c>
      <c r="AC172" s="103" t="s">
        <v>866</v>
      </c>
      <c r="AD172" s="103" t="str">
        <f>IF(ISNA(MATCH(AM172,'Measure &amp; Standard CostIDs'!$C$5:$C$177,0)),"",AM172)</f>
        <v/>
      </c>
      <c r="AE172" s="103" t="str">
        <f>IFERROR(INDEX('Measure &amp; Standard CostIDs'!$S$5:$S$177,MATCH(AM172&amp;AL172,'Measure &amp; Standard CostIDs'!$AB$5:$AB$177,0)),"")</f>
        <v/>
      </c>
      <c r="AF172" s="103" t="s">
        <v>1074</v>
      </c>
      <c r="AG172" s="103" t="s">
        <v>1192</v>
      </c>
      <c r="AH172" s="103" t="s">
        <v>163</v>
      </c>
      <c r="AI172" s="103" t="s">
        <v>163</v>
      </c>
      <c r="AJ172" s="103" t="s">
        <v>636</v>
      </c>
      <c r="AK172" s="103" t="s">
        <v>161</v>
      </c>
      <c r="AL172" s="103" t="s">
        <v>161</v>
      </c>
      <c r="AM172" s="103" t="s">
        <v>634</v>
      </c>
      <c r="AN172" s="103" t="s">
        <v>1422</v>
      </c>
      <c r="AO172" s="103" t="s">
        <v>1117</v>
      </c>
      <c r="AP172" s="156">
        <v>42370</v>
      </c>
      <c r="AQ172" s="103"/>
      <c r="AR172" s="103" t="s">
        <v>870</v>
      </c>
      <c r="AS172" s="103" t="s">
        <v>1118</v>
      </c>
      <c r="AT172" s="103" t="s">
        <v>1078</v>
      </c>
      <c r="AU172" s="103"/>
      <c r="AV172" s="103"/>
    </row>
    <row r="173" spans="1:48">
      <c r="A173" s="103">
        <v>5723</v>
      </c>
      <c r="B173" s="103" t="s">
        <v>1423</v>
      </c>
      <c r="C173" s="103" t="s">
        <v>1067</v>
      </c>
      <c r="D173" s="103" t="s">
        <v>1068</v>
      </c>
      <c r="E173" s="103" t="s">
        <v>1069</v>
      </c>
      <c r="F173" s="156"/>
      <c r="G173" s="103" t="s">
        <v>1070</v>
      </c>
      <c r="H173" s="103"/>
      <c r="I173" s="103"/>
      <c r="J173" s="103"/>
      <c r="K173" s="103"/>
      <c r="L173" s="103" t="s">
        <v>874</v>
      </c>
      <c r="M173" s="103" t="s">
        <v>1071</v>
      </c>
      <c r="N173" s="103" t="s">
        <v>871</v>
      </c>
      <c r="O173" s="103" t="s">
        <v>1072</v>
      </c>
      <c r="P173" s="103" t="s">
        <v>154</v>
      </c>
      <c r="Q173" s="103">
        <v>0</v>
      </c>
      <c r="R173" s="103">
        <v>0</v>
      </c>
      <c r="S173" s="103" t="s">
        <v>175</v>
      </c>
      <c r="T173" s="103"/>
      <c r="U173" s="103" t="b">
        <v>0</v>
      </c>
      <c r="V173" s="103"/>
      <c r="W173" s="103" t="b">
        <v>1</v>
      </c>
      <c r="X173" s="103" t="s">
        <v>863</v>
      </c>
      <c r="Y173" s="103" t="s">
        <v>153</v>
      </c>
      <c r="Z173" s="103" t="s">
        <v>864</v>
      </c>
      <c r="AA173" s="103" t="s">
        <v>1073</v>
      </c>
      <c r="AB173" s="103" t="s">
        <v>865</v>
      </c>
      <c r="AC173" s="103" t="s">
        <v>866</v>
      </c>
      <c r="AD173" s="103" t="str">
        <f>IF(ISNA(MATCH(AM173,'Measure &amp; Standard CostIDs'!$C$5:$C$177,0)),"",AM173)</f>
        <v>CFLscw(9w)</v>
      </c>
      <c r="AE173" s="103" t="str">
        <f>IFERROR(INDEX('Measure &amp; Standard CostIDs'!$S$5:$S$177,MATCH(AM173&amp;AL173,'Measure &amp; Standard CostIDs'!$AB$5:$AB$177,0)),"")</f>
        <v>Std_CFLscw(9w)_60pInc-r0248</v>
      </c>
      <c r="AF173" s="103" t="s">
        <v>1074</v>
      </c>
      <c r="AG173" s="103"/>
      <c r="AH173" s="103" t="s">
        <v>156</v>
      </c>
      <c r="AI173" s="103" t="s">
        <v>156</v>
      </c>
      <c r="AJ173" s="103" t="s">
        <v>803</v>
      </c>
      <c r="AK173" s="103" t="s">
        <v>150</v>
      </c>
      <c r="AL173" s="103" t="s">
        <v>150</v>
      </c>
      <c r="AM173" s="103" t="s">
        <v>801</v>
      </c>
      <c r="AN173" s="103" t="s">
        <v>1424</v>
      </c>
      <c r="AO173" s="103" t="s">
        <v>1076</v>
      </c>
      <c r="AP173" s="156">
        <v>42156</v>
      </c>
      <c r="AQ173" s="103"/>
      <c r="AR173" s="103" t="s">
        <v>870</v>
      </c>
      <c r="AS173" s="103" t="s">
        <v>1077</v>
      </c>
      <c r="AT173" s="103" t="s">
        <v>1078</v>
      </c>
      <c r="AU173" s="103"/>
      <c r="AV173" s="103"/>
    </row>
    <row r="174" spans="1:48">
      <c r="A174" s="103">
        <v>5830</v>
      </c>
      <c r="B174" s="103" t="s">
        <v>1425</v>
      </c>
      <c r="C174" s="103" t="s">
        <v>1426</v>
      </c>
      <c r="D174" s="103" t="s">
        <v>1068</v>
      </c>
      <c r="E174" s="103" t="s">
        <v>1069</v>
      </c>
      <c r="F174" s="156"/>
      <c r="G174" s="103" t="s">
        <v>1070</v>
      </c>
      <c r="H174" s="103"/>
      <c r="I174" s="103"/>
      <c r="J174" s="103"/>
      <c r="K174" s="103"/>
      <c r="L174" s="103" t="s">
        <v>874</v>
      </c>
      <c r="M174" s="103" t="s">
        <v>1427</v>
      </c>
      <c r="N174" s="103" t="s">
        <v>1115</v>
      </c>
      <c r="O174" s="103" t="s">
        <v>1072</v>
      </c>
      <c r="P174" s="103" t="s">
        <v>154</v>
      </c>
      <c r="Q174" s="103">
        <v>0</v>
      </c>
      <c r="R174" s="103">
        <v>0</v>
      </c>
      <c r="S174" s="103" t="s">
        <v>175</v>
      </c>
      <c r="T174" s="103"/>
      <c r="U174" s="103" t="b">
        <v>0</v>
      </c>
      <c r="V174" s="103"/>
      <c r="W174" s="103" t="b">
        <v>1</v>
      </c>
      <c r="X174" s="103" t="s">
        <v>863</v>
      </c>
      <c r="Y174" s="103" t="s">
        <v>153</v>
      </c>
      <c r="Z174" s="103" t="s">
        <v>864</v>
      </c>
      <c r="AA174" s="103" t="s">
        <v>1428</v>
      </c>
      <c r="AB174" s="103" t="s">
        <v>865</v>
      </c>
      <c r="AC174" s="103" t="s">
        <v>866</v>
      </c>
      <c r="AD174" s="103" t="str">
        <f>IF(ISNA(MATCH(AM174,'Measure &amp; Standard CostIDs'!$C$5:$C$177,0)),"",AM174)</f>
        <v>CFLscw-Refl-1(15w)</v>
      </c>
      <c r="AE174" s="103" t="str">
        <f>IFERROR(INDEX('Measure &amp; Standard CostIDs'!$S$5:$S$177,MATCH(AM174&amp;AL174,'Measure &amp; Standard CostIDs'!$AB$5:$AB$177,0)),"")</f>
        <v>Std_CFLscw-Refl-1(15w)_60pInc-r0286</v>
      </c>
      <c r="AF174" s="103" t="s">
        <v>1429</v>
      </c>
      <c r="AG174" s="103"/>
      <c r="AH174" s="103" t="s">
        <v>163</v>
      </c>
      <c r="AI174" s="103" t="s">
        <v>163</v>
      </c>
      <c r="AJ174" s="103" t="s">
        <v>505</v>
      </c>
      <c r="AK174" s="103" t="s">
        <v>161</v>
      </c>
      <c r="AL174" s="103" t="s">
        <v>161</v>
      </c>
      <c r="AM174" s="103" t="s">
        <v>43</v>
      </c>
      <c r="AN174" s="103" t="s">
        <v>1430</v>
      </c>
      <c r="AO174" s="103" t="s">
        <v>1076</v>
      </c>
      <c r="AP174" s="156">
        <v>42156</v>
      </c>
      <c r="AQ174" s="103"/>
      <c r="AR174" s="103" t="s">
        <v>870</v>
      </c>
      <c r="AS174" s="103" t="s">
        <v>1077</v>
      </c>
      <c r="AT174" s="103" t="s">
        <v>1078</v>
      </c>
      <c r="AU174" s="103"/>
      <c r="AV174" s="103"/>
    </row>
    <row r="175" spans="1:48">
      <c r="A175" s="103">
        <v>5831</v>
      </c>
      <c r="B175" s="103" t="s">
        <v>1431</v>
      </c>
      <c r="C175" s="103" t="s">
        <v>1426</v>
      </c>
      <c r="D175" s="103" t="s">
        <v>1068</v>
      </c>
      <c r="E175" s="103" t="s">
        <v>1069</v>
      </c>
      <c r="F175" s="156"/>
      <c r="G175" s="103" t="s">
        <v>1070</v>
      </c>
      <c r="H175" s="103"/>
      <c r="I175" s="103"/>
      <c r="J175" s="103"/>
      <c r="K175" s="103"/>
      <c r="L175" s="103" t="s">
        <v>874</v>
      </c>
      <c r="M175" s="103" t="s">
        <v>1427</v>
      </c>
      <c r="N175" s="103" t="s">
        <v>1115</v>
      </c>
      <c r="O175" s="103" t="s">
        <v>1072</v>
      </c>
      <c r="P175" s="103" t="s">
        <v>154</v>
      </c>
      <c r="Q175" s="103">
        <v>0</v>
      </c>
      <c r="R175" s="103">
        <v>0</v>
      </c>
      <c r="S175" s="103" t="s">
        <v>175</v>
      </c>
      <c r="T175" s="103"/>
      <c r="U175" s="103" t="b">
        <v>0</v>
      </c>
      <c r="V175" s="103"/>
      <c r="W175" s="103" t="b">
        <v>1</v>
      </c>
      <c r="X175" s="103" t="s">
        <v>863</v>
      </c>
      <c r="Y175" s="103" t="s">
        <v>153</v>
      </c>
      <c r="Z175" s="103" t="s">
        <v>864</v>
      </c>
      <c r="AA175" s="103" t="s">
        <v>1428</v>
      </c>
      <c r="AB175" s="103" t="s">
        <v>865</v>
      </c>
      <c r="AC175" s="103" t="s">
        <v>866</v>
      </c>
      <c r="AD175" s="103" t="str">
        <f>IF(ISNA(MATCH(AM175,'Measure &amp; Standard CostIDs'!$C$5:$C$177,0)),"",AM175)</f>
        <v>CFLscw-Refl-1(23w)</v>
      </c>
      <c r="AE175" s="103" t="str">
        <f>IFERROR(INDEX('Measure &amp; Standard CostIDs'!$S$5:$S$177,MATCH(AM175&amp;AL175,'Measure &amp; Standard CostIDs'!$AB$5:$AB$177,0)),"")</f>
        <v>Std_CFLscw-Refl-1(23w)_60pInc-r0286</v>
      </c>
      <c r="AF175" s="103" t="s">
        <v>1429</v>
      </c>
      <c r="AG175" s="103"/>
      <c r="AH175" s="103" t="s">
        <v>163</v>
      </c>
      <c r="AI175" s="103" t="s">
        <v>163</v>
      </c>
      <c r="AJ175" s="103" t="s">
        <v>507</v>
      </c>
      <c r="AK175" s="103" t="s">
        <v>161</v>
      </c>
      <c r="AL175" s="103" t="s">
        <v>161</v>
      </c>
      <c r="AM175" s="103" t="s">
        <v>506</v>
      </c>
      <c r="AN175" s="103" t="s">
        <v>1432</v>
      </c>
      <c r="AO175" s="103" t="s">
        <v>1076</v>
      </c>
      <c r="AP175" s="156">
        <v>42156</v>
      </c>
      <c r="AQ175" s="103"/>
      <c r="AR175" s="103" t="s">
        <v>870</v>
      </c>
      <c r="AS175" s="103" t="s">
        <v>1077</v>
      </c>
      <c r="AT175" s="103" t="s">
        <v>1078</v>
      </c>
      <c r="AU175" s="103"/>
      <c r="AV175" s="103"/>
    </row>
    <row r="176" spans="1:48">
      <c r="A176" s="103">
        <v>5832</v>
      </c>
      <c r="B176" s="103" t="s">
        <v>1433</v>
      </c>
      <c r="C176" s="103" t="s">
        <v>1426</v>
      </c>
      <c r="D176" s="103" t="s">
        <v>1068</v>
      </c>
      <c r="E176" s="103" t="s">
        <v>1069</v>
      </c>
      <c r="F176" s="156"/>
      <c r="G176" s="103" t="s">
        <v>1070</v>
      </c>
      <c r="H176" s="103"/>
      <c r="I176" s="103"/>
      <c r="J176" s="103"/>
      <c r="K176" s="103"/>
      <c r="L176" s="103" t="s">
        <v>874</v>
      </c>
      <c r="M176" s="103" t="s">
        <v>1427</v>
      </c>
      <c r="N176" s="103" t="s">
        <v>1115</v>
      </c>
      <c r="O176" s="103" t="s">
        <v>1072</v>
      </c>
      <c r="P176" s="103" t="s">
        <v>154</v>
      </c>
      <c r="Q176" s="103">
        <v>0</v>
      </c>
      <c r="R176" s="103">
        <v>0</v>
      </c>
      <c r="S176" s="103" t="s">
        <v>175</v>
      </c>
      <c r="T176" s="103"/>
      <c r="U176" s="103" t="b">
        <v>0</v>
      </c>
      <c r="V176" s="103"/>
      <c r="W176" s="103" t="b">
        <v>1</v>
      </c>
      <c r="X176" s="103" t="s">
        <v>863</v>
      </c>
      <c r="Y176" s="103" t="s">
        <v>153</v>
      </c>
      <c r="Z176" s="103" t="s">
        <v>864</v>
      </c>
      <c r="AA176" s="103" t="s">
        <v>1428</v>
      </c>
      <c r="AB176" s="103" t="s">
        <v>865</v>
      </c>
      <c r="AC176" s="103" t="s">
        <v>866</v>
      </c>
      <c r="AD176" s="103" t="str">
        <f>IF(ISNA(MATCH(AM176,'Measure &amp; Standard CostIDs'!$C$5:$C$177,0)),"",AM176)</f>
        <v>CFLscw-Refl-2(15w)</v>
      </c>
      <c r="AE176" s="103" t="str">
        <f>IFERROR(INDEX('Measure &amp; Standard CostIDs'!$S$5:$S$177,MATCH(AM176&amp;AL176,'Measure &amp; Standard CostIDs'!$AB$5:$AB$177,0)),"")</f>
        <v>Std_CFLscw-Refl-2(15w)_60pInc-r0286</v>
      </c>
      <c r="AF176" s="103" t="s">
        <v>1429</v>
      </c>
      <c r="AG176" s="103"/>
      <c r="AH176" s="103" t="s">
        <v>163</v>
      </c>
      <c r="AI176" s="103" t="s">
        <v>163</v>
      </c>
      <c r="AJ176" s="103" t="s">
        <v>509</v>
      </c>
      <c r="AK176" s="103" t="s">
        <v>161</v>
      </c>
      <c r="AL176" s="103" t="s">
        <v>161</v>
      </c>
      <c r="AM176" s="103" t="s">
        <v>508</v>
      </c>
      <c r="AN176" s="103" t="s">
        <v>1434</v>
      </c>
      <c r="AO176" s="103" t="s">
        <v>1076</v>
      </c>
      <c r="AP176" s="156">
        <v>42156</v>
      </c>
      <c r="AQ176" s="103"/>
      <c r="AR176" s="103" t="s">
        <v>870</v>
      </c>
      <c r="AS176" s="103" t="s">
        <v>1077</v>
      </c>
      <c r="AT176" s="103" t="s">
        <v>1078</v>
      </c>
      <c r="AU176" s="103" t="s">
        <v>1435</v>
      </c>
      <c r="AV176" s="103"/>
    </row>
    <row r="177" spans="1:48">
      <c r="A177" s="103">
        <v>5833</v>
      </c>
      <c r="B177" s="103" t="s">
        <v>1436</v>
      </c>
      <c r="C177" s="103" t="s">
        <v>1426</v>
      </c>
      <c r="D177" s="103" t="s">
        <v>1068</v>
      </c>
      <c r="E177" s="103" t="s">
        <v>1069</v>
      </c>
      <c r="F177" s="156"/>
      <c r="G177" s="103" t="s">
        <v>1070</v>
      </c>
      <c r="H177" s="103"/>
      <c r="I177" s="103"/>
      <c r="J177" s="103"/>
      <c r="K177" s="103"/>
      <c r="L177" s="103" t="s">
        <v>874</v>
      </c>
      <c r="M177" s="103" t="s">
        <v>1427</v>
      </c>
      <c r="N177" s="103" t="s">
        <v>1115</v>
      </c>
      <c r="O177" s="103" t="s">
        <v>1072</v>
      </c>
      <c r="P177" s="103" t="s">
        <v>154</v>
      </c>
      <c r="Q177" s="103">
        <v>0</v>
      </c>
      <c r="R177" s="103">
        <v>0</v>
      </c>
      <c r="S177" s="103" t="s">
        <v>175</v>
      </c>
      <c r="T177" s="103"/>
      <c r="U177" s="103" t="b">
        <v>0</v>
      </c>
      <c r="V177" s="103"/>
      <c r="W177" s="103" t="b">
        <v>1</v>
      </c>
      <c r="X177" s="103" t="s">
        <v>863</v>
      </c>
      <c r="Y177" s="103" t="s">
        <v>153</v>
      </c>
      <c r="Z177" s="103" t="s">
        <v>864</v>
      </c>
      <c r="AA177" s="103" t="s">
        <v>1428</v>
      </c>
      <c r="AB177" s="103" t="s">
        <v>865</v>
      </c>
      <c r="AC177" s="103" t="s">
        <v>866</v>
      </c>
      <c r="AD177" s="103" t="str">
        <f>IF(ISNA(MATCH(AM177,'Measure &amp; Standard CostIDs'!$C$5:$C$177,0)),"",AM177)</f>
        <v>CFLscw-Refl-2(23w)</v>
      </c>
      <c r="AE177" s="103" t="str">
        <f>IFERROR(INDEX('Measure &amp; Standard CostIDs'!$S$5:$S$177,MATCH(AM177&amp;AL177,'Measure &amp; Standard CostIDs'!$AB$5:$AB$177,0)),"")</f>
        <v>Std_CFLscw-Refl-2(23w)_60pInc-r0286</v>
      </c>
      <c r="AF177" s="103" t="s">
        <v>1429</v>
      </c>
      <c r="AG177" s="103"/>
      <c r="AH177" s="103" t="s">
        <v>163</v>
      </c>
      <c r="AI177" s="103" t="s">
        <v>163</v>
      </c>
      <c r="AJ177" s="103" t="s">
        <v>511</v>
      </c>
      <c r="AK177" s="103" t="s">
        <v>161</v>
      </c>
      <c r="AL177" s="103" t="s">
        <v>161</v>
      </c>
      <c r="AM177" s="103" t="s">
        <v>510</v>
      </c>
      <c r="AN177" s="103" t="s">
        <v>1437</v>
      </c>
      <c r="AO177" s="103" t="s">
        <v>1076</v>
      </c>
      <c r="AP177" s="156">
        <v>42156</v>
      </c>
      <c r="AQ177" s="103"/>
      <c r="AR177" s="103" t="s">
        <v>870</v>
      </c>
      <c r="AS177" s="103" t="s">
        <v>1077</v>
      </c>
      <c r="AT177" s="103" t="s">
        <v>1078</v>
      </c>
      <c r="AU177" s="103" t="s">
        <v>1438</v>
      </c>
      <c r="AV177" s="103"/>
    </row>
    <row r="178" spans="1:48">
      <c r="A178" s="103">
        <v>5824</v>
      </c>
      <c r="B178" s="103" t="s">
        <v>1439</v>
      </c>
      <c r="C178" s="103" t="s">
        <v>1426</v>
      </c>
      <c r="D178" s="103" t="s">
        <v>1068</v>
      </c>
      <c r="E178" s="103" t="s">
        <v>1069</v>
      </c>
      <c r="F178" s="156"/>
      <c r="G178" s="103" t="s">
        <v>1070</v>
      </c>
      <c r="H178" s="103"/>
      <c r="I178" s="103"/>
      <c r="J178" s="103"/>
      <c r="K178" s="103"/>
      <c r="L178" s="103" t="s">
        <v>874</v>
      </c>
      <c r="M178" s="103" t="s">
        <v>1427</v>
      </c>
      <c r="N178" s="103" t="s">
        <v>1115</v>
      </c>
      <c r="O178" s="103" t="s">
        <v>1072</v>
      </c>
      <c r="P178" s="103" t="s">
        <v>154</v>
      </c>
      <c r="Q178" s="103">
        <v>0</v>
      </c>
      <c r="R178" s="103">
        <v>0</v>
      </c>
      <c r="S178" s="103" t="s">
        <v>175</v>
      </c>
      <c r="T178" s="103"/>
      <c r="U178" s="103" t="b">
        <v>0</v>
      </c>
      <c r="V178" s="103"/>
      <c r="W178" s="103" t="b">
        <v>1</v>
      </c>
      <c r="X178" s="103" t="s">
        <v>863</v>
      </c>
      <c r="Y178" s="103" t="s">
        <v>153</v>
      </c>
      <c r="Z178" s="103" t="s">
        <v>864</v>
      </c>
      <c r="AA178" s="103" t="s">
        <v>1428</v>
      </c>
      <c r="AB178" s="103" t="s">
        <v>865</v>
      </c>
      <c r="AC178" s="103" t="s">
        <v>866</v>
      </c>
      <c r="AD178" s="103" t="str">
        <f>IF(ISNA(MATCH(AM178,'Measure &amp; Standard CostIDs'!$C$5:$C$177,0)),"",AM178)</f>
        <v>CFLscw-Refl(13w)</v>
      </c>
      <c r="AE178" s="103" t="str">
        <f>IFERROR(INDEX('Measure &amp; Standard CostIDs'!$S$5:$S$177,MATCH(AM178&amp;AL178,'Measure &amp; Standard CostIDs'!$AB$5:$AB$177,0)),"")</f>
        <v>Std_CFLscw-Refl(13w)_60pInc-r0286</v>
      </c>
      <c r="AF178" s="103" t="s">
        <v>1429</v>
      </c>
      <c r="AG178" s="103"/>
      <c r="AH178" s="103" t="s">
        <v>163</v>
      </c>
      <c r="AI178" s="103" t="s">
        <v>163</v>
      </c>
      <c r="AJ178" s="103" t="s">
        <v>548</v>
      </c>
      <c r="AK178" s="103" t="s">
        <v>161</v>
      </c>
      <c r="AL178" s="103" t="s">
        <v>161</v>
      </c>
      <c r="AM178" s="103" t="s">
        <v>546</v>
      </c>
      <c r="AN178" s="103" t="s">
        <v>1440</v>
      </c>
      <c r="AO178" s="103" t="s">
        <v>1076</v>
      </c>
      <c r="AP178" s="156">
        <v>42156</v>
      </c>
      <c r="AQ178" s="103"/>
      <c r="AR178" s="103" t="s">
        <v>870</v>
      </c>
      <c r="AS178" s="103" t="s">
        <v>1077</v>
      </c>
      <c r="AT178" s="103" t="s">
        <v>1078</v>
      </c>
      <c r="AU178" s="103"/>
      <c r="AV178" s="103"/>
    </row>
    <row r="179" spans="1:48">
      <c r="A179" s="103">
        <v>5825</v>
      </c>
      <c r="B179" s="103" t="s">
        <v>1441</v>
      </c>
      <c r="C179" s="103" t="s">
        <v>1426</v>
      </c>
      <c r="D179" s="103" t="s">
        <v>1068</v>
      </c>
      <c r="E179" s="103" t="s">
        <v>1069</v>
      </c>
      <c r="F179" s="156"/>
      <c r="G179" s="103" t="s">
        <v>1070</v>
      </c>
      <c r="H179" s="103"/>
      <c r="I179" s="103"/>
      <c r="J179" s="103"/>
      <c r="K179" s="103"/>
      <c r="L179" s="103" t="s">
        <v>874</v>
      </c>
      <c r="M179" s="103" t="s">
        <v>1427</v>
      </c>
      <c r="N179" s="103" t="s">
        <v>1115</v>
      </c>
      <c r="O179" s="103" t="s">
        <v>1072</v>
      </c>
      <c r="P179" s="103" t="s">
        <v>154</v>
      </c>
      <c r="Q179" s="103">
        <v>0</v>
      </c>
      <c r="R179" s="103">
        <v>0</v>
      </c>
      <c r="S179" s="103" t="s">
        <v>175</v>
      </c>
      <c r="T179" s="103"/>
      <c r="U179" s="103" t="b">
        <v>0</v>
      </c>
      <c r="V179" s="103"/>
      <c r="W179" s="103" t="b">
        <v>1</v>
      </c>
      <c r="X179" s="103" t="s">
        <v>863</v>
      </c>
      <c r="Y179" s="103" t="s">
        <v>153</v>
      </c>
      <c r="Z179" s="103" t="s">
        <v>864</v>
      </c>
      <c r="AA179" s="103" t="s">
        <v>1428</v>
      </c>
      <c r="AB179" s="103" t="s">
        <v>865</v>
      </c>
      <c r="AC179" s="103" t="s">
        <v>866</v>
      </c>
      <c r="AD179" s="103" t="str">
        <f>IF(ISNA(MATCH(AM179,'Measure &amp; Standard CostIDs'!$C$5:$C$177,0)),"",AM179)</f>
        <v>CFLscw-Refl(14w)</v>
      </c>
      <c r="AE179" s="103" t="str">
        <f>IFERROR(INDEX('Measure &amp; Standard CostIDs'!$S$5:$S$177,MATCH(AM179&amp;AL179,'Measure &amp; Standard CostIDs'!$AB$5:$AB$177,0)),"")</f>
        <v>Std_CFLscw-Refl(14w)_60pInc-r0286</v>
      </c>
      <c r="AF179" s="103" t="s">
        <v>1429</v>
      </c>
      <c r="AG179" s="103"/>
      <c r="AH179" s="103" t="s">
        <v>163</v>
      </c>
      <c r="AI179" s="103" t="s">
        <v>163</v>
      </c>
      <c r="AJ179" s="103" t="s">
        <v>551</v>
      </c>
      <c r="AK179" s="103" t="s">
        <v>161</v>
      </c>
      <c r="AL179" s="103" t="s">
        <v>161</v>
      </c>
      <c r="AM179" s="103" t="s">
        <v>549</v>
      </c>
      <c r="AN179" s="103" t="s">
        <v>1442</v>
      </c>
      <c r="AO179" s="103" t="s">
        <v>1076</v>
      </c>
      <c r="AP179" s="156">
        <v>42156</v>
      </c>
      <c r="AQ179" s="103"/>
      <c r="AR179" s="103" t="s">
        <v>870</v>
      </c>
      <c r="AS179" s="103" t="s">
        <v>1077</v>
      </c>
      <c r="AT179" s="103" t="s">
        <v>1078</v>
      </c>
      <c r="AU179" s="103"/>
      <c r="AV179" s="103"/>
    </row>
    <row r="180" spans="1:48">
      <c r="A180" s="103">
        <v>5826</v>
      </c>
      <c r="B180" s="103" t="s">
        <v>1443</v>
      </c>
      <c r="C180" s="103" t="s">
        <v>1426</v>
      </c>
      <c r="D180" s="103" t="s">
        <v>1068</v>
      </c>
      <c r="E180" s="103" t="s">
        <v>1069</v>
      </c>
      <c r="F180" s="156"/>
      <c r="G180" s="103" t="s">
        <v>1070</v>
      </c>
      <c r="H180" s="103"/>
      <c r="I180" s="103"/>
      <c r="J180" s="103"/>
      <c r="K180" s="103"/>
      <c r="L180" s="103" t="s">
        <v>874</v>
      </c>
      <c r="M180" s="103" t="s">
        <v>1427</v>
      </c>
      <c r="N180" s="103" t="s">
        <v>1115</v>
      </c>
      <c r="O180" s="103" t="s">
        <v>1072</v>
      </c>
      <c r="P180" s="103" t="s">
        <v>154</v>
      </c>
      <c r="Q180" s="103">
        <v>0</v>
      </c>
      <c r="R180" s="103">
        <v>0</v>
      </c>
      <c r="S180" s="103" t="s">
        <v>175</v>
      </c>
      <c r="T180" s="103"/>
      <c r="U180" s="103" t="b">
        <v>0</v>
      </c>
      <c r="V180" s="103"/>
      <c r="W180" s="103" t="b">
        <v>1</v>
      </c>
      <c r="X180" s="103" t="s">
        <v>863</v>
      </c>
      <c r="Y180" s="103" t="s">
        <v>153</v>
      </c>
      <c r="Z180" s="103" t="s">
        <v>864</v>
      </c>
      <c r="AA180" s="103" t="s">
        <v>1428</v>
      </c>
      <c r="AB180" s="103" t="s">
        <v>865</v>
      </c>
      <c r="AC180" s="103" t="s">
        <v>866</v>
      </c>
      <c r="AD180" s="103" t="str">
        <f>IF(ISNA(MATCH(AM180,'Measure &amp; Standard CostIDs'!$C$5:$C$177,0)),"",AM180)</f>
        <v>CFLscw-Refl(16w)</v>
      </c>
      <c r="AE180" s="103" t="str">
        <f>IFERROR(INDEX('Measure &amp; Standard CostIDs'!$S$5:$S$177,MATCH(AM180&amp;AL180,'Measure &amp; Standard CostIDs'!$AB$5:$AB$177,0)),"")</f>
        <v>Std_CFLscw-Refl(16w)_60pInc-r0286</v>
      </c>
      <c r="AF180" s="103" t="s">
        <v>1429</v>
      </c>
      <c r="AG180" s="103"/>
      <c r="AH180" s="103" t="s">
        <v>163</v>
      </c>
      <c r="AI180" s="103" t="s">
        <v>163</v>
      </c>
      <c r="AJ180" s="103" t="s">
        <v>557</v>
      </c>
      <c r="AK180" s="103" t="s">
        <v>161</v>
      </c>
      <c r="AL180" s="103" t="s">
        <v>161</v>
      </c>
      <c r="AM180" s="103" t="s">
        <v>555</v>
      </c>
      <c r="AN180" s="103" t="s">
        <v>1444</v>
      </c>
      <c r="AO180" s="103" t="s">
        <v>1076</v>
      </c>
      <c r="AP180" s="156">
        <v>42156</v>
      </c>
      <c r="AQ180" s="103"/>
      <c r="AR180" s="103" t="s">
        <v>870</v>
      </c>
      <c r="AS180" s="103" t="s">
        <v>1077</v>
      </c>
      <c r="AT180" s="103" t="s">
        <v>1078</v>
      </c>
      <c r="AU180" s="103"/>
      <c r="AV180" s="103"/>
    </row>
    <row r="181" spans="1:48">
      <c r="A181" s="103">
        <v>5827</v>
      </c>
      <c r="B181" s="103" t="s">
        <v>1445</v>
      </c>
      <c r="C181" s="103" t="s">
        <v>1426</v>
      </c>
      <c r="D181" s="103" t="s">
        <v>1068</v>
      </c>
      <c r="E181" s="103" t="s">
        <v>1069</v>
      </c>
      <c r="F181" s="156"/>
      <c r="G181" s="103" t="s">
        <v>1070</v>
      </c>
      <c r="H181" s="103"/>
      <c r="I181" s="103"/>
      <c r="J181" s="103"/>
      <c r="K181" s="103"/>
      <c r="L181" s="103" t="s">
        <v>874</v>
      </c>
      <c r="M181" s="103" t="s">
        <v>1427</v>
      </c>
      <c r="N181" s="103" t="s">
        <v>1115</v>
      </c>
      <c r="O181" s="103" t="s">
        <v>1072</v>
      </c>
      <c r="P181" s="103" t="s">
        <v>154</v>
      </c>
      <c r="Q181" s="103">
        <v>0</v>
      </c>
      <c r="R181" s="103">
        <v>0</v>
      </c>
      <c r="S181" s="103" t="s">
        <v>175</v>
      </c>
      <c r="T181" s="103"/>
      <c r="U181" s="103" t="b">
        <v>0</v>
      </c>
      <c r="V181" s="103"/>
      <c r="W181" s="103" t="b">
        <v>1</v>
      </c>
      <c r="X181" s="103" t="s">
        <v>863</v>
      </c>
      <c r="Y181" s="103" t="s">
        <v>153</v>
      </c>
      <c r="Z181" s="103" t="s">
        <v>864</v>
      </c>
      <c r="AA181" s="103" t="s">
        <v>1428</v>
      </c>
      <c r="AB181" s="103" t="s">
        <v>865</v>
      </c>
      <c r="AC181" s="103" t="s">
        <v>866</v>
      </c>
      <c r="AD181" s="103" t="str">
        <f>IF(ISNA(MATCH(AM181,'Measure &amp; Standard CostIDs'!$C$5:$C$177,0)),"",AM181)</f>
        <v>CFLscw-Refl(18w)</v>
      </c>
      <c r="AE181" s="103" t="str">
        <f>IFERROR(INDEX('Measure &amp; Standard CostIDs'!$S$5:$S$177,MATCH(AM181&amp;AL181,'Measure &amp; Standard CostIDs'!$AB$5:$AB$177,0)),"")</f>
        <v>Std_CFLscw-Refl(18w)_60pInc-r0286</v>
      </c>
      <c r="AF181" s="103" t="s">
        <v>1429</v>
      </c>
      <c r="AG181" s="103"/>
      <c r="AH181" s="103" t="s">
        <v>163</v>
      </c>
      <c r="AI181" s="103" t="s">
        <v>163</v>
      </c>
      <c r="AJ181" s="103" t="s">
        <v>563</v>
      </c>
      <c r="AK181" s="103" t="s">
        <v>161</v>
      </c>
      <c r="AL181" s="103" t="s">
        <v>161</v>
      </c>
      <c r="AM181" s="103" t="s">
        <v>561</v>
      </c>
      <c r="AN181" s="103" t="s">
        <v>1446</v>
      </c>
      <c r="AO181" s="103" t="s">
        <v>1076</v>
      </c>
      <c r="AP181" s="156">
        <v>42156</v>
      </c>
      <c r="AQ181" s="103"/>
      <c r="AR181" s="103" t="s">
        <v>870</v>
      </c>
      <c r="AS181" s="103" t="s">
        <v>1077</v>
      </c>
      <c r="AT181" s="103" t="s">
        <v>1078</v>
      </c>
      <c r="AU181" s="103"/>
      <c r="AV181" s="103"/>
    </row>
    <row r="182" spans="1:48">
      <c r="A182" s="103">
        <v>5828</v>
      </c>
      <c r="B182" s="103" t="s">
        <v>1447</v>
      </c>
      <c r="C182" s="103" t="s">
        <v>1426</v>
      </c>
      <c r="D182" s="103" t="s">
        <v>1068</v>
      </c>
      <c r="E182" s="103" t="s">
        <v>1069</v>
      </c>
      <c r="F182" s="156"/>
      <c r="G182" s="103" t="s">
        <v>1070</v>
      </c>
      <c r="H182" s="103"/>
      <c r="I182" s="103"/>
      <c r="J182" s="103"/>
      <c r="K182" s="103"/>
      <c r="L182" s="103" t="s">
        <v>874</v>
      </c>
      <c r="M182" s="103" t="s">
        <v>1427</v>
      </c>
      <c r="N182" s="103" t="s">
        <v>1115</v>
      </c>
      <c r="O182" s="103" t="s">
        <v>1072</v>
      </c>
      <c r="P182" s="103" t="s">
        <v>154</v>
      </c>
      <c r="Q182" s="103">
        <v>0</v>
      </c>
      <c r="R182" s="103">
        <v>0</v>
      </c>
      <c r="S182" s="103" t="s">
        <v>175</v>
      </c>
      <c r="T182" s="103"/>
      <c r="U182" s="103" t="b">
        <v>0</v>
      </c>
      <c r="V182" s="103"/>
      <c r="W182" s="103" t="b">
        <v>1</v>
      </c>
      <c r="X182" s="103" t="s">
        <v>863</v>
      </c>
      <c r="Y182" s="103" t="s">
        <v>153</v>
      </c>
      <c r="Z182" s="103" t="s">
        <v>864</v>
      </c>
      <c r="AA182" s="103" t="s">
        <v>1428</v>
      </c>
      <c r="AB182" s="103" t="s">
        <v>865</v>
      </c>
      <c r="AC182" s="103" t="s">
        <v>866</v>
      </c>
      <c r="AD182" s="103" t="str">
        <f>IF(ISNA(MATCH(AM182,'Measure &amp; Standard CostIDs'!$C$5:$C$177,0)),"",AM182)</f>
        <v>CFLscw-Refl(20w)</v>
      </c>
      <c r="AE182" s="103" t="str">
        <f>IFERROR(INDEX('Measure &amp; Standard CostIDs'!$S$5:$S$177,MATCH(AM182&amp;AL182,'Measure &amp; Standard CostIDs'!$AB$5:$AB$177,0)),"")</f>
        <v>Std_CFLscw-Refl(20w)_60pInc-r0286</v>
      </c>
      <c r="AF182" s="103" t="s">
        <v>1429</v>
      </c>
      <c r="AG182" s="103"/>
      <c r="AH182" s="103" t="s">
        <v>163</v>
      </c>
      <c r="AI182" s="103" t="s">
        <v>163</v>
      </c>
      <c r="AJ182" s="103" t="s">
        <v>572</v>
      </c>
      <c r="AK182" s="103" t="s">
        <v>161</v>
      </c>
      <c r="AL182" s="103" t="s">
        <v>161</v>
      </c>
      <c r="AM182" s="103" t="s">
        <v>570</v>
      </c>
      <c r="AN182" s="103" t="s">
        <v>1448</v>
      </c>
      <c r="AO182" s="103" t="s">
        <v>1076</v>
      </c>
      <c r="AP182" s="156">
        <v>42156</v>
      </c>
      <c r="AQ182" s="103"/>
      <c r="AR182" s="103" t="s">
        <v>870</v>
      </c>
      <c r="AS182" s="103" t="s">
        <v>1077</v>
      </c>
      <c r="AT182" s="103" t="s">
        <v>1078</v>
      </c>
      <c r="AU182" s="103"/>
      <c r="AV182" s="103"/>
    </row>
    <row r="183" spans="1:48">
      <c r="A183" s="103">
        <v>5829</v>
      </c>
      <c r="B183" s="103" t="s">
        <v>1449</v>
      </c>
      <c r="C183" s="103" t="s">
        <v>1426</v>
      </c>
      <c r="D183" s="103" t="s">
        <v>1068</v>
      </c>
      <c r="E183" s="103" t="s">
        <v>1069</v>
      </c>
      <c r="F183" s="156"/>
      <c r="G183" s="103" t="s">
        <v>1070</v>
      </c>
      <c r="H183" s="103"/>
      <c r="I183" s="103"/>
      <c r="J183" s="103"/>
      <c r="K183" s="103"/>
      <c r="L183" s="103" t="s">
        <v>874</v>
      </c>
      <c r="M183" s="103" t="s">
        <v>1427</v>
      </c>
      <c r="N183" s="103" t="s">
        <v>1115</v>
      </c>
      <c r="O183" s="103" t="s">
        <v>1072</v>
      </c>
      <c r="P183" s="103" t="s">
        <v>154</v>
      </c>
      <c r="Q183" s="103">
        <v>0</v>
      </c>
      <c r="R183" s="103">
        <v>0</v>
      </c>
      <c r="S183" s="103" t="s">
        <v>175</v>
      </c>
      <c r="T183" s="103"/>
      <c r="U183" s="103" t="b">
        <v>0</v>
      </c>
      <c r="V183" s="103"/>
      <c r="W183" s="103" t="b">
        <v>1</v>
      </c>
      <c r="X183" s="103" t="s">
        <v>863</v>
      </c>
      <c r="Y183" s="103" t="s">
        <v>153</v>
      </c>
      <c r="Z183" s="103" t="s">
        <v>864</v>
      </c>
      <c r="AA183" s="103" t="s">
        <v>1428</v>
      </c>
      <c r="AB183" s="103" t="s">
        <v>865</v>
      </c>
      <c r="AC183" s="103" t="s">
        <v>866</v>
      </c>
      <c r="AD183" s="103" t="str">
        <f>IF(ISNA(MATCH(AM183,'Measure &amp; Standard CostIDs'!$C$5:$C$177,0)),"",AM183)</f>
        <v>CFLscw-Refl(26w)</v>
      </c>
      <c r="AE183" s="103" t="str">
        <f>IFERROR(INDEX('Measure &amp; Standard CostIDs'!$S$5:$S$177,MATCH(AM183&amp;AL183,'Measure &amp; Standard CostIDs'!$AB$5:$AB$177,0)),"")</f>
        <v>Std_CFLscw-Refl(26w)_60pInc-r0286</v>
      </c>
      <c r="AF183" s="103" t="s">
        <v>1429</v>
      </c>
      <c r="AG183" s="103"/>
      <c r="AH183" s="103" t="s">
        <v>163</v>
      </c>
      <c r="AI183" s="103" t="s">
        <v>163</v>
      </c>
      <c r="AJ183" s="103" t="s">
        <v>587</v>
      </c>
      <c r="AK183" s="103" t="s">
        <v>161</v>
      </c>
      <c r="AL183" s="103" t="s">
        <v>161</v>
      </c>
      <c r="AM183" s="103" t="s">
        <v>585</v>
      </c>
      <c r="AN183" s="103" t="s">
        <v>1450</v>
      </c>
      <c r="AO183" s="103" t="s">
        <v>1076</v>
      </c>
      <c r="AP183" s="156">
        <v>42156</v>
      </c>
      <c r="AQ183" s="103"/>
      <c r="AR183" s="103" t="s">
        <v>870</v>
      </c>
      <c r="AS183" s="103" t="s">
        <v>1077</v>
      </c>
      <c r="AT183" s="103" t="s">
        <v>1078</v>
      </c>
      <c r="AU183" s="103"/>
      <c r="AV183" s="103"/>
    </row>
    <row r="184" spans="1:48">
      <c r="A184" s="103">
        <v>5811</v>
      </c>
      <c r="B184" s="103" t="s">
        <v>1451</v>
      </c>
      <c r="C184" s="103" t="s">
        <v>1426</v>
      </c>
      <c r="D184" s="103" t="s">
        <v>1068</v>
      </c>
      <c r="E184" s="103" t="s">
        <v>1069</v>
      </c>
      <c r="F184" s="156"/>
      <c r="G184" s="103" t="s">
        <v>1070</v>
      </c>
      <c r="H184" s="103"/>
      <c r="I184" s="103"/>
      <c r="J184" s="103"/>
      <c r="K184" s="103"/>
      <c r="L184" s="103" t="s">
        <v>874</v>
      </c>
      <c r="M184" s="103" t="s">
        <v>1427</v>
      </c>
      <c r="N184" s="103" t="s">
        <v>1115</v>
      </c>
      <c r="O184" s="103" t="s">
        <v>1072</v>
      </c>
      <c r="P184" s="103" t="s">
        <v>154</v>
      </c>
      <c r="Q184" s="103">
        <v>0</v>
      </c>
      <c r="R184" s="103">
        <v>0</v>
      </c>
      <c r="S184" s="103" t="s">
        <v>175</v>
      </c>
      <c r="T184" s="103"/>
      <c r="U184" s="103" t="b">
        <v>0</v>
      </c>
      <c r="V184" s="103"/>
      <c r="W184" s="103" t="b">
        <v>1</v>
      </c>
      <c r="X184" s="103" t="s">
        <v>863</v>
      </c>
      <c r="Y184" s="103" t="s">
        <v>153</v>
      </c>
      <c r="Z184" s="103" t="s">
        <v>864</v>
      </c>
      <c r="AA184" s="103" t="s">
        <v>1428</v>
      </c>
      <c r="AB184" s="103" t="s">
        <v>865</v>
      </c>
      <c r="AC184" s="103" t="s">
        <v>866</v>
      </c>
      <c r="AD184" s="103" t="str">
        <f>IF(ISNA(MATCH(AM184,'Measure &amp; Standard CostIDs'!$C$5:$C$177,0)),"",AM184)</f>
        <v>CFLscw(11w)</v>
      </c>
      <c r="AE184" s="103" t="str">
        <f>IFERROR(INDEX('Measure &amp; Standard CostIDs'!$S$5:$S$177,MATCH(AM184&amp;AL184,'Measure &amp; Standard CostIDs'!$AB$5:$AB$177,0)),"")</f>
        <v>Std_CFLscw(11w)_60pInc-r0248</v>
      </c>
      <c r="AF184" s="103" t="s">
        <v>1429</v>
      </c>
      <c r="AG184" s="103"/>
      <c r="AH184" s="103" t="s">
        <v>156</v>
      </c>
      <c r="AI184" s="103" t="s">
        <v>156</v>
      </c>
      <c r="AJ184" s="103" t="s">
        <v>653</v>
      </c>
      <c r="AK184" s="103" t="s">
        <v>150</v>
      </c>
      <c r="AL184" s="103" t="s">
        <v>150</v>
      </c>
      <c r="AM184" s="103" t="s">
        <v>651</v>
      </c>
      <c r="AN184" s="103" t="s">
        <v>1452</v>
      </c>
      <c r="AO184" s="103" t="s">
        <v>1076</v>
      </c>
      <c r="AP184" s="156">
        <v>42156</v>
      </c>
      <c r="AQ184" s="103"/>
      <c r="AR184" s="103" t="s">
        <v>870</v>
      </c>
      <c r="AS184" s="103" t="s">
        <v>1077</v>
      </c>
      <c r="AT184" s="103" t="s">
        <v>1078</v>
      </c>
      <c r="AU184" s="103"/>
      <c r="AV184" s="103"/>
    </row>
    <row r="185" spans="1:48">
      <c r="A185" s="103">
        <v>5812</v>
      </c>
      <c r="B185" s="103" t="s">
        <v>1453</v>
      </c>
      <c r="C185" s="103" t="s">
        <v>1426</v>
      </c>
      <c r="D185" s="103" t="s">
        <v>1068</v>
      </c>
      <c r="E185" s="103" t="s">
        <v>1069</v>
      </c>
      <c r="F185" s="156"/>
      <c r="G185" s="103" t="s">
        <v>1070</v>
      </c>
      <c r="H185" s="103"/>
      <c r="I185" s="103"/>
      <c r="J185" s="103"/>
      <c r="K185" s="103"/>
      <c r="L185" s="103" t="s">
        <v>874</v>
      </c>
      <c r="M185" s="103" t="s">
        <v>1427</v>
      </c>
      <c r="N185" s="103" t="s">
        <v>1115</v>
      </c>
      <c r="O185" s="103" t="s">
        <v>1072</v>
      </c>
      <c r="P185" s="103" t="s">
        <v>154</v>
      </c>
      <c r="Q185" s="103">
        <v>0</v>
      </c>
      <c r="R185" s="103">
        <v>0</v>
      </c>
      <c r="S185" s="103" t="s">
        <v>175</v>
      </c>
      <c r="T185" s="103"/>
      <c r="U185" s="103" t="b">
        <v>0</v>
      </c>
      <c r="V185" s="103"/>
      <c r="W185" s="103" t="b">
        <v>1</v>
      </c>
      <c r="X185" s="103" t="s">
        <v>863</v>
      </c>
      <c r="Y185" s="103" t="s">
        <v>153</v>
      </c>
      <c r="Z185" s="103" t="s">
        <v>864</v>
      </c>
      <c r="AA185" s="103" t="s">
        <v>1428</v>
      </c>
      <c r="AB185" s="103" t="s">
        <v>865</v>
      </c>
      <c r="AC185" s="103" t="s">
        <v>866</v>
      </c>
      <c r="AD185" s="103" t="str">
        <f>IF(ISNA(MATCH(AM185,'Measure &amp; Standard CostIDs'!$C$5:$C$177,0)),"",AM185)</f>
        <v>CFLscw(13w)</v>
      </c>
      <c r="AE185" s="103" t="str">
        <f>IFERROR(INDEX('Measure &amp; Standard CostIDs'!$S$5:$S$177,MATCH(AM185&amp;AL185,'Measure &amp; Standard CostIDs'!$AB$5:$AB$177,0)),"")</f>
        <v>Std_CFLscw(13w)_60pInc-r0248</v>
      </c>
      <c r="AF185" s="103" t="s">
        <v>1429</v>
      </c>
      <c r="AG185" s="103"/>
      <c r="AH185" s="103" t="s">
        <v>156</v>
      </c>
      <c r="AI185" s="103" t="s">
        <v>156</v>
      </c>
      <c r="AJ185" s="103" t="s">
        <v>663</v>
      </c>
      <c r="AK185" s="103" t="s">
        <v>150</v>
      </c>
      <c r="AL185" s="103" t="s">
        <v>150</v>
      </c>
      <c r="AM185" s="103" t="s">
        <v>661</v>
      </c>
      <c r="AN185" s="103" t="s">
        <v>1454</v>
      </c>
      <c r="AO185" s="103" t="s">
        <v>1076</v>
      </c>
      <c r="AP185" s="156">
        <v>42156</v>
      </c>
      <c r="AQ185" s="103"/>
      <c r="AR185" s="103" t="s">
        <v>870</v>
      </c>
      <c r="AS185" s="103" t="s">
        <v>1077</v>
      </c>
      <c r="AT185" s="103" t="s">
        <v>1078</v>
      </c>
      <c r="AU185" s="103"/>
      <c r="AV185" s="103"/>
    </row>
    <row r="186" spans="1:48">
      <c r="A186" s="103">
        <v>5813</v>
      </c>
      <c r="B186" s="103" t="s">
        <v>1455</v>
      </c>
      <c r="C186" s="103" t="s">
        <v>1426</v>
      </c>
      <c r="D186" s="103" t="s">
        <v>1068</v>
      </c>
      <c r="E186" s="103" t="s">
        <v>1069</v>
      </c>
      <c r="F186" s="156"/>
      <c r="G186" s="103" t="s">
        <v>1070</v>
      </c>
      <c r="H186" s="103"/>
      <c r="I186" s="103"/>
      <c r="J186" s="103"/>
      <c r="K186" s="103"/>
      <c r="L186" s="103" t="s">
        <v>874</v>
      </c>
      <c r="M186" s="103" t="s">
        <v>1427</v>
      </c>
      <c r="N186" s="103" t="s">
        <v>1115</v>
      </c>
      <c r="O186" s="103" t="s">
        <v>1072</v>
      </c>
      <c r="P186" s="103" t="s">
        <v>154</v>
      </c>
      <c r="Q186" s="103">
        <v>0</v>
      </c>
      <c r="R186" s="103">
        <v>0</v>
      </c>
      <c r="S186" s="103" t="s">
        <v>175</v>
      </c>
      <c r="T186" s="103"/>
      <c r="U186" s="103" t="b">
        <v>0</v>
      </c>
      <c r="V186" s="103"/>
      <c r="W186" s="103" t="b">
        <v>1</v>
      </c>
      <c r="X186" s="103" t="s">
        <v>863</v>
      </c>
      <c r="Y186" s="103" t="s">
        <v>153</v>
      </c>
      <c r="Z186" s="103" t="s">
        <v>864</v>
      </c>
      <c r="AA186" s="103" t="s">
        <v>1428</v>
      </c>
      <c r="AB186" s="103" t="s">
        <v>865</v>
      </c>
      <c r="AC186" s="103" t="s">
        <v>866</v>
      </c>
      <c r="AD186" s="103" t="str">
        <f>IF(ISNA(MATCH(AM186,'Measure &amp; Standard CostIDs'!$C$5:$C$177,0)),"",AM186)</f>
        <v>CFLscw(14w)</v>
      </c>
      <c r="AE186" s="103" t="str">
        <f>IFERROR(INDEX('Measure &amp; Standard CostIDs'!$S$5:$S$177,MATCH(AM186&amp;AL186,'Measure &amp; Standard CostIDs'!$AB$5:$AB$177,0)),"")</f>
        <v>Std_CFLscw(14w)_60pInc-r0248</v>
      </c>
      <c r="AF186" s="103" t="s">
        <v>1429</v>
      </c>
      <c r="AG186" s="103"/>
      <c r="AH186" s="103" t="s">
        <v>156</v>
      </c>
      <c r="AI186" s="103" t="s">
        <v>156</v>
      </c>
      <c r="AJ186" s="103" t="s">
        <v>666</v>
      </c>
      <c r="AK186" s="103" t="s">
        <v>150</v>
      </c>
      <c r="AL186" s="103" t="s">
        <v>150</v>
      </c>
      <c r="AM186" s="103" t="s">
        <v>664</v>
      </c>
      <c r="AN186" s="103" t="s">
        <v>1456</v>
      </c>
      <c r="AO186" s="103" t="s">
        <v>1076</v>
      </c>
      <c r="AP186" s="156">
        <v>42156</v>
      </c>
      <c r="AQ186" s="103"/>
      <c r="AR186" s="103" t="s">
        <v>870</v>
      </c>
      <c r="AS186" s="103" t="s">
        <v>1077</v>
      </c>
      <c r="AT186" s="103" t="s">
        <v>1078</v>
      </c>
      <c r="AU186" s="103"/>
      <c r="AV186" s="103"/>
    </row>
    <row r="187" spans="1:48">
      <c r="A187" s="103">
        <v>5814</v>
      </c>
      <c r="B187" s="103" t="s">
        <v>1457</v>
      </c>
      <c r="C187" s="103" t="s">
        <v>1426</v>
      </c>
      <c r="D187" s="103" t="s">
        <v>1068</v>
      </c>
      <c r="E187" s="103" t="s">
        <v>1069</v>
      </c>
      <c r="F187" s="156"/>
      <c r="G187" s="103" t="s">
        <v>1070</v>
      </c>
      <c r="H187" s="103"/>
      <c r="I187" s="103"/>
      <c r="J187" s="103"/>
      <c r="K187" s="103"/>
      <c r="L187" s="103" t="s">
        <v>874</v>
      </c>
      <c r="M187" s="103" t="s">
        <v>1427</v>
      </c>
      <c r="N187" s="103" t="s">
        <v>1115</v>
      </c>
      <c r="O187" s="103" t="s">
        <v>1072</v>
      </c>
      <c r="P187" s="103" t="s">
        <v>154</v>
      </c>
      <c r="Q187" s="103">
        <v>0</v>
      </c>
      <c r="R187" s="103">
        <v>0</v>
      </c>
      <c r="S187" s="103" t="s">
        <v>175</v>
      </c>
      <c r="T187" s="103"/>
      <c r="U187" s="103" t="b">
        <v>0</v>
      </c>
      <c r="V187" s="103"/>
      <c r="W187" s="103" t="b">
        <v>1</v>
      </c>
      <c r="X187" s="103" t="s">
        <v>863</v>
      </c>
      <c r="Y187" s="103" t="s">
        <v>153</v>
      </c>
      <c r="Z187" s="103" t="s">
        <v>864</v>
      </c>
      <c r="AA187" s="103" t="s">
        <v>1428</v>
      </c>
      <c r="AB187" s="103" t="s">
        <v>865</v>
      </c>
      <c r="AC187" s="103" t="s">
        <v>866</v>
      </c>
      <c r="AD187" s="103" t="str">
        <f>IF(ISNA(MATCH(AM187,'Measure &amp; Standard CostIDs'!$C$5:$C$177,0)),"",AM187)</f>
        <v>CFLscw(15w)</v>
      </c>
      <c r="AE187" s="103" t="str">
        <f>IFERROR(INDEX('Measure &amp; Standard CostIDs'!$S$5:$S$177,MATCH(AM187&amp;AL187,'Measure &amp; Standard CostIDs'!$AB$5:$AB$177,0)),"")</f>
        <v>Std_CFLscw(15w)_60pInc-r0248</v>
      </c>
      <c r="AF187" s="103" t="s">
        <v>1429</v>
      </c>
      <c r="AG187" s="103"/>
      <c r="AH187" s="103" t="s">
        <v>156</v>
      </c>
      <c r="AI187" s="103" t="s">
        <v>156</v>
      </c>
      <c r="AJ187" s="103" t="s">
        <v>672</v>
      </c>
      <c r="AK187" s="103" t="s">
        <v>150</v>
      </c>
      <c r="AL187" s="103" t="s">
        <v>150</v>
      </c>
      <c r="AM187" s="103" t="s">
        <v>670</v>
      </c>
      <c r="AN187" s="103" t="s">
        <v>1458</v>
      </c>
      <c r="AO187" s="103" t="s">
        <v>1076</v>
      </c>
      <c r="AP187" s="156">
        <v>42156</v>
      </c>
      <c r="AQ187" s="103"/>
      <c r="AR187" s="103" t="s">
        <v>870</v>
      </c>
      <c r="AS187" s="103" t="s">
        <v>1077</v>
      </c>
      <c r="AT187" s="103" t="s">
        <v>1078</v>
      </c>
      <c r="AU187" s="103"/>
      <c r="AV187" s="103"/>
    </row>
    <row r="188" spans="1:48">
      <c r="A188" s="103">
        <v>5815</v>
      </c>
      <c r="B188" s="103" t="s">
        <v>1459</v>
      </c>
      <c r="C188" s="103" t="s">
        <v>1426</v>
      </c>
      <c r="D188" s="103" t="s">
        <v>1068</v>
      </c>
      <c r="E188" s="103" t="s">
        <v>1069</v>
      </c>
      <c r="F188" s="156"/>
      <c r="G188" s="103" t="s">
        <v>1070</v>
      </c>
      <c r="H188" s="103"/>
      <c r="I188" s="103"/>
      <c r="J188" s="103"/>
      <c r="K188" s="103"/>
      <c r="L188" s="103" t="s">
        <v>874</v>
      </c>
      <c r="M188" s="103" t="s">
        <v>1427</v>
      </c>
      <c r="N188" s="103" t="s">
        <v>1115</v>
      </c>
      <c r="O188" s="103" t="s">
        <v>1072</v>
      </c>
      <c r="P188" s="103" t="s">
        <v>154</v>
      </c>
      <c r="Q188" s="103">
        <v>0</v>
      </c>
      <c r="R188" s="103">
        <v>0</v>
      </c>
      <c r="S188" s="103" t="s">
        <v>175</v>
      </c>
      <c r="T188" s="103"/>
      <c r="U188" s="103" t="b">
        <v>0</v>
      </c>
      <c r="V188" s="103"/>
      <c r="W188" s="103" t="b">
        <v>1</v>
      </c>
      <c r="X188" s="103" t="s">
        <v>863</v>
      </c>
      <c r="Y188" s="103" t="s">
        <v>153</v>
      </c>
      <c r="Z188" s="103" t="s">
        <v>864</v>
      </c>
      <c r="AA188" s="103" t="s">
        <v>1428</v>
      </c>
      <c r="AB188" s="103" t="s">
        <v>865</v>
      </c>
      <c r="AC188" s="103" t="s">
        <v>866</v>
      </c>
      <c r="AD188" s="103" t="str">
        <f>IF(ISNA(MATCH(AM188,'Measure &amp; Standard CostIDs'!$C$5:$C$177,0)),"",AM188)</f>
        <v>CFLscw(18w)</v>
      </c>
      <c r="AE188" s="103" t="str">
        <f>IFERROR(INDEX('Measure &amp; Standard CostIDs'!$S$5:$S$177,MATCH(AM188&amp;AL188,'Measure &amp; Standard CostIDs'!$AB$5:$AB$177,0)),"")</f>
        <v>Std_CFLscw(18w)_60pInc-r0248</v>
      </c>
      <c r="AF188" s="103" t="s">
        <v>1429</v>
      </c>
      <c r="AG188" s="103"/>
      <c r="AH188" s="103" t="s">
        <v>156</v>
      </c>
      <c r="AI188" s="103" t="s">
        <v>156</v>
      </c>
      <c r="AJ188" s="103" t="s">
        <v>681</v>
      </c>
      <c r="AK188" s="103" t="s">
        <v>150</v>
      </c>
      <c r="AL188" s="103" t="s">
        <v>150</v>
      </c>
      <c r="AM188" s="103" t="s">
        <v>679</v>
      </c>
      <c r="AN188" s="103" t="s">
        <v>1460</v>
      </c>
      <c r="AO188" s="103" t="s">
        <v>1076</v>
      </c>
      <c r="AP188" s="156">
        <v>42156</v>
      </c>
      <c r="AQ188" s="103"/>
      <c r="AR188" s="103" t="s">
        <v>870</v>
      </c>
      <c r="AS188" s="103" t="s">
        <v>1077</v>
      </c>
      <c r="AT188" s="103" t="s">
        <v>1078</v>
      </c>
      <c r="AU188" s="103"/>
      <c r="AV188" s="103"/>
    </row>
    <row r="189" spans="1:48">
      <c r="A189" s="103">
        <v>5816</v>
      </c>
      <c r="B189" s="103" t="s">
        <v>1461</v>
      </c>
      <c r="C189" s="103" t="s">
        <v>1426</v>
      </c>
      <c r="D189" s="103" t="s">
        <v>1068</v>
      </c>
      <c r="E189" s="103" t="s">
        <v>1069</v>
      </c>
      <c r="F189" s="156"/>
      <c r="G189" s="103" t="s">
        <v>1070</v>
      </c>
      <c r="H189" s="103"/>
      <c r="I189" s="103"/>
      <c r="J189" s="103"/>
      <c r="K189" s="103"/>
      <c r="L189" s="103" t="s">
        <v>874</v>
      </c>
      <c r="M189" s="103" t="s">
        <v>1427</v>
      </c>
      <c r="N189" s="103" t="s">
        <v>1115</v>
      </c>
      <c r="O189" s="103" t="s">
        <v>1072</v>
      </c>
      <c r="P189" s="103" t="s">
        <v>154</v>
      </c>
      <c r="Q189" s="103">
        <v>0</v>
      </c>
      <c r="R189" s="103">
        <v>0</v>
      </c>
      <c r="S189" s="103" t="s">
        <v>175</v>
      </c>
      <c r="T189" s="103"/>
      <c r="U189" s="103" t="b">
        <v>0</v>
      </c>
      <c r="V189" s="103"/>
      <c r="W189" s="103" t="b">
        <v>1</v>
      </c>
      <c r="X189" s="103" t="s">
        <v>863</v>
      </c>
      <c r="Y189" s="103" t="s">
        <v>153</v>
      </c>
      <c r="Z189" s="103" t="s">
        <v>864</v>
      </c>
      <c r="AA189" s="103" t="s">
        <v>1428</v>
      </c>
      <c r="AB189" s="103" t="s">
        <v>865</v>
      </c>
      <c r="AC189" s="103" t="s">
        <v>866</v>
      </c>
      <c r="AD189" s="103" t="str">
        <f>IF(ISNA(MATCH(AM189,'Measure &amp; Standard CostIDs'!$C$5:$C$177,0)),"",AM189)</f>
        <v>CFLscw(19w)</v>
      </c>
      <c r="AE189" s="103" t="str">
        <f>IFERROR(INDEX('Measure &amp; Standard CostIDs'!$S$5:$S$177,MATCH(AM189&amp;AL189,'Measure &amp; Standard CostIDs'!$AB$5:$AB$177,0)),"")</f>
        <v>Std_CFLscw(19w)_60pInc-r0248</v>
      </c>
      <c r="AF189" s="103" t="s">
        <v>1429</v>
      </c>
      <c r="AG189" s="103"/>
      <c r="AH189" s="103" t="s">
        <v>156</v>
      </c>
      <c r="AI189" s="103" t="s">
        <v>156</v>
      </c>
      <c r="AJ189" s="103" t="s">
        <v>686</v>
      </c>
      <c r="AK189" s="103" t="s">
        <v>150</v>
      </c>
      <c r="AL189" s="103" t="s">
        <v>150</v>
      </c>
      <c r="AM189" s="103" t="s">
        <v>684</v>
      </c>
      <c r="AN189" s="103" t="s">
        <v>1462</v>
      </c>
      <c r="AO189" s="103" t="s">
        <v>1076</v>
      </c>
      <c r="AP189" s="156">
        <v>42156</v>
      </c>
      <c r="AQ189" s="103"/>
      <c r="AR189" s="103" t="s">
        <v>870</v>
      </c>
      <c r="AS189" s="103" t="s">
        <v>1077</v>
      </c>
      <c r="AT189" s="103" t="s">
        <v>1078</v>
      </c>
      <c r="AU189" s="103"/>
      <c r="AV189" s="103"/>
    </row>
    <row r="190" spans="1:48">
      <c r="A190" s="103">
        <v>5817</v>
      </c>
      <c r="B190" s="103" t="s">
        <v>1463</v>
      </c>
      <c r="C190" s="103" t="s">
        <v>1426</v>
      </c>
      <c r="D190" s="103" t="s">
        <v>1068</v>
      </c>
      <c r="E190" s="103" t="s">
        <v>1069</v>
      </c>
      <c r="F190" s="156"/>
      <c r="G190" s="103" t="s">
        <v>1070</v>
      </c>
      <c r="H190" s="103"/>
      <c r="I190" s="103"/>
      <c r="J190" s="103"/>
      <c r="K190" s="103"/>
      <c r="L190" s="103" t="s">
        <v>874</v>
      </c>
      <c r="M190" s="103" t="s">
        <v>1427</v>
      </c>
      <c r="N190" s="103" t="s">
        <v>1115</v>
      </c>
      <c r="O190" s="103" t="s">
        <v>1072</v>
      </c>
      <c r="P190" s="103" t="s">
        <v>154</v>
      </c>
      <c r="Q190" s="103">
        <v>0</v>
      </c>
      <c r="R190" s="103">
        <v>0</v>
      </c>
      <c r="S190" s="103" t="s">
        <v>175</v>
      </c>
      <c r="T190" s="103"/>
      <c r="U190" s="103" t="b">
        <v>0</v>
      </c>
      <c r="V190" s="103"/>
      <c r="W190" s="103" t="b">
        <v>1</v>
      </c>
      <c r="X190" s="103" t="s">
        <v>863</v>
      </c>
      <c r="Y190" s="103" t="s">
        <v>153</v>
      </c>
      <c r="Z190" s="103" t="s">
        <v>864</v>
      </c>
      <c r="AA190" s="103" t="s">
        <v>1428</v>
      </c>
      <c r="AB190" s="103" t="s">
        <v>865</v>
      </c>
      <c r="AC190" s="103" t="s">
        <v>866</v>
      </c>
      <c r="AD190" s="103" t="str">
        <f>IF(ISNA(MATCH(AM190,'Measure &amp; Standard CostIDs'!$C$5:$C$177,0)),"",AM190)</f>
        <v>CFLscw(20w)</v>
      </c>
      <c r="AE190" s="103" t="str">
        <f>IFERROR(INDEX('Measure &amp; Standard CostIDs'!$S$5:$S$177,MATCH(AM190&amp;AL190,'Measure &amp; Standard CostIDs'!$AB$5:$AB$177,0)),"")</f>
        <v>Std_CFLscw(20w)_60pInc-r0248</v>
      </c>
      <c r="AF190" s="103" t="s">
        <v>1429</v>
      </c>
      <c r="AG190" s="103"/>
      <c r="AH190" s="103" t="s">
        <v>156</v>
      </c>
      <c r="AI190" s="103" t="s">
        <v>156</v>
      </c>
      <c r="AJ190" s="103" t="s">
        <v>692</v>
      </c>
      <c r="AK190" s="103" t="s">
        <v>150</v>
      </c>
      <c r="AL190" s="103" t="s">
        <v>150</v>
      </c>
      <c r="AM190" s="103" t="s">
        <v>690</v>
      </c>
      <c r="AN190" s="103" t="s">
        <v>1464</v>
      </c>
      <c r="AO190" s="103" t="s">
        <v>1076</v>
      </c>
      <c r="AP190" s="156">
        <v>42156</v>
      </c>
      <c r="AQ190" s="103"/>
      <c r="AR190" s="103" t="s">
        <v>870</v>
      </c>
      <c r="AS190" s="103" t="s">
        <v>1077</v>
      </c>
      <c r="AT190" s="103" t="s">
        <v>1078</v>
      </c>
      <c r="AU190" s="103"/>
      <c r="AV190" s="103"/>
    </row>
    <row r="191" spans="1:48">
      <c r="A191" s="103">
        <v>5818</v>
      </c>
      <c r="B191" s="103" t="s">
        <v>1465</v>
      </c>
      <c r="C191" s="103" t="s">
        <v>1426</v>
      </c>
      <c r="D191" s="103" t="s">
        <v>1068</v>
      </c>
      <c r="E191" s="103" t="s">
        <v>1069</v>
      </c>
      <c r="F191" s="156"/>
      <c r="G191" s="103" t="s">
        <v>1070</v>
      </c>
      <c r="H191" s="103"/>
      <c r="I191" s="103"/>
      <c r="J191" s="103"/>
      <c r="K191" s="103"/>
      <c r="L191" s="103" t="s">
        <v>874</v>
      </c>
      <c r="M191" s="103" t="s">
        <v>1427</v>
      </c>
      <c r="N191" s="103" t="s">
        <v>1115</v>
      </c>
      <c r="O191" s="103" t="s">
        <v>1072</v>
      </c>
      <c r="P191" s="103" t="s">
        <v>154</v>
      </c>
      <c r="Q191" s="103">
        <v>0</v>
      </c>
      <c r="R191" s="103">
        <v>0</v>
      </c>
      <c r="S191" s="103" t="s">
        <v>175</v>
      </c>
      <c r="T191" s="103"/>
      <c r="U191" s="103" t="b">
        <v>0</v>
      </c>
      <c r="V191" s="103"/>
      <c r="W191" s="103" t="b">
        <v>1</v>
      </c>
      <c r="X191" s="103" t="s">
        <v>863</v>
      </c>
      <c r="Y191" s="103" t="s">
        <v>153</v>
      </c>
      <c r="Z191" s="103" t="s">
        <v>864</v>
      </c>
      <c r="AA191" s="103" t="s">
        <v>1428</v>
      </c>
      <c r="AB191" s="103" t="s">
        <v>865</v>
      </c>
      <c r="AC191" s="103" t="s">
        <v>866</v>
      </c>
      <c r="AD191" s="103" t="str">
        <f>IF(ISNA(MATCH(AM191,'Measure &amp; Standard CostIDs'!$C$5:$C$177,0)),"",AM191)</f>
        <v>CFLscw(23w)</v>
      </c>
      <c r="AE191" s="103" t="str">
        <f>IFERROR(INDEX('Measure &amp; Standard CostIDs'!$S$5:$S$177,MATCH(AM191&amp;AL191,'Measure &amp; Standard CostIDs'!$AB$5:$AB$177,0)),"")</f>
        <v>Std_CFLscw(23w)_60pInc-r0248</v>
      </c>
      <c r="AF191" s="103" t="s">
        <v>1429</v>
      </c>
      <c r="AG191" s="103"/>
      <c r="AH191" s="103" t="s">
        <v>156</v>
      </c>
      <c r="AI191" s="103" t="s">
        <v>156</v>
      </c>
      <c r="AJ191" s="103" t="s">
        <v>701</v>
      </c>
      <c r="AK191" s="103" t="s">
        <v>150</v>
      </c>
      <c r="AL191" s="103" t="s">
        <v>150</v>
      </c>
      <c r="AM191" s="103" t="s">
        <v>699</v>
      </c>
      <c r="AN191" s="103" t="s">
        <v>1466</v>
      </c>
      <c r="AO191" s="103" t="s">
        <v>1076</v>
      </c>
      <c r="AP191" s="156">
        <v>42156</v>
      </c>
      <c r="AQ191" s="103"/>
      <c r="AR191" s="103" t="s">
        <v>870</v>
      </c>
      <c r="AS191" s="103" t="s">
        <v>1077</v>
      </c>
      <c r="AT191" s="103" t="s">
        <v>1078</v>
      </c>
      <c r="AU191" s="103"/>
      <c r="AV191" s="103"/>
    </row>
    <row r="192" spans="1:48">
      <c r="A192" s="103">
        <v>5819</v>
      </c>
      <c r="B192" s="103" t="s">
        <v>1467</v>
      </c>
      <c r="C192" s="103" t="s">
        <v>1426</v>
      </c>
      <c r="D192" s="103" t="s">
        <v>1068</v>
      </c>
      <c r="E192" s="103" t="s">
        <v>1069</v>
      </c>
      <c r="F192" s="156"/>
      <c r="G192" s="103" t="s">
        <v>1070</v>
      </c>
      <c r="H192" s="103"/>
      <c r="I192" s="103"/>
      <c r="J192" s="103"/>
      <c r="K192" s="103"/>
      <c r="L192" s="103" t="s">
        <v>874</v>
      </c>
      <c r="M192" s="103" t="s">
        <v>1427</v>
      </c>
      <c r="N192" s="103" t="s">
        <v>1115</v>
      </c>
      <c r="O192" s="103" t="s">
        <v>1072</v>
      </c>
      <c r="P192" s="103" t="s">
        <v>154</v>
      </c>
      <c r="Q192" s="103">
        <v>0</v>
      </c>
      <c r="R192" s="103">
        <v>0</v>
      </c>
      <c r="S192" s="103" t="s">
        <v>175</v>
      </c>
      <c r="T192" s="103"/>
      <c r="U192" s="103" t="b">
        <v>0</v>
      </c>
      <c r="V192" s="103"/>
      <c r="W192" s="103" t="b">
        <v>1</v>
      </c>
      <c r="X192" s="103" t="s">
        <v>863</v>
      </c>
      <c r="Y192" s="103" t="s">
        <v>153</v>
      </c>
      <c r="Z192" s="103" t="s">
        <v>864</v>
      </c>
      <c r="AA192" s="103" t="s">
        <v>1428</v>
      </c>
      <c r="AB192" s="103" t="s">
        <v>865</v>
      </c>
      <c r="AC192" s="103" t="s">
        <v>866</v>
      </c>
      <c r="AD192" s="103" t="str">
        <f>IF(ISNA(MATCH(AM192,'Measure &amp; Standard CostIDs'!$C$5:$C$177,0)),"",AM192)</f>
        <v>CFLscw(25w)</v>
      </c>
      <c r="AE192" s="103" t="str">
        <f>IFERROR(INDEX('Measure &amp; Standard CostIDs'!$S$5:$S$177,MATCH(AM192&amp;AL192,'Measure &amp; Standard CostIDs'!$AB$5:$AB$177,0)),"")</f>
        <v>Std_CFLscw(25w)_60pInc-r0248</v>
      </c>
      <c r="AF192" s="103" t="s">
        <v>1429</v>
      </c>
      <c r="AG192" s="103"/>
      <c r="AH192" s="103" t="s">
        <v>156</v>
      </c>
      <c r="AI192" s="103" t="s">
        <v>156</v>
      </c>
      <c r="AJ192" s="103" t="s">
        <v>707</v>
      </c>
      <c r="AK192" s="103" t="s">
        <v>150</v>
      </c>
      <c r="AL192" s="103" t="s">
        <v>150</v>
      </c>
      <c r="AM192" s="103" t="s">
        <v>705</v>
      </c>
      <c r="AN192" s="103" t="s">
        <v>1468</v>
      </c>
      <c r="AO192" s="103" t="s">
        <v>1076</v>
      </c>
      <c r="AP192" s="156">
        <v>42156</v>
      </c>
      <c r="AQ192" s="103"/>
      <c r="AR192" s="103" t="s">
        <v>870</v>
      </c>
      <c r="AS192" s="103" t="s">
        <v>1077</v>
      </c>
      <c r="AT192" s="103" t="s">
        <v>1078</v>
      </c>
      <c r="AU192" s="103"/>
      <c r="AV192" s="103"/>
    </row>
    <row r="193" spans="1:48">
      <c r="A193" s="103">
        <v>5820</v>
      </c>
      <c r="B193" s="103" t="s">
        <v>1469</v>
      </c>
      <c r="C193" s="103" t="s">
        <v>1426</v>
      </c>
      <c r="D193" s="103" t="s">
        <v>1068</v>
      </c>
      <c r="E193" s="103" t="s">
        <v>1069</v>
      </c>
      <c r="F193" s="156"/>
      <c r="G193" s="103" t="s">
        <v>1070</v>
      </c>
      <c r="H193" s="103"/>
      <c r="I193" s="103"/>
      <c r="J193" s="103"/>
      <c r="K193" s="103"/>
      <c r="L193" s="103" t="s">
        <v>874</v>
      </c>
      <c r="M193" s="103" t="s">
        <v>1427</v>
      </c>
      <c r="N193" s="103" t="s">
        <v>1115</v>
      </c>
      <c r="O193" s="103" t="s">
        <v>1072</v>
      </c>
      <c r="P193" s="103" t="s">
        <v>154</v>
      </c>
      <c r="Q193" s="103">
        <v>0</v>
      </c>
      <c r="R193" s="103">
        <v>0</v>
      </c>
      <c r="S193" s="103" t="s">
        <v>175</v>
      </c>
      <c r="T193" s="103"/>
      <c r="U193" s="103" t="b">
        <v>0</v>
      </c>
      <c r="V193" s="103"/>
      <c r="W193" s="103" t="b">
        <v>1</v>
      </c>
      <c r="X193" s="103" t="s">
        <v>863</v>
      </c>
      <c r="Y193" s="103" t="s">
        <v>153</v>
      </c>
      <c r="Z193" s="103" t="s">
        <v>864</v>
      </c>
      <c r="AA193" s="103" t="s">
        <v>1428</v>
      </c>
      <c r="AB193" s="103" t="s">
        <v>865</v>
      </c>
      <c r="AC193" s="103" t="s">
        <v>866</v>
      </c>
      <c r="AD193" s="103" t="str">
        <f>IF(ISNA(MATCH(AM193,'Measure &amp; Standard CostIDs'!$C$5:$C$177,0)),"",AM193)</f>
        <v>CFLscw(26w)</v>
      </c>
      <c r="AE193" s="103" t="str">
        <f>IFERROR(INDEX('Measure &amp; Standard CostIDs'!$S$5:$S$177,MATCH(AM193&amp;AL193,'Measure &amp; Standard CostIDs'!$AB$5:$AB$177,0)),"")</f>
        <v>Std_CFLscw(26w)_60pInc-r0248</v>
      </c>
      <c r="AF193" s="103" t="s">
        <v>1429</v>
      </c>
      <c r="AG193" s="103"/>
      <c r="AH193" s="103" t="s">
        <v>156</v>
      </c>
      <c r="AI193" s="103" t="s">
        <v>156</v>
      </c>
      <c r="AJ193" s="103" t="s">
        <v>710</v>
      </c>
      <c r="AK193" s="103" t="s">
        <v>150</v>
      </c>
      <c r="AL193" s="103" t="s">
        <v>150</v>
      </c>
      <c r="AM193" s="103" t="s">
        <v>708</v>
      </c>
      <c r="AN193" s="103" t="s">
        <v>1470</v>
      </c>
      <c r="AO193" s="103" t="s">
        <v>1076</v>
      </c>
      <c r="AP193" s="156">
        <v>42156</v>
      </c>
      <c r="AQ193" s="103"/>
      <c r="AR193" s="103" t="s">
        <v>870</v>
      </c>
      <c r="AS193" s="103" t="s">
        <v>1077</v>
      </c>
      <c r="AT193" s="103" t="s">
        <v>1078</v>
      </c>
      <c r="AU193" s="103"/>
      <c r="AV193" s="103"/>
    </row>
    <row r="194" spans="1:48">
      <c r="A194" s="103">
        <v>5821</v>
      </c>
      <c r="B194" s="103" t="s">
        <v>1471</v>
      </c>
      <c r="C194" s="103" t="s">
        <v>1426</v>
      </c>
      <c r="D194" s="103" t="s">
        <v>1068</v>
      </c>
      <c r="E194" s="103" t="s">
        <v>1069</v>
      </c>
      <c r="F194" s="156"/>
      <c r="G194" s="103" t="s">
        <v>1070</v>
      </c>
      <c r="H194" s="103"/>
      <c r="I194" s="103"/>
      <c r="J194" s="103"/>
      <c r="K194" s="103"/>
      <c r="L194" s="103" t="s">
        <v>874</v>
      </c>
      <c r="M194" s="103" t="s">
        <v>1427</v>
      </c>
      <c r="N194" s="103" t="s">
        <v>1115</v>
      </c>
      <c r="O194" s="103" t="s">
        <v>1072</v>
      </c>
      <c r="P194" s="103" t="s">
        <v>154</v>
      </c>
      <c r="Q194" s="103">
        <v>0</v>
      </c>
      <c r="R194" s="103">
        <v>0</v>
      </c>
      <c r="S194" s="103" t="s">
        <v>175</v>
      </c>
      <c r="T194" s="103"/>
      <c r="U194" s="103" t="b">
        <v>0</v>
      </c>
      <c r="V194" s="103"/>
      <c r="W194" s="103" t="b">
        <v>1</v>
      </c>
      <c r="X194" s="103" t="s">
        <v>863</v>
      </c>
      <c r="Y194" s="103" t="s">
        <v>153</v>
      </c>
      <c r="Z194" s="103" t="s">
        <v>864</v>
      </c>
      <c r="AA194" s="103" t="s">
        <v>1428</v>
      </c>
      <c r="AB194" s="103" t="s">
        <v>865</v>
      </c>
      <c r="AC194" s="103" t="s">
        <v>866</v>
      </c>
      <c r="AD194" s="103" t="str">
        <f>IF(ISNA(MATCH(AM194,'Measure &amp; Standard CostIDs'!$C$5:$C$177,0)),"",AM194)</f>
        <v>CFLscw(27w)</v>
      </c>
      <c r="AE194" s="103" t="str">
        <f>IFERROR(INDEX('Measure &amp; Standard CostIDs'!$S$5:$S$177,MATCH(AM194&amp;AL194,'Measure &amp; Standard CostIDs'!$AB$5:$AB$177,0)),"")</f>
        <v>Std_CFLscw(27w)_60pInc-r0248</v>
      </c>
      <c r="AF194" s="103" t="s">
        <v>1429</v>
      </c>
      <c r="AG194" s="103"/>
      <c r="AH194" s="103" t="s">
        <v>156</v>
      </c>
      <c r="AI194" s="103" t="s">
        <v>156</v>
      </c>
      <c r="AJ194" s="103" t="s">
        <v>713</v>
      </c>
      <c r="AK194" s="103" t="s">
        <v>150</v>
      </c>
      <c r="AL194" s="103" t="s">
        <v>150</v>
      </c>
      <c r="AM194" s="103" t="s">
        <v>711</v>
      </c>
      <c r="AN194" s="103" t="s">
        <v>1472</v>
      </c>
      <c r="AO194" s="103" t="s">
        <v>1076</v>
      </c>
      <c r="AP194" s="156">
        <v>42156</v>
      </c>
      <c r="AQ194" s="103"/>
      <c r="AR194" s="103" t="s">
        <v>870</v>
      </c>
      <c r="AS194" s="103" t="s">
        <v>1077</v>
      </c>
      <c r="AT194" s="103" t="s">
        <v>1078</v>
      </c>
      <c r="AU194" s="103"/>
      <c r="AV194" s="103"/>
    </row>
    <row r="195" spans="1:48">
      <c r="A195" s="103">
        <v>5822</v>
      </c>
      <c r="B195" s="103" t="s">
        <v>1473</v>
      </c>
      <c r="C195" s="103" t="s">
        <v>1426</v>
      </c>
      <c r="D195" s="103" t="s">
        <v>1068</v>
      </c>
      <c r="E195" s="103" t="s">
        <v>1069</v>
      </c>
      <c r="F195" s="156"/>
      <c r="G195" s="103" t="s">
        <v>1070</v>
      </c>
      <c r="H195" s="103"/>
      <c r="I195" s="103"/>
      <c r="J195" s="103"/>
      <c r="K195" s="103"/>
      <c r="L195" s="103" t="s">
        <v>874</v>
      </c>
      <c r="M195" s="103" t="s">
        <v>1427</v>
      </c>
      <c r="N195" s="103" t="s">
        <v>1115</v>
      </c>
      <c r="O195" s="103" t="s">
        <v>1072</v>
      </c>
      <c r="P195" s="103" t="s">
        <v>154</v>
      </c>
      <c r="Q195" s="103">
        <v>0</v>
      </c>
      <c r="R195" s="103">
        <v>0</v>
      </c>
      <c r="S195" s="103" t="s">
        <v>175</v>
      </c>
      <c r="T195" s="103"/>
      <c r="U195" s="103" t="b">
        <v>0</v>
      </c>
      <c r="V195" s="103"/>
      <c r="W195" s="103" t="b">
        <v>1</v>
      </c>
      <c r="X195" s="103" t="s">
        <v>863</v>
      </c>
      <c r="Y195" s="103" t="s">
        <v>153</v>
      </c>
      <c r="Z195" s="103" t="s">
        <v>864</v>
      </c>
      <c r="AA195" s="103" t="s">
        <v>1428</v>
      </c>
      <c r="AB195" s="103" t="s">
        <v>865</v>
      </c>
      <c r="AC195" s="103" t="s">
        <v>866</v>
      </c>
      <c r="AD195" s="103" t="str">
        <f>IF(ISNA(MATCH(AM195,'Measure &amp; Standard CostIDs'!$C$5:$C$177,0)),"",AM195)</f>
        <v>CFLscw(28w)</v>
      </c>
      <c r="AE195" s="103" t="str">
        <f>IFERROR(INDEX('Measure &amp; Standard CostIDs'!$S$5:$S$177,MATCH(AM195&amp;AL195,'Measure &amp; Standard CostIDs'!$AB$5:$AB$177,0)),"")</f>
        <v>Std_CFLscw(28w)_60pInc-r0248</v>
      </c>
      <c r="AF195" s="103" t="s">
        <v>1429</v>
      </c>
      <c r="AG195" s="103"/>
      <c r="AH195" s="103" t="s">
        <v>156</v>
      </c>
      <c r="AI195" s="103" t="s">
        <v>156</v>
      </c>
      <c r="AJ195" s="103" t="s">
        <v>716</v>
      </c>
      <c r="AK195" s="103" t="s">
        <v>150</v>
      </c>
      <c r="AL195" s="103" t="s">
        <v>150</v>
      </c>
      <c r="AM195" s="103" t="s">
        <v>714</v>
      </c>
      <c r="AN195" s="103" t="s">
        <v>1474</v>
      </c>
      <c r="AO195" s="103" t="s">
        <v>1076</v>
      </c>
      <c r="AP195" s="156">
        <v>42156</v>
      </c>
      <c r="AQ195" s="103"/>
      <c r="AR195" s="103" t="s">
        <v>870</v>
      </c>
      <c r="AS195" s="103" t="s">
        <v>1077</v>
      </c>
      <c r="AT195" s="103" t="s">
        <v>1078</v>
      </c>
      <c r="AU195" s="103"/>
      <c r="AV195" s="103"/>
    </row>
    <row r="196" spans="1:48">
      <c r="A196" s="103">
        <v>5882</v>
      </c>
      <c r="B196" s="103" t="s">
        <v>1475</v>
      </c>
      <c r="C196" s="103" t="s">
        <v>1426</v>
      </c>
      <c r="D196" s="103" t="s">
        <v>151</v>
      </c>
      <c r="E196" s="103" t="s">
        <v>1114</v>
      </c>
      <c r="F196" s="156"/>
      <c r="G196" s="103" t="s">
        <v>1070</v>
      </c>
      <c r="H196" s="103"/>
      <c r="I196" s="103"/>
      <c r="J196" s="103"/>
      <c r="K196" s="103"/>
      <c r="L196" s="103" t="s">
        <v>874</v>
      </c>
      <c r="M196" s="103" t="s">
        <v>1427</v>
      </c>
      <c r="N196" s="103" t="s">
        <v>1115</v>
      </c>
      <c r="O196" s="103" t="s">
        <v>1072</v>
      </c>
      <c r="P196" s="103" t="s">
        <v>154</v>
      </c>
      <c r="Q196" s="103">
        <v>0</v>
      </c>
      <c r="R196" s="103">
        <v>0</v>
      </c>
      <c r="S196" s="103" t="s">
        <v>175</v>
      </c>
      <c r="T196" s="103"/>
      <c r="U196" s="103" t="b">
        <v>0</v>
      </c>
      <c r="V196" s="103"/>
      <c r="W196" s="103" t="b">
        <v>1</v>
      </c>
      <c r="X196" s="103" t="s">
        <v>863</v>
      </c>
      <c r="Y196" s="103" t="s">
        <v>153</v>
      </c>
      <c r="Z196" s="103" t="s">
        <v>864</v>
      </c>
      <c r="AA196" s="103" t="s">
        <v>1428</v>
      </c>
      <c r="AB196" s="103" t="s">
        <v>865</v>
      </c>
      <c r="AC196" s="103" t="s">
        <v>866</v>
      </c>
      <c r="AD196" s="103" t="str">
        <f>IF(ISNA(MATCH(AM196,'Measure &amp; Standard CostIDs'!$C$5:$C$177,0)),"",AM196)</f>
        <v>CFLscw(32w)</v>
      </c>
      <c r="AE196" s="103" t="str">
        <f>IFERROR(INDEX('Measure &amp; Standard CostIDs'!$S$5:$S$177,MATCH(AM196&amp;AL196,'Measure &amp; Standard CostIDs'!$AB$5:$AB$177,0)),"")</f>
        <v>Std_CFLscw(32w)_60pInc-r0248</v>
      </c>
      <c r="AF196" s="103" t="s">
        <v>1429</v>
      </c>
      <c r="AG196" s="103"/>
      <c r="AH196" s="103" t="s">
        <v>156</v>
      </c>
      <c r="AI196" s="103" t="s">
        <v>156</v>
      </c>
      <c r="AJ196" s="103" t="s">
        <v>728</v>
      </c>
      <c r="AK196" s="103" t="s">
        <v>150</v>
      </c>
      <c r="AL196" s="103" t="s">
        <v>150</v>
      </c>
      <c r="AM196" s="103" t="s">
        <v>726</v>
      </c>
      <c r="AN196" s="103" t="s">
        <v>1476</v>
      </c>
      <c r="AO196" s="103" t="s">
        <v>1117</v>
      </c>
      <c r="AP196" s="156">
        <v>42370</v>
      </c>
      <c r="AQ196" s="103"/>
      <c r="AR196" s="103" t="s">
        <v>870</v>
      </c>
      <c r="AS196" s="103" t="s">
        <v>1118</v>
      </c>
      <c r="AT196" s="103" t="s">
        <v>1078</v>
      </c>
      <c r="AU196" s="103"/>
      <c r="AV196" s="103"/>
    </row>
    <row r="197" spans="1:48">
      <c r="A197" s="103">
        <v>5883</v>
      </c>
      <c r="B197" s="103" t="s">
        <v>1477</v>
      </c>
      <c r="C197" s="103" t="s">
        <v>1426</v>
      </c>
      <c r="D197" s="103" t="s">
        <v>151</v>
      </c>
      <c r="E197" s="103" t="s">
        <v>1114</v>
      </c>
      <c r="F197" s="156"/>
      <c r="G197" s="103" t="s">
        <v>1070</v>
      </c>
      <c r="H197" s="103"/>
      <c r="I197" s="103"/>
      <c r="J197" s="103"/>
      <c r="K197" s="103"/>
      <c r="L197" s="103" t="s">
        <v>874</v>
      </c>
      <c r="M197" s="103" t="s">
        <v>1427</v>
      </c>
      <c r="N197" s="103" t="s">
        <v>1115</v>
      </c>
      <c r="O197" s="103" t="s">
        <v>1072</v>
      </c>
      <c r="P197" s="103" t="s">
        <v>154</v>
      </c>
      <c r="Q197" s="103">
        <v>0</v>
      </c>
      <c r="R197" s="103">
        <v>0</v>
      </c>
      <c r="S197" s="103" t="s">
        <v>175</v>
      </c>
      <c r="T197" s="103"/>
      <c r="U197" s="103" t="b">
        <v>0</v>
      </c>
      <c r="V197" s="103"/>
      <c r="W197" s="103" t="b">
        <v>1</v>
      </c>
      <c r="X197" s="103" t="s">
        <v>863</v>
      </c>
      <c r="Y197" s="103" t="s">
        <v>153</v>
      </c>
      <c r="Z197" s="103" t="s">
        <v>864</v>
      </c>
      <c r="AA197" s="103" t="s">
        <v>1428</v>
      </c>
      <c r="AB197" s="103" t="s">
        <v>865</v>
      </c>
      <c r="AC197" s="103" t="s">
        <v>866</v>
      </c>
      <c r="AD197" s="103" t="str">
        <f>IF(ISNA(MATCH(AM197,'Measure &amp; Standard CostIDs'!$C$5:$C$177,0)),"",AM197)</f>
        <v>CFLscw(36w)</v>
      </c>
      <c r="AE197" s="103" t="str">
        <f>IFERROR(INDEX('Measure &amp; Standard CostIDs'!$S$5:$S$177,MATCH(AM197&amp;AL197,'Measure &amp; Standard CostIDs'!$AB$5:$AB$177,0)),"")</f>
        <v>Std_CFLscw(36w)_60pInc-r0248</v>
      </c>
      <c r="AF197" s="103" t="s">
        <v>1429</v>
      </c>
      <c r="AG197" s="103"/>
      <c r="AH197" s="103" t="s">
        <v>156</v>
      </c>
      <c r="AI197" s="103" t="s">
        <v>156</v>
      </c>
      <c r="AJ197" s="103" t="s">
        <v>732</v>
      </c>
      <c r="AK197" s="103" t="s">
        <v>150</v>
      </c>
      <c r="AL197" s="103" t="s">
        <v>150</v>
      </c>
      <c r="AM197" s="103" t="s">
        <v>731</v>
      </c>
      <c r="AN197" s="103" t="s">
        <v>1478</v>
      </c>
      <c r="AO197" s="103" t="s">
        <v>1117</v>
      </c>
      <c r="AP197" s="156">
        <v>42370</v>
      </c>
      <c r="AQ197" s="103"/>
      <c r="AR197" s="103" t="s">
        <v>870</v>
      </c>
      <c r="AS197" s="103" t="s">
        <v>1118</v>
      </c>
      <c r="AT197" s="103" t="s">
        <v>1078</v>
      </c>
      <c r="AU197" s="103"/>
      <c r="AV197" s="103"/>
    </row>
    <row r="198" spans="1:48">
      <c r="A198" s="103">
        <v>5884</v>
      </c>
      <c r="B198" s="103" t="s">
        <v>1479</v>
      </c>
      <c r="C198" s="103" t="s">
        <v>1426</v>
      </c>
      <c r="D198" s="103" t="s">
        <v>151</v>
      </c>
      <c r="E198" s="103" t="s">
        <v>1114</v>
      </c>
      <c r="F198" s="156"/>
      <c r="G198" s="103" t="s">
        <v>1070</v>
      </c>
      <c r="H198" s="103"/>
      <c r="I198" s="103"/>
      <c r="J198" s="103"/>
      <c r="K198" s="103"/>
      <c r="L198" s="103" t="s">
        <v>874</v>
      </c>
      <c r="M198" s="103" t="s">
        <v>1427</v>
      </c>
      <c r="N198" s="103" t="s">
        <v>1115</v>
      </c>
      <c r="O198" s="103" t="s">
        <v>1072</v>
      </c>
      <c r="P198" s="103" t="s">
        <v>154</v>
      </c>
      <c r="Q198" s="103">
        <v>0</v>
      </c>
      <c r="R198" s="103">
        <v>0</v>
      </c>
      <c r="S198" s="103" t="s">
        <v>175</v>
      </c>
      <c r="T198" s="103"/>
      <c r="U198" s="103" t="b">
        <v>0</v>
      </c>
      <c r="V198" s="103"/>
      <c r="W198" s="103" t="b">
        <v>1</v>
      </c>
      <c r="X198" s="103" t="s">
        <v>863</v>
      </c>
      <c r="Y198" s="103" t="s">
        <v>153</v>
      </c>
      <c r="Z198" s="103" t="s">
        <v>864</v>
      </c>
      <c r="AA198" s="103" t="s">
        <v>1428</v>
      </c>
      <c r="AB198" s="103" t="s">
        <v>865</v>
      </c>
      <c r="AC198" s="103" t="s">
        <v>866</v>
      </c>
      <c r="AD198" s="103" t="str">
        <f>IF(ISNA(MATCH(AM198,'Measure &amp; Standard CostIDs'!$C$5:$C$177,0)),"",AM198)</f>
        <v>CFLscw(42w)</v>
      </c>
      <c r="AE198" s="103" t="str">
        <f>IFERROR(INDEX('Measure &amp; Standard CostIDs'!$S$5:$S$177,MATCH(AM198&amp;AL198,'Measure &amp; Standard CostIDs'!$AB$5:$AB$177,0)),"")</f>
        <v>Std_CFLscw(42w)_60pInc-r0248</v>
      </c>
      <c r="AF198" s="103" t="s">
        <v>1429</v>
      </c>
      <c r="AG198" s="103"/>
      <c r="AH198" s="103" t="s">
        <v>156</v>
      </c>
      <c r="AI198" s="103" t="s">
        <v>156</v>
      </c>
      <c r="AJ198" s="103" t="s">
        <v>744</v>
      </c>
      <c r="AK198" s="103" t="s">
        <v>150</v>
      </c>
      <c r="AL198" s="103" t="s">
        <v>150</v>
      </c>
      <c r="AM198" s="103" t="s">
        <v>742</v>
      </c>
      <c r="AN198" s="103" t="s">
        <v>1480</v>
      </c>
      <c r="AO198" s="103" t="s">
        <v>1117</v>
      </c>
      <c r="AP198" s="156">
        <v>42370</v>
      </c>
      <c r="AQ198" s="103"/>
      <c r="AR198" s="103" t="s">
        <v>870</v>
      </c>
      <c r="AS198" s="103" t="s">
        <v>1118</v>
      </c>
      <c r="AT198" s="103" t="s">
        <v>1078</v>
      </c>
      <c r="AU198" s="103"/>
      <c r="AV198" s="103"/>
    </row>
    <row r="199" spans="1:48">
      <c r="A199" s="103">
        <v>5885</v>
      </c>
      <c r="B199" s="103" t="s">
        <v>1481</v>
      </c>
      <c r="C199" s="103" t="s">
        <v>1426</v>
      </c>
      <c r="D199" s="103" t="s">
        <v>151</v>
      </c>
      <c r="E199" s="103" t="s">
        <v>1114</v>
      </c>
      <c r="F199" s="156"/>
      <c r="G199" s="103" t="s">
        <v>1070</v>
      </c>
      <c r="H199" s="103"/>
      <c r="I199" s="103"/>
      <c r="J199" s="103"/>
      <c r="K199" s="103"/>
      <c r="L199" s="103" t="s">
        <v>874</v>
      </c>
      <c r="M199" s="103" t="s">
        <v>1427</v>
      </c>
      <c r="N199" s="103" t="s">
        <v>1115</v>
      </c>
      <c r="O199" s="103" t="s">
        <v>1072</v>
      </c>
      <c r="P199" s="103" t="s">
        <v>154</v>
      </c>
      <c r="Q199" s="103">
        <v>0</v>
      </c>
      <c r="R199" s="103">
        <v>0</v>
      </c>
      <c r="S199" s="103" t="s">
        <v>175</v>
      </c>
      <c r="T199" s="103"/>
      <c r="U199" s="103" t="b">
        <v>0</v>
      </c>
      <c r="V199" s="103"/>
      <c r="W199" s="103" t="b">
        <v>1</v>
      </c>
      <c r="X199" s="103" t="s">
        <v>863</v>
      </c>
      <c r="Y199" s="103" t="s">
        <v>153</v>
      </c>
      <c r="Z199" s="103" t="s">
        <v>864</v>
      </c>
      <c r="AA199" s="103" t="s">
        <v>1428</v>
      </c>
      <c r="AB199" s="103" t="s">
        <v>865</v>
      </c>
      <c r="AC199" s="103" t="s">
        <v>866</v>
      </c>
      <c r="AD199" s="103" t="str">
        <f>IF(ISNA(MATCH(AM199,'Measure &amp; Standard CostIDs'!$C$5:$C$177,0)),"",AM199)</f>
        <v>CFLscw(55w)</v>
      </c>
      <c r="AE199" s="103" t="str">
        <f>IFERROR(INDEX('Measure &amp; Standard CostIDs'!$S$5:$S$177,MATCH(AM199&amp;AL199,'Measure &amp; Standard CostIDs'!$AB$5:$AB$177,0)),"")</f>
        <v/>
      </c>
      <c r="AF199" s="103" t="s">
        <v>1429</v>
      </c>
      <c r="AG199" s="103"/>
      <c r="AH199" s="103" t="s">
        <v>156</v>
      </c>
      <c r="AI199" s="103" t="s">
        <v>156</v>
      </c>
      <c r="AJ199" s="103" t="s">
        <v>760</v>
      </c>
      <c r="AK199" s="103" t="s">
        <v>150</v>
      </c>
      <c r="AL199" s="103" t="s">
        <v>150</v>
      </c>
      <c r="AM199" s="103" t="s">
        <v>758</v>
      </c>
      <c r="AN199" s="103" t="s">
        <v>1482</v>
      </c>
      <c r="AO199" s="103" t="s">
        <v>1117</v>
      </c>
      <c r="AP199" s="156">
        <v>42370</v>
      </c>
      <c r="AQ199" s="103"/>
      <c r="AR199" s="103" t="s">
        <v>870</v>
      </c>
      <c r="AS199" s="103" t="s">
        <v>1118</v>
      </c>
      <c r="AT199" s="103" t="s">
        <v>1078</v>
      </c>
      <c r="AU199" s="103"/>
      <c r="AV199" s="103"/>
    </row>
    <row r="200" spans="1:48">
      <c r="A200" s="103">
        <v>5823</v>
      </c>
      <c r="B200" s="103" t="s">
        <v>1483</v>
      </c>
      <c r="C200" s="103" t="s">
        <v>1426</v>
      </c>
      <c r="D200" s="103" t="s">
        <v>1068</v>
      </c>
      <c r="E200" s="103" t="s">
        <v>1069</v>
      </c>
      <c r="F200" s="156"/>
      <c r="G200" s="103" t="s">
        <v>1070</v>
      </c>
      <c r="H200" s="103"/>
      <c r="I200" s="103"/>
      <c r="J200" s="103"/>
      <c r="K200" s="103"/>
      <c r="L200" s="103" t="s">
        <v>874</v>
      </c>
      <c r="M200" s="103" t="s">
        <v>1427</v>
      </c>
      <c r="N200" s="103" t="s">
        <v>1115</v>
      </c>
      <c r="O200" s="103" t="s">
        <v>1072</v>
      </c>
      <c r="P200" s="103" t="s">
        <v>154</v>
      </c>
      <c r="Q200" s="103">
        <v>0</v>
      </c>
      <c r="R200" s="103">
        <v>0</v>
      </c>
      <c r="S200" s="103" t="s">
        <v>175</v>
      </c>
      <c r="T200" s="103"/>
      <c r="U200" s="103" t="b">
        <v>0</v>
      </c>
      <c r="V200" s="103"/>
      <c r="W200" s="103" t="b">
        <v>1</v>
      </c>
      <c r="X200" s="103" t="s">
        <v>863</v>
      </c>
      <c r="Y200" s="103" t="s">
        <v>153</v>
      </c>
      <c r="Z200" s="103" t="s">
        <v>864</v>
      </c>
      <c r="AA200" s="103" t="s">
        <v>1428</v>
      </c>
      <c r="AB200" s="103" t="s">
        <v>865</v>
      </c>
      <c r="AC200" s="103" t="s">
        <v>866</v>
      </c>
      <c r="AD200" s="103" t="str">
        <f>IF(ISNA(MATCH(AM200,'Measure &amp; Standard CostIDs'!$C$5:$C$177,0)),"",AM200)</f>
        <v>CFLscw(9w)</v>
      </c>
      <c r="AE200" s="103" t="str">
        <f>IFERROR(INDEX('Measure &amp; Standard CostIDs'!$S$5:$S$177,MATCH(AM200&amp;AL200,'Measure &amp; Standard CostIDs'!$AB$5:$AB$177,0)),"")</f>
        <v>Std_CFLscw(9w)_60pInc-r0248</v>
      </c>
      <c r="AF200" s="103" t="s">
        <v>1429</v>
      </c>
      <c r="AG200" s="103"/>
      <c r="AH200" s="103" t="s">
        <v>156</v>
      </c>
      <c r="AI200" s="103" t="s">
        <v>156</v>
      </c>
      <c r="AJ200" s="103" t="s">
        <v>803</v>
      </c>
      <c r="AK200" s="103" t="s">
        <v>150</v>
      </c>
      <c r="AL200" s="103" t="s">
        <v>150</v>
      </c>
      <c r="AM200" s="103" t="s">
        <v>801</v>
      </c>
      <c r="AN200" s="103" t="s">
        <v>1484</v>
      </c>
      <c r="AO200" s="103" t="s">
        <v>1076</v>
      </c>
      <c r="AP200" s="156">
        <v>42156</v>
      </c>
      <c r="AQ200" s="103"/>
      <c r="AR200" s="103" t="s">
        <v>870</v>
      </c>
      <c r="AS200" s="103" t="s">
        <v>1077</v>
      </c>
      <c r="AT200" s="103" t="s">
        <v>1078</v>
      </c>
      <c r="AU200" s="103"/>
      <c r="AV200" s="103"/>
    </row>
    <row r="201" spans="1:48">
      <c r="A201" s="103"/>
      <c r="B201" s="103"/>
      <c r="C201" s="103"/>
      <c r="D201" s="103"/>
      <c r="E201" s="103"/>
      <c r="F201" s="156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3"/>
      <c r="AU201" s="103"/>
      <c r="AV201" s="103"/>
    </row>
  </sheetData>
  <mergeCells count="2">
    <mergeCell ref="AD7:AE7"/>
    <mergeCell ref="AL7:A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V73"/>
  <sheetViews>
    <sheetView workbookViewId="0">
      <pane xSplit="3" ySplit="3" topLeftCell="D4" activePane="bottomRight" state="frozen"/>
      <selection pane="bottomRight" activeCell="D36" sqref="D36"/>
      <selection pane="bottomLeft" activeCell="D4" sqref="D4"/>
      <selection pane="topRight" activeCell="D4" sqref="D4"/>
    </sheetView>
  </sheetViews>
  <sheetFormatPr defaultRowHeight="15"/>
  <cols>
    <col min="1" max="1" width="31.140625" bestFit="1" customWidth="1"/>
    <col min="2" max="2" width="31.85546875" bestFit="1" customWidth="1"/>
    <col min="3" max="3" width="11.140625" bestFit="1" customWidth="1"/>
    <col min="4" max="4" width="19.140625" bestFit="1" customWidth="1"/>
    <col min="5" max="5" width="5" bestFit="1" customWidth="1"/>
    <col min="6" max="6" width="5.5703125" bestFit="1" customWidth="1"/>
    <col min="7" max="7" width="4.5703125" bestFit="1" customWidth="1"/>
    <col min="8" max="8" width="6.5703125" bestFit="1" customWidth="1"/>
    <col min="9" max="9" width="5.5703125" bestFit="1" customWidth="1"/>
    <col min="10" max="10" width="8.28515625" bestFit="1" customWidth="1"/>
    <col min="14" max="14" width="11" customWidth="1"/>
    <col min="19" max="19" width="14.7109375" customWidth="1"/>
    <col min="20" max="20" width="13.85546875" bestFit="1" customWidth="1"/>
  </cols>
  <sheetData>
    <row r="1" spans="1:22" ht="24" thickBot="1">
      <c r="A1" s="88"/>
      <c r="B1" s="264" t="s">
        <v>1485</v>
      </c>
      <c r="C1" s="265"/>
      <c r="D1" s="265"/>
      <c r="E1" s="265"/>
      <c r="F1" s="265"/>
      <c r="G1" s="265"/>
      <c r="H1" s="265"/>
      <c r="I1" s="266"/>
      <c r="J1" s="264" t="s">
        <v>871</v>
      </c>
      <c r="K1" s="266"/>
      <c r="L1" s="265" t="s">
        <v>1486</v>
      </c>
      <c r="M1" s="266"/>
      <c r="N1" s="264" t="s">
        <v>1487</v>
      </c>
      <c r="O1" s="265"/>
      <c r="P1" s="265"/>
      <c r="Q1" s="265"/>
      <c r="R1" s="265"/>
      <c r="S1" s="265"/>
      <c r="T1" s="266"/>
      <c r="U1" s="103"/>
      <c r="V1" s="103"/>
    </row>
    <row r="2" spans="1:22">
      <c r="A2" s="294" t="s">
        <v>1488</v>
      </c>
      <c r="B2" s="296" t="s">
        <v>1489</v>
      </c>
      <c r="C2" s="298" t="s">
        <v>1490</v>
      </c>
      <c r="D2" s="288" t="s">
        <v>1491</v>
      </c>
      <c r="E2" s="288" t="s">
        <v>1492</v>
      </c>
      <c r="F2" s="288" t="s">
        <v>1493</v>
      </c>
      <c r="G2" s="288" t="s">
        <v>1494</v>
      </c>
      <c r="H2" s="288" t="s">
        <v>1495</v>
      </c>
      <c r="I2" s="300" t="s">
        <v>1496</v>
      </c>
      <c r="J2" s="292" t="s">
        <v>1490</v>
      </c>
      <c r="K2" s="300" t="s">
        <v>1491</v>
      </c>
      <c r="L2" s="292" t="s">
        <v>1490</v>
      </c>
      <c r="M2" s="300" t="s">
        <v>1491</v>
      </c>
      <c r="N2" s="306" t="s">
        <v>1497</v>
      </c>
      <c r="O2" s="308" t="s">
        <v>1498</v>
      </c>
      <c r="P2" s="308" t="s">
        <v>1499</v>
      </c>
      <c r="Q2" s="290" t="s">
        <v>1500</v>
      </c>
      <c r="R2" s="290" t="s">
        <v>1501</v>
      </c>
      <c r="S2" s="302" t="s">
        <v>1502</v>
      </c>
      <c r="T2" s="303"/>
      <c r="U2" s="103"/>
      <c r="V2" s="103"/>
    </row>
    <row r="3" spans="1:22" ht="15.75" thickBot="1">
      <c r="A3" s="295"/>
      <c r="B3" s="297"/>
      <c r="C3" s="299"/>
      <c r="D3" s="289"/>
      <c r="E3" s="289"/>
      <c r="F3" s="289"/>
      <c r="G3" s="289"/>
      <c r="H3" s="289"/>
      <c r="I3" s="301"/>
      <c r="J3" s="293"/>
      <c r="K3" s="301"/>
      <c r="L3" s="293"/>
      <c r="M3" s="301"/>
      <c r="N3" s="307"/>
      <c r="O3" s="309"/>
      <c r="P3" s="309"/>
      <c r="Q3" s="291"/>
      <c r="R3" s="291"/>
      <c r="S3" s="304"/>
      <c r="T3" s="305"/>
      <c r="U3" s="103"/>
      <c r="V3" s="103"/>
    </row>
    <row r="4" spans="1:22">
      <c r="A4" s="267" t="s">
        <v>1503</v>
      </c>
      <c r="B4" s="269" t="s">
        <v>64</v>
      </c>
      <c r="C4" s="272" t="s">
        <v>1504</v>
      </c>
      <c r="D4" s="1" t="s">
        <v>1505</v>
      </c>
      <c r="E4" s="2">
        <v>1005</v>
      </c>
      <c r="F4" s="3" t="s">
        <v>1506</v>
      </c>
      <c r="G4" s="3" t="s">
        <v>1506</v>
      </c>
      <c r="H4" s="4">
        <v>3.6733153676064099</v>
      </c>
      <c r="I4" s="5">
        <v>3.4712875800821799</v>
      </c>
      <c r="J4" s="6" t="s">
        <v>1506</v>
      </c>
      <c r="K4" s="3" t="s">
        <v>1506</v>
      </c>
      <c r="L4" s="6" t="s">
        <v>1506</v>
      </c>
      <c r="M4" s="3" t="s">
        <v>1506</v>
      </c>
      <c r="N4" s="7">
        <v>0</v>
      </c>
      <c r="O4" s="8" t="s">
        <v>1507</v>
      </c>
      <c r="P4" s="8" t="s">
        <v>1507</v>
      </c>
      <c r="Q4" s="9">
        <v>0.10520114149180668</v>
      </c>
      <c r="R4" s="275">
        <v>-0.14966150225589619</v>
      </c>
      <c r="S4" s="10" t="s">
        <v>1508</v>
      </c>
      <c r="T4" s="89" t="s">
        <v>1509</v>
      </c>
      <c r="U4" s="103"/>
      <c r="V4" s="103"/>
    </row>
    <row r="5" spans="1:22">
      <c r="A5" s="268"/>
      <c r="B5" s="270"/>
      <c r="C5" s="273"/>
      <c r="D5" s="11" t="s">
        <v>1510</v>
      </c>
      <c r="E5" s="2">
        <v>436</v>
      </c>
      <c r="F5" s="3" t="s">
        <v>1506</v>
      </c>
      <c r="G5" s="3" t="s">
        <v>1506</v>
      </c>
      <c r="H5" s="4">
        <v>6.4570470183486197</v>
      </c>
      <c r="I5" s="5">
        <v>4.39365073835181</v>
      </c>
      <c r="J5" s="6" t="s">
        <v>1506</v>
      </c>
      <c r="K5" s="3" t="s">
        <v>1506</v>
      </c>
      <c r="L5" s="6" t="s">
        <v>1506</v>
      </c>
      <c r="M5" s="3" t="s">
        <v>1506</v>
      </c>
      <c r="N5" s="12">
        <v>1.2190000000000001</v>
      </c>
      <c r="O5" s="13">
        <v>11.58</v>
      </c>
      <c r="P5" s="13">
        <v>0.1053</v>
      </c>
      <c r="Q5" s="14">
        <v>6.2508322755857229E-2</v>
      </c>
      <c r="R5" s="275"/>
      <c r="S5" s="15" t="s">
        <v>1511</v>
      </c>
      <c r="T5" s="90" t="s">
        <v>1512</v>
      </c>
      <c r="U5" s="103"/>
      <c r="V5" s="103"/>
    </row>
    <row r="6" spans="1:22">
      <c r="A6" s="268"/>
      <c r="B6" s="270"/>
      <c r="C6" s="273"/>
      <c r="D6" s="1" t="s">
        <v>1513</v>
      </c>
      <c r="E6" s="2">
        <v>172</v>
      </c>
      <c r="F6" s="3" t="s">
        <v>1506</v>
      </c>
      <c r="G6" s="3" t="s">
        <v>1506</v>
      </c>
      <c r="H6" s="4">
        <v>4.5690503875969002</v>
      </c>
      <c r="I6" s="5">
        <v>2.97085347005304</v>
      </c>
      <c r="J6" s="6" t="s">
        <v>1506</v>
      </c>
      <c r="K6" s="3" t="s">
        <v>1506</v>
      </c>
      <c r="L6" s="6" t="s">
        <v>1506</v>
      </c>
      <c r="M6" s="3" t="s">
        <v>1506</v>
      </c>
      <c r="N6" s="12">
        <v>-0.3745</v>
      </c>
      <c r="O6" s="13">
        <v>-2.6</v>
      </c>
      <c r="P6" s="13">
        <v>0.14410000000000001</v>
      </c>
      <c r="Q6" s="14">
        <v>0.32481127589732228</v>
      </c>
      <c r="R6" s="275"/>
      <c r="S6" s="10" t="s">
        <v>1514</v>
      </c>
      <c r="T6" s="91" t="s">
        <v>1515</v>
      </c>
      <c r="U6" s="103"/>
      <c r="V6" s="103"/>
    </row>
    <row r="7" spans="1:22">
      <c r="A7" s="268"/>
      <c r="B7" s="270"/>
      <c r="C7" s="273"/>
      <c r="D7" s="1" t="s">
        <v>1516</v>
      </c>
      <c r="E7" s="2">
        <v>507</v>
      </c>
      <c r="F7" s="3" t="s">
        <v>1506</v>
      </c>
      <c r="G7" s="3" t="s">
        <v>1506</v>
      </c>
      <c r="H7" s="4">
        <v>6.6357969381046296</v>
      </c>
      <c r="I7" s="5">
        <v>4.14368184191434</v>
      </c>
      <c r="J7" s="6" t="s">
        <v>1506</v>
      </c>
      <c r="K7" s="3" t="s">
        <v>1506</v>
      </c>
      <c r="L7" s="6" t="s">
        <v>1506</v>
      </c>
      <c r="M7" s="3" t="s">
        <v>1506</v>
      </c>
      <c r="N7" s="12">
        <v>1.1326000000000001</v>
      </c>
      <c r="O7" s="13">
        <v>11.46</v>
      </c>
      <c r="P7" s="13">
        <v>9.8900000000000002E-2</v>
      </c>
      <c r="Q7" s="14">
        <v>8.6863434365346215E-2</v>
      </c>
      <c r="R7" s="275"/>
      <c r="S7" s="16" t="s">
        <v>1517</v>
      </c>
      <c r="T7" s="92" t="s">
        <v>1518</v>
      </c>
      <c r="U7" s="103"/>
      <c r="V7" s="103"/>
    </row>
    <row r="8" spans="1:22">
      <c r="A8" s="268"/>
      <c r="B8" s="270"/>
      <c r="C8" s="273"/>
      <c r="D8" s="1" t="s">
        <v>1519</v>
      </c>
      <c r="E8" s="2">
        <v>651</v>
      </c>
      <c r="F8" s="3" t="s">
        <v>1506</v>
      </c>
      <c r="G8" s="3" t="s">
        <v>1506</v>
      </c>
      <c r="H8" s="4">
        <v>3.3547913466461901</v>
      </c>
      <c r="I8" s="5">
        <v>3.4741520631504499</v>
      </c>
      <c r="J8" s="6" t="s">
        <v>1506</v>
      </c>
      <c r="K8" s="3" t="s">
        <v>1506</v>
      </c>
      <c r="L8" s="6" t="s">
        <v>1506</v>
      </c>
      <c r="M8" s="3" t="s">
        <v>1506</v>
      </c>
      <c r="N8" s="12">
        <v>-0.29830000000000001</v>
      </c>
      <c r="O8" s="13">
        <v>-3.18</v>
      </c>
      <c r="P8" s="13">
        <v>9.3700000000000006E-2</v>
      </c>
      <c r="Q8" s="14">
        <v>0.1794596575406428</v>
      </c>
      <c r="R8" s="275"/>
      <c r="S8" s="10" t="s">
        <v>1520</v>
      </c>
      <c r="T8" s="89" t="s">
        <v>1521</v>
      </c>
      <c r="U8" s="103"/>
      <c r="V8" s="103"/>
    </row>
    <row r="9" spans="1:22">
      <c r="A9" s="268"/>
      <c r="B9" s="271"/>
      <c r="C9" s="274"/>
      <c r="D9" s="1" t="s">
        <v>1522</v>
      </c>
      <c r="E9" s="2">
        <v>94</v>
      </c>
      <c r="F9" s="3" t="s">
        <v>1506</v>
      </c>
      <c r="G9" s="3" t="s">
        <v>1506</v>
      </c>
      <c r="H9" s="4">
        <v>0.44480496453900698</v>
      </c>
      <c r="I9" s="5">
        <v>0.37039720892107397</v>
      </c>
      <c r="J9" s="6" t="s">
        <v>1506</v>
      </c>
      <c r="K9" s="3" t="s">
        <v>1506</v>
      </c>
      <c r="L9" s="6" t="s">
        <v>1506</v>
      </c>
      <c r="M9" s="3" t="s">
        <v>1506</v>
      </c>
      <c r="N9" s="12">
        <v>-1.0189999999999999</v>
      </c>
      <c r="O9" s="13">
        <v>-4.79</v>
      </c>
      <c r="P9" s="13">
        <v>0.21279999999999999</v>
      </c>
      <c r="Q9" s="14">
        <v>0.14628658958739585</v>
      </c>
      <c r="R9" s="275"/>
      <c r="S9" s="17">
        <v>2865</v>
      </c>
      <c r="T9" s="92" t="s">
        <v>1518</v>
      </c>
      <c r="U9" s="103"/>
      <c r="V9" s="103"/>
    </row>
    <row r="10" spans="1:22">
      <c r="A10" s="268"/>
      <c r="B10" s="276" t="s">
        <v>134</v>
      </c>
      <c r="C10" s="272" t="s">
        <v>1523</v>
      </c>
      <c r="D10" s="1" t="s">
        <v>347</v>
      </c>
      <c r="E10" s="2">
        <v>2467</v>
      </c>
      <c r="F10" s="3" t="s">
        <v>1506</v>
      </c>
      <c r="G10" s="3" t="s">
        <v>1506</v>
      </c>
      <c r="H10" s="4">
        <v>4.3777831341967897</v>
      </c>
      <c r="I10" s="5">
        <v>4.0938346454170604</v>
      </c>
      <c r="J10" s="6" t="s">
        <v>1506</v>
      </c>
      <c r="K10" s="3" t="s">
        <v>1506</v>
      </c>
      <c r="L10" s="6" t="s">
        <v>1506</v>
      </c>
      <c r="M10" s="3" t="s">
        <v>1506</v>
      </c>
      <c r="N10" s="102">
        <v>1.8411</v>
      </c>
      <c r="O10" s="13">
        <v>18.16</v>
      </c>
      <c r="P10" s="13">
        <v>0.1014</v>
      </c>
      <c r="Q10" s="18" t="s">
        <v>1506</v>
      </c>
      <c r="R10" s="19">
        <v>1.8411</v>
      </c>
      <c r="S10" s="20" t="s">
        <v>1524</v>
      </c>
      <c r="T10" s="89" t="s">
        <v>63</v>
      </c>
      <c r="U10" s="103"/>
      <c r="V10" s="103"/>
    </row>
    <row r="11" spans="1:22">
      <c r="A11" s="268"/>
      <c r="B11" s="276"/>
      <c r="C11" s="274"/>
      <c r="D11" s="1" t="s">
        <v>1525</v>
      </c>
      <c r="E11" s="2">
        <v>398</v>
      </c>
      <c r="F11" s="3" t="s">
        <v>1506</v>
      </c>
      <c r="G11" s="3" t="s">
        <v>1506</v>
      </c>
      <c r="H11" s="4">
        <v>5.23359296482412</v>
      </c>
      <c r="I11" s="5">
        <v>3.1903081790369399</v>
      </c>
      <c r="J11" s="6" t="s">
        <v>1506</v>
      </c>
      <c r="K11" s="3" t="s">
        <v>1506</v>
      </c>
      <c r="L11" s="6" t="s">
        <v>1506</v>
      </c>
      <c r="M11" s="3" t="s">
        <v>1506</v>
      </c>
      <c r="N11" s="21">
        <v>0</v>
      </c>
      <c r="O11" s="22" t="s">
        <v>1507</v>
      </c>
      <c r="P11" s="22" t="s">
        <v>1507</v>
      </c>
      <c r="Q11" s="18" t="s">
        <v>1506</v>
      </c>
      <c r="R11" s="19">
        <v>0</v>
      </c>
      <c r="S11" s="23">
        <v>0.75</v>
      </c>
      <c r="T11" s="101">
        <v>3.0430000000000001</v>
      </c>
      <c r="U11" s="103"/>
      <c r="V11" s="103"/>
    </row>
    <row r="12" spans="1:22">
      <c r="A12" s="268"/>
      <c r="B12" s="276" t="s">
        <v>135</v>
      </c>
      <c r="C12" s="272" t="s">
        <v>1523</v>
      </c>
      <c r="D12" s="1" t="s">
        <v>347</v>
      </c>
      <c r="E12" s="2">
        <v>1383</v>
      </c>
      <c r="F12" s="3" t="s">
        <v>1506</v>
      </c>
      <c r="G12" s="3" t="s">
        <v>1506</v>
      </c>
      <c r="H12" s="4">
        <v>7.7468329718004298</v>
      </c>
      <c r="I12" s="5">
        <v>3.3975016070078898</v>
      </c>
      <c r="J12" s="6" t="s">
        <v>1506</v>
      </c>
      <c r="K12" s="3" t="s">
        <v>1506</v>
      </c>
      <c r="L12" s="6" t="s">
        <v>1506</v>
      </c>
      <c r="M12" s="3" t="s">
        <v>1506</v>
      </c>
      <c r="N12" s="102">
        <v>-1.8050999999999999</v>
      </c>
      <c r="O12" s="13">
        <v>-21.6</v>
      </c>
      <c r="P12" s="13">
        <v>8.3599999999999994E-2</v>
      </c>
      <c r="Q12" s="24">
        <v>0.75622067957404826</v>
      </c>
      <c r="R12" s="277">
        <v>-1.3650539486991144</v>
      </c>
      <c r="S12" s="25" t="s">
        <v>1526</v>
      </c>
      <c r="T12" s="93" t="s">
        <v>1527</v>
      </c>
      <c r="U12" s="103"/>
      <c r="V12" s="103"/>
    </row>
    <row r="13" spans="1:22">
      <c r="A13" s="268"/>
      <c r="B13" s="276"/>
      <c r="C13" s="274"/>
      <c r="D13" s="1" t="s">
        <v>1525</v>
      </c>
      <c r="E13" s="2">
        <v>1482</v>
      </c>
      <c r="F13" s="3" t="s">
        <v>1506</v>
      </c>
      <c r="G13" s="3" t="s">
        <v>1506</v>
      </c>
      <c r="H13" s="4">
        <v>1.4636241511899399</v>
      </c>
      <c r="I13" s="5">
        <v>0.98100310763104204</v>
      </c>
      <c r="J13" s="6" t="s">
        <v>1506</v>
      </c>
      <c r="K13" s="3" t="s">
        <v>1506</v>
      </c>
      <c r="L13" s="6" t="s">
        <v>1506</v>
      </c>
      <c r="M13" s="3" t="s">
        <v>1506</v>
      </c>
      <c r="N13" s="21">
        <v>0</v>
      </c>
      <c r="O13" s="22" t="s">
        <v>1507</v>
      </c>
      <c r="P13" s="22" t="s">
        <v>1507</v>
      </c>
      <c r="Q13" s="24">
        <v>0.24377932042595174</v>
      </c>
      <c r="R13" s="278"/>
      <c r="S13" s="26">
        <v>1.235708</v>
      </c>
      <c r="T13" s="94" t="s">
        <v>1506</v>
      </c>
      <c r="U13" s="103"/>
      <c r="V13" s="103" t="s">
        <v>1528</v>
      </c>
    </row>
    <row r="14" spans="1:22">
      <c r="A14" s="268"/>
      <c r="B14" s="276" t="s">
        <v>136</v>
      </c>
      <c r="C14" s="272" t="s">
        <v>1523</v>
      </c>
      <c r="D14" s="1" t="s">
        <v>347</v>
      </c>
      <c r="E14" s="2">
        <v>2369</v>
      </c>
      <c r="F14" s="3" t="s">
        <v>1506</v>
      </c>
      <c r="G14" s="3" t="s">
        <v>1506</v>
      </c>
      <c r="H14" s="4">
        <v>5.3383467004361904</v>
      </c>
      <c r="I14" s="5">
        <v>3.89357756133426</v>
      </c>
      <c r="J14" s="6" t="s">
        <v>1506</v>
      </c>
      <c r="K14" s="3" t="s">
        <v>1506</v>
      </c>
      <c r="L14" s="6" t="s">
        <v>1506</v>
      </c>
      <c r="M14" s="3" t="s">
        <v>1506</v>
      </c>
      <c r="N14" s="102">
        <v>-1.1288</v>
      </c>
      <c r="O14" s="13">
        <v>-11.08</v>
      </c>
      <c r="P14" s="13">
        <v>0.1019</v>
      </c>
      <c r="Q14" s="24">
        <v>0.42539887706152979</v>
      </c>
      <c r="R14" s="277">
        <v>-0.48019025242705482</v>
      </c>
      <c r="S14" s="27"/>
      <c r="T14" s="95"/>
      <c r="U14" s="103"/>
      <c r="V14" s="100">
        <f>R4+R20+T11</f>
        <v>3.4202600148574542</v>
      </c>
    </row>
    <row r="15" spans="1:22">
      <c r="A15" s="268"/>
      <c r="B15" s="276"/>
      <c r="C15" s="274"/>
      <c r="D15" s="1" t="s">
        <v>1525</v>
      </c>
      <c r="E15" s="2">
        <v>496</v>
      </c>
      <c r="F15" s="3" t="s">
        <v>1506</v>
      </c>
      <c r="G15" s="3" t="s">
        <v>1506</v>
      </c>
      <c r="H15" s="4">
        <v>0.476648505504352</v>
      </c>
      <c r="I15" s="5">
        <v>0.23756794005979801</v>
      </c>
      <c r="J15" s="6" t="s">
        <v>1506</v>
      </c>
      <c r="K15" s="3" t="s">
        <v>1506</v>
      </c>
      <c r="L15" s="6" t="s">
        <v>1506</v>
      </c>
      <c r="M15" s="3" t="s">
        <v>1506</v>
      </c>
      <c r="N15" s="21">
        <v>0</v>
      </c>
      <c r="O15" s="22" t="s">
        <v>1507</v>
      </c>
      <c r="P15" s="22" t="s">
        <v>1507</v>
      </c>
      <c r="Q15" s="24">
        <v>0.57460112293847021</v>
      </c>
      <c r="R15" s="278"/>
      <c r="S15" s="27"/>
      <c r="T15" s="95"/>
      <c r="U15" s="103"/>
      <c r="V15" s="103"/>
    </row>
    <row r="16" spans="1:22">
      <c r="A16" s="268"/>
      <c r="B16" s="276" t="s">
        <v>71</v>
      </c>
      <c r="C16" s="272" t="s">
        <v>1523</v>
      </c>
      <c r="D16" s="1" t="s">
        <v>347</v>
      </c>
      <c r="E16" s="2">
        <v>2722</v>
      </c>
      <c r="F16" s="3" t="s">
        <v>1506</v>
      </c>
      <c r="G16" s="3" t="s">
        <v>1506</v>
      </c>
      <c r="H16" s="4">
        <v>4.1447872858425798</v>
      </c>
      <c r="I16" s="5">
        <v>3.7155199745783398</v>
      </c>
      <c r="J16" s="6" t="s">
        <v>1506</v>
      </c>
      <c r="K16" s="3" t="s">
        <v>1506</v>
      </c>
      <c r="L16" s="6" t="s">
        <v>1506</v>
      </c>
      <c r="M16" s="3" t="s">
        <v>1506</v>
      </c>
      <c r="N16" s="102">
        <v>6.7507000000000001</v>
      </c>
      <c r="O16" s="13">
        <v>35.65</v>
      </c>
      <c r="P16" s="13">
        <v>0.1893</v>
      </c>
      <c r="Q16" s="18" t="s">
        <v>1506</v>
      </c>
      <c r="R16" s="19">
        <v>6.7507000000000001</v>
      </c>
      <c r="S16" s="27"/>
      <c r="T16" s="95"/>
      <c r="U16" s="103"/>
      <c r="V16" s="103"/>
    </row>
    <row r="17" spans="1:20">
      <c r="A17" s="268"/>
      <c r="B17" s="276"/>
      <c r="C17" s="274"/>
      <c r="D17" s="1" t="s">
        <v>1525</v>
      </c>
      <c r="E17" s="2">
        <v>143</v>
      </c>
      <c r="F17" s="3" t="s">
        <v>1506</v>
      </c>
      <c r="G17" s="3" t="s">
        <v>1506</v>
      </c>
      <c r="H17" s="4">
        <v>11.1947552447552</v>
      </c>
      <c r="I17" s="5">
        <v>3.0307000768972401</v>
      </c>
      <c r="J17" s="6" t="s">
        <v>1506</v>
      </c>
      <c r="K17" s="3" t="s">
        <v>1506</v>
      </c>
      <c r="L17" s="6" t="s">
        <v>1506</v>
      </c>
      <c r="M17" s="3" t="s">
        <v>1506</v>
      </c>
      <c r="N17" s="21">
        <v>0</v>
      </c>
      <c r="O17" s="22" t="s">
        <v>1507</v>
      </c>
      <c r="P17" s="22" t="s">
        <v>1507</v>
      </c>
      <c r="Q17" s="18" t="s">
        <v>1506</v>
      </c>
      <c r="R17" s="19">
        <v>0</v>
      </c>
      <c r="S17" s="27"/>
      <c r="T17" s="95"/>
    </row>
    <row r="18" spans="1:20">
      <c r="A18" s="268"/>
      <c r="B18" s="276" t="s">
        <v>72</v>
      </c>
      <c r="C18" s="272" t="s">
        <v>1523</v>
      </c>
      <c r="D18" s="1" t="s">
        <v>347</v>
      </c>
      <c r="E18" s="2">
        <v>2671</v>
      </c>
      <c r="F18" s="3" t="s">
        <v>1506</v>
      </c>
      <c r="G18" s="3" t="s">
        <v>1506</v>
      </c>
      <c r="H18" s="4">
        <v>3.98797116887439</v>
      </c>
      <c r="I18" s="5">
        <v>3.4100199688652899</v>
      </c>
      <c r="J18" s="6" t="s">
        <v>1506</v>
      </c>
      <c r="K18" s="3" t="s">
        <v>1506</v>
      </c>
      <c r="L18" s="6" t="s">
        <v>1506</v>
      </c>
      <c r="M18" s="3" t="s">
        <v>1506</v>
      </c>
      <c r="N18" s="102">
        <v>5.8051000000000004</v>
      </c>
      <c r="O18" s="13">
        <v>42.95</v>
      </c>
      <c r="P18" s="13">
        <v>0.1351</v>
      </c>
      <c r="Q18" s="18" t="s">
        <v>1506</v>
      </c>
      <c r="R18" s="19">
        <v>5.8051000000000004</v>
      </c>
      <c r="S18" s="27"/>
      <c r="T18" s="95"/>
    </row>
    <row r="19" spans="1:20">
      <c r="A19" s="268"/>
      <c r="B19" s="276"/>
      <c r="C19" s="274"/>
      <c r="D19" s="1" t="s">
        <v>1525</v>
      </c>
      <c r="E19" s="2">
        <v>194</v>
      </c>
      <c r="F19" s="3" t="s">
        <v>1506</v>
      </c>
      <c r="G19" s="3" t="s">
        <v>1506</v>
      </c>
      <c r="H19" s="4">
        <v>11.500463917525799</v>
      </c>
      <c r="I19" s="5">
        <v>4.7560682036487503</v>
      </c>
      <c r="J19" s="6" t="s">
        <v>1506</v>
      </c>
      <c r="K19" s="3" t="s">
        <v>1506</v>
      </c>
      <c r="L19" s="6" t="s">
        <v>1506</v>
      </c>
      <c r="M19" s="3" t="s">
        <v>1506</v>
      </c>
      <c r="N19" s="21">
        <v>0</v>
      </c>
      <c r="O19" s="22" t="s">
        <v>1507</v>
      </c>
      <c r="P19" s="22" t="s">
        <v>1507</v>
      </c>
      <c r="Q19" s="18" t="s">
        <v>1506</v>
      </c>
      <c r="R19" s="19">
        <v>0</v>
      </c>
      <c r="S19" s="27"/>
      <c r="T19" s="95"/>
    </row>
    <row r="20" spans="1:20">
      <c r="A20" s="268"/>
      <c r="B20" s="269" t="s">
        <v>1529</v>
      </c>
      <c r="C20" s="272" t="s">
        <v>1523</v>
      </c>
      <c r="D20" s="1" t="s">
        <v>347</v>
      </c>
      <c r="E20" s="2">
        <v>946</v>
      </c>
      <c r="F20" s="3" t="s">
        <v>1506</v>
      </c>
      <c r="G20" s="3" t="s">
        <v>1506</v>
      </c>
      <c r="H20" s="4">
        <v>3.1735792727943899</v>
      </c>
      <c r="I20" s="5">
        <v>3.4195895432653298</v>
      </c>
      <c r="J20" s="6" t="s">
        <v>1506</v>
      </c>
      <c r="K20" s="3" t="s">
        <v>1506</v>
      </c>
      <c r="L20" s="6" t="s">
        <v>1506</v>
      </c>
      <c r="M20" s="3" t="s">
        <v>1506</v>
      </c>
      <c r="N20" s="12">
        <v>1.1145</v>
      </c>
      <c r="O20" s="13">
        <v>14.52</v>
      </c>
      <c r="P20" s="13">
        <v>7.6799999999999993E-2</v>
      </c>
      <c r="Q20" s="24">
        <v>0.472787363941992</v>
      </c>
      <c r="R20" s="275">
        <v>0.52692151711335011</v>
      </c>
      <c r="S20" s="27"/>
      <c r="T20" s="95"/>
    </row>
    <row r="21" spans="1:20">
      <c r="A21" s="268"/>
      <c r="B21" s="271"/>
      <c r="C21" s="274"/>
      <c r="D21" s="1" t="s">
        <v>1525</v>
      </c>
      <c r="E21" s="2">
        <v>1919</v>
      </c>
      <c r="F21" s="3" t="s">
        <v>1506</v>
      </c>
      <c r="G21" s="3" t="s">
        <v>1506</v>
      </c>
      <c r="H21" s="4">
        <v>5.1489082855654003</v>
      </c>
      <c r="I21" s="5">
        <v>4.0908431590261296</v>
      </c>
      <c r="J21" s="6" t="s">
        <v>1506</v>
      </c>
      <c r="K21" s="3" t="s">
        <v>1506</v>
      </c>
      <c r="L21" s="6" t="s">
        <v>1506</v>
      </c>
      <c r="M21" s="3" t="s">
        <v>1506</v>
      </c>
      <c r="N21" s="21">
        <v>0</v>
      </c>
      <c r="O21" s="22" t="s">
        <v>1507</v>
      </c>
      <c r="P21" s="22" t="s">
        <v>1507</v>
      </c>
      <c r="Q21" s="24">
        <v>0.52721263605800806</v>
      </c>
      <c r="R21" s="275"/>
      <c r="S21" s="27"/>
      <c r="T21" s="95"/>
    </row>
    <row r="22" spans="1:20">
      <c r="A22" s="268"/>
      <c r="B22" s="269" t="s">
        <v>1530</v>
      </c>
      <c r="C22" s="272" t="s">
        <v>1523</v>
      </c>
      <c r="D22" s="1" t="s">
        <v>347</v>
      </c>
      <c r="E22" s="2">
        <v>2858</v>
      </c>
      <c r="F22" s="3" t="s">
        <v>1506</v>
      </c>
      <c r="G22" s="3" t="s">
        <v>1506</v>
      </c>
      <c r="H22" s="4">
        <v>4.5042848117786898</v>
      </c>
      <c r="I22" s="5">
        <v>3.9929836107977601</v>
      </c>
      <c r="J22" s="6" t="s">
        <v>1506</v>
      </c>
      <c r="K22" s="3" t="s">
        <v>1506</v>
      </c>
      <c r="L22" s="6" t="s">
        <v>1506</v>
      </c>
      <c r="M22" s="3" t="s">
        <v>1506</v>
      </c>
      <c r="N22" s="12">
        <v>-3.5152999999999999</v>
      </c>
      <c r="O22" s="13">
        <v>-5.4</v>
      </c>
      <c r="P22" s="13">
        <v>0.65100000000000002</v>
      </c>
      <c r="Q22" s="18" t="s">
        <v>1506</v>
      </c>
      <c r="R22" s="19">
        <v>-3.5152999999999999</v>
      </c>
      <c r="S22" s="27"/>
      <c r="T22" s="95"/>
    </row>
    <row r="23" spans="1:20">
      <c r="A23" s="268"/>
      <c r="B23" s="271"/>
      <c r="C23" s="274"/>
      <c r="D23" s="1" t="s">
        <v>1525</v>
      </c>
      <c r="E23" s="2">
        <v>7</v>
      </c>
      <c r="F23" s="3" t="s">
        <v>1506</v>
      </c>
      <c r="G23" s="3" t="s">
        <v>1506</v>
      </c>
      <c r="H23" s="4">
        <v>1.38785714285714</v>
      </c>
      <c r="I23" s="5">
        <v>0.40563589115175203</v>
      </c>
      <c r="J23" s="6" t="s">
        <v>1506</v>
      </c>
      <c r="K23" s="3" t="s">
        <v>1506</v>
      </c>
      <c r="L23" s="6" t="s">
        <v>1506</v>
      </c>
      <c r="M23" s="3" t="s">
        <v>1506</v>
      </c>
      <c r="N23" s="21">
        <v>0</v>
      </c>
      <c r="O23" s="22" t="s">
        <v>1507</v>
      </c>
      <c r="P23" s="22" t="s">
        <v>1507</v>
      </c>
      <c r="Q23" s="18" t="s">
        <v>1506</v>
      </c>
      <c r="R23" s="19">
        <v>0</v>
      </c>
      <c r="S23" s="27"/>
      <c r="T23" s="95"/>
    </row>
    <row r="24" spans="1:20">
      <c r="A24" s="268"/>
      <c r="B24" s="269" t="s">
        <v>1531</v>
      </c>
      <c r="C24" s="272" t="s">
        <v>1523</v>
      </c>
      <c r="D24" s="1" t="s">
        <v>347</v>
      </c>
      <c r="E24" s="2">
        <v>2801</v>
      </c>
      <c r="F24" s="3" t="s">
        <v>1506</v>
      </c>
      <c r="G24" s="3" t="s">
        <v>1506</v>
      </c>
      <c r="H24" s="4">
        <v>4.5825634268940201</v>
      </c>
      <c r="I24" s="5">
        <v>3.9892467239724998</v>
      </c>
      <c r="J24" s="6" t="s">
        <v>1506</v>
      </c>
      <c r="K24" s="3" t="s">
        <v>1506</v>
      </c>
      <c r="L24" s="6" t="s">
        <v>1506</v>
      </c>
      <c r="M24" s="3" t="s">
        <v>1506</v>
      </c>
      <c r="N24" s="12">
        <v>-1.8039000000000001</v>
      </c>
      <c r="O24" s="13">
        <v>-7.34</v>
      </c>
      <c r="P24" s="13">
        <v>0.2457</v>
      </c>
      <c r="Q24" s="18" t="s">
        <v>1506</v>
      </c>
      <c r="R24" s="19">
        <v>-1.8039000000000001</v>
      </c>
      <c r="S24" s="27"/>
      <c r="T24" s="95"/>
    </row>
    <row r="25" spans="1:20">
      <c r="A25" s="268"/>
      <c r="B25" s="271"/>
      <c r="C25" s="274"/>
      <c r="D25" s="1" t="s">
        <v>1525</v>
      </c>
      <c r="E25" s="2">
        <v>64</v>
      </c>
      <c r="F25" s="3" t="s">
        <v>1506</v>
      </c>
      <c r="G25" s="3" t="s">
        <v>1506</v>
      </c>
      <c r="H25" s="4">
        <v>0.73751302083333303</v>
      </c>
      <c r="I25" s="5">
        <v>1.4696077375902299</v>
      </c>
      <c r="J25" s="6" t="s">
        <v>1506</v>
      </c>
      <c r="K25" s="3" t="s">
        <v>1506</v>
      </c>
      <c r="L25" s="6" t="s">
        <v>1506</v>
      </c>
      <c r="M25" s="3" t="s">
        <v>1506</v>
      </c>
      <c r="N25" s="21">
        <v>0</v>
      </c>
      <c r="O25" s="22" t="s">
        <v>1507</v>
      </c>
      <c r="P25" s="22" t="s">
        <v>1507</v>
      </c>
      <c r="Q25" s="18" t="s">
        <v>1506</v>
      </c>
      <c r="R25" s="19">
        <v>0</v>
      </c>
      <c r="S25" s="27"/>
      <c r="T25" s="95"/>
    </row>
    <row r="26" spans="1:20">
      <c r="A26" s="268"/>
      <c r="B26" s="252" t="s">
        <v>138</v>
      </c>
      <c r="C26" s="28" t="s">
        <v>1532</v>
      </c>
      <c r="D26" s="29" t="s">
        <v>1533</v>
      </c>
      <c r="E26" s="2">
        <v>2865</v>
      </c>
      <c r="F26" s="30">
        <v>9.0531518324607294</v>
      </c>
      <c r="G26" s="30">
        <v>1.91799339202955</v>
      </c>
      <c r="H26" s="31">
        <v>4.4966705033380396</v>
      </c>
      <c r="I26" s="32">
        <v>3.9911118099071499</v>
      </c>
      <c r="J26" s="33" t="s">
        <v>1534</v>
      </c>
      <c r="K26" s="34">
        <v>6</v>
      </c>
      <c r="L26" s="33" t="s">
        <v>1534</v>
      </c>
      <c r="M26" s="34">
        <v>10</v>
      </c>
      <c r="N26" s="102">
        <v>6.1600000000000002E-2</v>
      </c>
      <c r="O26" s="13">
        <v>3.54</v>
      </c>
      <c r="P26" s="13">
        <v>1.7399999999999999E-2</v>
      </c>
      <c r="Q26" s="18" t="s">
        <v>1506</v>
      </c>
      <c r="R26" s="19">
        <v>6.1600000000000002E-2</v>
      </c>
      <c r="S26" s="27"/>
      <c r="T26" s="95"/>
    </row>
    <row r="27" spans="1:20" ht="60">
      <c r="A27" s="268"/>
      <c r="B27" s="252" t="s">
        <v>61</v>
      </c>
      <c r="C27" s="28" t="s">
        <v>1532</v>
      </c>
      <c r="D27" s="35" t="s">
        <v>1535</v>
      </c>
      <c r="E27" s="36">
        <v>2722</v>
      </c>
      <c r="F27" s="37">
        <v>17.253122703894199</v>
      </c>
      <c r="G27" s="37">
        <v>6.3182356980631598</v>
      </c>
      <c r="H27" s="38">
        <v>4.1447872858425798</v>
      </c>
      <c r="I27" s="39">
        <v>3.7155199745783398</v>
      </c>
      <c r="J27" s="40" t="s">
        <v>1534</v>
      </c>
      <c r="K27" s="41" t="s">
        <v>1536</v>
      </c>
      <c r="L27" s="40" t="s">
        <v>1532</v>
      </c>
      <c r="M27" s="42" t="s">
        <v>1537</v>
      </c>
      <c r="N27" s="102">
        <v>6.6500000000000004E-2</v>
      </c>
      <c r="O27" s="13">
        <v>10.050000000000001</v>
      </c>
      <c r="P27" s="13">
        <v>6.6E-3</v>
      </c>
      <c r="Q27" s="43" t="s">
        <v>1506</v>
      </c>
      <c r="R27" s="44">
        <v>6.6500000000000004E-2</v>
      </c>
      <c r="S27" s="45"/>
      <c r="T27" s="96"/>
    </row>
    <row r="28" spans="1:20" ht="15.75" thickBot="1">
      <c r="A28" s="268"/>
      <c r="B28" s="252" t="s">
        <v>139</v>
      </c>
      <c r="C28" s="251" t="s">
        <v>1532</v>
      </c>
      <c r="D28" s="1" t="s">
        <v>1538</v>
      </c>
      <c r="E28" s="2">
        <v>2722</v>
      </c>
      <c r="F28" s="46">
        <v>0.41623806024981602</v>
      </c>
      <c r="G28" s="46">
        <v>2.0919160023114101</v>
      </c>
      <c r="H28" s="4">
        <v>4.1447872858425798</v>
      </c>
      <c r="I28" s="5">
        <v>3.7155199745783398</v>
      </c>
      <c r="J28" s="6" t="s">
        <v>1506</v>
      </c>
      <c r="K28" s="3" t="s">
        <v>1506</v>
      </c>
      <c r="L28" s="6" t="s">
        <v>1506</v>
      </c>
      <c r="M28" s="3" t="s">
        <v>1506</v>
      </c>
      <c r="N28" s="102">
        <v>9.35E-2</v>
      </c>
      <c r="O28" s="47">
        <v>4.6900000000000004</v>
      </c>
      <c r="P28" s="47">
        <v>1.9900000000000001E-2</v>
      </c>
      <c r="Q28" s="48" t="s">
        <v>1506</v>
      </c>
      <c r="R28" s="19">
        <v>9.35E-2</v>
      </c>
      <c r="S28" s="27"/>
      <c r="T28" s="95"/>
    </row>
    <row r="29" spans="1:20" ht="19.5" thickBot="1">
      <c r="A29" s="49"/>
      <c r="B29" s="50"/>
      <c r="C29" s="51"/>
      <c r="D29" s="52"/>
      <c r="E29" s="53"/>
      <c r="F29" s="54"/>
      <c r="G29" s="54"/>
      <c r="H29" s="55"/>
      <c r="I29" s="55"/>
      <c r="J29" s="56"/>
      <c r="K29" s="52"/>
      <c r="L29" s="56"/>
      <c r="M29" s="57"/>
      <c r="N29" s="58"/>
      <c r="O29" s="59"/>
      <c r="P29" s="59"/>
      <c r="Q29" s="60"/>
      <c r="R29" s="60"/>
      <c r="S29" s="61"/>
      <c r="T29" s="97"/>
    </row>
    <row r="30" spans="1:20">
      <c r="A30" s="267" t="s">
        <v>1539</v>
      </c>
      <c r="B30" s="269" t="s">
        <v>64</v>
      </c>
      <c r="C30" s="272" t="s">
        <v>1504</v>
      </c>
      <c r="D30" s="1" t="s">
        <v>1505</v>
      </c>
      <c r="E30" s="2">
        <v>462</v>
      </c>
      <c r="F30" s="3" t="s">
        <v>1506</v>
      </c>
      <c r="G30" s="3" t="s">
        <v>1506</v>
      </c>
      <c r="H30" s="4">
        <v>6.5435137085137098</v>
      </c>
      <c r="I30" s="5">
        <v>3.9054063851837801</v>
      </c>
      <c r="J30" s="6" t="s">
        <v>1506</v>
      </c>
      <c r="K30" s="3" t="s">
        <v>1506</v>
      </c>
      <c r="L30" s="6" t="s">
        <v>1506</v>
      </c>
      <c r="M30" s="3" t="s">
        <v>1506</v>
      </c>
      <c r="N30" s="21">
        <v>0</v>
      </c>
      <c r="O30" s="22" t="s">
        <v>1507</v>
      </c>
      <c r="P30" s="62" t="s">
        <v>1507</v>
      </c>
      <c r="Q30" s="63">
        <v>0.24233951144942334</v>
      </c>
      <c r="R30" s="279">
        <v>0.22669576292256455</v>
      </c>
      <c r="S30" s="10" t="s">
        <v>1508</v>
      </c>
      <c r="T30" s="89" t="s">
        <v>1509</v>
      </c>
    </row>
    <row r="31" spans="1:20">
      <c r="A31" s="268"/>
      <c r="B31" s="270"/>
      <c r="C31" s="273"/>
      <c r="D31" s="11" t="s">
        <v>1510</v>
      </c>
      <c r="E31" s="2">
        <v>118</v>
      </c>
      <c r="F31" s="3" t="s">
        <v>1506</v>
      </c>
      <c r="G31" s="3" t="s">
        <v>1506</v>
      </c>
      <c r="H31" s="4">
        <v>12.089661016949201</v>
      </c>
      <c r="I31" s="5">
        <v>3.4634916259582198</v>
      </c>
      <c r="J31" s="6" t="s">
        <v>1506</v>
      </c>
      <c r="K31" s="3" t="s">
        <v>1506</v>
      </c>
      <c r="L31" s="6" t="s">
        <v>1506</v>
      </c>
      <c r="M31" s="3" t="s">
        <v>1506</v>
      </c>
      <c r="N31" s="64">
        <v>2.7381000000000002</v>
      </c>
      <c r="O31" s="65">
        <v>11.61</v>
      </c>
      <c r="P31" s="66">
        <v>0.2359</v>
      </c>
      <c r="Q31" s="67">
        <v>9.666206954273078E-2</v>
      </c>
      <c r="R31" s="280"/>
      <c r="S31" s="15" t="s">
        <v>1511</v>
      </c>
      <c r="T31" s="90" t="s">
        <v>1512</v>
      </c>
    </row>
    <row r="32" spans="1:20">
      <c r="A32" s="268"/>
      <c r="B32" s="270"/>
      <c r="C32" s="273"/>
      <c r="D32" s="1" t="s">
        <v>1513</v>
      </c>
      <c r="E32" s="2">
        <v>37</v>
      </c>
      <c r="F32" s="3" t="s">
        <v>1506</v>
      </c>
      <c r="G32" s="3" t="s">
        <v>1506</v>
      </c>
      <c r="H32" s="4">
        <v>10.1791891891892</v>
      </c>
      <c r="I32" s="5">
        <v>3.4021058661253201</v>
      </c>
      <c r="J32" s="6" t="s">
        <v>1506</v>
      </c>
      <c r="K32" s="3" t="s">
        <v>1506</v>
      </c>
      <c r="L32" s="6" t="s">
        <v>1506</v>
      </c>
      <c r="M32" s="3" t="s">
        <v>1506</v>
      </c>
      <c r="N32" s="64">
        <v>0.63890000000000002</v>
      </c>
      <c r="O32" s="65">
        <v>1.68</v>
      </c>
      <c r="P32" s="66">
        <v>0.37969999999999998</v>
      </c>
      <c r="Q32" s="67">
        <v>0.20857495927514369</v>
      </c>
      <c r="R32" s="280"/>
      <c r="S32" s="10" t="s">
        <v>1514</v>
      </c>
      <c r="T32" s="91" t="s">
        <v>1515</v>
      </c>
    </row>
    <row r="33" spans="1:22">
      <c r="A33" s="268"/>
      <c r="B33" s="270"/>
      <c r="C33" s="273"/>
      <c r="D33" s="1" t="s">
        <v>1516</v>
      </c>
      <c r="E33" s="2">
        <v>166</v>
      </c>
      <c r="F33" s="3" t="s">
        <v>1506</v>
      </c>
      <c r="G33" s="3" t="s">
        <v>1506</v>
      </c>
      <c r="H33" s="4">
        <v>10.483433734939799</v>
      </c>
      <c r="I33" s="5">
        <v>4.6982073259276804</v>
      </c>
      <c r="J33" s="6" t="s">
        <v>1506</v>
      </c>
      <c r="K33" s="3" t="s">
        <v>1506</v>
      </c>
      <c r="L33" s="6" t="s">
        <v>1506</v>
      </c>
      <c r="M33" s="3" t="s">
        <v>1506</v>
      </c>
      <c r="N33" s="64">
        <v>1.5961000000000001</v>
      </c>
      <c r="O33" s="65">
        <v>7.89</v>
      </c>
      <c r="P33" s="66">
        <v>0.20219999999999999</v>
      </c>
      <c r="Q33" s="67">
        <v>0.11191288973241292</v>
      </c>
      <c r="R33" s="280"/>
      <c r="S33" s="16" t="s">
        <v>1517</v>
      </c>
      <c r="T33" s="92" t="s">
        <v>1518</v>
      </c>
      <c r="U33" s="103"/>
      <c r="V33" s="103"/>
    </row>
    <row r="34" spans="1:22">
      <c r="A34" s="268"/>
      <c r="B34" s="270"/>
      <c r="C34" s="273"/>
      <c r="D34" s="1" t="s">
        <v>1519</v>
      </c>
      <c r="E34" s="2">
        <v>163</v>
      </c>
      <c r="F34" s="3" t="s">
        <v>1506</v>
      </c>
      <c r="G34" s="3" t="s">
        <v>1506</v>
      </c>
      <c r="H34" s="4">
        <v>8.2164723926380407</v>
      </c>
      <c r="I34" s="5">
        <v>4.1601341729800101</v>
      </c>
      <c r="J34" s="6" t="s">
        <v>1506</v>
      </c>
      <c r="K34" s="3" t="s">
        <v>1506</v>
      </c>
      <c r="L34" s="6" t="s">
        <v>1506</v>
      </c>
      <c r="M34" s="3" t="s">
        <v>1506</v>
      </c>
      <c r="N34" s="64">
        <v>0.1027</v>
      </c>
      <c r="O34" s="65">
        <v>0.5</v>
      </c>
      <c r="P34" s="66">
        <v>0.20369999999999999</v>
      </c>
      <c r="Q34" s="67">
        <v>0.18971598143672741</v>
      </c>
      <c r="R34" s="280"/>
      <c r="S34" s="10" t="s">
        <v>1520</v>
      </c>
      <c r="T34" s="89" t="s">
        <v>1521</v>
      </c>
      <c r="U34" s="103"/>
      <c r="V34" s="103"/>
    </row>
    <row r="35" spans="1:22">
      <c r="A35" s="268"/>
      <c r="B35" s="271"/>
      <c r="C35" s="274"/>
      <c r="D35" s="1" t="s">
        <v>1522</v>
      </c>
      <c r="E35" s="2">
        <v>73</v>
      </c>
      <c r="F35" s="3" t="s">
        <v>1506</v>
      </c>
      <c r="G35" s="3" t="s">
        <v>1506</v>
      </c>
      <c r="H35" s="4">
        <v>0.95101598173516</v>
      </c>
      <c r="I35" s="5">
        <v>0.50516694172889798</v>
      </c>
      <c r="J35" s="6" t="s">
        <v>1506</v>
      </c>
      <c r="K35" s="3" t="s">
        <v>1506</v>
      </c>
      <c r="L35" s="6" t="s">
        <v>1506</v>
      </c>
      <c r="M35" s="3" t="s">
        <v>1506</v>
      </c>
      <c r="N35" s="64">
        <v>-2.4493</v>
      </c>
      <c r="O35" s="65">
        <v>-7.26</v>
      </c>
      <c r="P35" s="66">
        <v>0.33760000000000001</v>
      </c>
      <c r="Q35" s="67">
        <v>0.15079458856356187</v>
      </c>
      <c r="R35" s="281"/>
      <c r="S35" s="17">
        <v>1019</v>
      </c>
      <c r="T35" s="92" t="s">
        <v>1518</v>
      </c>
      <c r="U35" s="103"/>
      <c r="V35" s="103"/>
    </row>
    <row r="36" spans="1:22">
      <c r="A36" s="268"/>
      <c r="B36" s="276" t="s">
        <v>135</v>
      </c>
      <c r="C36" s="272" t="s">
        <v>1523</v>
      </c>
      <c r="D36" s="1" t="s">
        <v>347</v>
      </c>
      <c r="E36" s="2">
        <v>706</v>
      </c>
      <c r="F36" s="3" t="s">
        <v>1506</v>
      </c>
      <c r="G36" s="3" t="s">
        <v>1506</v>
      </c>
      <c r="H36" s="4">
        <v>10.3368980169972</v>
      </c>
      <c r="I36" s="5">
        <v>3.41932681912211</v>
      </c>
      <c r="J36" s="6" t="s">
        <v>1506</v>
      </c>
      <c r="K36" s="3" t="s">
        <v>1506</v>
      </c>
      <c r="L36" s="6" t="s">
        <v>1506</v>
      </c>
      <c r="M36" s="3" t="s">
        <v>1506</v>
      </c>
      <c r="N36" s="102">
        <v>-2.7940999999999998</v>
      </c>
      <c r="O36" s="65">
        <v>-15.62</v>
      </c>
      <c r="P36" s="66">
        <v>0.1789</v>
      </c>
      <c r="Q36" s="24">
        <v>0.2062061127743692</v>
      </c>
      <c r="R36" s="277">
        <v>-0.57616049970286498</v>
      </c>
      <c r="S36" s="20" t="s">
        <v>1524</v>
      </c>
      <c r="T36" s="89" t="s">
        <v>63</v>
      </c>
      <c r="U36" s="103"/>
      <c r="V36" s="103"/>
    </row>
    <row r="37" spans="1:22">
      <c r="A37" s="268"/>
      <c r="B37" s="276"/>
      <c r="C37" s="274"/>
      <c r="D37" s="1" t="s">
        <v>1525</v>
      </c>
      <c r="E37" s="2">
        <v>313</v>
      </c>
      <c r="F37" s="3" t="s">
        <v>1506</v>
      </c>
      <c r="G37" s="3" t="s">
        <v>1506</v>
      </c>
      <c r="H37" s="4">
        <v>2.16428913738019</v>
      </c>
      <c r="I37" s="5">
        <v>1.0530536475397301</v>
      </c>
      <c r="J37" s="6" t="s">
        <v>1506</v>
      </c>
      <c r="K37" s="3" t="s">
        <v>1506</v>
      </c>
      <c r="L37" s="6" t="s">
        <v>1506</v>
      </c>
      <c r="M37" s="3" t="s">
        <v>1506</v>
      </c>
      <c r="N37" s="21">
        <v>0</v>
      </c>
      <c r="O37" s="22" t="s">
        <v>1507</v>
      </c>
      <c r="P37" s="62" t="s">
        <v>1507</v>
      </c>
      <c r="Q37" s="24">
        <v>0.79379388722563082</v>
      </c>
      <c r="R37" s="278"/>
      <c r="S37" s="22">
        <v>0.7</v>
      </c>
      <c r="T37" s="101">
        <v>5.0279999999999996</v>
      </c>
      <c r="U37" s="103"/>
      <c r="V37" s="103"/>
    </row>
    <row r="38" spans="1:22">
      <c r="A38" s="268"/>
      <c r="B38" s="276" t="s">
        <v>72</v>
      </c>
      <c r="C38" s="272" t="s">
        <v>1523</v>
      </c>
      <c r="D38" s="1" t="s">
        <v>347</v>
      </c>
      <c r="E38" s="2">
        <v>783</v>
      </c>
      <c r="F38" s="3" t="s">
        <v>1506</v>
      </c>
      <c r="G38" s="3" t="s">
        <v>1506</v>
      </c>
      <c r="H38" s="4">
        <v>6.7609610472541499</v>
      </c>
      <c r="I38" s="5">
        <v>3.9961875930950499</v>
      </c>
      <c r="J38" s="6" t="s">
        <v>1506</v>
      </c>
      <c r="K38" s="3" t="s">
        <v>1506</v>
      </c>
      <c r="L38" s="6" t="s">
        <v>1506</v>
      </c>
      <c r="M38" s="3" t="s">
        <v>1506</v>
      </c>
      <c r="N38" s="102">
        <v>4.0461</v>
      </c>
      <c r="O38" s="65">
        <v>24.75</v>
      </c>
      <c r="P38" s="66">
        <v>0.16350000000000001</v>
      </c>
      <c r="Q38" s="18" t="s">
        <v>1506</v>
      </c>
      <c r="R38" s="19">
        <v>4.0461</v>
      </c>
      <c r="S38" s="25" t="s">
        <v>1526</v>
      </c>
      <c r="T38" s="93" t="s">
        <v>1527</v>
      </c>
      <c r="U38" s="103"/>
      <c r="V38" s="103"/>
    </row>
    <row r="39" spans="1:22">
      <c r="A39" s="268"/>
      <c r="B39" s="276"/>
      <c r="C39" s="274"/>
      <c r="D39" s="1" t="s">
        <v>1525</v>
      </c>
      <c r="E39" s="2">
        <v>236</v>
      </c>
      <c r="F39" s="3" t="s">
        <v>1506</v>
      </c>
      <c r="G39" s="3" t="s">
        <v>1506</v>
      </c>
      <c r="H39" s="4">
        <v>11.3620338983051</v>
      </c>
      <c r="I39" s="5">
        <v>5.3577546382877799</v>
      </c>
      <c r="J39" s="6" t="s">
        <v>1506</v>
      </c>
      <c r="K39" s="3" t="s">
        <v>1506</v>
      </c>
      <c r="L39" s="6" t="s">
        <v>1506</v>
      </c>
      <c r="M39" s="3" t="s">
        <v>1506</v>
      </c>
      <c r="N39" s="21">
        <v>0</v>
      </c>
      <c r="O39" s="22" t="s">
        <v>1507</v>
      </c>
      <c r="P39" s="62" t="s">
        <v>1507</v>
      </c>
      <c r="Q39" s="18" t="s">
        <v>1506</v>
      </c>
      <c r="R39" s="19">
        <v>0</v>
      </c>
      <c r="S39" s="26">
        <v>1.5831109999999999</v>
      </c>
      <c r="T39" s="94" t="s">
        <v>1506</v>
      </c>
      <c r="U39" s="103"/>
      <c r="V39" s="103" t="s">
        <v>1528</v>
      </c>
    </row>
    <row r="40" spans="1:22">
      <c r="A40" s="268"/>
      <c r="B40" s="269" t="s">
        <v>1540</v>
      </c>
      <c r="C40" s="272" t="s">
        <v>1523</v>
      </c>
      <c r="D40" s="1" t="s">
        <v>347</v>
      </c>
      <c r="E40" s="2">
        <v>356</v>
      </c>
      <c r="F40" s="3" t="s">
        <v>1506</v>
      </c>
      <c r="G40" s="3" t="s">
        <v>1506</v>
      </c>
      <c r="H40" s="4">
        <v>6.6243164794007496</v>
      </c>
      <c r="I40" s="5">
        <v>4.1224767220844702</v>
      </c>
      <c r="J40" s="6" t="s">
        <v>1506</v>
      </c>
      <c r="K40" s="3" t="s">
        <v>1506</v>
      </c>
      <c r="L40" s="6" t="s">
        <v>1506</v>
      </c>
      <c r="M40" s="3" t="s">
        <v>1506</v>
      </c>
      <c r="N40" s="64">
        <v>1.075</v>
      </c>
      <c r="O40" s="65">
        <v>6.85</v>
      </c>
      <c r="P40" s="66">
        <v>0.15690000000000001</v>
      </c>
      <c r="Q40" s="24">
        <v>0.88105700975331613</v>
      </c>
      <c r="R40" s="282">
        <v>0.94713628548481477</v>
      </c>
      <c r="S40" s="27"/>
      <c r="T40" s="95"/>
      <c r="U40" s="103"/>
      <c r="V40" s="100">
        <f>T37+R30+R40</f>
        <v>6.201832048407379</v>
      </c>
    </row>
    <row r="41" spans="1:22">
      <c r="A41" s="268"/>
      <c r="B41" s="271"/>
      <c r="C41" s="274"/>
      <c r="D41" s="1" t="s">
        <v>1525</v>
      </c>
      <c r="E41" s="2">
        <v>663</v>
      </c>
      <c r="F41" s="3" t="s">
        <v>1506</v>
      </c>
      <c r="G41" s="3" t="s">
        <v>1506</v>
      </c>
      <c r="H41" s="4">
        <v>8.4721204122674703</v>
      </c>
      <c r="I41" s="5">
        <v>4.9543134849633796</v>
      </c>
      <c r="J41" s="6" t="s">
        <v>1506</v>
      </c>
      <c r="K41" s="3" t="s">
        <v>1506</v>
      </c>
      <c r="L41" s="6" t="s">
        <v>1506</v>
      </c>
      <c r="M41" s="3" t="s">
        <v>1506</v>
      </c>
      <c r="N41" s="21">
        <v>0</v>
      </c>
      <c r="O41" s="22" t="s">
        <v>1507</v>
      </c>
      <c r="P41" s="62" t="s">
        <v>1507</v>
      </c>
      <c r="Q41" s="24">
        <v>0.11894299024668388</v>
      </c>
      <c r="R41" s="281"/>
      <c r="S41" s="27"/>
      <c r="T41" s="95"/>
      <c r="U41" s="103"/>
      <c r="V41" s="103"/>
    </row>
    <row r="42" spans="1:22">
      <c r="A42" s="268"/>
      <c r="B42" s="269" t="s">
        <v>1541</v>
      </c>
      <c r="C42" s="272" t="s">
        <v>1523</v>
      </c>
      <c r="D42" s="1" t="s">
        <v>347</v>
      </c>
      <c r="E42" s="2">
        <v>962</v>
      </c>
      <c r="F42" s="3" t="s">
        <v>1506</v>
      </c>
      <c r="G42" s="3" t="s">
        <v>1506</v>
      </c>
      <c r="H42" s="4">
        <v>8.2042844767844798</v>
      </c>
      <c r="I42" s="5">
        <v>4.6142960910298703</v>
      </c>
      <c r="J42" s="6" t="s">
        <v>1506</v>
      </c>
      <c r="K42" s="3" t="s">
        <v>1506</v>
      </c>
      <c r="L42" s="6" t="s">
        <v>1506</v>
      </c>
      <c r="M42" s="3" t="s">
        <v>1506</v>
      </c>
      <c r="N42" s="64">
        <v>-3.0400999999999998</v>
      </c>
      <c r="O42" s="65">
        <v>-8.92</v>
      </c>
      <c r="P42" s="66">
        <v>0.3407</v>
      </c>
      <c r="Q42" s="18" t="s">
        <v>1506</v>
      </c>
      <c r="R42" s="19">
        <v>-3.0400999999999998</v>
      </c>
      <c r="S42" s="27"/>
      <c r="T42" s="95"/>
      <c r="U42" s="103"/>
      <c r="V42" s="103"/>
    </row>
    <row r="43" spans="1:22">
      <c r="A43" s="268"/>
      <c r="B43" s="271"/>
      <c r="C43" s="274"/>
      <c r="D43" s="1" t="s">
        <v>1525</v>
      </c>
      <c r="E43" s="2">
        <v>57</v>
      </c>
      <c r="F43" s="3" t="s">
        <v>1506</v>
      </c>
      <c r="G43" s="3" t="s">
        <v>1506</v>
      </c>
      <c r="H43" s="4">
        <v>1.45176900584795</v>
      </c>
      <c r="I43" s="5">
        <v>1.6796578218690399</v>
      </c>
      <c r="J43" s="6" t="s">
        <v>1506</v>
      </c>
      <c r="K43" s="3" t="s">
        <v>1506</v>
      </c>
      <c r="L43" s="6" t="s">
        <v>1506</v>
      </c>
      <c r="M43" s="3" t="s">
        <v>1506</v>
      </c>
      <c r="N43" s="21">
        <v>0</v>
      </c>
      <c r="O43" s="22" t="s">
        <v>1507</v>
      </c>
      <c r="P43" s="62" t="s">
        <v>1507</v>
      </c>
      <c r="Q43" s="18" t="s">
        <v>1506</v>
      </c>
      <c r="R43" s="19">
        <v>0</v>
      </c>
      <c r="S43" s="27"/>
      <c r="T43" s="95"/>
      <c r="U43" s="103"/>
      <c r="V43" s="103"/>
    </row>
    <row r="44" spans="1:22" ht="60.75" thickBot="1">
      <c r="A44" s="285"/>
      <c r="B44" s="252" t="s">
        <v>61</v>
      </c>
      <c r="C44" s="28" t="s">
        <v>1532</v>
      </c>
      <c r="D44" s="68" t="s">
        <v>1542</v>
      </c>
      <c r="E44" s="36">
        <v>1019</v>
      </c>
      <c r="F44" s="37">
        <v>17.7055937193327</v>
      </c>
      <c r="G44" s="37">
        <v>5.0995664244027301</v>
      </c>
      <c r="H44" s="38">
        <v>7.8265677134445504</v>
      </c>
      <c r="I44" s="39">
        <v>4.76077609848031</v>
      </c>
      <c r="J44" s="40" t="s">
        <v>1534</v>
      </c>
      <c r="K44" s="41" t="s">
        <v>1536</v>
      </c>
      <c r="L44" s="40" t="s">
        <v>1532</v>
      </c>
      <c r="M44" s="42" t="s">
        <v>1537</v>
      </c>
      <c r="N44" s="102">
        <v>0.14729999999999999</v>
      </c>
      <c r="O44" s="65">
        <v>10.98</v>
      </c>
      <c r="P44" s="66">
        <v>1.34E-2</v>
      </c>
      <c r="Q44" s="69" t="s">
        <v>1506</v>
      </c>
      <c r="R44" s="44">
        <v>0.14729999999999999</v>
      </c>
      <c r="S44" s="70"/>
      <c r="T44" s="98"/>
      <c r="U44" s="103"/>
      <c r="V44" s="103"/>
    </row>
    <row r="45" spans="1:22" ht="19.5" thickBot="1">
      <c r="A45" s="49"/>
      <c r="B45" s="50"/>
      <c r="C45" s="51"/>
      <c r="D45" s="52"/>
      <c r="E45" s="53"/>
      <c r="F45" s="54"/>
      <c r="G45" s="54"/>
      <c r="H45" s="55"/>
      <c r="I45" s="55"/>
      <c r="J45" s="56"/>
      <c r="K45" s="52"/>
      <c r="L45" s="56"/>
      <c r="M45" s="57"/>
      <c r="N45" s="58"/>
      <c r="O45" s="59"/>
      <c r="P45" s="59"/>
      <c r="Q45" s="60"/>
      <c r="R45" s="60"/>
      <c r="S45" s="61"/>
      <c r="T45" s="97"/>
      <c r="U45" s="103"/>
      <c r="V45" s="103"/>
    </row>
    <row r="46" spans="1:22">
      <c r="A46" s="283" t="s">
        <v>1543</v>
      </c>
      <c r="B46" s="269" t="s">
        <v>64</v>
      </c>
      <c r="C46" s="272" t="s">
        <v>1504</v>
      </c>
      <c r="D46" s="1" t="s">
        <v>1505</v>
      </c>
      <c r="E46" s="2">
        <v>104</v>
      </c>
      <c r="F46" s="3" t="s">
        <v>1506</v>
      </c>
      <c r="G46" s="3" t="s">
        <v>1506</v>
      </c>
      <c r="H46" s="4">
        <v>4.3588461538461498</v>
      </c>
      <c r="I46" s="5">
        <v>2.85869693571675</v>
      </c>
      <c r="J46" s="6" t="s">
        <v>1506</v>
      </c>
      <c r="K46" s="3" t="s">
        <v>1506</v>
      </c>
      <c r="L46" s="6" t="s">
        <v>1506</v>
      </c>
      <c r="M46" s="3" t="s">
        <v>1506</v>
      </c>
      <c r="N46" s="7">
        <v>0</v>
      </c>
      <c r="O46" s="8" t="s">
        <v>1507</v>
      </c>
      <c r="P46" s="8" t="s">
        <v>1507</v>
      </c>
      <c r="Q46" s="63">
        <v>0.24233951144942334</v>
      </c>
      <c r="R46" s="279">
        <v>-0.65479011267261533</v>
      </c>
      <c r="S46" s="10" t="s">
        <v>1508</v>
      </c>
      <c r="T46" s="89" t="s">
        <v>1509</v>
      </c>
      <c r="U46" s="103"/>
      <c r="V46" s="103"/>
    </row>
    <row r="47" spans="1:22">
      <c r="A47" s="268"/>
      <c r="B47" s="270"/>
      <c r="C47" s="273"/>
      <c r="D47" s="11" t="s">
        <v>1510</v>
      </c>
      <c r="E47" s="2">
        <v>35</v>
      </c>
      <c r="F47" s="3" t="s">
        <v>1506</v>
      </c>
      <c r="G47" s="3" t="s">
        <v>1506</v>
      </c>
      <c r="H47" s="4">
        <v>9.3442857142857108</v>
      </c>
      <c r="I47" s="5">
        <v>1.38804620560973</v>
      </c>
      <c r="J47" s="6" t="s">
        <v>1506</v>
      </c>
      <c r="K47" s="3" t="s">
        <v>1506</v>
      </c>
      <c r="L47" s="6" t="s">
        <v>1506</v>
      </c>
      <c r="M47" s="3" t="s">
        <v>1506</v>
      </c>
      <c r="N47" s="12">
        <v>1.00499</v>
      </c>
      <c r="O47" s="13">
        <v>3.4420000000000002</v>
      </c>
      <c r="P47" s="13">
        <v>0.29197000000000001</v>
      </c>
      <c r="Q47" s="67">
        <v>9.666206954273078E-2</v>
      </c>
      <c r="R47" s="280"/>
      <c r="S47" s="15" t="s">
        <v>1511</v>
      </c>
      <c r="T47" s="90" t="s">
        <v>1512</v>
      </c>
      <c r="U47" s="103"/>
      <c r="V47" s="103"/>
    </row>
    <row r="48" spans="1:22">
      <c r="A48" s="268"/>
      <c r="B48" s="270"/>
      <c r="C48" s="273"/>
      <c r="D48" s="1" t="s">
        <v>1513</v>
      </c>
      <c r="E48" s="2">
        <v>7</v>
      </c>
      <c r="F48" s="3" t="s">
        <v>1506</v>
      </c>
      <c r="G48" s="3" t="s">
        <v>1506</v>
      </c>
      <c r="H48" s="4">
        <v>8.4185714285714308</v>
      </c>
      <c r="I48" s="5">
        <v>1.2724180205607001</v>
      </c>
      <c r="J48" s="6" t="s">
        <v>1506</v>
      </c>
      <c r="K48" s="3" t="s">
        <v>1506</v>
      </c>
      <c r="L48" s="6" t="s">
        <v>1506</v>
      </c>
      <c r="M48" s="3" t="s">
        <v>1506</v>
      </c>
      <c r="N48" s="12">
        <v>3.4360000000000002E-2</v>
      </c>
      <c r="O48" s="13">
        <v>6.7000000000000004E-2</v>
      </c>
      <c r="P48" s="13">
        <v>0.51185999999999998</v>
      </c>
      <c r="Q48" s="67">
        <v>0.20857495927514369</v>
      </c>
      <c r="R48" s="280"/>
      <c r="S48" s="10" t="s">
        <v>1514</v>
      </c>
      <c r="T48" s="91" t="s">
        <v>1515</v>
      </c>
      <c r="U48" s="103"/>
      <c r="V48" s="103"/>
    </row>
    <row r="49" spans="1:22">
      <c r="A49" s="268"/>
      <c r="B49" s="270"/>
      <c r="C49" s="273"/>
      <c r="D49" s="1" t="s">
        <v>1516</v>
      </c>
      <c r="E49" s="2">
        <v>43</v>
      </c>
      <c r="F49" s="3" t="s">
        <v>1506</v>
      </c>
      <c r="G49" s="3" t="s">
        <v>1506</v>
      </c>
      <c r="H49" s="4">
        <v>8.0484496124031004</v>
      </c>
      <c r="I49" s="5">
        <v>3.0647445105144899</v>
      </c>
      <c r="J49" s="6" t="s">
        <v>1506</v>
      </c>
      <c r="K49" s="3" t="s">
        <v>1506</v>
      </c>
      <c r="L49" s="6" t="s">
        <v>1506</v>
      </c>
      <c r="M49" s="3" t="s">
        <v>1506</v>
      </c>
      <c r="N49" s="12">
        <v>0.53610999999999998</v>
      </c>
      <c r="O49" s="13">
        <v>2.04</v>
      </c>
      <c r="P49" s="13">
        <v>0.26284000000000002</v>
      </c>
      <c r="Q49" s="67">
        <v>0.11191288973241292</v>
      </c>
      <c r="R49" s="280"/>
      <c r="S49" s="16" t="s">
        <v>1517</v>
      </c>
      <c r="T49" s="92" t="s">
        <v>1518</v>
      </c>
      <c r="U49" s="103"/>
      <c r="V49" s="103"/>
    </row>
    <row r="50" spans="1:22">
      <c r="A50" s="268"/>
      <c r="B50" s="270"/>
      <c r="C50" s="273"/>
      <c r="D50" s="1" t="s">
        <v>1519</v>
      </c>
      <c r="E50" s="2">
        <v>85</v>
      </c>
      <c r="F50" s="3" t="s">
        <v>1506</v>
      </c>
      <c r="G50" s="3" t="s">
        <v>1506</v>
      </c>
      <c r="H50" s="4">
        <v>3.34547058823529</v>
      </c>
      <c r="I50" s="5">
        <v>2.4002339448887202</v>
      </c>
      <c r="J50" s="6" t="s">
        <v>1506</v>
      </c>
      <c r="K50" s="3" t="s">
        <v>1506</v>
      </c>
      <c r="L50" s="6" t="s">
        <v>1506</v>
      </c>
      <c r="M50" s="3" t="s">
        <v>1506</v>
      </c>
      <c r="N50" s="12">
        <v>-1.53224</v>
      </c>
      <c r="O50" s="13">
        <v>-6.93</v>
      </c>
      <c r="P50" s="13">
        <v>0.22109000000000001</v>
      </c>
      <c r="Q50" s="67">
        <v>0.18971598143672741</v>
      </c>
      <c r="R50" s="280"/>
      <c r="S50" s="10" t="s">
        <v>1520</v>
      </c>
      <c r="T50" s="89" t="s">
        <v>1521</v>
      </c>
      <c r="U50" s="103"/>
      <c r="V50" s="103"/>
    </row>
    <row r="51" spans="1:22">
      <c r="A51" s="268"/>
      <c r="B51" s="271"/>
      <c r="C51" s="274"/>
      <c r="D51" s="1" t="s">
        <v>1522</v>
      </c>
      <c r="E51" s="2">
        <v>24</v>
      </c>
      <c r="F51" s="3" t="s">
        <v>1506</v>
      </c>
      <c r="G51" s="3" t="s">
        <v>1506</v>
      </c>
      <c r="H51" s="4">
        <v>0.52500000000000002</v>
      </c>
      <c r="I51" s="5">
        <v>0.25917930674241402</v>
      </c>
      <c r="J51" s="6" t="s">
        <v>1506</v>
      </c>
      <c r="K51" s="3" t="s">
        <v>1506</v>
      </c>
      <c r="L51" s="6" t="s">
        <v>1506</v>
      </c>
      <c r="M51" s="3" t="s">
        <v>1506</v>
      </c>
      <c r="N51" s="12">
        <v>-3.5041600000000002</v>
      </c>
      <c r="O51" s="13">
        <v>-8.8960000000000008</v>
      </c>
      <c r="P51" s="13">
        <v>0.39389999999999997</v>
      </c>
      <c r="Q51" s="67">
        <v>0.15079458856356187</v>
      </c>
      <c r="R51" s="281"/>
      <c r="S51" s="17">
        <v>298</v>
      </c>
      <c r="T51" s="92" t="s">
        <v>1518</v>
      </c>
      <c r="U51" s="103"/>
      <c r="V51" s="103"/>
    </row>
    <row r="52" spans="1:22">
      <c r="A52" s="268"/>
      <c r="B52" s="276" t="s">
        <v>135</v>
      </c>
      <c r="C52" s="272" t="s">
        <v>1523</v>
      </c>
      <c r="D52" s="1" t="s">
        <v>347</v>
      </c>
      <c r="E52" s="2">
        <v>147</v>
      </c>
      <c r="F52" s="3" t="s">
        <v>1506</v>
      </c>
      <c r="G52" s="3" t="s">
        <v>1506</v>
      </c>
      <c r="H52" s="4">
        <v>8.1218367346938791</v>
      </c>
      <c r="I52" s="5">
        <v>2.20883128472836</v>
      </c>
      <c r="J52" s="6" t="s">
        <v>1506</v>
      </c>
      <c r="K52" s="3" t="s">
        <v>1506</v>
      </c>
      <c r="L52" s="6" t="s">
        <v>1506</v>
      </c>
      <c r="M52" s="3" t="s">
        <v>1506</v>
      </c>
      <c r="N52" s="102">
        <v>-1.7193799999999999</v>
      </c>
      <c r="O52" s="13">
        <v>-6.1369999999999996</v>
      </c>
      <c r="P52" s="13">
        <v>0.28014</v>
      </c>
      <c r="Q52" s="24">
        <v>0.17381990787664703</v>
      </c>
      <c r="R52" s="277">
        <v>-0.29886247320494935</v>
      </c>
      <c r="S52" s="20" t="s">
        <v>1524</v>
      </c>
      <c r="T52" s="89" t="s">
        <v>63</v>
      </c>
      <c r="U52" s="103"/>
      <c r="V52" s="103"/>
    </row>
    <row r="53" spans="1:22">
      <c r="A53" s="268"/>
      <c r="B53" s="276"/>
      <c r="C53" s="274"/>
      <c r="D53" s="1" t="s">
        <v>1525</v>
      </c>
      <c r="E53" s="2">
        <v>151</v>
      </c>
      <c r="F53" s="3" t="s">
        <v>1506</v>
      </c>
      <c r="G53" s="3" t="s">
        <v>1506</v>
      </c>
      <c r="H53" s="4">
        <v>1.9101876379690901</v>
      </c>
      <c r="I53" s="5">
        <v>0.85000619917230402</v>
      </c>
      <c r="J53" s="6" t="s">
        <v>1506</v>
      </c>
      <c r="K53" s="3" t="s">
        <v>1506</v>
      </c>
      <c r="L53" s="6" t="s">
        <v>1506</v>
      </c>
      <c r="M53" s="3" t="s">
        <v>1506</v>
      </c>
      <c r="N53" s="21">
        <v>0</v>
      </c>
      <c r="O53" s="22" t="s">
        <v>1507</v>
      </c>
      <c r="P53" s="22" t="s">
        <v>1507</v>
      </c>
      <c r="Q53" s="24">
        <v>0.82618009212335297</v>
      </c>
      <c r="R53" s="278"/>
      <c r="S53" s="22">
        <v>0.76580000000000004</v>
      </c>
      <c r="T53" s="101">
        <v>7.31541</v>
      </c>
      <c r="U53" s="103"/>
      <c r="V53" s="103"/>
    </row>
    <row r="54" spans="1:22">
      <c r="A54" s="268"/>
      <c r="B54" s="276" t="s">
        <v>1544</v>
      </c>
      <c r="C54" s="286" t="s">
        <v>1523</v>
      </c>
      <c r="D54" s="71" t="s">
        <v>347</v>
      </c>
      <c r="E54" s="72">
        <v>225</v>
      </c>
      <c r="F54" s="3" t="s">
        <v>1506</v>
      </c>
      <c r="G54" s="3" t="s">
        <v>1506</v>
      </c>
      <c r="H54" s="73">
        <v>6.1826222222222196</v>
      </c>
      <c r="I54" s="74">
        <v>3.22027977023909</v>
      </c>
      <c r="J54" s="6" t="s">
        <v>1506</v>
      </c>
      <c r="K54" s="3" t="s">
        <v>1506</v>
      </c>
      <c r="L54" s="6" t="s">
        <v>1506</v>
      </c>
      <c r="M54" s="3" t="s">
        <v>1506</v>
      </c>
      <c r="N54" s="102">
        <v>-0.61270999999999998</v>
      </c>
      <c r="O54" s="13">
        <v>-1.6879999999999999</v>
      </c>
      <c r="P54" s="13">
        <v>0.36292999999999997</v>
      </c>
      <c r="Q54" s="24">
        <v>1.4633363104496783E-3</v>
      </c>
      <c r="R54" s="277">
        <v>-8.9660079077562239E-4</v>
      </c>
      <c r="S54" s="25" t="s">
        <v>1526</v>
      </c>
      <c r="T54" s="93" t="s">
        <v>1527</v>
      </c>
      <c r="U54" s="103"/>
      <c r="V54" s="103"/>
    </row>
    <row r="55" spans="1:22">
      <c r="A55" s="268"/>
      <c r="B55" s="276"/>
      <c r="C55" s="287"/>
      <c r="D55" s="71" t="s">
        <v>1525</v>
      </c>
      <c r="E55" s="72">
        <v>73</v>
      </c>
      <c r="F55" s="3" t="s">
        <v>1506</v>
      </c>
      <c r="G55" s="3" t="s">
        <v>1506</v>
      </c>
      <c r="H55" s="4">
        <v>1.2501141552511399</v>
      </c>
      <c r="I55" s="5">
        <v>0.65428221017617405</v>
      </c>
      <c r="J55" s="6" t="s">
        <v>1506</v>
      </c>
      <c r="K55" s="3" t="s">
        <v>1506</v>
      </c>
      <c r="L55" s="6" t="s">
        <v>1506</v>
      </c>
      <c r="M55" s="3" t="s">
        <v>1506</v>
      </c>
      <c r="N55" s="21">
        <v>0</v>
      </c>
      <c r="O55" s="22" t="s">
        <v>1507</v>
      </c>
      <c r="P55" s="22" t="s">
        <v>1507</v>
      </c>
      <c r="Q55" s="24">
        <v>0.9985366636895503</v>
      </c>
      <c r="R55" s="278"/>
      <c r="S55" s="26">
        <v>0.93088599999999999</v>
      </c>
      <c r="T55" s="94" t="s">
        <v>1506</v>
      </c>
      <c r="U55" s="103"/>
      <c r="V55" s="103" t="s">
        <v>1528</v>
      </c>
    </row>
    <row r="56" spans="1:22">
      <c r="A56" s="268"/>
      <c r="B56" s="269" t="s">
        <v>1540</v>
      </c>
      <c r="C56" s="272" t="s">
        <v>1523</v>
      </c>
      <c r="D56" s="1" t="s">
        <v>347</v>
      </c>
      <c r="E56" s="2">
        <v>107</v>
      </c>
      <c r="F56" s="3" t="s">
        <v>1506</v>
      </c>
      <c r="G56" s="3" t="s">
        <v>1506</v>
      </c>
      <c r="H56" s="4">
        <v>3.4929439252336398</v>
      </c>
      <c r="I56" s="5">
        <v>2.28713681035455</v>
      </c>
      <c r="J56" s="6" t="s">
        <v>1506</v>
      </c>
      <c r="K56" s="3" t="s">
        <v>1506</v>
      </c>
      <c r="L56" s="6" t="s">
        <v>1506</v>
      </c>
      <c r="M56" s="3" t="s">
        <v>1506</v>
      </c>
      <c r="N56" s="12">
        <v>1.35697</v>
      </c>
      <c r="O56" s="13">
        <v>5.3010000000000002</v>
      </c>
      <c r="P56" s="13">
        <v>0.25596999999999998</v>
      </c>
      <c r="Q56" s="24">
        <v>0.92674712636526624</v>
      </c>
      <c r="R56" s="282">
        <v>1.2575680480638753</v>
      </c>
      <c r="S56" s="27"/>
      <c r="T56" s="95"/>
      <c r="U56" s="103"/>
      <c r="V56" s="100">
        <f>T53+R46+R56</f>
        <v>7.9181879353912601</v>
      </c>
    </row>
    <row r="57" spans="1:22">
      <c r="A57" s="268"/>
      <c r="B57" s="271"/>
      <c r="C57" s="274"/>
      <c r="D57" s="1" t="s">
        <v>1525</v>
      </c>
      <c r="E57" s="2">
        <v>191</v>
      </c>
      <c r="F57" s="3" t="s">
        <v>1506</v>
      </c>
      <c r="G57" s="3" t="s">
        <v>1506</v>
      </c>
      <c r="H57" s="4">
        <v>5.8042059336823701</v>
      </c>
      <c r="I57" s="5">
        <v>3.8209235581074199</v>
      </c>
      <c r="J57" s="6" t="s">
        <v>1506</v>
      </c>
      <c r="K57" s="3" t="s">
        <v>1506</v>
      </c>
      <c r="L57" s="6" t="s">
        <v>1506</v>
      </c>
      <c r="M57" s="3" t="s">
        <v>1506</v>
      </c>
      <c r="N57" s="21">
        <v>0</v>
      </c>
      <c r="O57" s="22" t="s">
        <v>1507</v>
      </c>
      <c r="P57" s="22" t="s">
        <v>1507</v>
      </c>
      <c r="Q57" s="24">
        <v>7.3252873634733734E-2</v>
      </c>
      <c r="R57" s="281"/>
      <c r="S57" s="27"/>
      <c r="T57" s="95"/>
      <c r="U57" s="103"/>
      <c r="V57" s="103"/>
    </row>
    <row r="58" spans="1:22">
      <c r="A58" s="268"/>
      <c r="B58" s="269" t="s">
        <v>1541</v>
      </c>
      <c r="C58" s="272" t="s">
        <v>1523</v>
      </c>
      <c r="D58" s="1" t="s">
        <v>347</v>
      </c>
      <c r="E58" s="2">
        <v>287</v>
      </c>
      <c r="F58" s="3" t="s">
        <v>1506</v>
      </c>
      <c r="G58" s="3" t="s">
        <v>1506</v>
      </c>
      <c r="H58" s="4">
        <v>5.1341056910569103</v>
      </c>
      <c r="I58" s="5">
        <v>3.4925254323134101</v>
      </c>
      <c r="J58" s="6" t="s">
        <v>1506</v>
      </c>
      <c r="K58" s="3" t="s">
        <v>1506</v>
      </c>
      <c r="L58" s="6" t="s">
        <v>1506</v>
      </c>
      <c r="M58" s="3" t="s">
        <v>1506</v>
      </c>
      <c r="N58" s="12">
        <v>-1.2484</v>
      </c>
      <c r="O58" s="13">
        <v>-2.8719999999999999</v>
      </c>
      <c r="P58" s="13">
        <v>0.43465999999999999</v>
      </c>
      <c r="Q58" s="18" t="s">
        <v>1506</v>
      </c>
      <c r="R58" s="19">
        <v>-1.2484</v>
      </c>
      <c r="S58" s="27"/>
      <c r="T58" s="95"/>
      <c r="U58" s="103"/>
      <c r="V58" s="103"/>
    </row>
    <row r="59" spans="1:22">
      <c r="A59" s="268"/>
      <c r="B59" s="271"/>
      <c r="C59" s="274"/>
      <c r="D59" s="1" t="s">
        <v>1525</v>
      </c>
      <c r="E59" s="2">
        <v>11</v>
      </c>
      <c r="F59" s="3" t="s">
        <v>1506</v>
      </c>
      <c r="G59" s="3" t="s">
        <v>1506</v>
      </c>
      <c r="H59" s="4">
        <v>0.80545454545454598</v>
      </c>
      <c r="I59" s="5">
        <v>0.87644510537013798</v>
      </c>
      <c r="J59" s="33" t="s">
        <v>1534</v>
      </c>
      <c r="K59" s="34">
        <v>6</v>
      </c>
      <c r="L59" s="33" t="s">
        <v>1534</v>
      </c>
      <c r="M59" s="34">
        <v>10</v>
      </c>
      <c r="N59" s="75">
        <v>0</v>
      </c>
      <c r="O59" s="76" t="s">
        <v>1507</v>
      </c>
      <c r="P59" s="76" t="s">
        <v>1507</v>
      </c>
      <c r="Q59" s="18" t="s">
        <v>1506</v>
      </c>
      <c r="R59" s="19">
        <v>0</v>
      </c>
      <c r="S59" s="27"/>
      <c r="T59" s="95"/>
      <c r="U59" s="103"/>
      <c r="V59" s="103"/>
    </row>
    <row r="60" spans="1:22" ht="60.75" thickBot="1">
      <c r="A60" s="284"/>
      <c r="B60" s="252" t="s">
        <v>61</v>
      </c>
      <c r="C60" s="77" t="s">
        <v>1532</v>
      </c>
      <c r="D60" s="78" t="s">
        <v>1545</v>
      </c>
      <c r="E60" s="79">
        <v>298</v>
      </c>
      <c r="F60" s="80">
        <v>12.184563758389301</v>
      </c>
      <c r="G60" s="80">
        <v>2.29832979415978</v>
      </c>
      <c r="H60" s="81">
        <v>4.9743232662192396</v>
      </c>
      <c r="I60" s="82">
        <v>3.5270645821528701</v>
      </c>
      <c r="J60" s="40" t="s">
        <v>1534</v>
      </c>
      <c r="K60" s="41" t="s">
        <v>1536</v>
      </c>
      <c r="L60" s="40" t="s">
        <v>1532</v>
      </c>
      <c r="M60" s="42" t="s">
        <v>1537</v>
      </c>
      <c r="N60" s="107">
        <v>-2.6200000000000001E-2</v>
      </c>
      <c r="O60" s="83">
        <v>-0.66800000000000004</v>
      </c>
      <c r="P60" s="83">
        <v>3.9219999999999998E-2</v>
      </c>
      <c r="Q60" s="69" t="s">
        <v>1506</v>
      </c>
      <c r="R60" s="84">
        <v>-2.6200000000000001E-2</v>
      </c>
      <c r="S60" s="70"/>
      <c r="T60" s="98"/>
      <c r="U60" s="103"/>
      <c r="V60" s="103"/>
    </row>
    <row r="61" spans="1:22" ht="19.5" thickBot="1">
      <c r="A61" s="49"/>
      <c r="B61" s="50"/>
      <c r="C61" s="51"/>
      <c r="D61" s="52"/>
      <c r="E61" s="53"/>
      <c r="F61" s="54"/>
      <c r="G61" s="54"/>
      <c r="H61" s="55"/>
      <c r="I61" s="55"/>
      <c r="J61" s="56"/>
      <c r="K61" s="52"/>
      <c r="L61" s="56"/>
      <c r="M61" s="57"/>
      <c r="N61" s="58"/>
      <c r="O61" s="59"/>
      <c r="P61" s="59"/>
      <c r="Q61" s="60"/>
      <c r="R61" s="85"/>
      <c r="S61" s="61"/>
      <c r="T61" s="97"/>
      <c r="U61" s="103"/>
      <c r="V61" s="103"/>
    </row>
    <row r="62" spans="1:22">
      <c r="A62" s="267" t="s">
        <v>1546</v>
      </c>
      <c r="B62" s="269" t="s">
        <v>64</v>
      </c>
      <c r="C62" s="272" t="s">
        <v>1504</v>
      </c>
      <c r="D62" s="1" t="s">
        <v>1505</v>
      </c>
      <c r="E62" s="2">
        <v>25</v>
      </c>
      <c r="F62" s="3" t="s">
        <v>1506</v>
      </c>
      <c r="G62" s="3" t="s">
        <v>1506</v>
      </c>
      <c r="H62" s="4">
        <v>5.9468666666666703</v>
      </c>
      <c r="I62" s="5">
        <v>2.7841448966523901</v>
      </c>
      <c r="J62" s="6" t="s">
        <v>1506</v>
      </c>
      <c r="K62" s="3" t="s">
        <v>1506</v>
      </c>
      <c r="L62" s="6" t="s">
        <v>1506</v>
      </c>
      <c r="M62" s="3" t="s">
        <v>1506</v>
      </c>
      <c r="N62" s="7">
        <v>0</v>
      </c>
      <c r="O62" s="8" t="s">
        <v>1507</v>
      </c>
      <c r="P62" s="8" t="s">
        <v>1507</v>
      </c>
      <c r="Q62" s="63">
        <v>0.28537207627952349</v>
      </c>
      <c r="R62" s="279">
        <v>0.40973260011515322</v>
      </c>
      <c r="S62" s="10" t="s">
        <v>1508</v>
      </c>
      <c r="T62" s="89" t="s">
        <v>1509</v>
      </c>
      <c r="U62" s="103"/>
      <c r="V62" s="103"/>
    </row>
    <row r="63" spans="1:22">
      <c r="A63" s="268"/>
      <c r="B63" s="270"/>
      <c r="C63" s="273"/>
      <c r="D63" s="11" t="s">
        <v>1510</v>
      </c>
      <c r="E63" s="2">
        <v>30</v>
      </c>
      <c r="F63" s="3" t="s">
        <v>1506</v>
      </c>
      <c r="G63" s="3" t="s">
        <v>1506</v>
      </c>
      <c r="H63" s="4">
        <v>9.1966666666666708</v>
      </c>
      <c r="I63" s="5">
        <v>1.86694168745781</v>
      </c>
      <c r="J63" s="6" t="s">
        <v>1506</v>
      </c>
      <c r="K63" s="3" t="s">
        <v>1506</v>
      </c>
      <c r="L63" s="6" t="s">
        <v>1506</v>
      </c>
      <c r="M63" s="3" t="s">
        <v>1506</v>
      </c>
      <c r="N63" s="12">
        <v>1.7497</v>
      </c>
      <c r="O63" s="13">
        <v>3.66</v>
      </c>
      <c r="P63" s="13">
        <v>0.47849999999999998</v>
      </c>
      <c r="Q63" s="67">
        <v>0.11382648796270159</v>
      </c>
      <c r="R63" s="280"/>
      <c r="S63" s="15" t="s">
        <v>1511</v>
      </c>
      <c r="T63" s="90" t="s">
        <v>1512</v>
      </c>
      <c r="U63" s="103"/>
      <c r="V63" s="103"/>
    </row>
    <row r="64" spans="1:22">
      <c r="A64" s="268"/>
      <c r="B64" s="270"/>
      <c r="C64" s="273"/>
      <c r="D64" s="1" t="s">
        <v>1513</v>
      </c>
      <c r="E64" s="2">
        <v>4</v>
      </c>
      <c r="F64" s="3" t="s">
        <v>1506</v>
      </c>
      <c r="G64" s="3" t="s">
        <v>1506</v>
      </c>
      <c r="H64" s="4">
        <v>9.49</v>
      </c>
      <c r="I64" s="5">
        <v>0.57735026918962595</v>
      </c>
      <c r="J64" s="6" t="s">
        <v>1506</v>
      </c>
      <c r="K64" s="3" t="s">
        <v>1506</v>
      </c>
      <c r="L64" s="6" t="s">
        <v>1506</v>
      </c>
      <c r="M64" s="3" t="s">
        <v>1506</v>
      </c>
      <c r="N64" s="12">
        <v>1.4334</v>
      </c>
      <c r="O64" s="13">
        <v>1.7</v>
      </c>
      <c r="P64" s="13">
        <v>0.84089999999999998</v>
      </c>
      <c r="Q64" s="67">
        <v>0.24561190551334025</v>
      </c>
      <c r="R64" s="280"/>
      <c r="S64" s="10" t="s">
        <v>1514</v>
      </c>
      <c r="T64" s="91" t="s">
        <v>1515</v>
      </c>
      <c r="U64" s="103"/>
      <c r="V64" s="103"/>
    </row>
    <row r="65" spans="1:22">
      <c r="A65" s="268"/>
      <c r="B65" s="270"/>
      <c r="C65" s="273"/>
      <c r="D65" s="1" t="s">
        <v>1516</v>
      </c>
      <c r="E65" s="2">
        <v>26</v>
      </c>
      <c r="F65" s="3" t="s">
        <v>1506</v>
      </c>
      <c r="G65" s="3" t="s">
        <v>1506</v>
      </c>
      <c r="H65" s="4">
        <v>8.1734615384615399</v>
      </c>
      <c r="I65" s="5">
        <v>2.1815828057769302</v>
      </c>
      <c r="J65" s="6" t="s">
        <v>1506</v>
      </c>
      <c r="K65" s="3" t="s">
        <v>1506</v>
      </c>
      <c r="L65" s="6" t="s">
        <v>1506</v>
      </c>
      <c r="M65" s="3" t="s">
        <v>1506</v>
      </c>
      <c r="N65" s="12">
        <v>0.78939999999999999</v>
      </c>
      <c r="O65" s="13">
        <v>1.61</v>
      </c>
      <c r="P65" s="13">
        <v>0.49070000000000003</v>
      </c>
      <c r="Q65" s="67">
        <v>0.13178541755063869</v>
      </c>
      <c r="R65" s="280"/>
      <c r="S65" s="16" t="s">
        <v>1517</v>
      </c>
      <c r="T65" s="92" t="s">
        <v>1518</v>
      </c>
      <c r="U65" s="103"/>
      <c r="V65" s="103"/>
    </row>
    <row r="66" spans="1:22">
      <c r="A66" s="268"/>
      <c r="B66" s="271"/>
      <c r="C66" s="274"/>
      <c r="D66" s="1" t="s">
        <v>1519</v>
      </c>
      <c r="E66" s="2">
        <v>21</v>
      </c>
      <c r="F66" s="3" t="s">
        <v>1506</v>
      </c>
      <c r="G66" s="3" t="s">
        <v>1506</v>
      </c>
      <c r="H66" s="4">
        <v>4.1190476190476204</v>
      </c>
      <c r="I66" s="5">
        <v>3.2601915660922498</v>
      </c>
      <c r="J66" s="6" t="s">
        <v>1506</v>
      </c>
      <c r="K66" s="3" t="s">
        <v>1506</v>
      </c>
      <c r="L66" s="6" t="s">
        <v>1506</v>
      </c>
      <c r="M66" s="3" t="s">
        <v>1506</v>
      </c>
      <c r="N66" s="12">
        <v>-1.099</v>
      </c>
      <c r="O66" s="13">
        <v>-1.82</v>
      </c>
      <c r="P66" s="13">
        <v>0.60260000000000002</v>
      </c>
      <c r="Q66" s="67">
        <v>0.22340411269379598</v>
      </c>
      <c r="R66" s="281"/>
      <c r="S66" s="10" t="s">
        <v>1520</v>
      </c>
      <c r="T66" s="89" t="s">
        <v>1521</v>
      </c>
      <c r="U66" s="103"/>
      <c r="V66" s="103"/>
    </row>
    <row r="67" spans="1:22">
      <c r="A67" s="268"/>
      <c r="B67" s="276" t="s">
        <v>135</v>
      </c>
      <c r="C67" s="272" t="s">
        <v>1523</v>
      </c>
      <c r="D67" s="1" t="s">
        <v>347</v>
      </c>
      <c r="E67" s="2">
        <v>85</v>
      </c>
      <c r="F67" s="3" t="s">
        <v>1506</v>
      </c>
      <c r="G67" s="3" t="s">
        <v>1506</v>
      </c>
      <c r="H67" s="4">
        <v>8.4979999999999993</v>
      </c>
      <c r="I67" s="5">
        <v>1.7912471048060901</v>
      </c>
      <c r="J67" s="6" t="s">
        <v>1506</v>
      </c>
      <c r="K67" s="3" t="s">
        <v>1506</v>
      </c>
      <c r="L67" s="6" t="s">
        <v>1506</v>
      </c>
      <c r="M67" s="3" t="s">
        <v>1506</v>
      </c>
      <c r="N67" s="102">
        <v>-2.0082</v>
      </c>
      <c r="O67" s="13">
        <v>-3.68</v>
      </c>
      <c r="P67" s="13">
        <v>0.54630000000000001</v>
      </c>
      <c r="Q67" s="24">
        <v>5.9436293677855287E-2</v>
      </c>
      <c r="R67" s="277">
        <v>-0.11935996496386898</v>
      </c>
      <c r="S67" s="17">
        <v>106</v>
      </c>
      <c r="T67" s="99" t="s">
        <v>1518</v>
      </c>
      <c r="U67" s="103"/>
      <c r="V67" s="103"/>
    </row>
    <row r="68" spans="1:22">
      <c r="A68" s="268"/>
      <c r="B68" s="276"/>
      <c r="C68" s="274"/>
      <c r="D68" s="1" t="s">
        <v>1525</v>
      </c>
      <c r="E68" s="2">
        <v>21</v>
      </c>
      <c r="F68" s="3" t="s">
        <v>1506</v>
      </c>
      <c r="G68" s="3" t="s">
        <v>1506</v>
      </c>
      <c r="H68" s="4">
        <v>1.8672222222222199</v>
      </c>
      <c r="I68" s="5">
        <v>0.82303677745106696</v>
      </c>
      <c r="J68" s="6" t="s">
        <v>1506</v>
      </c>
      <c r="K68" s="3" t="s">
        <v>1506</v>
      </c>
      <c r="L68" s="6" t="s">
        <v>1506</v>
      </c>
      <c r="M68" s="3" t="s">
        <v>1506</v>
      </c>
      <c r="N68" s="21">
        <v>0</v>
      </c>
      <c r="O68" s="22" t="s">
        <v>1507</v>
      </c>
      <c r="P68" s="22" t="s">
        <v>1507</v>
      </c>
      <c r="Q68" s="24">
        <v>0.9405637063221447</v>
      </c>
      <c r="R68" s="278"/>
      <c r="S68" s="20" t="s">
        <v>1524</v>
      </c>
      <c r="T68" s="89" t="s">
        <v>63</v>
      </c>
      <c r="U68" s="103"/>
      <c r="V68" s="103"/>
    </row>
    <row r="69" spans="1:22">
      <c r="A69" s="268"/>
      <c r="B69" s="276" t="s">
        <v>1544</v>
      </c>
      <c r="C69" s="272" t="s">
        <v>1523</v>
      </c>
      <c r="D69" s="1" t="s">
        <v>347</v>
      </c>
      <c r="E69" s="2">
        <v>96</v>
      </c>
      <c r="F69" s="3" t="s">
        <v>1506</v>
      </c>
      <c r="G69" s="3" t="s">
        <v>1506</v>
      </c>
      <c r="H69" s="4">
        <v>7.8174479166666702</v>
      </c>
      <c r="I69" s="5">
        <v>2.5455807934941199</v>
      </c>
      <c r="J69" s="6" t="s">
        <v>1506</v>
      </c>
      <c r="K69" s="3" t="s">
        <v>1506</v>
      </c>
      <c r="L69" s="6" t="s">
        <v>1506</v>
      </c>
      <c r="M69" s="3" t="s">
        <v>1506</v>
      </c>
      <c r="N69" s="102">
        <v>-0.86070000000000002</v>
      </c>
      <c r="O69" s="13">
        <v>-1.1499999999999999</v>
      </c>
      <c r="P69" s="13">
        <v>0.74670000000000003</v>
      </c>
      <c r="Q69" s="24">
        <v>0</v>
      </c>
      <c r="R69" s="277">
        <v>0</v>
      </c>
      <c r="S69" s="23">
        <v>0.62</v>
      </c>
      <c r="T69" s="101">
        <v>4.92</v>
      </c>
      <c r="U69" s="103"/>
      <c r="V69" s="103"/>
    </row>
    <row r="70" spans="1:22">
      <c r="A70" s="268"/>
      <c r="B70" s="276"/>
      <c r="C70" s="274"/>
      <c r="D70" s="1" t="s">
        <v>1525</v>
      </c>
      <c r="E70" s="2">
        <v>10</v>
      </c>
      <c r="F70" s="3" t="s">
        <v>1506</v>
      </c>
      <c r="G70" s="3" t="s">
        <v>1506</v>
      </c>
      <c r="H70" s="4">
        <v>1.10666666666667</v>
      </c>
      <c r="I70" s="5">
        <v>0</v>
      </c>
      <c r="J70" s="6" t="s">
        <v>1506</v>
      </c>
      <c r="K70" s="3" t="s">
        <v>1506</v>
      </c>
      <c r="L70" s="6" t="s">
        <v>1506</v>
      </c>
      <c r="M70" s="3" t="s">
        <v>1506</v>
      </c>
      <c r="N70" s="21">
        <v>0</v>
      </c>
      <c r="O70" s="22" t="s">
        <v>1507</v>
      </c>
      <c r="P70" s="22" t="s">
        <v>1507</v>
      </c>
      <c r="Q70" s="24">
        <v>1</v>
      </c>
      <c r="R70" s="278"/>
      <c r="S70" s="25" t="s">
        <v>1526</v>
      </c>
      <c r="T70" s="93" t="s">
        <v>1527</v>
      </c>
      <c r="U70" s="103"/>
      <c r="V70" s="103"/>
    </row>
    <row r="71" spans="1:22">
      <c r="A71" s="268"/>
      <c r="B71" s="252" t="s">
        <v>138</v>
      </c>
      <c r="C71" s="28" t="s">
        <v>1532</v>
      </c>
      <c r="D71" s="86" t="s">
        <v>1547</v>
      </c>
      <c r="E71" s="2">
        <v>106</v>
      </c>
      <c r="F71" s="30">
        <v>8.4433962264150892</v>
      </c>
      <c r="G71" s="30">
        <v>4.1267540309528501</v>
      </c>
      <c r="H71" s="31">
        <v>7.1843553459119498</v>
      </c>
      <c r="I71" s="32">
        <v>3.12205463797061</v>
      </c>
      <c r="J71" s="33" t="s">
        <v>1534</v>
      </c>
      <c r="K71" s="34">
        <v>6</v>
      </c>
      <c r="L71" s="33" t="s">
        <v>1534</v>
      </c>
      <c r="M71" s="34">
        <v>10</v>
      </c>
      <c r="N71" s="102">
        <v>7.6799999999999993E-2</v>
      </c>
      <c r="O71" s="13">
        <v>1.82</v>
      </c>
      <c r="P71" s="13">
        <v>4.2200000000000001E-2</v>
      </c>
      <c r="Q71" s="18" t="s">
        <v>1506</v>
      </c>
      <c r="R71" s="19">
        <v>7.6799999999999993E-2</v>
      </c>
      <c r="S71" s="26">
        <v>1.084084</v>
      </c>
      <c r="T71" s="94" t="s">
        <v>1506</v>
      </c>
      <c r="U71" s="103"/>
      <c r="V71" s="103" t="s">
        <v>1528</v>
      </c>
    </row>
    <row r="72" spans="1:22" ht="60.75" thickBot="1">
      <c r="A72" s="285"/>
      <c r="B72" s="252" t="s">
        <v>61</v>
      </c>
      <c r="C72" s="28" t="s">
        <v>1532</v>
      </c>
      <c r="D72" s="87" t="s">
        <v>1548</v>
      </c>
      <c r="E72" s="36">
        <v>106</v>
      </c>
      <c r="F72" s="37">
        <v>9.9245283018867898</v>
      </c>
      <c r="G72" s="37">
        <v>2.5511831548651198</v>
      </c>
      <c r="H72" s="38">
        <v>7.1843553459119498</v>
      </c>
      <c r="I72" s="39">
        <v>3.12205463797061</v>
      </c>
      <c r="J72" s="40" t="s">
        <v>1534</v>
      </c>
      <c r="K72" s="41" t="s">
        <v>1536</v>
      </c>
      <c r="L72" s="40" t="s">
        <v>1532</v>
      </c>
      <c r="M72" s="42" t="s">
        <v>1537</v>
      </c>
      <c r="N72" s="102">
        <v>0.20599999999999999</v>
      </c>
      <c r="O72" s="47">
        <v>2.61</v>
      </c>
      <c r="P72" s="47">
        <v>7.8799999999999995E-2</v>
      </c>
      <c r="Q72" s="69" t="s">
        <v>1506</v>
      </c>
      <c r="R72" s="44">
        <v>0.20599999999999999</v>
      </c>
      <c r="S72" s="70"/>
      <c r="T72" s="98"/>
      <c r="U72" s="103"/>
      <c r="V72" s="100">
        <f>T69+R62</f>
        <v>5.329732600115153</v>
      </c>
    </row>
    <row r="73" spans="1:22" ht="19.5" thickBot="1">
      <c r="A73" s="49"/>
      <c r="B73" s="50"/>
      <c r="C73" s="51"/>
      <c r="D73" s="52"/>
      <c r="E73" s="53"/>
      <c r="F73" s="54"/>
      <c r="G73" s="54"/>
      <c r="H73" s="55"/>
      <c r="I73" s="55"/>
      <c r="J73" s="56"/>
      <c r="K73" s="52"/>
      <c r="L73" s="56"/>
      <c r="M73" s="57"/>
      <c r="N73" s="58"/>
      <c r="O73" s="59"/>
      <c r="P73" s="59"/>
      <c r="Q73" s="60"/>
      <c r="R73" s="60"/>
      <c r="S73" s="61"/>
      <c r="T73" s="97"/>
      <c r="U73" s="103"/>
      <c r="V73" s="103"/>
    </row>
  </sheetData>
  <mergeCells count="85">
    <mergeCell ref="S2:T3"/>
    <mergeCell ref="M2:M3"/>
    <mergeCell ref="N2:N3"/>
    <mergeCell ref="O2:O3"/>
    <mergeCell ref="P2:P3"/>
    <mergeCell ref="C2:C3"/>
    <mergeCell ref="D2:D3"/>
    <mergeCell ref="E2:E3"/>
    <mergeCell ref="F2:F3"/>
    <mergeCell ref="R2:R3"/>
    <mergeCell ref="H2:H3"/>
    <mergeCell ref="I2:I3"/>
    <mergeCell ref="J2:J3"/>
    <mergeCell ref="K2:K3"/>
    <mergeCell ref="G2:G3"/>
    <mergeCell ref="A62:A72"/>
    <mergeCell ref="B62:B66"/>
    <mergeCell ref="C62:C66"/>
    <mergeCell ref="R62:R66"/>
    <mergeCell ref="B67:B68"/>
    <mergeCell ref="C67:C68"/>
    <mergeCell ref="R67:R68"/>
    <mergeCell ref="B69:B70"/>
    <mergeCell ref="C69:C70"/>
    <mergeCell ref="Q2:Q3"/>
    <mergeCell ref="B58:B59"/>
    <mergeCell ref="C58:C59"/>
    <mergeCell ref="L2:L3"/>
    <mergeCell ref="A2:A3"/>
    <mergeCell ref="B2:B3"/>
    <mergeCell ref="R69:R70"/>
    <mergeCell ref="C56:C57"/>
    <mergeCell ref="B38:B39"/>
    <mergeCell ref="C38:C39"/>
    <mergeCell ref="B40:B41"/>
    <mergeCell ref="C40:C41"/>
    <mergeCell ref="R56:R57"/>
    <mergeCell ref="B42:B43"/>
    <mergeCell ref="C42:C43"/>
    <mergeCell ref="R46:R51"/>
    <mergeCell ref="A46:A60"/>
    <mergeCell ref="B46:B51"/>
    <mergeCell ref="C46:C51"/>
    <mergeCell ref="A30:A44"/>
    <mergeCell ref="B30:B35"/>
    <mergeCell ref="C30:C35"/>
    <mergeCell ref="C54:C55"/>
    <mergeCell ref="B56:B57"/>
    <mergeCell ref="B52:B53"/>
    <mergeCell ref="C52:C53"/>
    <mergeCell ref="R52:R53"/>
    <mergeCell ref="B54:B55"/>
    <mergeCell ref="R54:R55"/>
    <mergeCell ref="B22:B23"/>
    <mergeCell ref="C22:C23"/>
    <mergeCell ref="B24:B25"/>
    <mergeCell ref="C24:C25"/>
    <mergeCell ref="C36:C37"/>
    <mergeCell ref="R36:R37"/>
    <mergeCell ref="R40:R41"/>
    <mergeCell ref="R30:R35"/>
    <mergeCell ref="B36:B37"/>
    <mergeCell ref="B16:B17"/>
    <mergeCell ref="C16:C17"/>
    <mergeCell ref="B18:B19"/>
    <mergeCell ref="C18:C19"/>
    <mergeCell ref="B20:B21"/>
    <mergeCell ref="C20:C21"/>
    <mergeCell ref="R20:R21"/>
    <mergeCell ref="B1:I1"/>
    <mergeCell ref="J1:K1"/>
    <mergeCell ref="L1:M1"/>
    <mergeCell ref="N1:T1"/>
    <mergeCell ref="A4:A28"/>
    <mergeCell ref="B4:B9"/>
    <mergeCell ref="C4:C9"/>
    <mergeCell ref="R4:R9"/>
    <mergeCell ref="B10:B11"/>
    <mergeCell ref="C10:C11"/>
    <mergeCell ref="B12:B13"/>
    <mergeCell ref="C12:C13"/>
    <mergeCell ref="R12:R13"/>
    <mergeCell ref="B14:B15"/>
    <mergeCell ref="C14:C15"/>
    <mergeCell ref="R14:R1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User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KJM</dc:creator>
  <cp:keywords/>
  <dc:description/>
  <cp:lastModifiedBy>X</cp:lastModifiedBy>
  <cp:revision/>
  <dcterms:created xsi:type="dcterms:W3CDTF">2015-06-18T00:28:58Z</dcterms:created>
  <dcterms:modified xsi:type="dcterms:W3CDTF">2022-04-06T21:57:02Z</dcterms:modified>
  <cp:category/>
  <cp:contentStatus/>
</cp:coreProperties>
</file>