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ngela\RMS Energy Consulting, LLC\SCE - H.E. Toaster Work Paper Support - Documents\5. Reports\"/>
    </mc:Choice>
  </mc:AlternateContent>
  <xr:revisionPtr revIDLastSave="73" documentId="8_{46526CBC-1155-46B4-BFAC-8004EE8634B8}" xr6:coauthVersionLast="45" xr6:coauthVersionMax="45" xr10:uidLastSave="{61A3E059-4A6A-4A8A-A30A-2C08C0F8DD38}"/>
  <bookViews>
    <workbookView xWindow="-24375" yWindow="1035" windowWidth="21600" windowHeight="11850" activeTab="1" xr2:uid="{00000000-000D-0000-FFFF-FFFF00000000}"/>
  </bookViews>
  <sheets>
    <sheet name="Unit Data" sheetId="2" r:id="rId1"/>
    <sheet name="By Energy Per Sandwich" sheetId="12" r:id="rId2"/>
  </sheets>
  <definedNames>
    <definedName name="_xlnm._FilterDatabase" localSheetId="1" hidden="1">'By Energy Per Sandwich'!$A$1:$T$25</definedName>
    <definedName name="_xlnm._FilterDatabase" localSheetId="0" hidden="1">'Unit Data'!$A$4:$AA$19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2" l="1"/>
  <c r="K12" i="12"/>
  <c r="K3" i="12"/>
  <c r="K4" i="12"/>
  <c r="K5" i="12"/>
  <c r="K6" i="12"/>
  <c r="K7" i="12"/>
  <c r="K8" i="12"/>
  <c r="K9" i="12"/>
  <c r="K10" i="12"/>
  <c r="K2" i="12"/>
  <c r="M10" i="12" l="1"/>
  <c r="N10" i="12" s="1"/>
  <c r="M9" i="12"/>
  <c r="N9" i="12" s="1"/>
  <c r="M8" i="12"/>
  <c r="N8" i="12" s="1"/>
  <c r="M7" i="12"/>
  <c r="N7" i="12" s="1"/>
  <c r="M6" i="12"/>
  <c r="N6" i="12" s="1"/>
  <c r="M5" i="12"/>
  <c r="N5" i="12" s="1"/>
  <c r="M4" i="12"/>
  <c r="N4" i="12" s="1"/>
  <c r="M3" i="12"/>
  <c r="N3" i="12" s="1"/>
  <c r="M2" i="12"/>
  <c r="N2" i="12" s="1"/>
  <c r="H2" i="12"/>
  <c r="I2" i="12" s="1"/>
  <c r="H3" i="12"/>
  <c r="I3" i="12" s="1"/>
  <c r="H4" i="12"/>
  <c r="I4" i="12" s="1"/>
  <c r="H5" i="12"/>
  <c r="I5" i="12" s="1"/>
  <c r="H6" i="12"/>
  <c r="I6" i="12" s="1"/>
  <c r="H7" i="12"/>
  <c r="I7" i="12" s="1"/>
  <c r="H8" i="12"/>
  <c r="I8" i="12" s="1"/>
  <c r="I13" i="12" s="1"/>
  <c r="H9" i="12"/>
  <c r="I9" i="12" s="1"/>
  <c r="H10" i="12"/>
  <c r="I10" i="12" s="1"/>
  <c r="I12" i="12" l="1"/>
  <c r="M12" i="12"/>
  <c r="N12" i="12" s="1"/>
  <c r="M13" i="12"/>
  <c r="N13" i="12" s="1"/>
  <c r="H13" i="12"/>
  <c r="H12" i="12"/>
  <c r="H11" i="2"/>
  <c r="L3" i="12"/>
  <c r="L4" i="12"/>
  <c r="L5" i="12"/>
  <c r="L6" i="12"/>
  <c r="L7" i="12"/>
  <c r="L8" i="12"/>
  <c r="L9" i="12"/>
  <c r="L10" i="12"/>
  <c r="J10" i="12"/>
  <c r="J9" i="12"/>
  <c r="J8" i="12"/>
  <c r="J7" i="12"/>
  <c r="J6" i="12"/>
  <c r="J5" i="12"/>
  <c r="J4" i="12"/>
  <c r="J3" i="12"/>
  <c r="H18" i="2"/>
  <c r="F18" i="2" s="1"/>
  <c r="L13" i="12" l="1"/>
  <c r="J13" i="12"/>
  <c r="K7" i="2" l="1"/>
  <c r="J7" i="2"/>
  <c r="R7" i="2"/>
  <c r="O7" i="2"/>
  <c r="L7" i="2"/>
  <c r="G7" i="2"/>
  <c r="H7" i="2" s="1"/>
  <c r="S8" i="2"/>
  <c r="T8" i="2" s="1"/>
  <c r="V8" i="2" s="1"/>
  <c r="S9" i="2"/>
  <c r="T9" i="2" s="1"/>
  <c r="V9" i="2" s="1"/>
  <c r="S10" i="2"/>
  <c r="T10" i="2" s="1"/>
  <c r="V10" i="2" s="1"/>
  <c r="S12" i="2"/>
  <c r="T12" i="2" s="1"/>
  <c r="V12" i="2" s="1"/>
  <c r="S13" i="2"/>
  <c r="T13" i="2" s="1"/>
  <c r="V13" i="2" s="1"/>
  <c r="S16" i="2"/>
  <c r="T16" i="2" s="1"/>
  <c r="V16" i="2" s="1"/>
  <c r="S17" i="2"/>
  <c r="T17" i="2" s="1"/>
  <c r="V17" i="2" s="1"/>
  <c r="S19" i="2"/>
  <c r="T19" i="2" s="1"/>
  <c r="S5" i="2"/>
  <c r="T5" i="2" s="1"/>
  <c r="V5" i="2" s="1"/>
  <c r="L2" i="12" l="1"/>
  <c r="L12" i="12" s="1"/>
  <c r="J2" i="12"/>
  <c r="J12" i="12" s="1"/>
  <c r="V19" i="2"/>
  <c r="Q13" i="2" l="1"/>
  <c r="U13" i="2" s="1"/>
  <c r="Q5" i="2"/>
  <c r="U5" i="2" s="1"/>
  <c r="Q8" i="2"/>
  <c r="U8" i="2" s="1"/>
  <c r="Q17" i="2"/>
  <c r="U17" i="2" s="1"/>
  <c r="Q19" i="2"/>
  <c r="U19" i="2" s="1"/>
  <c r="Q16" i="2"/>
  <c r="U16" i="2" s="1"/>
  <c r="Q10" i="2"/>
  <c r="U10" i="2" s="1"/>
  <c r="Q12" i="2"/>
  <c r="U12" i="2" s="1"/>
  <c r="Q9" i="2"/>
  <c r="U9" i="2" s="1"/>
  <c r="O6" i="12" l="1"/>
  <c r="O9" i="12"/>
  <c r="O5" i="12"/>
  <c r="O3" i="12"/>
  <c r="O8" i="12"/>
  <c r="O4" i="12"/>
  <c r="O10" i="12"/>
  <c r="O7" i="12"/>
  <c r="S11" i="2" l="1"/>
  <c r="T11" i="2" s="1"/>
  <c r="O11" i="2"/>
  <c r="L11" i="2"/>
  <c r="V11" i="2" l="1"/>
  <c r="H15" i="2"/>
  <c r="F15" i="2" s="1"/>
  <c r="H14" i="2"/>
  <c r="F14" i="2" s="1"/>
  <c r="G15" i="2"/>
  <c r="S18" i="2" l="1"/>
  <c r="T18" i="2" s="1"/>
  <c r="V18" i="2" s="1"/>
  <c r="Q11" i="2"/>
  <c r="U11" i="2" s="1"/>
  <c r="Q18" i="2"/>
  <c r="U18" i="2" s="1"/>
  <c r="S14" i="2"/>
  <c r="T14" i="2" s="1"/>
  <c r="M18" i="2" l="1"/>
  <c r="N18" i="2" s="1"/>
  <c r="W18" i="2" s="1"/>
  <c r="S15" i="2"/>
  <c r="T15" i="2" s="1"/>
  <c r="M14" i="2"/>
  <c r="N14" i="2" s="1"/>
  <c r="V14" i="2"/>
  <c r="Q14" i="2"/>
  <c r="U14" i="2" s="1"/>
  <c r="Q15" i="2"/>
  <c r="U15" i="2" s="1"/>
  <c r="O13" i="12" l="1"/>
  <c r="V15" i="2"/>
  <c r="M15" i="2"/>
  <c r="N15" i="2" s="1"/>
  <c r="W14" i="2"/>
  <c r="X18" i="2"/>
  <c r="W15" i="2" l="1"/>
  <c r="X14" i="2"/>
  <c r="X15" i="2" l="1"/>
  <c r="H5" i="2" l="1"/>
  <c r="M5" i="2" s="1"/>
  <c r="N5" i="2" s="1"/>
  <c r="W5" i="2" s="1"/>
  <c r="H8" i="2"/>
  <c r="H17" i="2"/>
  <c r="H19" i="2"/>
  <c r="M19" i="2" s="1"/>
  <c r="N19" i="2" s="1"/>
  <c r="W19" i="2" s="1"/>
  <c r="H16" i="2"/>
  <c r="H6" i="2"/>
  <c r="F6" i="2" s="1"/>
  <c r="H10" i="2"/>
  <c r="M10" i="2" s="1"/>
  <c r="N10" i="2" s="1"/>
  <c r="W10" i="2" s="1"/>
  <c r="H12" i="2"/>
  <c r="H9" i="2"/>
  <c r="H13" i="2"/>
  <c r="M13" i="2" s="1"/>
  <c r="N13" i="2" s="1"/>
  <c r="W13" i="2" s="1"/>
  <c r="F8" i="2" l="1"/>
  <c r="M8" i="2"/>
  <c r="N8" i="2" s="1"/>
  <c r="W8" i="2" s="1"/>
  <c r="F9" i="2"/>
  <c r="M9" i="2"/>
  <c r="N9" i="2" s="1"/>
  <c r="W9" i="2" s="1"/>
  <c r="F16" i="2"/>
  <c r="M16" i="2"/>
  <c r="N16" i="2" s="1"/>
  <c r="W16" i="2" s="1"/>
  <c r="F12" i="2"/>
  <c r="M12" i="2"/>
  <c r="N12" i="2" s="1"/>
  <c r="W12" i="2" s="1"/>
  <c r="F17" i="2"/>
  <c r="M17" i="2"/>
  <c r="N17" i="2" s="1"/>
  <c r="W17" i="2" s="1"/>
  <c r="F13" i="2"/>
  <c r="F10" i="2"/>
  <c r="F19" i="2"/>
  <c r="G5" i="12" l="1"/>
  <c r="Q5" i="12" s="1"/>
  <c r="G7" i="12"/>
  <c r="Q7" i="12" s="1"/>
  <c r="G6" i="12"/>
  <c r="Q6" i="12" s="1"/>
  <c r="G4" i="12"/>
  <c r="Q4" i="12" s="1"/>
  <c r="G10" i="12"/>
  <c r="Q10" i="12" s="1"/>
  <c r="G9" i="12"/>
  <c r="Q9" i="12" s="1"/>
  <c r="G8" i="12"/>
  <c r="Q8" i="12" s="1"/>
  <c r="G3" i="12"/>
  <c r="Q3" i="12" s="1"/>
  <c r="X8" i="2"/>
  <c r="X17" i="2"/>
  <c r="X19" i="2"/>
  <c r="X13" i="2"/>
  <c r="X9" i="2"/>
  <c r="X12" i="2"/>
  <c r="X16" i="2"/>
  <c r="X10" i="2"/>
  <c r="Q13" i="12" l="1"/>
  <c r="G13" i="12"/>
  <c r="R13" i="12" s="1"/>
  <c r="B17" i="12" s="1"/>
  <c r="R4" i="12"/>
  <c r="P4" i="12" s="1"/>
  <c r="R7" i="12"/>
  <c r="P7" i="12" s="1"/>
  <c r="R8" i="12"/>
  <c r="R10" i="12"/>
  <c r="P10" i="12" s="1"/>
  <c r="R3" i="12"/>
  <c r="P3" i="12" s="1"/>
  <c r="R5" i="12"/>
  <c r="P5" i="12" s="1"/>
  <c r="R6" i="12"/>
  <c r="P6" i="12" s="1"/>
  <c r="R9" i="12"/>
  <c r="P9" i="12" s="1"/>
  <c r="F5" i="2"/>
  <c r="X5" i="2"/>
  <c r="P8" i="12" l="1"/>
  <c r="P13" i="12" s="1"/>
  <c r="B22" i="12" s="1"/>
  <c r="F7" i="2"/>
  <c r="G2" i="12" l="1"/>
  <c r="Q2" i="12" s="1"/>
  <c r="Q6" i="2"/>
  <c r="U6" i="2" s="1"/>
  <c r="S6" i="2"/>
  <c r="T6" i="2" s="1"/>
  <c r="Q12" i="12" l="1"/>
  <c r="G12" i="12"/>
  <c r="R12" i="12" s="1"/>
  <c r="B16" i="12" s="1"/>
  <c r="M6" i="2"/>
  <c r="N6" i="2" s="1"/>
  <c r="V6" i="2"/>
  <c r="S7" i="2"/>
  <c r="T7" i="2" s="1"/>
  <c r="Q7" i="2"/>
  <c r="U7" i="2" s="1"/>
  <c r="O2" i="12" l="1"/>
  <c r="W6" i="2"/>
  <c r="X6" i="2" s="1"/>
  <c r="V7" i="2"/>
  <c r="M7" i="2"/>
  <c r="N7" i="2" s="1"/>
  <c r="O12" i="12" l="1"/>
  <c r="W7" i="2"/>
  <c r="X7" i="2" s="1"/>
  <c r="R2" i="12" l="1"/>
  <c r="B18" i="12" s="1"/>
  <c r="P2" i="12" l="1"/>
  <c r="P12" i="12" s="1"/>
  <c r="B21" i="12" s="1"/>
  <c r="B23" i="12" l="1"/>
  <c r="B24" i="12" s="1"/>
  <c r="M11" i="2"/>
  <c r="N11" i="2" s="1"/>
  <c r="W11" i="2" s="1"/>
  <c r="X11" i="2" s="1"/>
  <c r="F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Angela</author>
  </authors>
  <commentList>
    <comment ref="P10" authorId="0" shapeId="0" xr:uid="{AEAF6706-47A8-4A9D-AF78-82929114AB9E}">
      <text>
        <r>
          <rPr>
            <b/>
            <sz val="9"/>
            <color indexed="81"/>
            <rFont val="Tahoma"/>
            <family val="2"/>
          </rPr>
          <t>Angela:</t>
        </r>
        <r>
          <rPr>
            <sz val="9"/>
            <color indexed="81"/>
            <rFont val="Tahoma"/>
            <family val="2"/>
          </rPr>
          <t xml:space="preserve">
Modified this according to the large summary table in the FSTC study report</t>
        </r>
      </text>
    </comment>
    <comment ref="L11" authorId="0" shapeId="0" xr:uid="{3FB03BE0-5A36-4AB3-814A-688CAB514844}">
      <text>
        <r>
          <rPr>
            <b/>
            <sz val="9"/>
            <color indexed="81"/>
            <rFont val="Tahoma"/>
            <family val="2"/>
          </rPr>
          <t>Angela:</t>
        </r>
        <r>
          <rPr>
            <sz val="9"/>
            <color indexed="81"/>
            <rFont val="Tahoma"/>
            <family val="2"/>
          </rPr>
          <t xml:space="preserve">
This is UTX + CTX for the middle bun
</t>
        </r>
      </text>
    </comment>
    <comment ref="O11" authorId="0" shapeId="0" xr:uid="{0F7A5615-7C1F-4E83-BB74-5EB51A3C80E1}">
      <text>
        <r>
          <rPr>
            <b/>
            <sz val="9"/>
            <color indexed="81"/>
            <rFont val="Tahoma"/>
            <family val="2"/>
          </rPr>
          <t>Angela:</t>
        </r>
        <r>
          <rPr>
            <sz val="9"/>
            <color indexed="81"/>
            <rFont val="Tahoma"/>
            <family val="2"/>
          </rPr>
          <t xml:space="preserve">
This is UTX + CTX for middle bun</t>
        </r>
      </text>
    </comment>
    <comment ref="R16" authorId="0" shapeId="0" xr:uid="{20306A7B-2924-4D2B-AFF8-B70BB75504FA}">
      <text>
        <r>
          <rPr>
            <b/>
            <sz val="9"/>
            <color indexed="81"/>
            <rFont val="Tahoma"/>
            <family val="2"/>
          </rPr>
          <t>Angela:</t>
        </r>
        <r>
          <rPr>
            <sz val="9"/>
            <color indexed="81"/>
            <rFont val="Tahoma"/>
            <family val="2"/>
          </rPr>
          <t xml:space="preserve">
Originally recorded as 40 but other values do not support this</t>
        </r>
      </text>
    </comment>
    <comment ref="C18" authorId="0" shapeId="0" xr:uid="{414D89E5-F862-4F4C-A8AA-E68552E32BD4}">
      <text>
        <r>
          <rPr>
            <b/>
            <sz val="9"/>
            <color indexed="81"/>
            <rFont val="Tahoma"/>
            <family val="2"/>
          </rPr>
          <t>Angela:</t>
        </r>
        <r>
          <rPr>
            <sz val="9"/>
            <color indexed="81"/>
            <rFont val="Tahoma"/>
            <family val="2"/>
          </rPr>
          <t xml:space="preserve">
This model is being replace 2 to 1, so energy rates and estimated annual usage have been halved in order to normalize it</t>
        </r>
      </text>
    </comment>
  </commentList>
</comments>
</file>

<file path=xl/sharedStrings.xml><?xml version="1.0" encoding="utf-8"?>
<sst xmlns="http://schemas.openxmlformats.org/spreadsheetml/2006/main" count="197" uniqueCount="98">
  <si>
    <t>Antunes</t>
  </si>
  <si>
    <t>VCT-1000CF</t>
  </si>
  <si>
    <t>VCT-2000CV</t>
  </si>
  <si>
    <t>VCTM-2</t>
  </si>
  <si>
    <t>Make</t>
  </si>
  <si>
    <t>Model</t>
  </si>
  <si>
    <t>Size</t>
  </si>
  <si>
    <t>Prince Castle</t>
  </si>
  <si>
    <t>GST-2V</t>
  </si>
  <si>
    <t>GST-2H</t>
  </si>
  <si>
    <t>CTDE</t>
  </si>
  <si>
    <t>Buns Cooked</t>
  </si>
  <si>
    <t>Nameplate Rate</t>
  </si>
  <si>
    <t>Tested by</t>
  </si>
  <si>
    <t>SCE FTC</t>
  </si>
  <si>
    <t>Roundup</t>
  </si>
  <si>
    <t>PG&amp;E FSTC</t>
  </si>
  <si>
    <t xml:space="preserve">297-T9B </t>
  </si>
  <si>
    <t>MeasuredEnergy Input Rate</t>
  </si>
  <si>
    <t>DCFT-BK</t>
  </si>
  <si>
    <t>DCFT-JB</t>
  </si>
  <si>
    <t>Unit is designed to toast both bread slices and buns simultaneously. Recovery time was not used in heavy testing.</t>
  </si>
  <si>
    <t>ASTM test method</t>
  </si>
  <si>
    <t>F2380-04 and F2474-09</t>
  </si>
  <si>
    <t>F2380</t>
  </si>
  <si>
    <t xml:space="preserve">F2380-04 </t>
  </si>
  <si>
    <t>F2380-04</t>
  </si>
  <si>
    <t>F2380-18</t>
  </si>
  <si>
    <t>Comments</t>
  </si>
  <si>
    <t>Unit marked as High Efficiency by manufacturer</t>
  </si>
  <si>
    <t>no</t>
  </si>
  <si>
    <t>yes</t>
  </si>
  <si>
    <t>Manufacturer default settings used for heavy testing</t>
  </si>
  <si>
    <t>Calculated Annual Usage</t>
  </si>
  <si>
    <t>Assumed 16 hour day and 650 buns cooked per day</t>
  </si>
  <si>
    <t>No</t>
  </si>
  <si>
    <t>Yes</t>
  </si>
  <si>
    <t>Peak kW</t>
  </si>
  <si>
    <t>Similar to VCT-2000CV</t>
  </si>
  <si>
    <t>340 (URT)</t>
  </si>
  <si>
    <t>HCT-5H</t>
  </si>
  <si>
    <t>UTX-200 with CTX</t>
  </si>
  <si>
    <t>Average Baseline kWh</t>
  </si>
  <si>
    <t>Average HE kWh</t>
  </si>
  <si>
    <t>kWh Savings</t>
  </si>
  <si>
    <t>Restaurant</t>
  </si>
  <si>
    <t>JIB Base</t>
  </si>
  <si>
    <t>BK Base</t>
  </si>
  <si>
    <t>JIB, BK Base</t>
  </si>
  <si>
    <t>Energy Cutoff</t>
  </si>
  <si>
    <t>CBT</t>
  </si>
  <si>
    <t>Manufacturer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</si>
  <si>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</si>
  <si>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</si>
  <si>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</si>
  <si>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</si>
  <si>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</si>
  <si>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</si>
  <si>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</si>
  <si>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</si>
  <si>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</si>
  <si>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</si>
  <si>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</si>
  <si>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Number of lanes (Sandwiches)</t>
  </si>
  <si>
    <t>F2380-04  and F2474-17</t>
  </si>
  <si>
    <t>A</t>
  </si>
  <si>
    <t>L</t>
  </si>
  <si>
    <t>Preheat Time (min)</t>
  </si>
  <si>
    <t>Preheat Energy Rate (kW)</t>
  </si>
  <si>
    <t>Idle energy rate (kW)</t>
  </si>
  <si>
    <t>Idle time per day (hrs)</t>
  </si>
  <si>
    <t>Idle energy usage per day (kWh)</t>
  </si>
  <si>
    <t>Cooking energy rate (kW)</t>
  </si>
  <si>
    <t>Cook time (min)</t>
  </si>
  <si>
    <t>Energy Consumed Per Heavy (kWh)</t>
  </si>
  <si>
    <t>Energy per sandwich cooked (W/bun)</t>
  </si>
  <si>
    <t>Daily usage (kWh)</t>
  </si>
  <si>
    <t>Calculated Annual Usage (kWh)</t>
  </si>
  <si>
    <t>Preheat Time (hrs)</t>
  </si>
  <si>
    <t>Preheat energy usage per day (kWh)</t>
  </si>
  <si>
    <t>VCT-2000CV Average</t>
  </si>
  <si>
    <t>A Averaged</t>
  </si>
  <si>
    <t>Average Demand</t>
  </si>
  <si>
    <t>PG&amp;E FSTC &amp; SCE</t>
  </si>
  <si>
    <t>Cooking energy usage per day (kWh)</t>
  </si>
  <si>
    <t>Daily Cook Time</t>
  </si>
  <si>
    <t>Production Capacity (Bun/hr)</t>
  </si>
  <si>
    <t>These models are club models - toast 1 club sandwich and 1 standard sandwich at one time</t>
  </si>
  <si>
    <t>Average Baseline Demand</t>
  </si>
  <si>
    <t>Average HE Peak Demand</t>
  </si>
  <si>
    <t>Demand Savings</t>
  </si>
  <si>
    <t>Demand Savings * .9 CDF Value</t>
  </si>
  <si>
    <t>Average Measure Case</t>
  </si>
  <si>
    <t>Average Base Case</t>
  </si>
  <si>
    <t>Production Capacity (buns/hr)</t>
  </si>
  <si>
    <t>Cooking Time (hr)</t>
  </si>
  <si>
    <t>Preheat Time (hr)</t>
  </si>
  <si>
    <t>Idle Time (hrs)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</si>
</sst>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 tint="4.9989318521683403E-2"/>
      <name val="Calibri"/>
      <family val="2"/>
      <scheme val="minor"/>
    </font>
    <font>
      <sz val="11"/>
      <color rgb="FFC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ill="1"/>
    <xf numFmtId="0" fontId="0" fillId="0" borderId="1" xfId="0" applyBorder="1"/>
    <xf numFmtId="0" fontId="3" fillId="0" borderId="1" xfId="0" applyFont="1" applyFill="1" applyBorder="1"/>
    <xf numFmtId="164" fontId="0" fillId="0" borderId="0" xfId="0" applyNumberForma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Border="1"/>
    <xf numFmtId="9" fontId="0" fillId="0" borderId="0" xfId="1" applyFont="1"/>
    <xf numFmtId="0" fontId="0" fillId="0" borderId="0" xfId="0" applyFill="1" applyBorder="1"/>
    <xf numFmtId="0" fontId="1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5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2" fontId="3" fillId="4" borderId="1" xfId="0" applyNumberFormat="1" applyFont="1" applyFill="1" applyBorder="1"/>
    <xf numFmtId="164" fontId="3" fillId="4" borderId="1" xfId="0" applyNumberFormat="1" applyFont="1" applyFill="1" applyBorder="1"/>
    <xf numFmtId="164" fontId="3" fillId="0" borderId="1" xfId="0" applyNumberFormat="1" applyFont="1" applyFill="1" applyBorder="1"/>
    <xf numFmtId="1" fontId="3" fillId="4" borderId="1" xfId="0" applyNumberFormat="1" applyFont="1" applyFill="1" applyBorder="1"/>
    <xf numFmtId="164" fontId="3" fillId="4" borderId="3" xfId="0" applyNumberFormat="1" applyFont="1" applyFill="1" applyBorder="1"/>
    <xf numFmtId="0" fontId="1" fillId="0" borderId="0" xfId="0" applyFont="1" applyFill="1"/>
    <xf numFmtId="0" fontId="0" fillId="0" borderId="0" xfId="0" applyFont="1" applyFill="1" applyBorder="1"/>
    <xf numFmtId="0" fontId="2" fillId="0" borderId="0" xfId="0" applyFont="1" applyFill="1" applyBorder="1"/>
    <xf numFmtId="1" fontId="0" fillId="0" borderId="0" xfId="0" applyNumberFormat="1" applyFill="1"/>
    <xf numFmtId="9" fontId="0" fillId="0" borderId="0" xfId="1" applyFont="1" applyFill="1"/>
    <xf numFmtId="0" fontId="7" fillId="2" borderId="5" xfId="0" applyFont="1" applyFill="1" applyBorder="1" applyAlignment="1">
      <alignment wrapText="1"/>
    </xf>
    <xf numFmtId="2" fontId="0" fillId="2" borderId="6" xfId="0" applyNumberFormat="1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1" fontId="0" fillId="0" borderId="1" xfId="0" applyNumberFormat="1" applyFill="1" applyBorder="1"/>
    <xf numFmtId="0" fontId="0" fillId="7" borderId="0" xfId="0" applyFill="1"/>
    <xf numFmtId="0" fontId="3" fillId="7" borderId="1" xfId="0" applyFont="1" applyFill="1" applyBorder="1"/>
    <xf numFmtId="0" fontId="0" fillId="4" borderId="1" xfId="0" applyFill="1" applyBorder="1" applyAlignment="1">
      <alignment horizontal="left"/>
    </xf>
    <xf numFmtId="2" fontId="7" fillId="4" borderId="1" xfId="0" applyNumberFormat="1" applyFont="1" applyFill="1" applyBorder="1" applyAlignment="1">
      <alignment horizontal="center" wrapText="1"/>
    </xf>
    <xf numFmtId="164" fontId="7" fillId="4" borderId="1" xfId="0" applyNumberFormat="1" applyFont="1" applyFill="1" applyBorder="1" applyAlignment="1">
      <alignment wrapText="1"/>
    </xf>
    <xf numFmtId="0" fontId="0" fillId="4" borderId="0" xfId="0" applyFill="1"/>
    <xf numFmtId="164" fontId="7" fillId="4" borderId="2" xfId="0" applyNumberFormat="1" applyFont="1" applyFill="1" applyBorder="1" applyAlignment="1">
      <alignment wrapText="1"/>
    </xf>
    <xf numFmtId="0" fontId="8" fillId="4" borderId="0" xfId="0" applyFont="1" applyFill="1"/>
    <xf numFmtId="165" fontId="0" fillId="0" borderId="0" xfId="0" applyNumberFormat="1" applyFill="1"/>
    <xf numFmtId="0" fontId="0" fillId="8" borderId="1" xfId="0" applyFill="1" applyBorder="1" applyAlignment="1">
      <alignment horizontal="left"/>
    </xf>
    <xf numFmtId="164" fontId="3" fillId="8" borderId="1" xfId="0" applyNumberFormat="1" applyFont="1" applyFill="1" applyBorder="1"/>
    <xf numFmtId="2" fontId="7" fillId="8" borderId="1" xfId="0" applyNumberFormat="1" applyFont="1" applyFill="1" applyBorder="1" applyAlignment="1">
      <alignment horizontal="center" wrapText="1"/>
    </xf>
    <xf numFmtId="164" fontId="7" fillId="8" borderId="2" xfId="0" applyNumberFormat="1" applyFont="1" applyFill="1" applyBorder="1" applyAlignment="1">
      <alignment wrapText="1"/>
    </xf>
    <xf numFmtId="0" fontId="2" fillId="8" borderId="0" xfId="0" applyFont="1" applyFill="1"/>
    <xf numFmtId="0" fontId="0" fillId="8" borderId="0" xfId="0" applyFill="1"/>
    <xf numFmtId="164" fontId="0" fillId="0" borderId="4" xfId="0" applyNumberFormat="1" applyFill="1" applyBorder="1"/>
    <xf numFmtId="0" fontId="0" fillId="0" borderId="7" xfId="0" applyBorder="1"/>
    <xf numFmtId="164" fontId="0" fillId="0" borderId="7" xfId="0" applyNumberFormat="1" applyFill="1" applyBorder="1"/>
    <xf numFmtId="0" fontId="0" fillId="0" borderId="1" xfId="0" applyFill="1" applyBorder="1"/>
    <xf numFmtId="0" fontId="0" fillId="8" borderId="2" xfId="0" applyFill="1" applyBorder="1"/>
    <xf numFmtId="164" fontId="0" fillId="0" borderId="1" xfId="0" applyNumberFormat="1" applyFill="1" applyBorder="1"/>
    <xf numFmtId="164" fontId="0" fillId="0" borderId="0" xfId="0" applyNumberFormat="1" applyFill="1"/>
    <xf numFmtId="1" fontId="3" fillId="8" borderId="1" xfId="0" applyNumberFormat="1" applyFont="1" applyFill="1" applyBorder="1"/>
    <xf numFmtId="1" fontId="0" fillId="0" borderId="0" xfId="0" applyNumberFormat="1"/>
    <xf numFmtId="0" fontId="0" fillId="9" borderId="1" xfId="0" applyFill="1" applyBorder="1"/>
    <xf numFmtId="0" fontId="0" fillId="9" borderId="1" xfId="0" applyFill="1" applyBorder="1" applyAlignment="1">
      <alignment horizontal="right"/>
    </xf>
    <xf numFmtId="1" fontId="0" fillId="10" borderId="1" xfId="0" applyNumberFormat="1" applyFill="1" applyBorder="1"/>
    <xf numFmtId="166" fontId="0" fillId="10" borderId="1" xfId="0" applyNumberFormat="1" applyFill="1" applyBorder="1"/>
    <xf numFmtId="166" fontId="0" fillId="0" borderId="0" xfId="0" applyNumberFormat="1" applyFill="1"/>
    <xf numFmtId="166" fontId="0" fillId="0" borderId="0" xfId="1" applyNumberFormat="1" applyFont="1"/>
    <xf numFmtId="166" fontId="0" fillId="0" borderId="0" xfId="0" applyNumberFormat="1" applyFill="1" applyBorder="1"/>
    <xf numFmtId="166" fontId="0" fillId="0" borderId="0" xfId="0" applyNumberFormat="1"/>
    <xf numFmtId="166" fontId="3" fillId="4" borderId="1" xfId="0" applyNumberFormat="1" applyFont="1" applyFill="1" applyBorder="1"/>
    <xf numFmtId="166" fontId="3" fillId="8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AA35"/>
  <sheetViews>
    <sheetView workbookViewId="0">
      <selection activeCell="S19" sqref="S19"/>
    </sheetView>
  </sheetViews>
  <sheetFormatPr defaultRowHeight="15" x14ac:dyDescent="0.25"/>
  <cols>
    <col min="1" max="1" width="12.42578125" bestFit="1" customWidth="1"/>
    <col min="2" max="2" width="20" customWidth="1"/>
    <col min="3" max="4" width="11.28515625" customWidth="1"/>
    <col min="5" max="5" width="7.42578125" bestFit="1" customWidth="1"/>
    <col min="6" max="8" width="12.85546875" customWidth="1"/>
    <col min="9" max="9" width="15.7109375" customWidth="1"/>
    <col min="10" max="10" width="15.42578125" customWidth="1"/>
    <col min="11" max="11" width="26.140625" customWidth="1"/>
    <col min="12" max="12" width="15.140625" bestFit="1" customWidth="1"/>
    <col min="13" max="14" width="16.140625" customWidth="1"/>
    <col min="15" max="15" width="19" bestFit="1" customWidth="1"/>
    <col min="16" max="16" width="19" customWidth="1"/>
    <col min="17" max="17" width="26.7109375" customWidth="1"/>
    <col min="18" max="18" width="12.28515625" customWidth="1"/>
    <col min="19" max="19" width="15.140625" customWidth="1"/>
    <col min="20" max="21" width="18.5703125" customWidth="1"/>
    <col min="22" max="22" width="26.5703125" customWidth="1"/>
    <col min="23" max="23" width="17.140625" customWidth="1"/>
    <col min="24" max="26" width="26.5703125" customWidth="1"/>
    <col min="27" max="27" width="104" bestFit="1" customWidth="1"/>
  </cols>
  <sheetData>
    <row r="2" spans="1:27" x14ac:dyDescent="0.25">
      <c r="G2" t="s">
        <v>34</v>
      </c>
    </row>
    <row r="4" spans="1:27" s="12" customFormat="1" ht="45" x14ac:dyDescent="0.25">
      <c r="A4" s="11" t="s">
        <v>4</v>
      </c>
      <c r="B4" s="11" t="s">
        <v>5</v>
      </c>
      <c r="C4" s="11"/>
      <c r="D4" s="11" t="s">
        <v>13</v>
      </c>
      <c r="E4" s="11" t="s">
        <v>6</v>
      </c>
      <c r="F4" s="14" t="s">
        <v>68</v>
      </c>
      <c r="G4" s="14" t="s">
        <v>67</v>
      </c>
      <c r="H4" s="14" t="s">
        <v>78</v>
      </c>
      <c r="I4" s="11" t="s">
        <v>79</v>
      </c>
      <c r="J4" s="11" t="s">
        <v>12</v>
      </c>
      <c r="K4" s="11" t="s">
        <v>18</v>
      </c>
      <c r="L4" s="14" t="s">
        <v>69</v>
      </c>
      <c r="M4" s="14" t="s">
        <v>70</v>
      </c>
      <c r="N4" s="11" t="s">
        <v>71</v>
      </c>
      <c r="O4" s="14" t="s">
        <v>72</v>
      </c>
      <c r="P4" s="14" t="s">
        <v>73</v>
      </c>
      <c r="Q4" s="13" t="s">
        <v>74</v>
      </c>
      <c r="R4" s="14" t="s">
        <v>11</v>
      </c>
      <c r="S4" s="14" t="s">
        <v>86</v>
      </c>
      <c r="T4" s="14" t="s">
        <v>85</v>
      </c>
      <c r="U4" s="14" t="s">
        <v>75</v>
      </c>
      <c r="V4" s="14" t="s">
        <v>84</v>
      </c>
      <c r="W4" s="14" t="s">
        <v>76</v>
      </c>
      <c r="X4" s="14" t="s">
        <v>77</v>
      </c>
      <c r="Y4" s="11" t="s">
        <v>22</v>
      </c>
      <c r="Z4" s="11" t="s">
        <v>29</v>
      </c>
      <c r="AA4" s="11" t="s">
        <v>28</v>
      </c>
    </row>
    <row r="5" spans="1:27" x14ac:dyDescent="0.25">
      <c r="A5" s="3" t="s">
        <v>0</v>
      </c>
      <c r="B5" s="3" t="s">
        <v>2</v>
      </c>
      <c r="C5" s="3" t="s">
        <v>65</v>
      </c>
      <c r="D5" s="3" t="s">
        <v>14</v>
      </c>
      <c r="E5" s="3">
        <v>2</v>
      </c>
      <c r="F5" s="16">
        <f>I5/H5</f>
        <v>3.159763313609468</v>
      </c>
      <c r="G5" s="15">
        <v>16.899999999999999</v>
      </c>
      <c r="H5" s="16">
        <f t="shared" ref="H5:H10" si="0">G5/60</f>
        <v>0.28166666666666662</v>
      </c>
      <c r="I5" s="17">
        <v>0.89</v>
      </c>
      <c r="J5" s="17">
        <v>3.2909999999999999</v>
      </c>
      <c r="K5" s="17">
        <v>3.15</v>
      </c>
      <c r="L5" s="16">
        <v>2.17</v>
      </c>
      <c r="M5" s="16">
        <f t="shared" ref="M5:M19" si="1">(16-T5)-H5</f>
        <v>14.104166666666668</v>
      </c>
      <c r="N5" s="17">
        <f t="shared" ref="N5:N19" si="2">L5*M5</f>
        <v>30.60604166666667</v>
      </c>
      <c r="O5" s="16">
        <v>2.94</v>
      </c>
      <c r="P5" s="16">
        <v>11.92</v>
      </c>
      <c r="Q5" s="17">
        <f t="shared" ref="Q5:Q19" si="3">O5*P5/60</f>
        <v>0.58408000000000004</v>
      </c>
      <c r="R5" s="18">
        <v>80</v>
      </c>
      <c r="S5" s="18">
        <f t="shared" ref="S5:S19" si="4">R5/P5*60</f>
        <v>402.68456375838929</v>
      </c>
      <c r="T5" s="16">
        <f t="shared" ref="T5:T19" si="5">650/S5</f>
        <v>1.6141666666666665</v>
      </c>
      <c r="U5" s="16">
        <f t="shared" ref="U5:U19" si="6">((Q5/R5)*1000)</f>
        <v>7.3010000000000002</v>
      </c>
      <c r="V5" s="16">
        <f t="shared" ref="V5:V19" si="7">O5*T5</f>
        <v>4.7456499999999995</v>
      </c>
      <c r="W5" s="16">
        <f t="shared" ref="W5:W19" si="8">V5+N5+I5</f>
        <v>36.241691666666668</v>
      </c>
      <c r="X5" s="18">
        <f t="shared" ref="X5:X19" si="9">W5*364</f>
        <v>13191.975766666666</v>
      </c>
      <c r="Y5" s="3" t="s">
        <v>27</v>
      </c>
      <c r="Z5" s="3" t="s">
        <v>30</v>
      </c>
      <c r="AA5" s="2"/>
    </row>
    <row r="6" spans="1:27" x14ac:dyDescent="0.25">
      <c r="A6" s="3" t="s">
        <v>15</v>
      </c>
      <c r="B6" s="3" t="s">
        <v>2</v>
      </c>
      <c r="C6" s="3" t="s">
        <v>65</v>
      </c>
      <c r="D6" s="3" t="s">
        <v>16</v>
      </c>
      <c r="E6" s="3">
        <v>2</v>
      </c>
      <c r="F6" s="16">
        <f>I6/H6</f>
        <v>3.1066749844042421</v>
      </c>
      <c r="G6" s="15">
        <v>16.03</v>
      </c>
      <c r="H6" s="16">
        <f t="shared" si="0"/>
        <v>0.26716666666666666</v>
      </c>
      <c r="I6" s="17">
        <v>0.83</v>
      </c>
      <c r="J6" s="17">
        <v>3.29</v>
      </c>
      <c r="K6" s="17">
        <v>3.34</v>
      </c>
      <c r="L6" s="16">
        <v>1.41</v>
      </c>
      <c r="M6" s="16">
        <f t="shared" si="1"/>
        <v>13.886242424242424</v>
      </c>
      <c r="N6" s="17">
        <f t="shared" si="2"/>
        <v>19.579601818181818</v>
      </c>
      <c r="O6" s="16">
        <v>2.71</v>
      </c>
      <c r="P6" s="16">
        <v>13.636363636363637</v>
      </c>
      <c r="Q6" s="17">
        <f t="shared" si="3"/>
        <v>0.61590909090909085</v>
      </c>
      <c r="R6" s="18">
        <v>80</v>
      </c>
      <c r="S6" s="18">
        <f t="shared" si="4"/>
        <v>352</v>
      </c>
      <c r="T6" s="16">
        <f t="shared" si="5"/>
        <v>1.8465909090909092</v>
      </c>
      <c r="U6" s="16">
        <f t="shared" si="6"/>
        <v>7.6988636363636358</v>
      </c>
      <c r="V6" s="16">
        <f t="shared" si="7"/>
        <v>5.0042613636363642</v>
      </c>
      <c r="W6" s="16">
        <f t="shared" si="8"/>
        <v>25.413863181818179</v>
      </c>
      <c r="X6" s="18">
        <f t="shared" si="9"/>
        <v>9250.6461981818175</v>
      </c>
      <c r="Y6" s="3" t="s">
        <v>23</v>
      </c>
      <c r="Z6" s="3" t="s">
        <v>30</v>
      </c>
      <c r="AA6" s="2" t="s">
        <v>32</v>
      </c>
    </row>
    <row r="7" spans="1:27" x14ac:dyDescent="0.25">
      <c r="A7" s="3"/>
      <c r="B7" s="3" t="s">
        <v>80</v>
      </c>
      <c r="C7" s="3" t="s">
        <v>81</v>
      </c>
      <c r="D7" s="3"/>
      <c r="E7" s="3"/>
      <c r="F7" s="16">
        <f>AVERAGE(F5,F6)</f>
        <v>3.1332191490068553</v>
      </c>
      <c r="G7" s="16">
        <f>AVERAGE(G5,G6)</f>
        <v>16.465</v>
      </c>
      <c r="H7" s="16">
        <f t="shared" si="0"/>
        <v>0.27441666666666664</v>
      </c>
      <c r="I7" s="17">
        <v>0.86</v>
      </c>
      <c r="J7" s="17">
        <f>AVERAGE(J5,J6)</f>
        <v>3.2904999999999998</v>
      </c>
      <c r="K7" s="17">
        <f>AVERAGE(K5,K6)</f>
        <v>3.2450000000000001</v>
      </c>
      <c r="L7" s="16">
        <f>AVERAGE(L5,L6)</f>
        <v>1.79</v>
      </c>
      <c r="M7" s="16">
        <f t="shared" si="1"/>
        <v>13.995204545454545</v>
      </c>
      <c r="N7" s="17">
        <f t="shared" si="2"/>
        <v>25.051416136363635</v>
      </c>
      <c r="O7" s="16">
        <f>AVERAGE(O5,O6)</f>
        <v>2.8250000000000002</v>
      </c>
      <c r="P7" s="16">
        <v>12.778181818181817</v>
      </c>
      <c r="Q7" s="17">
        <f t="shared" si="3"/>
        <v>0.60163939393939392</v>
      </c>
      <c r="R7" s="18">
        <f>AVERAGE(R5,R6)</f>
        <v>80</v>
      </c>
      <c r="S7" s="18">
        <f t="shared" si="4"/>
        <v>375.64029595902105</v>
      </c>
      <c r="T7" s="16">
        <f t="shared" si="5"/>
        <v>1.730378787878788</v>
      </c>
      <c r="U7" s="16">
        <f t="shared" si="6"/>
        <v>7.5204924242424243</v>
      </c>
      <c r="V7" s="16">
        <f t="shared" si="7"/>
        <v>4.8883200757575764</v>
      </c>
      <c r="W7" s="16">
        <f t="shared" si="8"/>
        <v>30.799736212121211</v>
      </c>
      <c r="X7" s="18">
        <f t="shared" si="9"/>
        <v>11211.10398121212</v>
      </c>
      <c r="Y7" s="3"/>
      <c r="Z7" s="3"/>
      <c r="AA7" s="2"/>
    </row>
    <row r="8" spans="1:27" x14ac:dyDescent="0.25">
      <c r="A8" s="3" t="s">
        <v>0</v>
      </c>
      <c r="B8" s="3" t="s">
        <v>3</v>
      </c>
      <c r="C8" s="3" t="s">
        <v>52</v>
      </c>
      <c r="D8" s="3" t="s">
        <v>14</v>
      </c>
      <c r="E8" s="3">
        <v>1</v>
      </c>
      <c r="F8" s="16">
        <f t="shared" ref="F8:F17" si="10">I8/H8</f>
        <v>2.7497708524289641</v>
      </c>
      <c r="G8" s="15">
        <v>10.91</v>
      </c>
      <c r="H8" s="16">
        <f t="shared" si="0"/>
        <v>0.18183333333333335</v>
      </c>
      <c r="I8" s="17">
        <v>0.5</v>
      </c>
      <c r="J8" s="17">
        <v>3.1</v>
      </c>
      <c r="K8" s="17">
        <v>2.89</v>
      </c>
      <c r="L8" s="16">
        <v>0.77</v>
      </c>
      <c r="M8" s="16">
        <f t="shared" si="1"/>
        <v>13.242541666666668</v>
      </c>
      <c r="N8" s="17">
        <f t="shared" si="2"/>
        <v>10.196757083333335</v>
      </c>
      <c r="O8" s="16">
        <v>1.62</v>
      </c>
      <c r="P8" s="16">
        <v>9.51</v>
      </c>
      <c r="Q8" s="17">
        <f t="shared" si="3"/>
        <v>0.25677</v>
      </c>
      <c r="R8" s="18">
        <v>40</v>
      </c>
      <c r="S8" s="18">
        <f t="shared" si="4"/>
        <v>252.36593059936911</v>
      </c>
      <c r="T8" s="16">
        <f t="shared" si="5"/>
        <v>2.5756249999999996</v>
      </c>
      <c r="U8" s="16">
        <f t="shared" si="6"/>
        <v>6.4192499999999999</v>
      </c>
      <c r="V8" s="16">
        <f t="shared" si="7"/>
        <v>4.1725124999999998</v>
      </c>
      <c r="W8" s="16">
        <f t="shared" si="8"/>
        <v>14.869269583333335</v>
      </c>
      <c r="X8" s="18">
        <f t="shared" si="9"/>
        <v>5412.4141283333338</v>
      </c>
      <c r="Y8" s="3" t="s">
        <v>27</v>
      </c>
      <c r="Z8" s="3" t="s">
        <v>31</v>
      </c>
      <c r="AA8" s="2"/>
    </row>
    <row r="9" spans="1:27" x14ac:dyDescent="0.25">
      <c r="A9" s="3" t="s">
        <v>7</v>
      </c>
      <c r="B9" s="3" t="s">
        <v>20</v>
      </c>
      <c r="C9" s="3" t="s">
        <v>53</v>
      </c>
      <c r="D9" s="3" t="s">
        <v>16</v>
      </c>
      <c r="E9" s="3">
        <v>2</v>
      </c>
      <c r="F9" s="16">
        <f t="shared" si="10"/>
        <v>2.4475104979004199</v>
      </c>
      <c r="G9" s="15">
        <v>16.670000000000002</v>
      </c>
      <c r="H9" s="16">
        <f t="shared" si="0"/>
        <v>0.27783333333333338</v>
      </c>
      <c r="I9" s="17">
        <v>0.68</v>
      </c>
      <c r="J9" s="17">
        <v>2.5499999999999998</v>
      </c>
      <c r="K9" s="17">
        <v>2.5499999999999998</v>
      </c>
      <c r="L9" s="16">
        <v>0.78100000000000003</v>
      </c>
      <c r="M9" s="16">
        <f t="shared" si="1"/>
        <v>13.996958333333334</v>
      </c>
      <c r="N9" s="17">
        <f t="shared" si="2"/>
        <v>10.931624458333333</v>
      </c>
      <c r="O9" s="16">
        <v>2.3879999999999999</v>
      </c>
      <c r="P9" s="16">
        <v>6.37</v>
      </c>
      <c r="Q9" s="17">
        <f t="shared" si="3"/>
        <v>0.25352600000000003</v>
      </c>
      <c r="R9" s="18">
        <v>40</v>
      </c>
      <c r="S9" s="18">
        <f t="shared" si="4"/>
        <v>376.76609105180535</v>
      </c>
      <c r="T9" s="16">
        <f t="shared" si="5"/>
        <v>1.7252083333333332</v>
      </c>
      <c r="U9" s="16">
        <f t="shared" si="6"/>
        <v>6.3381500000000006</v>
      </c>
      <c r="V9" s="16">
        <f t="shared" si="7"/>
        <v>4.1197974999999998</v>
      </c>
      <c r="W9" s="16">
        <f t="shared" si="8"/>
        <v>15.731421958333332</v>
      </c>
      <c r="X9" s="18">
        <f t="shared" si="9"/>
        <v>5726.2375928333331</v>
      </c>
      <c r="Y9" s="3" t="s">
        <v>26</v>
      </c>
      <c r="Z9" s="3" t="s">
        <v>30</v>
      </c>
      <c r="AA9" s="2" t="s">
        <v>21</v>
      </c>
    </row>
    <row r="10" spans="1:27" x14ac:dyDescent="0.25">
      <c r="A10" s="3" t="s">
        <v>7</v>
      </c>
      <c r="B10" s="3" t="s">
        <v>17</v>
      </c>
      <c r="C10" s="3" t="s">
        <v>54</v>
      </c>
      <c r="D10" s="3" t="s">
        <v>16</v>
      </c>
      <c r="E10" s="3">
        <v>2</v>
      </c>
      <c r="F10" s="16">
        <f t="shared" si="10"/>
        <v>1.4209591474245113</v>
      </c>
      <c r="G10" s="15">
        <v>50.67</v>
      </c>
      <c r="H10" s="16">
        <f t="shared" si="0"/>
        <v>0.84450000000000003</v>
      </c>
      <c r="I10" s="17">
        <v>1.2</v>
      </c>
      <c r="J10" s="17">
        <v>1.7</v>
      </c>
      <c r="K10" s="17">
        <v>1.5</v>
      </c>
      <c r="L10" s="16">
        <v>0.9</v>
      </c>
      <c r="M10" s="16">
        <f t="shared" si="1"/>
        <v>12.170916666666667</v>
      </c>
      <c r="N10" s="17">
        <f t="shared" si="2"/>
        <v>10.953825</v>
      </c>
      <c r="O10" s="16">
        <v>1.3520000000000001</v>
      </c>
      <c r="P10" s="16">
        <v>16.53</v>
      </c>
      <c r="Q10" s="17">
        <f t="shared" si="3"/>
        <v>0.37247600000000003</v>
      </c>
      <c r="R10" s="18">
        <v>60</v>
      </c>
      <c r="S10" s="18">
        <f t="shared" si="4"/>
        <v>217.78584392014517</v>
      </c>
      <c r="T10" s="16">
        <f t="shared" si="5"/>
        <v>2.9845833333333336</v>
      </c>
      <c r="U10" s="16">
        <f t="shared" si="6"/>
        <v>6.207933333333334</v>
      </c>
      <c r="V10" s="16">
        <f t="shared" si="7"/>
        <v>4.0351566666666674</v>
      </c>
      <c r="W10" s="16">
        <f t="shared" si="8"/>
        <v>16.188981666666667</v>
      </c>
      <c r="X10" s="18">
        <f t="shared" si="9"/>
        <v>5892.789326666667</v>
      </c>
      <c r="Y10" s="3" t="s">
        <v>24</v>
      </c>
      <c r="Z10" s="3" t="s">
        <v>30</v>
      </c>
      <c r="AA10" s="2" t="s">
        <v>32</v>
      </c>
    </row>
    <row r="11" spans="1:27" x14ac:dyDescent="0.25">
      <c r="A11" s="31" t="s">
        <v>0</v>
      </c>
      <c r="B11" s="31" t="s">
        <v>41</v>
      </c>
      <c r="C11" s="31" t="s">
        <v>55</v>
      </c>
      <c r="D11" s="3" t="s">
        <v>16</v>
      </c>
      <c r="E11" s="3">
        <v>2</v>
      </c>
      <c r="F11" s="16">
        <f t="shared" si="10"/>
        <v>4.5128205128205137</v>
      </c>
      <c r="G11" s="15">
        <v>11.7</v>
      </c>
      <c r="H11" s="16">
        <f>11.7/60</f>
        <v>0.19499999999999998</v>
      </c>
      <c r="I11" s="17">
        <v>0.88</v>
      </c>
      <c r="J11" s="17"/>
      <c r="K11" s="17"/>
      <c r="L11" s="16">
        <f>2.73+0.784</f>
        <v>3.5140000000000002</v>
      </c>
      <c r="M11" s="16">
        <f t="shared" si="1"/>
        <v>15.071365688487585</v>
      </c>
      <c r="N11" s="17">
        <f t="shared" si="2"/>
        <v>52.960779029345382</v>
      </c>
      <c r="O11" s="16">
        <f>3.97+1.479</f>
        <v>5.4489999999999998</v>
      </c>
      <c r="P11" s="16">
        <v>16.252821670428894</v>
      </c>
      <c r="Q11" s="17">
        <f t="shared" si="3"/>
        <v>1.4760270880361175</v>
      </c>
      <c r="R11" s="18">
        <v>240</v>
      </c>
      <c r="S11" s="18">
        <f t="shared" si="4"/>
        <v>886</v>
      </c>
      <c r="T11" s="16">
        <f t="shared" si="5"/>
        <v>0.73363431151241532</v>
      </c>
      <c r="U11" s="16">
        <f t="shared" si="6"/>
        <v>6.1501128668171567</v>
      </c>
      <c r="V11" s="16">
        <f t="shared" si="7"/>
        <v>3.997573363431151</v>
      </c>
      <c r="W11" s="16">
        <f t="shared" si="8"/>
        <v>57.838352392776535</v>
      </c>
      <c r="X11" s="18">
        <f t="shared" si="9"/>
        <v>21053.16027097066</v>
      </c>
      <c r="Y11" s="3" t="s">
        <v>64</v>
      </c>
      <c r="Z11" s="3" t="s">
        <v>30</v>
      </c>
      <c r="AA11" s="2" t="s">
        <v>38</v>
      </c>
    </row>
    <row r="12" spans="1:27" x14ac:dyDescent="0.25">
      <c r="A12" s="3" t="s">
        <v>7</v>
      </c>
      <c r="B12" s="3" t="s">
        <v>19</v>
      </c>
      <c r="C12" s="3" t="s">
        <v>56</v>
      </c>
      <c r="D12" s="3" t="s">
        <v>16</v>
      </c>
      <c r="E12" s="3">
        <v>2</v>
      </c>
      <c r="F12" s="16">
        <f t="shared" si="10"/>
        <v>2.4395992928697701</v>
      </c>
      <c r="G12" s="15">
        <v>16.97</v>
      </c>
      <c r="H12" s="16">
        <f>G12/60</f>
        <v>0.28283333333333333</v>
      </c>
      <c r="I12" s="17">
        <v>0.69</v>
      </c>
      <c r="J12" s="17">
        <v>2.2549999999999999</v>
      </c>
      <c r="K12" s="17">
        <v>2.2549999999999999</v>
      </c>
      <c r="L12" s="16">
        <v>0.77200000000000002</v>
      </c>
      <c r="M12" s="16">
        <f t="shared" si="1"/>
        <v>14.241125</v>
      </c>
      <c r="N12" s="17">
        <f t="shared" si="2"/>
        <v>10.9941485</v>
      </c>
      <c r="O12" s="16">
        <v>2.242</v>
      </c>
      <c r="P12" s="16">
        <v>5.45</v>
      </c>
      <c r="Q12" s="17">
        <f t="shared" si="3"/>
        <v>0.20364833333333332</v>
      </c>
      <c r="R12" s="18">
        <v>40</v>
      </c>
      <c r="S12" s="18">
        <f t="shared" si="4"/>
        <v>440.36697247706417</v>
      </c>
      <c r="T12" s="16">
        <f t="shared" si="5"/>
        <v>1.4760416666666669</v>
      </c>
      <c r="U12" s="16">
        <f t="shared" si="6"/>
        <v>5.0912083333333333</v>
      </c>
      <c r="V12" s="16">
        <f t="shared" si="7"/>
        <v>3.3092854166666674</v>
      </c>
      <c r="W12" s="16">
        <f t="shared" si="8"/>
        <v>14.993433916666666</v>
      </c>
      <c r="X12" s="18">
        <f t="shared" si="9"/>
        <v>5457.6099456666661</v>
      </c>
      <c r="Y12" s="3" t="s">
        <v>25</v>
      </c>
      <c r="Z12" s="3" t="s">
        <v>30</v>
      </c>
      <c r="AA12" s="2" t="s">
        <v>21</v>
      </c>
    </row>
    <row r="13" spans="1:27" x14ac:dyDescent="0.25">
      <c r="A13" s="3" t="s">
        <v>0</v>
      </c>
      <c r="B13" s="3" t="s">
        <v>1</v>
      </c>
      <c r="C13" s="3" t="s">
        <v>57</v>
      </c>
      <c r="D13" s="3" t="s">
        <v>14</v>
      </c>
      <c r="E13" s="3">
        <v>2</v>
      </c>
      <c r="F13" s="16">
        <f t="shared" si="10"/>
        <v>1.7814726840855106</v>
      </c>
      <c r="G13" s="15">
        <v>16.84</v>
      </c>
      <c r="H13" s="16">
        <f>G13/60</f>
        <v>0.28066666666666668</v>
      </c>
      <c r="I13" s="17">
        <v>0.5</v>
      </c>
      <c r="J13" s="17">
        <v>1.8</v>
      </c>
      <c r="K13" s="17">
        <v>1.79</v>
      </c>
      <c r="L13" s="16">
        <v>0.88</v>
      </c>
      <c r="M13" s="16">
        <f t="shared" si="1"/>
        <v>13.929576388888888</v>
      </c>
      <c r="N13" s="17">
        <f t="shared" si="2"/>
        <v>12.258027222222221</v>
      </c>
      <c r="O13" s="16">
        <v>1.82</v>
      </c>
      <c r="P13" s="16">
        <v>13.216666666666667</v>
      </c>
      <c r="Q13" s="17">
        <f t="shared" si="3"/>
        <v>0.40090555555555557</v>
      </c>
      <c r="R13" s="18">
        <v>80</v>
      </c>
      <c r="S13" s="18">
        <f t="shared" si="4"/>
        <v>363.17780580075663</v>
      </c>
      <c r="T13" s="16">
        <f t="shared" si="5"/>
        <v>1.7897569444444443</v>
      </c>
      <c r="U13" s="16">
        <f t="shared" si="6"/>
        <v>5.0113194444444451</v>
      </c>
      <c r="V13" s="16">
        <f t="shared" si="7"/>
        <v>3.2573576388888887</v>
      </c>
      <c r="W13" s="16">
        <f t="shared" si="8"/>
        <v>16.015384861111109</v>
      </c>
      <c r="X13" s="18">
        <f t="shared" si="9"/>
        <v>5829.6000894444433</v>
      </c>
      <c r="Y13" s="3" t="s">
        <v>27</v>
      </c>
      <c r="Z13" s="3" t="s">
        <v>30</v>
      </c>
      <c r="AA13" s="2"/>
    </row>
    <row r="14" spans="1:27" x14ac:dyDescent="0.25">
      <c r="A14" s="31" t="s">
        <v>7</v>
      </c>
      <c r="B14" s="31" t="s">
        <v>39</v>
      </c>
      <c r="C14" s="31" t="s">
        <v>58</v>
      </c>
      <c r="D14" s="3" t="s">
        <v>16</v>
      </c>
      <c r="E14" s="3">
        <v>2</v>
      </c>
      <c r="F14" s="16">
        <f t="shared" si="10"/>
        <v>3.1372549019607847</v>
      </c>
      <c r="G14" s="15">
        <v>16.829999999999998</v>
      </c>
      <c r="H14" s="16">
        <f>G14/60</f>
        <v>0.28049999999999997</v>
      </c>
      <c r="I14" s="17">
        <v>0.88</v>
      </c>
      <c r="J14" s="17"/>
      <c r="K14" s="17"/>
      <c r="L14" s="16">
        <v>0.86</v>
      </c>
      <c r="M14" s="16">
        <f t="shared" si="1"/>
        <v>14.004222222222221</v>
      </c>
      <c r="N14" s="17">
        <f t="shared" si="2"/>
        <v>12.043631111111111</v>
      </c>
      <c r="O14" s="16">
        <v>1.448</v>
      </c>
      <c r="P14" s="16">
        <v>19</v>
      </c>
      <c r="Q14" s="17">
        <f t="shared" si="3"/>
        <v>0.45853333333333335</v>
      </c>
      <c r="R14" s="18">
        <v>120</v>
      </c>
      <c r="S14" s="18">
        <f t="shared" si="4"/>
        <v>378.94736842105266</v>
      </c>
      <c r="T14" s="16">
        <f t="shared" si="5"/>
        <v>1.7152777777777777</v>
      </c>
      <c r="U14" s="16">
        <f t="shared" si="6"/>
        <v>3.8211111111111111</v>
      </c>
      <c r="V14" s="16">
        <f t="shared" si="7"/>
        <v>2.4837222222222222</v>
      </c>
      <c r="W14" s="16">
        <f t="shared" si="8"/>
        <v>15.407353333333335</v>
      </c>
      <c r="X14" s="18">
        <f t="shared" si="9"/>
        <v>5608.2766133333334</v>
      </c>
      <c r="Y14" s="3" t="s">
        <v>25</v>
      </c>
      <c r="Z14" s="3" t="s">
        <v>30</v>
      </c>
      <c r="AA14" s="2"/>
    </row>
    <row r="15" spans="1:27" x14ac:dyDescent="0.25">
      <c r="A15" s="31" t="s">
        <v>0</v>
      </c>
      <c r="B15" s="31" t="s">
        <v>40</v>
      </c>
      <c r="C15" s="31" t="s">
        <v>59</v>
      </c>
      <c r="D15" s="3" t="s">
        <v>16</v>
      </c>
      <c r="E15" s="3">
        <v>2</v>
      </c>
      <c r="F15" s="16">
        <f t="shared" si="10"/>
        <v>3.8048780487804876</v>
      </c>
      <c r="G15" s="15">
        <f>0.2*60</f>
        <v>12</v>
      </c>
      <c r="H15" s="16">
        <f>12.3/60</f>
        <v>0.20500000000000002</v>
      </c>
      <c r="I15" s="17">
        <v>0.78</v>
      </c>
      <c r="J15" s="17"/>
      <c r="K15" s="17"/>
      <c r="L15" s="16">
        <v>1.0580000000000001</v>
      </c>
      <c r="M15" s="16">
        <f t="shared" si="1"/>
        <v>15.119324324324324</v>
      </c>
      <c r="N15" s="17">
        <f t="shared" si="2"/>
        <v>15.996245135135137</v>
      </c>
      <c r="O15" s="16">
        <v>3.5169999999999999</v>
      </c>
      <c r="P15" s="16">
        <v>14.96881496881497</v>
      </c>
      <c r="Q15" s="17">
        <f t="shared" si="3"/>
        <v>0.8774220374220375</v>
      </c>
      <c r="R15" s="18">
        <v>240</v>
      </c>
      <c r="S15" s="18">
        <f t="shared" si="4"/>
        <v>961.99999999999989</v>
      </c>
      <c r="T15" s="16">
        <f t="shared" si="5"/>
        <v>0.67567567567567577</v>
      </c>
      <c r="U15" s="16">
        <f t="shared" si="6"/>
        <v>3.6559251559251567</v>
      </c>
      <c r="V15" s="16">
        <f t="shared" si="7"/>
        <v>2.3763513513513517</v>
      </c>
      <c r="W15" s="16">
        <f t="shared" si="8"/>
        <v>19.152596486486491</v>
      </c>
      <c r="X15" s="18">
        <f t="shared" si="9"/>
        <v>6971.5451210810825</v>
      </c>
      <c r="Y15" s="3" t="s">
        <v>64</v>
      </c>
      <c r="Z15" s="3" t="s">
        <v>31</v>
      </c>
      <c r="AA15" s="2"/>
    </row>
    <row r="16" spans="1:27" x14ac:dyDescent="0.25">
      <c r="A16" s="3" t="s">
        <v>7</v>
      </c>
      <c r="B16" s="3" t="s">
        <v>10</v>
      </c>
      <c r="C16" s="3" t="s">
        <v>60</v>
      </c>
      <c r="D16" s="3" t="s">
        <v>14</v>
      </c>
      <c r="E16" s="3">
        <v>2</v>
      </c>
      <c r="F16" s="16">
        <f t="shared" si="10"/>
        <v>2.4</v>
      </c>
      <c r="G16" s="15">
        <v>8.25</v>
      </c>
      <c r="H16" s="16">
        <f>G16/60</f>
        <v>0.13750000000000001</v>
      </c>
      <c r="I16" s="17">
        <v>0.33</v>
      </c>
      <c r="J16" s="17">
        <v>2.2400000000000002</v>
      </c>
      <c r="K16" s="17">
        <v>2.3199999999999998</v>
      </c>
      <c r="L16" s="16">
        <v>0.61</v>
      </c>
      <c r="M16" s="16">
        <f t="shared" si="1"/>
        <v>14.960625</v>
      </c>
      <c r="N16" s="17">
        <f t="shared" si="2"/>
        <v>9.1259812500000006</v>
      </c>
      <c r="O16" s="16">
        <v>2.2400000000000002</v>
      </c>
      <c r="P16" s="16">
        <v>6.66</v>
      </c>
      <c r="Q16" s="17">
        <f t="shared" si="3"/>
        <v>0.24864000000000003</v>
      </c>
      <c r="R16" s="18">
        <v>80</v>
      </c>
      <c r="S16" s="18">
        <f t="shared" si="4"/>
        <v>720.72072072072069</v>
      </c>
      <c r="T16" s="16">
        <f t="shared" si="5"/>
        <v>0.90187499999999998</v>
      </c>
      <c r="U16" s="16">
        <f t="shared" si="6"/>
        <v>3.1080000000000005</v>
      </c>
      <c r="V16" s="16">
        <f t="shared" si="7"/>
        <v>2.0202</v>
      </c>
      <c r="W16" s="16">
        <f t="shared" si="8"/>
        <v>11.476181250000002</v>
      </c>
      <c r="X16" s="18">
        <f t="shared" si="9"/>
        <v>4177.3299750000006</v>
      </c>
      <c r="Y16" s="3" t="s">
        <v>27</v>
      </c>
      <c r="Z16" s="3" t="s">
        <v>31</v>
      </c>
      <c r="AA16" s="2"/>
    </row>
    <row r="17" spans="1:27" x14ac:dyDescent="0.25">
      <c r="A17" s="3" t="s">
        <v>0</v>
      </c>
      <c r="B17" s="3" t="s">
        <v>8</v>
      </c>
      <c r="C17" s="3" t="s">
        <v>61</v>
      </c>
      <c r="D17" s="3" t="s">
        <v>14</v>
      </c>
      <c r="E17" s="3">
        <v>1</v>
      </c>
      <c r="F17" s="16">
        <f t="shared" si="10"/>
        <v>1.995967741935484</v>
      </c>
      <c r="G17" s="15">
        <v>9.92</v>
      </c>
      <c r="H17" s="16">
        <f>G17/60</f>
        <v>0.16533333333333333</v>
      </c>
      <c r="I17" s="17">
        <v>0.33</v>
      </c>
      <c r="J17" s="17">
        <v>2</v>
      </c>
      <c r="K17" s="17">
        <v>1.97</v>
      </c>
      <c r="L17" s="16">
        <v>0.6</v>
      </c>
      <c r="M17" s="16">
        <f t="shared" si="1"/>
        <v>14.867791666666667</v>
      </c>
      <c r="N17" s="17">
        <f t="shared" si="2"/>
        <v>8.9206749999999992</v>
      </c>
      <c r="O17" s="16">
        <v>1.98</v>
      </c>
      <c r="P17" s="16">
        <v>3.57</v>
      </c>
      <c r="Q17" s="17">
        <f t="shared" si="3"/>
        <v>0.11781</v>
      </c>
      <c r="R17" s="18">
        <v>40</v>
      </c>
      <c r="S17" s="18">
        <f t="shared" si="4"/>
        <v>672.26890756302532</v>
      </c>
      <c r="T17" s="16">
        <f t="shared" si="5"/>
        <v>0.96687499999999982</v>
      </c>
      <c r="U17" s="16">
        <f t="shared" si="6"/>
        <v>2.9452500000000001</v>
      </c>
      <c r="V17" s="16">
        <f t="shared" si="7"/>
        <v>1.9144124999999996</v>
      </c>
      <c r="W17" s="16">
        <f t="shared" si="8"/>
        <v>11.165087499999998</v>
      </c>
      <c r="X17" s="18">
        <f t="shared" si="9"/>
        <v>4064.0918499999993</v>
      </c>
      <c r="Y17" s="3" t="s">
        <v>27</v>
      </c>
      <c r="Z17" s="3" t="s">
        <v>31</v>
      </c>
      <c r="AA17" s="2"/>
    </row>
    <row r="18" spans="1:27" x14ac:dyDescent="0.25">
      <c r="A18" s="31" t="s">
        <v>7</v>
      </c>
      <c r="B18" s="31" t="s">
        <v>50</v>
      </c>
      <c r="C18" s="31" t="s">
        <v>66</v>
      </c>
      <c r="D18" s="3" t="s">
        <v>16</v>
      </c>
      <c r="E18" s="3">
        <v>2</v>
      </c>
      <c r="F18" s="19">
        <f>I18/H18</f>
        <v>1.7112299465240643</v>
      </c>
      <c r="G18" s="15">
        <v>16.829999999999998</v>
      </c>
      <c r="H18" s="19">
        <f>G18/60</f>
        <v>0.28049999999999997</v>
      </c>
      <c r="I18" s="17">
        <v>0.48</v>
      </c>
      <c r="J18" s="17"/>
      <c r="K18" s="17"/>
      <c r="L18" s="19">
        <v>1.349</v>
      </c>
      <c r="M18" s="16">
        <f t="shared" si="1"/>
        <v>15.162993150684931</v>
      </c>
      <c r="N18" s="17">
        <f t="shared" si="2"/>
        <v>20.454877760273973</v>
      </c>
      <c r="O18" s="19">
        <v>3.4039999999999999</v>
      </c>
      <c r="P18" s="16">
        <v>12.328767123287669</v>
      </c>
      <c r="Q18" s="17">
        <f t="shared" si="3"/>
        <v>0.69945205479452033</v>
      </c>
      <c r="R18" s="18">
        <v>240</v>
      </c>
      <c r="S18" s="18">
        <f t="shared" si="4"/>
        <v>1168</v>
      </c>
      <c r="T18" s="16">
        <f t="shared" si="5"/>
        <v>0.55650684931506844</v>
      </c>
      <c r="U18" s="16">
        <f t="shared" si="6"/>
        <v>2.9143835616438349</v>
      </c>
      <c r="V18" s="16">
        <f t="shared" si="7"/>
        <v>1.8943493150684929</v>
      </c>
      <c r="W18" s="16">
        <f t="shared" si="8"/>
        <v>22.829227075342466</v>
      </c>
      <c r="X18" s="18">
        <f t="shared" si="9"/>
        <v>8309.8386554246572</v>
      </c>
      <c r="Y18" s="3" t="s">
        <v>25</v>
      </c>
      <c r="Z18" s="3" t="s">
        <v>31</v>
      </c>
      <c r="AA18" s="2"/>
    </row>
    <row r="19" spans="1:27" x14ac:dyDescent="0.25">
      <c r="A19" s="3" t="s">
        <v>0</v>
      </c>
      <c r="B19" s="3" t="s">
        <v>9</v>
      </c>
      <c r="C19" s="3" t="s">
        <v>62</v>
      </c>
      <c r="D19" s="3" t="s">
        <v>14</v>
      </c>
      <c r="E19" s="3">
        <v>1</v>
      </c>
      <c r="F19" s="16">
        <f>I19/H19</f>
        <v>1.9628647214854111</v>
      </c>
      <c r="G19" s="15">
        <v>11.31</v>
      </c>
      <c r="H19" s="16">
        <f>G19/60</f>
        <v>0.1885</v>
      </c>
      <c r="I19" s="17">
        <v>0.37</v>
      </c>
      <c r="J19" s="17">
        <v>2</v>
      </c>
      <c r="K19" s="17">
        <v>1.98</v>
      </c>
      <c r="L19" s="16">
        <v>0.71</v>
      </c>
      <c r="M19" s="16">
        <f t="shared" si="1"/>
        <v>14.885250000000001</v>
      </c>
      <c r="N19" s="17">
        <f t="shared" si="2"/>
        <v>10.5685275</v>
      </c>
      <c r="O19" s="16">
        <v>1.97</v>
      </c>
      <c r="P19" s="16">
        <v>3.42</v>
      </c>
      <c r="Q19" s="17">
        <f t="shared" si="3"/>
        <v>0.11229</v>
      </c>
      <c r="R19" s="18">
        <v>40</v>
      </c>
      <c r="S19" s="18">
        <f t="shared" si="4"/>
        <v>701.75438596491233</v>
      </c>
      <c r="T19" s="16">
        <f t="shared" si="5"/>
        <v>0.92624999999999991</v>
      </c>
      <c r="U19" s="16">
        <f t="shared" si="6"/>
        <v>2.8072499999999998</v>
      </c>
      <c r="V19" s="16">
        <f t="shared" si="7"/>
        <v>1.8247124999999997</v>
      </c>
      <c r="W19" s="16">
        <f t="shared" si="8"/>
        <v>12.76324</v>
      </c>
      <c r="X19" s="18">
        <f t="shared" si="9"/>
        <v>4645.8193599999995</v>
      </c>
      <c r="Y19" s="3" t="s">
        <v>27</v>
      </c>
      <c r="Z19" s="3" t="s">
        <v>31</v>
      </c>
      <c r="AA19" s="2"/>
    </row>
    <row r="22" spans="1:27" x14ac:dyDescent="0.25">
      <c r="A22" s="30"/>
      <c r="B22" t="s">
        <v>87</v>
      </c>
      <c r="F22" s="4"/>
      <c r="I22" s="4"/>
    </row>
    <row r="23" spans="1:27" x14ac:dyDescent="0.25">
      <c r="I23" s="4"/>
    </row>
    <row r="24" spans="1:27" x14ac:dyDescent="0.25">
      <c r="I24" s="4"/>
    </row>
    <row r="25" spans="1:27" x14ac:dyDescent="0.25">
      <c r="I25" s="4"/>
    </row>
    <row r="26" spans="1:27" x14ac:dyDescent="0.25">
      <c r="I26" s="4"/>
    </row>
    <row r="27" spans="1:27" x14ac:dyDescent="0.25">
      <c r="I27" s="4"/>
    </row>
    <row r="28" spans="1:27" x14ac:dyDescent="0.25">
      <c r="I28" s="4"/>
    </row>
    <row r="29" spans="1:27" x14ac:dyDescent="0.25">
      <c r="I29" s="4"/>
    </row>
    <row r="30" spans="1:27" x14ac:dyDescent="0.25">
      <c r="I30" s="4"/>
    </row>
    <row r="31" spans="1:27" x14ac:dyDescent="0.25">
      <c r="I31" s="4"/>
    </row>
    <row r="32" spans="1:27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</sheetData>
  <autoFilter ref="A4:AA19" xr:uid="{4715B073-6D68-4C86-A525-71EF1CDF5344}">
    <sortState xmlns:xlrd2="http://schemas.microsoft.com/office/spreadsheetml/2017/richdata2" ref="A5:AA19">
      <sortCondition ref="C4:C19"/>
    </sortState>
  </autoFilter>
  <pageMargins left="0.7" right="0.7" top="0.75" bottom="0.75" header="0.3" footer="0.3"/>
  <pageSetup scale="3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4D805-F7A8-44AC-8C4F-2362AE43BE3A}">
  <sheetPr codeName="Sheet2">
    <tabColor rgb="FF00B050"/>
  </sheetPr>
  <dimension ref="A1:T25"/>
  <sheetViews>
    <sheetView tabSelected="1" zoomScaleNormal="100" workbookViewId="0">
      <selection activeCell="N12" sqref="N12"/>
    </sheetView>
  </sheetViews>
  <sheetFormatPr defaultRowHeight="15" x14ac:dyDescent="0.25"/>
  <cols>
    <col min="1" max="1" width="28.28515625" customWidth="1"/>
    <col min="2" max="2" width="21.5703125" customWidth="1"/>
    <col min="3" max="3" width="15.28515625" customWidth="1"/>
    <col min="4" max="4" width="13.7109375" customWidth="1"/>
    <col min="5" max="6" width="14.5703125" customWidth="1"/>
    <col min="7" max="15" width="21.5703125" customWidth="1"/>
    <col min="16" max="17" width="23.7109375" customWidth="1"/>
    <col min="18" max="18" width="26.7109375" customWidth="1"/>
    <col min="19" max="19" width="31.85546875" bestFit="1" customWidth="1"/>
    <col min="20" max="20" width="52.140625" customWidth="1"/>
  </cols>
  <sheetData>
    <row r="1" spans="1:20" ht="45" x14ac:dyDescent="0.25">
      <c r="A1" s="5" t="s">
        <v>4</v>
      </c>
      <c r="B1" s="6" t="s">
        <v>5</v>
      </c>
      <c r="C1" s="6" t="s">
        <v>5</v>
      </c>
      <c r="D1" s="6" t="s">
        <v>51</v>
      </c>
      <c r="E1" s="6" t="s">
        <v>13</v>
      </c>
      <c r="F1" s="6" t="s">
        <v>63</v>
      </c>
      <c r="G1" s="6" t="s">
        <v>68</v>
      </c>
      <c r="H1" s="6" t="s">
        <v>67</v>
      </c>
      <c r="I1" s="6" t="s">
        <v>96</v>
      </c>
      <c r="J1" s="6" t="s">
        <v>69</v>
      </c>
      <c r="K1" s="6" t="s">
        <v>97</v>
      </c>
      <c r="L1" s="6" t="s">
        <v>72</v>
      </c>
      <c r="M1" s="6" t="s">
        <v>94</v>
      </c>
      <c r="N1" s="6" t="s">
        <v>95</v>
      </c>
      <c r="O1" s="6" t="s">
        <v>75</v>
      </c>
      <c r="P1" s="6" t="s">
        <v>82</v>
      </c>
      <c r="Q1" s="6" t="s">
        <v>37</v>
      </c>
      <c r="R1" s="6" t="s">
        <v>33</v>
      </c>
      <c r="S1" s="6" t="s">
        <v>29</v>
      </c>
      <c r="T1" s="6" t="s">
        <v>45</v>
      </c>
    </row>
    <row r="2" spans="1:20" s="35" customFormat="1" x14ac:dyDescent="0.25">
      <c r="A2" s="32" t="s">
        <v>0</v>
      </c>
      <c r="B2" s="32" t="s">
        <v>80</v>
      </c>
      <c r="C2" s="32" t="s">
        <v>65</v>
      </c>
      <c r="D2" s="32">
        <v>1</v>
      </c>
      <c r="E2" s="32" t="s">
        <v>83</v>
      </c>
      <c r="F2" s="32">
        <v>2</v>
      </c>
      <c r="G2" s="16">
        <f>'Unit Data'!F7</f>
        <v>3.1332191490068553</v>
      </c>
      <c r="H2" s="16">
        <f>'Unit Data'!G7</f>
        <v>16.465</v>
      </c>
      <c r="I2" s="16">
        <f>H2/60</f>
        <v>0.27441666666666664</v>
      </c>
      <c r="J2" s="16">
        <f>'Unit Data'!L7</f>
        <v>1.79</v>
      </c>
      <c r="K2" s="16">
        <f>16-N2-I2</f>
        <v>13.995204545454545</v>
      </c>
      <c r="L2" s="16">
        <f>'Unit Data'!O7</f>
        <v>2.8250000000000002</v>
      </c>
      <c r="M2" s="18">
        <f>'Unit Data'!S7</f>
        <v>375.64029595902105</v>
      </c>
      <c r="N2" s="62">
        <f>650/M2</f>
        <v>1.730378787878788</v>
      </c>
      <c r="O2" s="16">
        <f>'Unit Data'!U7</f>
        <v>7.5204924242424243</v>
      </c>
      <c r="P2" s="33">
        <f t="shared" ref="P2:P10" si="0">R2/364/16</f>
        <v>1.9249835132575754</v>
      </c>
      <c r="Q2" s="33">
        <f>MAX(G2,J2,L2)</f>
        <v>3.1332191490068553</v>
      </c>
      <c r="R2" s="33">
        <f>'Unit Data'!X7</f>
        <v>11211.10398121212</v>
      </c>
      <c r="S2" s="33" t="s">
        <v>35</v>
      </c>
      <c r="T2" s="34" t="s">
        <v>48</v>
      </c>
    </row>
    <row r="3" spans="1:20" s="37" customFormat="1" x14ac:dyDescent="0.25">
      <c r="A3" s="32" t="s">
        <v>0</v>
      </c>
      <c r="B3" s="32" t="s">
        <v>3</v>
      </c>
      <c r="C3" s="32" t="s">
        <v>52</v>
      </c>
      <c r="D3" s="32">
        <v>1</v>
      </c>
      <c r="E3" s="32" t="s">
        <v>14</v>
      </c>
      <c r="F3" s="32">
        <v>1</v>
      </c>
      <c r="G3" s="16">
        <f>'Unit Data'!F8</f>
        <v>2.7497708524289641</v>
      </c>
      <c r="H3" s="16">
        <f>'Unit Data'!G8</f>
        <v>10.91</v>
      </c>
      <c r="I3" s="16">
        <f t="shared" ref="I3:I10" si="1">H3/60</f>
        <v>0.18183333333333335</v>
      </c>
      <c r="J3" s="16">
        <f>'Unit Data'!L8</f>
        <v>0.77</v>
      </c>
      <c r="K3" s="16">
        <f t="shared" ref="K3:K13" si="2">16-N3-I3</f>
        <v>13.242541666666668</v>
      </c>
      <c r="L3" s="16">
        <f>'Unit Data'!O8</f>
        <v>1.62</v>
      </c>
      <c r="M3" s="18">
        <f>'Unit Data'!S8</f>
        <v>252.36593059936911</v>
      </c>
      <c r="N3" s="62">
        <f t="shared" ref="N3:N10" si="3">650/M3</f>
        <v>2.5756249999999996</v>
      </c>
      <c r="O3" s="16">
        <f>'Unit Data'!U8</f>
        <v>6.4192499999999999</v>
      </c>
      <c r="P3" s="33">
        <f t="shared" si="0"/>
        <v>0.92932934895833341</v>
      </c>
      <c r="Q3" s="33">
        <f t="shared" ref="Q3:Q10" si="4">MAX(G3,J3,L3)</f>
        <v>2.7497708524289641</v>
      </c>
      <c r="R3" s="33">
        <f>'Unit Data'!X8</f>
        <v>5412.4141283333338</v>
      </c>
      <c r="S3" s="33" t="s">
        <v>36</v>
      </c>
      <c r="T3" s="36"/>
    </row>
    <row r="4" spans="1:20" s="35" customFormat="1" x14ac:dyDescent="0.25">
      <c r="A4" s="32" t="s">
        <v>7</v>
      </c>
      <c r="B4" s="32" t="s">
        <v>20</v>
      </c>
      <c r="C4" s="32" t="s">
        <v>53</v>
      </c>
      <c r="D4" s="32">
        <v>2</v>
      </c>
      <c r="E4" s="32" t="s">
        <v>16</v>
      </c>
      <c r="F4" s="32">
        <v>2</v>
      </c>
      <c r="G4" s="16">
        <f>'Unit Data'!F9</f>
        <v>2.4475104979004199</v>
      </c>
      <c r="H4" s="16">
        <f>'Unit Data'!G9</f>
        <v>16.670000000000002</v>
      </c>
      <c r="I4" s="16">
        <f t="shared" si="1"/>
        <v>0.27783333333333338</v>
      </c>
      <c r="J4" s="16">
        <f>'Unit Data'!L9</f>
        <v>0.78100000000000003</v>
      </c>
      <c r="K4" s="16">
        <f t="shared" si="2"/>
        <v>13.996958333333334</v>
      </c>
      <c r="L4" s="16">
        <f>'Unit Data'!O9</f>
        <v>2.3879999999999999</v>
      </c>
      <c r="M4" s="18">
        <f>'Unit Data'!S9</f>
        <v>376.76609105180535</v>
      </c>
      <c r="N4" s="62">
        <f t="shared" si="3"/>
        <v>1.7252083333333332</v>
      </c>
      <c r="O4" s="16">
        <f>'Unit Data'!U9</f>
        <v>6.3381500000000006</v>
      </c>
      <c r="P4" s="33">
        <f t="shared" si="0"/>
        <v>0.98321387239583324</v>
      </c>
      <c r="Q4" s="33">
        <f t="shared" si="4"/>
        <v>2.4475104979004199</v>
      </c>
      <c r="R4" s="33">
        <f>'Unit Data'!X9</f>
        <v>5726.2375928333331</v>
      </c>
      <c r="S4" s="33" t="s">
        <v>35</v>
      </c>
      <c r="T4" s="36" t="s">
        <v>46</v>
      </c>
    </row>
    <row r="5" spans="1:20" s="35" customFormat="1" x14ac:dyDescent="0.25">
      <c r="A5" s="32" t="s">
        <v>7</v>
      </c>
      <c r="B5" s="32" t="s">
        <v>17</v>
      </c>
      <c r="C5" s="32" t="s">
        <v>54</v>
      </c>
      <c r="D5" s="32">
        <v>2</v>
      </c>
      <c r="E5" s="32" t="s">
        <v>16</v>
      </c>
      <c r="F5" s="32">
        <v>2</v>
      </c>
      <c r="G5" s="16">
        <f>'Unit Data'!F10</f>
        <v>1.4209591474245113</v>
      </c>
      <c r="H5" s="16">
        <f>'Unit Data'!G10</f>
        <v>50.67</v>
      </c>
      <c r="I5" s="16">
        <f t="shared" si="1"/>
        <v>0.84450000000000003</v>
      </c>
      <c r="J5" s="16">
        <f>'Unit Data'!L10</f>
        <v>0.9</v>
      </c>
      <c r="K5" s="16">
        <f t="shared" si="2"/>
        <v>12.170916666666667</v>
      </c>
      <c r="L5" s="16">
        <f>'Unit Data'!O10</f>
        <v>1.3520000000000001</v>
      </c>
      <c r="M5" s="18">
        <f>'Unit Data'!S10</f>
        <v>217.78584392014517</v>
      </c>
      <c r="N5" s="62">
        <f t="shared" si="3"/>
        <v>2.9845833333333336</v>
      </c>
      <c r="O5" s="16">
        <f>'Unit Data'!U10</f>
        <v>6.207933333333334</v>
      </c>
      <c r="P5" s="33">
        <f t="shared" si="0"/>
        <v>1.0118113541666667</v>
      </c>
      <c r="Q5" s="33">
        <f t="shared" si="4"/>
        <v>1.4209591474245113</v>
      </c>
      <c r="R5" s="33">
        <f>'Unit Data'!X10</f>
        <v>5892.789326666667</v>
      </c>
      <c r="S5" s="33" t="s">
        <v>35</v>
      </c>
      <c r="T5" s="36"/>
    </row>
    <row r="6" spans="1:20" s="35" customFormat="1" x14ac:dyDescent="0.25">
      <c r="A6" s="32" t="s">
        <v>7</v>
      </c>
      <c r="B6" s="32" t="s">
        <v>19</v>
      </c>
      <c r="C6" s="32" t="s">
        <v>56</v>
      </c>
      <c r="D6" s="32">
        <v>2</v>
      </c>
      <c r="E6" s="32" t="s">
        <v>16</v>
      </c>
      <c r="F6" s="32">
        <v>2</v>
      </c>
      <c r="G6" s="16">
        <f>'Unit Data'!F12</f>
        <v>2.4395992928697701</v>
      </c>
      <c r="H6" s="16">
        <f>'Unit Data'!G12</f>
        <v>16.97</v>
      </c>
      <c r="I6" s="16">
        <f t="shared" si="1"/>
        <v>0.28283333333333333</v>
      </c>
      <c r="J6" s="16">
        <f>'Unit Data'!L12</f>
        <v>0.77200000000000002</v>
      </c>
      <c r="K6" s="16">
        <f t="shared" si="2"/>
        <v>14.241125</v>
      </c>
      <c r="L6" s="16">
        <f>'Unit Data'!O12</f>
        <v>2.242</v>
      </c>
      <c r="M6" s="18">
        <f>'Unit Data'!S12</f>
        <v>440.36697247706417</v>
      </c>
      <c r="N6" s="62">
        <f t="shared" si="3"/>
        <v>1.4760416666666669</v>
      </c>
      <c r="O6" s="16">
        <f>'Unit Data'!U12</f>
        <v>5.0912083333333333</v>
      </c>
      <c r="P6" s="33">
        <f t="shared" si="0"/>
        <v>0.93708961979166661</v>
      </c>
      <c r="Q6" s="33">
        <f t="shared" si="4"/>
        <v>2.4395992928697701</v>
      </c>
      <c r="R6" s="33">
        <f>'Unit Data'!X12</f>
        <v>5457.6099456666661</v>
      </c>
      <c r="S6" s="33" t="s">
        <v>35</v>
      </c>
      <c r="T6" s="36" t="s">
        <v>47</v>
      </c>
    </row>
    <row r="7" spans="1:20" s="35" customFormat="1" x14ac:dyDescent="0.25">
      <c r="A7" s="32" t="s">
        <v>0</v>
      </c>
      <c r="B7" s="32" t="s">
        <v>1</v>
      </c>
      <c r="C7" s="32" t="s">
        <v>57</v>
      </c>
      <c r="D7" s="32">
        <v>1</v>
      </c>
      <c r="E7" s="32" t="s">
        <v>14</v>
      </c>
      <c r="F7" s="32">
        <v>2</v>
      </c>
      <c r="G7" s="16">
        <f>'Unit Data'!F13</f>
        <v>1.7814726840855106</v>
      </c>
      <c r="H7" s="16">
        <f>'Unit Data'!G13</f>
        <v>16.84</v>
      </c>
      <c r="I7" s="16">
        <f t="shared" si="1"/>
        <v>0.28066666666666668</v>
      </c>
      <c r="J7" s="16">
        <f>'Unit Data'!L13</f>
        <v>0.88</v>
      </c>
      <c r="K7" s="16">
        <f t="shared" si="2"/>
        <v>13.929576388888888</v>
      </c>
      <c r="L7" s="16">
        <f>'Unit Data'!O13</f>
        <v>1.82</v>
      </c>
      <c r="M7" s="18">
        <f>'Unit Data'!S13</f>
        <v>363.17780580075663</v>
      </c>
      <c r="N7" s="62">
        <f t="shared" si="3"/>
        <v>1.7897569444444443</v>
      </c>
      <c r="O7" s="16">
        <f>'Unit Data'!U13</f>
        <v>5.0113194444444451</v>
      </c>
      <c r="P7" s="33">
        <f t="shared" si="0"/>
        <v>1.0009615538194443</v>
      </c>
      <c r="Q7" s="33">
        <f t="shared" si="4"/>
        <v>1.82</v>
      </c>
      <c r="R7" s="33">
        <f>'Unit Data'!X13</f>
        <v>5829.6000894444433</v>
      </c>
      <c r="S7" s="33" t="s">
        <v>35</v>
      </c>
      <c r="T7" s="36"/>
    </row>
    <row r="8" spans="1:20" s="43" customFormat="1" x14ac:dyDescent="0.25">
      <c r="A8" s="39" t="s">
        <v>7</v>
      </c>
      <c r="B8" s="39" t="s">
        <v>10</v>
      </c>
      <c r="C8" s="39" t="s">
        <v>60</v>
      </c>
      <c r="D8" s="39">
        <v>2</v>
      </c>
      <c r="E8" s="39" t="s">
        <v>14</v>
      </c>
      <c r="F8" s="39">
        <v>2</v>
      </c>
      <c r="G8" s="40">
        <f>'Unit Data'!F16</f>
        <v>2.4</v>
      </c>
      <c r="H8" s="40">
        <f>'Unit Data'!G16</f>
        <v>8.25</v>
      </c>
      <c r="I8" s="40">
        <f t="shared" si="1"/>
        <v>0.13750000000000001</v>
      </c>
      <c r="J8" s="40">
        <f>'Unit Data'!L16</f>
        <v>0.61</v>
      </c>
      <c r="K8" s="40">
        <f t="shared" si="2"/>
        <v>14.960625</v>
      </c>
      <c r="L8" s="40">
        <f>'Unit Data'!O16</f>
        <v>2.2400000000000002</v>
      </c>
      <c r="M8" s="52">
        <f>'Unit Data'!S16</f>
        <v>720.72072072072069</v>
      </c>
      <c r="N8" s="63">
        <f t="shared" si="3"/>
        <v>0.90187499999999998</v>
      </c>
      <c r="O8" s="40">
        <f>'Unit Data'!U16</f>
        <v>3.1080000000000005</v>
      </c>
      <c r="P8" s="41">
        <f t="shared" si="0"/>
        <v>0.7172613281250001</v>
      </c>
      <c r="Q8" s="41">
        <f>MAX(G8,J8,L8)</f>
        <v>2.4</v>
      </c>
      <c r="R8" s="41">
        <f>'Unit Data'!X16</f>
        <v>4177.3299750000006</v>
      </c>
      <c r="S8" s="41" t="s">
        <v>36</v>
      </c>
      <c r="T8" s="42"/>
    </row>
    <row r="9" spans="1:20" s="44" customFormat="1" x14ac:dyDescent="0.25">
      <c r="A9" s="39" t="s">
        <v>0</v>
      </c>
      <c r="B9" s="39" t="s">
        <v>8</v>
      </c>
      <c r="C9" s="39" t="s">
        <v>61</v>
      </c>
      <c r="D9" s="39">
        <v>1</v>
      </c>
      <c r="E9" s="39" t="s">
        <v>14</v>
      </c>
      <c r="F9" s="39">
        <v>1</v>
      </c>
      <c r="G9" s="40">
        <f>'Unit Data'!F17</f>
        <v>1.995967741935484</v>
      </c>
      <c r="H9" s="40">
        <f>'Unit Data'!G17</f>
        <v>9.92</v>
      </c>
      <c r="I9" s="40">
        <f t="shared" si="1"/>
        <v>0.16533333333333333</v>
      </c>
      <c r="J9" s="40">
        <f>'Unit Data'!L17</f>
        <v>0.6</v>
      </c>
      <c r="K9" s="40">
        <f t="shared" si="2"/>
        <v>14.867791666666667</v>
      </c>
      <c r="L9" s="40">
        <f>'Unit Data'!O17</f>
        <v>1.98</v>
      </c>
      <c r="M9" s="52">
        <f>'Unit Data'!S17</f>
        <v>672.26890756302532</v>
      </c>
      <c r="N9" s="63">
        <f t="shared" si="3"/>
        <v>0.96687499999999982</v>
      </c>
      <c r="O9" s="40">
        <f>'Unit Data'!U17</f>
        <v>2.9452500000000001</v>
      </c>
      <c r="P9" s="41">
        <f t="shared" si="0"/>
        <v>0.69781796874999991</v>
      </c>
      <c r="Q9" s="41">
        <f t="shared" si="4"/>
        <v>1.995967741935484</v>
      </c>
      <c r="R9" s="41">
        <f>'Unit Data'!X17</f>
        <v>4064.0918499999993</v>
      </c>
      <c r="S9" s="41" t="s">
        <v>36</v>
      </c>
      <c r="T9" s="42"/>
    </row>
    <row r="10" spans="1:20" s="44" customFormat="1" x14ac:dyDescent="0.25">
      <c r="A10" s="39" t="s">
        <v>0</v>
      </c>
      <c r="B10" s="39" t="s">
        <v>9</v>
      </c>
      <c r="C10" s="39" t="s">
        <v>62</v>
      </c>
      <c r="D10" s="39">
        <v>1</v>
      </c>
      <c r="E10" s="39" t="s">
        <v>14</v>
      </c>
      <c r="F10" s="39">
        <v>1</v>
      </c>
      <c r="G10" s="40">
        <f>'Unit Data'!F19</f>
        <v>1.9628647214854111</v>
      </c>
      <c r="H10" s="40">
        <f>'Unit Data'!G19</f>
        <v>11.31</v>
      </c>
      <c r="I10" s="40">
        <f t="shared" si="1"/>
        <v>0.1885</v>
      </c>
      <c r="J10" s="40">
        <f>'Unit Data'!L19</f>
        <v>0.71</v>
      </c>
      <c r="K10" s="40">
        <f t="shared" si="2"/>
        <v>14.885250000000001</v>
      </c>
      <c r="L10" s="40">
        <f>'Unit Data'!O19</f>
        <v>1.97</v>
      </c>
      <c r="M10" s="52">
        <f>'Unit Data'!S19</f>
        <v>701.75438596491233</v>
      </c>
      <c r="N10" s="63">
        <f t="shared" si="3"/>
        <v>0.92624999999999991</v>
      </c>
      <c r="O10" s="40">
        <f>'Unit Data'!U19</f>
        <v>2.8072499999999998</v>
      </c>
      <c r="P10" s="41">
        <f t="shared" si="0"/>
        <v>0.79770249999999987</v>
      </c>
      <c r="Q10" s="41">
        <f t="shared" si="4"/>
        <v>1.97</v>
      </c>
      <c r="R10" s="41">
        <f>'Unit Data'!X19</f>
        <v>4645.8193599999995</v>
      </c>
      <c r="S10" s="41" t="s">
        <v>36</v>
      </c>
      <c r="T10" s="49"/>
    </row>
    <row r="11" spans="1:20" ht="34.5" customHeight="1" x14ac:dyDescent="0.25">
      <c r="A11" s="8"/>
      <c r="B11" s="8"/>
      <c r="C11" s="8"/>
      <c r="D11" s="8"/>
      <c r="E11" s="8"/>
      <c r="F11" s="8"/>
      <c r="M11" s="53"/>
      <c r="N11" s="53"/>
      <c r="P11" s="10"/>
    </row>
    <row r="12" spans="1:20" x14ac:dyDescent="0.25">
      <c r="A12" s="8"/>
      <c r="B12" s="8"/>
      <c r="C12" s="8"/>
      <c r="D12" s="8"/>
      <c r="E12" s="54"/>
      <c r="F12" s="55" t="s">
        <v>93</v>
      </c>
      <c r="G12" s="57">
        <f>AVERAGE(G2:G7)</f>
        <v>2.3287552706193386</v>
      </c>
      <c r="H12" s="57">
        <f>AVERAGE(H2:H7)</f>
        <v>21.420833333333334</v>
      </c>
      <c r="I12" s="57">
        <f>AVERAGE(I2:I7)</f>
        <v>0.35701388888888891</v>
      </c>
      <c r="J12" s="57">
        <f>AVERAGE(J2:J7)</f>
        <v>0.98216666666666674</v>
      </c>
      <c r="K12" s="57">
        <f t="shared" si="2"/>
        <v>13.719909188034189</v>
      </c>
      <c r="L12" s="57">
        <f>AVERAGE(L2:L7)</f>
        <v>2.0411666666666668</v>
      </c>
      <c r="M12" s="56">
        <f>ROUND(AVERAGE(M2:M7), 0)</f>
        <v>338</v>
      </c>
      <c r="N12" s="57">
        <f>650/M12</f>
        <v>1.9230769230769231</v>
      </c>
      <c r="O12" s="57">
        <f>AVERAGE(O2:O7)</f>
        <v>6.0980589225589226</v>
      </c>
      <c r="P12" s="57">
        <f>AVERAGE(P2:P7)</f>
        <v>1.1312315437315865</v>
      </c>
      <c r="Q12" s="57">
        <f>AVERAGE(Q2:Q7)</f>
        <v>2.3351764899384202</v>
      </c>
      <c r="R12" s="57">
        <f>((16-650/M12-H12/60)*J12+650/M12*L12+H12/60*G12)*364</f>
        <v>6636.4319703266074</v>
      </c>
    </row>
    <row r="13" spans="1:20" ht="15.75" thickBot="1" x14ac:dyDescent="0.3">
      <c r="A13" s="8"/>
      <c r="B13" s="8"/>
      <c r="C13" s="8"/>
      <c r="D13" s="8"/>
      <c r="E13" s="54"/>
      <c r="F13" s="55" t="s">
        <v>92</v>
      </c>
      <c r="G13" s="57">
        <f>AVERAGE(G8:G10)</f>
        <v>2.1196108211402986</v>
      </c>
      <c r="H13" s="57">
        <f>AVERAGE(H8:H10)</f>
        <v>9.826666666666668</v>
      </c>
      <c r="I13" s="57">
        <f>AVERAGE(I8:I10)</f>
        <v>0.16377777777777777</v>
      </c>
      <c r="J13" s="57">
        <f>AVERAGE(J8:J10)</f>
        <v>0.64</v>
      </c>
      <c r="K13" s="57">
        <f t="shared" si="2"/>
        <v>14.904990130531678</v>
      </c>
      <c r="L13" s="57">
        <f>AVERAGE(L8:L10)</f>
        <v>2.0633333333333335</v>
      </c>
      <c r="M13" s="56">
        <f>ROUND(AVERAGE(M8:M10),0)</f>
        <v>698</v>
      </c>
      <c r="N13" s="57">
        <f>650/M13</f>
        <v>0.93123209169054444</v>
      </c>
      <c r="O13" s="57">
        <f>AVERAGE(O8:O10)</f>
        <v>2.9535</v>
      </c>
      <c r="P13" s="57">
        <f>AVERAGE(P8:P10)</f>
        <v>0.73759393229166659</v>
      </c>
      <c r="Q13" s="57">
        <f>AVERAGE(Q8:Q10)</f>
        <v>2.121989247311828</v>
      </c>
      <c r="R13" s="57">
        <f>((16-650/M13-H13/60)*J13+650/M13*L13+H13/60*G13)*364</f>
        <v>4298.0323019944071</v>
      </c>
    </row>
    <row r="14" spans="1:20" x14ac:dyDescent="0.25">
      <c r="A14" s="25" t="s">
        <v>49</v>
      </c>
      <c r="B14" s="26">
        <v>3.75</v>
      </c>
      <c r="H14" s="4"/>
      <c r="I14" s="4"/>
      <c r="J14" s="4"/>
      <c r="K14" s="4"/>
      <c r="L14" s="4"/>
      <c r="M14" s="4"/>
      <c r="N14" s="4"/>
      <c r="O14" s="4"/>
      <c r="P14" s="4"/>
      <c r="Q14" s="51"/>
      <c r="R14" s="51"/>
    </row>
    <row r="15" spans="1:20" x14ac:dyDescent="0.25">
      <c r="A15" s="27"/>
      <c r="B15" s="28"/>
      <c r="C15" s="1"/>
      <c r="D15" s="1"/>
      <c r="E15" s="1"/>
      <c r="F15" s="1"/>
      <c r="H15" s="51"/>
      <c r="I15" s="51"/>
      <c r="J15" s="51"/>
      <c r="K15" s="51"/>
      <c r="L15" s="51"/>
      <c r="M15" s="51"/>
      <c r="N15" s="51"/>
      <c r="O15" s="51"/>
      <c r="P15" s="51"/>
    </row>
    <row r="16" spans="1:20" x14ac:dyDescent="0.25">
      <c r="A16" s="2" t="s">
        <v>42</v>
      </c>
      <c r="B16" s="29">
        <f>R12</f>
        <v>6636.4319703266074</v>
      </c>
      <c r="C16" s="1"/>
      <c r="D16" s="1"/>
      <c r="E16" s="1"/>
      <c r="F16" s="20"/>
      <c r="G16" s="1"/>
      <c r="H16" s="58"/>
      <c r="I16" s="58"/>
      <c r="J16" s="59"/>
      <c r="K16" s="59"/>
      <c r="L16" s="60"/>
      <c r="M16" s="60"/>
      <c r="N16" s="60"/>
      <c r="O16" s="60"/>
      <c r="P16" s="61"/>
      <c r="Q16" s="61"/>
    </row>
    <row r="17" spans="1:17" x14ac:dyDescent="0.25">
      <c r="A17" s="2" t="s">
        <v>43</v>
      </c>
      <c r="B17" s="29">
        <f>R13</f>
        <v>4298.0323019944071</v>
      </c>
      <c r="C17" s="1"/>
      <c r="D17" s="1"/>
      <c r="E17" s="1"/>
      <c r="F17" s="1"/>
      <c r="G17" s="1"/>
      <c r="H17" s="58"/>
      <c r="I17" s="58"/>
      <c r="J17" s="59"/>
      <c r="K17" s="59"/>
      <c r="L17" s="60"/>
      <c r="M17" s="61"/>
      <c r="N17" s="61"/>
      <c r="O17" s="60"/>
      <c r="P17" s="61"/>
      <c r="Q17" s="61"/>
    </row>
    <row r="18" spans="1:17" x14ac:dyDescent="0.25">
      <c r="A18" s="2" t="s">
        <v>44</v>
      </c>
      <c r="B18" s="29">
        <f>B16-B17</f>
        <v>2338.3996683322002</v>
      </c>
      <c r="C18" s="1"/>
      <c r="D18" s="1"/>
      <c r="E18" s="10"/>
      <c r="F18" s="10"/>
      <c r="G18" s="1"/>
      <c r="H18" s="1"/>
      <c r="I18" s="1"/>
      <c r="J18" s="9"/>
      <c r="K18" s="9"/>
    </row>
    <row r="19" spans="1:17" x14ac:dyDescent="0.25">
      <c r="A19" s="23"/>
      <c r="B19" s="23"/>
      <c r="C19" s="1"/>
      <c r="D19" s="1"/>
      <c r="E19" s="10"/>
      <c r="F19" s="10"/>
      <c r="G19" s="1"/>
      <c r="H19" s="1"/>
      <c r="I19" s="1"/>
      <c r="J19" s="9"/>
      <c r="K19" s="9"/>
    </row>
    <row r="20" spans="1:17" x14ac:dyDescent="0.25">
      <c r="A20" s="23"/>
      <c r="B20" s="23"/>
      <c r="C20" s="23"/>
      <c r="D20" s="23"/>
      <c r="E20" s="1"/>
      <c r="F20" s="1"/>
      <c r="G20" s="10"/>
      <c r="H20" s="10"/>
      <c r="I20" s="10"/>
      <c r="J20" s="10"/>
      <c r="K20" s="10"/>
      <c r="L20" s="1"/>
      <c r="M20" s="1"/>
      <c r="N20" s="1"/>
      <c r="O20" s="9"/>
    </row>
    <row r="21" spans="1:17" x14ac:dyDescent="0.25">
      <c r="A21" s="7" t="s">
        <v>88</v>
      </c>
      <c r="B21" s="45">
        <f>P12</f>
        <v>1.1312315437315865</v>
      </c>
      <c r="C21" s="23"/>
      <c r="D21" s="23"/>
      <c r="E21" s="1"/>
      <c r="F21" s="1"/>
      <c r="G21" s="10"/>
      <c r="H21" s="10"/>
      <c r="I21" s="10"/>
      <c r="J21" s="10"/>
      <c r="K21" s="10"/>
      <c r="L21" s="1"/>
      <c r="M21" s="1"/>
      <c r="N21" s="1"/>
      <c r="O21" s="9"/>
    </row>
    <row r="22" spans="1:17" x14ac:dyDescent="0.25">
      <c r="A22" s="7" t="s">
        <v>89</v>
      </c>
      <c r="B22" s="45">
        <f>P13</f>
        <v>0.73759393229166659</v>
      </c>
      <c r="C22" s="23"/>
      <c r="D22" s="23"/>
      <c r="E22" s="1"/>
      <c r="F22" s="1"/>
      <c r="G22" s="21"/>
      <c r="H22" s="21"/>
      <c r="I22" s="21"/>
      <c r="J22" s="10"/>
      <c r="K22" s="10"/>
      <c r="L22" s="1"/>
      <c r="M22" s="1"/>
      <c r="N22" s="1"/>
      <c r="O22" s="9"/>
    </row>
    <row r="23" spans="1:17" x14ac:dyDescent="0.25">
      <c r="A23" s="46" t="s">
        <v>90</v>
      </c>
      <c r="B23" s="47">
        <f>B21-B22</f>
        <v>0.39363761143991993</v>
      </c>
      <c r="C23" s="38"/>
      <c r="D23" s="1"/>
      <c r="E23" s="24"/>
      <c r="F23" s="10"/>
      <c r="G23" s="10"/>
      <c r="H23" s="10"/>
      <c r="I23" s="10"/>
      <c r="J23" s="1"/>
      <c r="K23" s="1"/>
      <c r="L23" s="9"/>
      <c r="M23" s="9"/>
      <c r="N23" s="9"/>
    </row>
    <row r="24" spans="1:17" x14ac:dyDescent="0.25">
      <c r="A24" s="48" t="s">
        <v>91</v>
      </c>
      <c r="B24" s="50">
        <f>B23*0.9</f>
        <v>0.35427385029592795</v>
      </c>
      <c r="C24" s="23"/>
      <c r="F24" s="1"/>
      <c r="G24" s="10"/>
      <c r="H24" s="10"/>
      <c r="I24" s="10"/>
      <c r="J24" s="22"/>
      <c r="K24" s="22"/>
      <c r="L24" s="1"/>
      <c r="M24" s="1"/>
      <c r="N24" s="1"/>
      <c r="O24" s="9"/>
    </row>
    <row r="25" spans="1:17" x14ac:dyDescent="0.25">
      <c r="C25" s="1"/>
      <c r="D25" s="10"/>
      <c r="E25" s="10"/>
      <c r="F25" s="1"/>
      <c r="G25" s="9"/>
      <c r="H25" s="9"/>
      <c r="I25" s="9"/>
    </row>
  </sheetData>
  <autoFilter ref="A1:T25" xr:uid="{A269F77D-33A4-44C1-BA6C-7226053C3C2F}">
    <sortState xmlns:xlrd2="http://schemas.microsoft.com/office/spreadsheetml/2017/richdata2" ref="A2:T25">
      <sortCondition descending="1" ref="O1:O25"/>
    </sortState>
  </autoFilter>
  <pageMargins left="0.7" right="0.7" top="0.75" bottom="0.75" header="0.3" footer="0.3"/>
  <ignoredErrors>
    <ignoredError sqref="M12:M13 K12:K1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35F24C19E2744873B2D2879A7937E" ma:contentTypeVersion="4" ma:contentTypeDescription="Create a new document." ma:contentTypeScope="" ma:versionID="210d82ad46a480edc4ed52de91b3a98a">
  <xsd:schema xmlns:xsd="http://www.w3.org/2001/XMLSchema" xmlns:xs="http://www.w3.org/2001/XMLSchema" xmlns:p="http://schemas.microsoft.com/office/2006/metadata/properties" xmlns:ns2="3c190455-5fe1-4382-963a-6238c3c5f25f" targetNamespace="http://schemas.microsoft.com/office/2006/metadata/properties" ma:root="true" ma:fieldsID="6e4fcf264d59bfa5ddee7304b56a79f8" ns2:_="">
    <xsd:import namespace="3c190455-5fe1-4382-963a-6238c3c5f2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190455-5fe1-4382-963a-6238c3c5f2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CAC1C1-9FA1-4F27-A2AB-16812E2DF0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F275A9-FC44-46CE-85E5-B5DE17ABA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190455-5fe1-4382-963a-6238c3c5f2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FF809A-BD31-4FAF-A70E-39EF564C402D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3c190455-5fe1-4382-963a-6238c3c5f25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Unit Data</vt:lpstr>
      <vt:lpstr>By Energy Per Sandwich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FTC-field1</dc:creator>
  <cp:lastModifiedBy>Martin Vu</cp:lastModifiedBy>
  <cp:lastPrinted>2020-01-07T17:14:19Z</cp:lastPrinted>
  <dcterms:created xsi:type="dcterms:W3CDTF">2019-11-01T23:34:24Z</dcterms:created>
  <dcterms:modified xsi:type="dcterms:W3CDTF">2020-12-04T18:59:48Z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0x010100AF835F24C19E2744873B2D2879A7937E</vt:lpwstr>
  </property>
</Properties>
</file>